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documenttasks/documenttask1.xml" ContentType="application/vnd.ms-excel.documenttasks+xml"/>
  <Override PartName="/xl/namedSheetViews/namedSheetView1.xml" ContentType="application/vnd.ms-excel.namedsheetviews+xml"/>
  <Override PartName="/xl/comments2.xml" ContentType="application/vnd.openxmlformats-officedocument.spreadsheetml.comments+xml"/>
  <Override PartName="/xl/threadedComments/threadedComment2.xml" ContentType="application/vnd.ms-excel.threaded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threadedComments/threadedComment3.xml" ContentType="application/vnd.ms-excel.threadedcomments+xml"/>
  <Override PartName="/xl/documenttasks/documenttask2.xml" ContentType="application/vnd.ms-excel.documenttasks+xml"/>
  <Override PartName="/xl/namedSheetViews/namedSheetView2.xml" ContentType="application/vnd.ms-excel.namedsheetviews+xml"/>
  <Override PartName="/xl/comments5.xml" ContentType="application/vnd.openxmlformats-officedocument.spreadsheetml.comments+xml"/>
  <Override PartName="/xl/tables/table1.xml" ContentType="application/vnd.openxmlformats-officedocument.spreadsheetml.table+xml"/>
  <Override PartName="/xl/comments6.xml" ContentType="application/vnd.openxmlformats-officedocument.spreadsheetml.comments+xml"/>
  <Override PartName="/xl/comments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lkpetro\Downloads\"/>
    </mc:Choice>
  </mc:AlternateContent>
  <xr:revisionPtr revIDLastSave="0" documentId="8_{E7D95432-EEEA-42CE-8FFB-8532EB3878B7}" xr6:coauthVersionLast="47" xr6:coauthVersionMax="47" xr10:uidLastSave="{00000000-0000-0000-0000-000000000000}"/>
  <bookViews>
    <workbookView xWindow="-120" yWindow="-120" windowWidth="29040" windowHeight="15720" tabRatio="960" firstSheet="8" activeTab="15" xr2:uid="{00000000-000D-0000-FFFF-FFFF00000000}"/>
  </bookViews>
  <sheets>
    <sheet name="Matriz Calor Inherente" sheetId="25" state="hidden" r:id="rId1"/>
    <sheet name="Matriz Calor Residual" sheetId="26" state="hidden" r:id="rId2"/>
    <sheet name="Matriz Calor Inherente." sheetId="52" state="hidden" r:id="rId3"/>
    <sheet name="Matriz Calor Residual." sheetId="53" state="hidden" r:id="rId4"/>
    <sheet name="Control de cambios" sheetId="41" r:id="rId5"/>
    <sheet name="Inst. Riesgos de gestión" sheetId="23" r:id="rId6"/>
    <sheet name="Matriz riesgos de gestión" sheetId="24" r:id="rId7"/>
    <sheet name="Catálogo puntos riesgo fiscal" sheetId="47" r:id="rId8"/>
    <sheet name="Matriz riesgos fiscales" sheetId="54" r:id="rId9"/>
    <sheet name="MapaCalor" sheetId="38" state="hidden" r:id="rId10"/>
    <sheet name="Inst. riesgos corrupción" sheetId="34" r:id="rId11"/>
    <sheet name="Matriz riesgos de corrupción" sheetId="55" r:id="rId12"/>
    <sheet name="Evaluación impacto Corrupción" sheetId="37" r:id="rId13"/>
    <sheet name="Matriz Calor Inherente SI" sheetId="44" state="hidden" r:id="rId14"/>
    <sheet name="Matriz Calor Residual SI" sheetId="45" state="hidden" r:id="rId15"/>
    <sheet name="Tabla probabilidad" sheetId="27" r:id="rId16"/>
    <sheet name="Tabla Impacto" sheetId="28" r:id="rId17"/>
    <sheet name="Tabla Valoración controles" sheetId="29" r:id="rId18"/>
    <sheet name="Base corrupción" sheetId="39" r:id="rId19"/>
    <sheet name="Base de datos gestión" sheetId="30" r:id="rId20"/>
    <sheet name="Grupo de activos - SI" sheetId="42" state="hidden" r:id="rId21"/>
    <sheet name="Mapa final back up" sheetId="33" state="hidden" r:id="rId22"/>
    <sheet name="Hoja1" sheetId="31" state="hidden" r:id="rId23"/>
  </sheets>
  <externalReferences>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s>
  <definedNames>
    <definedName name="_xlnm._FilterDatabase" localSheetId="12" hidden="1">'Evaluación impacto Corrupción'!$A$1:$W$42</definedName>
    <definedName name="_xlnm._FilterDatabase" localSheetId="11" hidden="1">'Matriz riesgos de corrupción'!$A$2:$DN$59</definedName>
    <definedName name="_xlnm._FilterDatabase" localSheetId="6" hidden="1">'Matriz riesgos de gestión'!$A$3:$CW$260</definedName>
    <definedName name="_xlnm._FilterDatabase" localSheetId="8" hidden="1">'Matriz riesgos fiscales'!$A$3:$DB$3</definedName>
    <definedName name="A_responsable" localSheetId="20">'[1]Base corrupción'!$A$65:$A$66</definedName>
    <definedName name="A_responsable" localSheetId="9">[2]Base!$A$65:$A$66</definedName>
    <definedName name="A_responsable" localSheetId="2">'[3]Base corrupción'!$A$65:$A$66</definedName>
    <definedName name="A_responsable" localSheetId="3">'[3]Base corrupción'!$A$65:$A$66</definedName>
    <definedName name="A_responsable" localSheetId="11">'[4]Base corrupción'!$A$65:$A$66</definedName>
    <definedName name="A_responsable" localSheetId="8">'[4]Base corrupción'!$A$65:$A$66</definedName>
    <definedName name="A_responsable">'Base corrupción'!$A$65:$A$66</definedName>
    <definedName name="Act_control" localSheetId="20">'[1]Base corrupción'!$A$82:$A$83</definedName>
    <definedName name="Act_control" localSheetId="9">[2]Base!$A$82:$A$83</definedName>
    <definedName name="Act_control" localSheetId="2">'[3]Base corrupción'!$A$82:$A$83</definedName>
    <definedName name="Act_control" localSheetId="3">'[3]Base corrupción'!$A$82:$A$83</definedName>
    <definedName name="Act_control" localSheetId="11">'[4]Base corrupción'!$A$82:$A$83</definedName>
    <definedName name="Act_control" localSheetId="8">'[4]Base corrupción'!$A$82:$A$83</definedName>
    <definedName name="Act_control">'Base corrupción'!$A$82:$A$83</definedName>
    <definedName name="_xlnm.Print_Area" localSheetId="12">'Evaluación impacto Corrupción'!$A$1:$W$203</definedName>
    <definedName name="_xlnm.Print_Area" localSheetId="2">'Matriz Calor Inherente.'!$A$1:$AT$54</definedName>
    <definedName name="_xlnm.Print_Area" localSheetId="3">'Matriz Calor Residual.'!$A$1:$AT$67</definedName>
    <definedName name="C_Externo">'Base corrupción'!$A$9:$A$14</definedName>
    <definedName name="C_Interno">'Base corrupción'!$A$19:$A$25</definedName>
    <definedName name="C_Proceso">'Base corrupción'!$A$29:$A$35</definedName>
    <definedName name="Contexto">'Base corrupción'!$A$2:$A$4</definedName>
    <definedName name="CONTROLG">'[5]Tabla Valoración controles'!$C$28:$C$41</definedName>
    <definedName name="Desviaciones" localSheetId="20">'[1]Base corrupción'!$A$86:$A$87</definedName>
    <definedName name="Desviaciones" localSheetId="9">[2]Base!$A$86:$A$87</definedName>
    <definedName name="Desviaciones" localSheetId="2">'[3]Base corrupción'!$A$86:$A$87</definedName>
    <definedName name="Desviaciones" localSheetId="3">'[3]Base corrupción'!$A$86:$A$87</definedName>
    <definedName name="Desviaciones" localSheetId="11">'[4]Base corrupción'!$A$86:$A$87</definedName>
    <definedName name="Desviaciones" localSheetId="8">'[4]Base corrupción'!$A$86:$A$87</definedName>
    <definedName name="Desviaciones">'Base corrupción'!$A$86:$A$87</definedName>
    <definedName name="Evidencia" localSheetId="20">'[1]Base corrupción'!$A$90:$A$92</definedName>
    <definedName name="Evidencia" localSheetId="9">[2]Base!$A$90:$A$92</definedName>
    <definedName name="Evidencia" localSheetId="2">'[3]Base corrupción'!$A$90:$A$92</definedName>
    <definedName name="Evidencia" localSheetId="3">'[3]Base corrupción'!$A$90:$A$92</definedName>
    <definedName name="Evidencia" localSheetId="11">'[4]Base corrupción'!$A$90:$A$92</definedName>
    <definedName name="Evidencia" localSheetId="8">'[4]Base corrupción'!$A$90:$A$92</definedName>
    <definedName name="Evidencia">'Base corrupción'!$A$90:$A$92</definedName>
    <definedName name="Influencia_C" localSheetId="20">'[1]Base corrupción'!$A$111:$A$113</definedName>
    <definedName name="Influencia_C" localSheetId="9">[2]Base!$A$111:$A$113</definedName>
    <definedName name="Influencia_C" localSheetId="2">'[3]Base corrupción'!$A$111:$A$113</definedName>
    <definedName name="Influencia_C" localSheetId="3">'[3]Base corrupción'!$A$111:$A$113</definedName>
    <definedName name="Influencia_C" localSheetId="11">'[4]Base corrupción'!$A$111:$A$113</definedName>
    <definedName name="Influencia_C" localSheetId="8">'[4]Base corrupción'!$A$111:$A$113</definedName>
    <definedName name="Influencia_C">'Base corrupción'!$A$111:$A$113</definedName>
    <definedName name="Influencia_CP" localSheetId="20">'[1]Base corrupción'!$A$111:$A$112</definedName>
    <definedName name="Influencia_CP" localSheetId="9">[2]Base!$A$111:$A$112</definedName>
    <definedName name="Influencia_CP" localSheetId="2">'[3]Base corrupción'!$A$111:$A$112</definedName>
    <definedName name="Influencia_CP" localSheetId="3">'[3]Base corrupción'!$A$111:$A$112</definedName>
    <definedName name="Influencia_CP" localSheetId="11">'[4]Base corrupción'!$A$111:$A$112</definedName>
    <definedName name="Influencia_CP" localSheetId="8">'[4]Base corrupción'!$A$111:$A$112</definedName>
    <definedName name="Influencia_CP">'Base corrupción'!$A$111:$A$112</definedName>
    <definedName name="lkpm">[6]Base!$A$111:$A$112</definedName>
    <definedName name="lkpm1">[6]Base!$M$2:$M$24</definedName>
    <definedName name="lkpm12">[6]Base!$M$2:$M$24</definedName>
    <definedName name="lkpm3">[6]Base!$G$2:$H$6</definedName>
    <definedName name="lkpm4">[6]Base!$C$2:$C$6</definedName>
    <definedName name="lkpm6">[6]Base!$G$11:$G$15</definedName>
    <definedName name="LKPM9">[6]Base!$G$2:$H$6</definedName>
    <definedName name="N_Impacto" localSheetId="20">'[1]Base corrupción'!$C$2:$C$6</definedName>
    <definedName name="N_Impacto" localSheetId="9">[2]Base!$C$2:$C$6</definedName>
    <definedName name="N_Impacto" localSheetId="2">'[3]Base corrupción'!$C$2:$C$6</definedName>
    <definedName name="N_Impacto" localSheetId="3">'[3]Base corrupción'!$C$2:$C$6</definedName>
    <definedName name="N_Impacto" localSheetId="11">'[4]Base corrupción'!$C$2:$C$6</definedName>
    <definedName name="N_Impacto" localSheetId="8">'[4]Base corrupción'!$C$2:$C$6</definedName>
    <definedName name="N_Impacto">'Base corrupción'!$C$2:$C$6</definedName>
    <definedName name="N_ImpactoC" localSheetId="20">'[1]Base corrupción'!$C$2:$C$4</definedName>
    <definedName name="N_ImpactoC" localSheetId="9">[2]Base!$C$2:$C$4</definedName>
    <definedName name="N_ImpactoC" localSheetId="2">'[3]Base corrupción'!$C$2:$C$4</definedName>
    <definedName name="N_ImpactoC" localSheetId="3">'[3]Base corrupción'!$C$2:$C$4</definedName>
    <definedName name="N_ImpactoC" localSheetId="11">'[4]Base corrupción'!$C$2:$C$4</definedName>
    <definedName name="N_ImpactoC" localSheetId="8">'[4]Base corrupción'!$C$2:$C$4</definedName>
    <definedName name="N_ImpactoC">'Base corrupción'!$C$2:$C$4</definedName>
    <definedName name="N_Probabilidad" localSheetId="20">'[1]Base corrupción'!$G$11:$G$15</definedName>
    <definedName name="N_Probabilidad" localSheetId="9">[2]Base!$G$11:$G$15</definedName>
    <definedName name="N_Probabilidad" localSheetId="2">'[3]Base corrupción'!$G$11:$G$15</definedName>
    <definedName name="N_Probabilidad" localSheetId="3">'[3]Base corrupción'!$G$11:$G$15</definedName>
    <definedName name="N_Probabilidad" localSheetId="11">'[4]Base corrupción'!$G$11:$G$15</definedName>
    <definedName name="N_Probabilidad" localSheetId="8">'[4]Base corrupción'!$G$11:$G$15</definedName>
    <definedName name="N_Probabilidad">'Base corrupción'!$G$11:$G$15</definedName>
    <definedName name="Nivel_R" localSheetId="20">'[1]Base corrupción'!$A$105:$A$108</definedName>
    <definedName name="Nivel_R" localSheetId="9">[2]Base!$A$105:$A$108</definedName>
    <definedName name="Nivel_R" localSheetId="2">'[3]Base corrupción'!$A$105:$A$108</definedName>
    <definedName name="Nivel_R" localSheetId="3">'[3]Base corrupción'!$A$105:$A$108</definedName>
    <definedName name="Nivel_R" localSheetId="11">'[4]Base corrupción'!$A$105:$A$108</definedName>
    <definedName name="Nivel_R" localSheetId="8">'[4]Base corrupción'!$A$105:$A$108</definedName>
    <definedName name="Nivel_R">'Base corrupción'!$A$105:$A$108</definedName>
    <definedName name="P_ejecución" localSheetId="20">'[1]Base corrupción'!$C$33:$C$35</definedName>
    <definedName name="P_ejecución" localSheetId="9">[2]Base!$C$33:$C$35</definedName>
    <definedName name="P_ejecución" localSheetId="2">'[3]Base corrupción'!$C$33:$C$35</definedName>
    <definedName name="P_ejecución" localSheetId="3">'[3]Base corrupción'!$C$33:$C$35</definedName>
    <definedName name="P_ejecución" localSheetId="11">'[4]Base corrupción'!$C$33:$C$35</definedName>
    <definedName name="P_ejecución" localSheetId="8">'[4]Base corrupción'!$C$33:$C$35</definedName>
    <definedName name="P_ejecución">'Base corrupción'!$C$33:$C$35</definedName>
    <definedName name="Periodicidad" localSheetId="20">'[1]Base corrupción'!$A$73:$A$74</definedName>
    <definedName name="Periodicidad" localSheetId="9">[2]Base!$A$73:$A$74</definedName>
    <definedName name="Periodicidad" localSheetId="2">'[3]Base corrupción'!$A$73:$A$74</definedName>
    <definedName name="Periodicidad" localSheetId="3">'[3]Base corrupción'!$A$73:$A$74</definedName>
    <definedName name="Periodicidad" localSheetId="11">'[4]Base corrupción'!$A$73:$A$74</definedName>
    <definedName name="Periodicidad" localSheetId="8">'[4]Base corrupción'!$A$73:$A$74</definedName>
    <definedName name="Periodicidad">'Base corrupción'!$A$73:$A$74</definedName>
    <definedName name="Proceso" localSheetId="20">'[1]Base corrupción'!$M$2:$M$24</definedName>
    <definedName name="Proceso" localSheetId="9">[2]Base!$M$2:$M$24</definedName>
    <definedName name="Proceso" localSheetId="2">'[3]Base corrupción'!$M$2:$M$24</definedName>
    <definedName name="Proceso" localSheetId="3">'[3]Base corrupción'!$M$2:$M$24</definedName>
    <definedName name="Proceso" localSheetId="11">'[4]Base corrupción'!$M$2:$M$24</definedName>
    <definedName name="Proceso" localSheetId="8">'[4]Base corrupción'!$M$2:$M$24</definedName>
    <definedName name="Proceso">'Base corrupción'!$M$2:$M$24</definedName>
    <definedName name="Propósito" localSheetId="20">'[1]Base corrupción'!$A$77:$A$79</definedName>
    <definedName name="Propósito" localSheetId="9">[2]Base!$A$77:$A$79</definedName>
    <definedName name="Propósito" localSheetId="2">'[3]Base corrupción'!$A$77:$A$79</definedName>
    <definedName name="Propósito" localSheetId="3">'[3]Base corrupción'!$A$77:$A$79</definedName>
    <definedName name="Propósito" localSheetId="11">'[4]Base corrupción'!$A$77:$A$79</definedName>
    <definedName name="Propósito" localSheetId="8">'[4]Base corrupción'!$A$77:$A$79</definedName>
    <definedName name="Propósito">'Base corrupción'!$A$77:$A$79</definedName>
    <definedName name="RespuestaC" localSheetId="20">'[1]Base corrupción'!$A$61:$A$62</definedName>
    <definedName name="RespuestaC" localSheetId="9">[2]Base!$A$61:$A$62</definedName>
    <definedName name="RespuestaC" localSheetId="2">'[3]Base corrupción'!$A$61:$A$62</definedName>
    <definedName name="RespuestaC" localSheetId="3">'[3]Base corrupción'!$A$61:$A$62</definedName>
    <definedName name="RespuestaC" localSheetId="11">'[4]Base corrupción'!$A$61:$A$62</definedName>
    <definedName name="RespuestaC" localSheetId="8">'[4]Base corrupción'!$A$61:$A$62</definedName>
    <definedName name="RespuestaC">'Base corrupción'!$A$61:$A$62</definedName>
    <definedName name="S_responsable" localSheetId="20">'[1]Base corrupción'!$A$69:$A$70</definedName>
    <definedName name="S_responsable" localSheetId="9">[2]Base!$A$69:$A$70</definedName>
    <definedName name="S_responsable" localSheetId="2">'[3]Base corrupción'!$A$69:$A$70</definedName>
    <definedName name="S_responsable" localSheetId="3">'[3]Base corrupción'!$A$69:$A$70</definedName>
    <definedName name="S_responsable" localSheetId="11">'[4]Base corrupción'!$A$69:$A$70</definedName>
    <definedName name="S_responsable" localSheetId="8">'[4]Base corrupción'!$A$69:$A$70</definedName>
    <definedName name="S_responsable">'Base corrupción'!$A$69:$A$70</definedName>
    <definedName name="T_Control" localSheetId="20">'[1]Base corrupción'!$A$95:$A$96</definedName>
    <definedName name="T_Control" localSheetId="9">[2]Base!$A$95:$A$96</definedName>
    <definedName name="T_Control" localSheetId="2">'[3]Base corrupción'!$A$95:$A$96</definedName>
    <definedName name="T_Control" localSheetId="3">'[3]Base corrupción'!$A$95:$A$96</definedName>
    <definedName name="T_Control" localSheetId="11">'[4]Base corrupción'!$A$95:$A$96</definedName>
    <definedName name="T_Control" localSheetId="8">'[4]Base corrupción'!$A$95:$A$96</definedName>
    <definedName name="T_Control">'Base corrupción'!$A$95:$A$96</definedName>
    <definedName name="T_Proceso" localSheetId="9">[2]Base!$A$54:$A$57</definedName>
    <definedName name="T_Proceso" localSheetId="2">[7]Base!$A$54:$A$57</definedName>
    <definedName name="T_Proceso" localSheetId="3">[7]Base!$A$54:$A$57</definedName>
    <definedName name="T_Proceso">[7]Base!$A$54:$A$57</definedName>
    <definedName name="TImpacto" localSheetId="20">'[1]Base corrupción'!$G$2:$H$6</definedName>
    <definedName name="TImpacto" localSheetId="2">'[3]Base corrupción'!$G$2:$H$6</definedName>
    <definedName name="TImpacto" localSheetId="3">'[3]Base corrupción'!$G$2:$H$6</definedName>
    <definedName name="TImpacto" localSheetId="11">'[4]Base corrupción'!$G$2:$H$6</definedName>
    <definedName name="TImpacto" localSheetId="8">'[4]Base corrupción'!$G$2:$H$6</definedName>
    <definedName name="TImpacto">'Base corrupción'!$G$2:$H$6</definedName>
    <definedName name="Tipología" localSheetId="20">'[1]Base corrupción'!$A$40:$A$51</definedName>
    <definedName name="Tipología" localSheetId="9">[2]Base!$A$40:$A$51</definedName>
    <definedName name="Tipología">'Base corrupción'!$A$40:$A$51</definedName>
    <definedName name="_xlnm.Print_Titles" localSheetId="11">'Matriz riesgos de corrupción'!$2:$2</definedName>
    <definedName name="TMapaCalor" localSheetId="20">'[1]Base corrupción'!$D$40:$E$64</definedName>
    <definedName name="TMapaCalor" localSheetId="2">'[3]Base corrupción'!$D$40:$E$64</definedName>
    <definedName name="TMapaCalor" localSheetId="3">'[3]Base corrupción'!$D$40:$E$64</definedName>
    <definedName name="TMapaCalor" localSheetId="11">'[4]Base corrupción'!$D$40:$E$64</definedName>
    <definedName name="TMapaCalor" localSheetId="8">'[4]Base corrupción'!$D$40:$E$64</definedName>
    <definedName name="TMapaCalor">'Base corrupción'!$D$40:$E$64</definedName>
    <definedName name="TProbabilidad" localSheetId="20">'[1]Base corrupción'!$G$11:$H$15</definedName>
    <definedName name="TProbabilidad" localSheetId="2">'[3]Base corrupción'!$G$11:$H$15</definedName>
    <definedName name="TProbabilidad" localSheetId="3">'[3]Base corrupción'!$G$11:$H$15</definedName>
    <definedName name="TProbabilidad" localSheetId="11">'[4]Base corrupción'!$G$11:$H$15</definedName>
    <definedName name="TProbabilidad" localSheetId="8">'[4]Base corrupción'!$G$11:$H$15</definedName>
    <definedName name="TProbabilidad">'Base corrupción'!$G$11:$H$15</definedName>
    <definedName name="Tratamiento_R" localSheetId="20">'[1]Base corrupción'!$A$99:$A$102</definedName>
    <definedName name="Tratamiento_R" localSheetId="9">[2]Base!$A$99:$A$102</definedName>
    <definedName name="Tratamiento_R" localSheetId="2">'[3]Base corrupción'!$A$99:$A$102</definedName>
    <definedName name="Tratamiento_R" localSheetId="3">'[3]Base corrupción'!$A$99:$A$102</definedName>
    <definedName name="Tratamiento_R" localSheetId="11">'[4]Base corrupción'!$A$99:$A$102</definedName>
    <definedName name="Tratamiento_R" localSheetId="8">'[4]Base corrupción'!$A$99:$A$102</definedName>
    <definedName name="Tratamiento_R">'Base corrupción'!$A$99:$A$102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24" l="1"/>
  <c r="D4" i="54"/>
  <c r="E4" i="54"/>
  <c r="W20" i="37"/>
  <c r="V10" i="37"/>
  <c r="W10" i="37"/>
  <c r="W13" i="37"/>
  <c r="W14" i="37"/>
  <c r="V6" i="37"/>
  <c r="W6" i="37"/>
  <c r="E4" i="24"/>
  <c r="E5" i="24"/>
  <c r="D4" i="24"/>
  <c r="V25" i="37"/>
  <c r="W25" i="37"/>
  <c r="V24" i="37"/>
  <c r="W24" i="37"/>
  <c r="V23" i="37"/>
  <c r="W23" i="37"/>
  <c r="V22" i="37"/>
  <c r="W22" i="37"/>
  <c r="V21" i="37"/>
  <c r="W21" i="37"/>
  <c r="V19" i="37"/>
  <c r="W19" i="37"/>
  <c r="V18" i="37"/>
  <c r="W18" i="37"/>
  <c r="V17" i="37"/>
  <c r="W17" i="37"/>
  <c r="V16" i="37"/>
  <c r="W16" i="37"/>
  <c r="V15" i="37"/>
  <c r="W15" i="37"/>
  <c r="V14" i="37"/>
  <c r="V13" i="37"/>
  <c r="V12" i="37"/>
  <c r="W12" i="37"/>
  <c r="V11" i="37"/>
  <c r="W11" i="37"/>
  <c r="V9" i="37"/>
  <c r="W9" i="37"/>
  <c r="V8" i="37"/>
  <c r="W8" i="37"/>
  <c r="V7" i="37"/>
  <c r="W7" i="37"/>
  <c r="V5" i="37"/>
  <c r="W5" i="37"/>
  <c r="V4" i="37"/>
  <c r="W4" i="37"/>
  <c r="V3" i="37"/>
  <c r="W3" i="37"/>
  <c r="V2" i="37"/>
  <c r="W2" i="37"/>
  <c r="AJ59" i="55"/>
  <c r="AI59" i="55"/>
  <c r="AH59" i="55"/>
  <c r="AG59" i="55"/>
  <c r="AF59" i="55"/>
  <c r="AE59" i="55"/>
  <c r="AD59" i="55"/>
  <c r="R59" i="55"/>
  <c r="H59" i="55"/>
  <c r="G59" i="55"/>
  <c r="AJ58" i="55"/>
  <c r="AI58" i="55"/>
  <c r="AH58" i="55"/>
  <c r="AG58" i="55"/>
  <c r="AF58" i="55"/>
  <c r="AE58" i="55"/>
  <c r="AD58" i="55"/>
  <c r="AK58" i="55" s="1"/>
  <c r="AL58" i="55" s="1"/>
  <c r="AN58" i="55" s="1"/>
  <c r="R58" i="55"/>
  <c r="H58" i="55"/>
  <c r="G58" i="55"/>
  <c r="AJ57" i="55"/>
  <c r="AI57" i="55"/>
  <c r="AH57" i="55"/>
  <c r="AG57" i="55"/>
  <c r="AF57" i="55"/>
  <c r="AE57" i="55"/>
  <c r="AD57" i="55"/>
  <c r="R57" i="55"/>
  <c r="H57" i="55"/>
  <c r="G57" i="55"/>
  <c r="AJ56" i="55"/>
  <c r="AI56" i="55"/>
  <c r="AH56" i="55"/>
  <c r="AG56" i="55"/>
  <c r="AF56" i="55"/>
  <c r="AE56" i="55"/>
  <c r="AD56" i="55"/>
  <c r="AK56" i="55" s="1"/>
  <c r="AL56" i="55" s="1"/>
  <c r="AN56" i="55" s="1"/>
  <c r="R56" i="55"/>
  <c r="H56" i="55"/>
  <c r="G56" i="55"/>
  <c r="AJ55" i="55"/>
  <c r="AI55" i="55"/>
  <c r="AH55" i="55"/>
  <c r="AG55" i="55"/>
  <c r="AF55" i="55"/>
  <c r="AE55" i="55"/>
  <c r="AD55" i="55"/>
  <c r="R55" i="55"/>
  <c r="H55" i="55"/>
  <c r="G55" i="55"/>
  <c r="AJ54" i="55"/>
  <c r="AI54" i="55"/>
  <c r="AH54" i="55"/>
  <c r="AG54" i="55"/>
  <c r="AF54" i="55"/>
  <c r="AE54" i="55"/>
  <c r="AD54" i="55"/>
  <c r="R54" i="55"/>
  <c r="H54" i="55"/>
  <c r="G54" i="55"/>
  <c r="AJ53" i="55"/>
  <c r="AI53" i="55"/>
  <c r="AH53" i="55"/>
  <c r="AG53" i="55"/>
  <c r="AF53" i="55"/>
  <c r="AE53" i="55"/>
  <c r="AD53" i="55"/>
  <c r="R53" i="55"/>
  <c r="H53" i="55"/>
  <c r="G53" i="55"/>
  <c r="AJ52" i="55"/>
  <c r="AI52" i="55"/>
  <c r="AH52" i="55"/>
  <c r="AG52" i="55"/>
  <c r="AF52" i="55"/>
  <c r="AE52" i="55"/>
  <c r="AD52" i="55"/>
  <c r="R52" i="55"/>
  <c r="H52" i="55"/>
  <c r="G52" i="55"/>
  <c r="AJ51" i="55"/>
  <c r="AI51" i="55"/>
  <c r="AH51" i="55"/>
  <c r="AG51" i="55"/>
  <c r="AF51" i="55"/>
  <c r="AE51" i="55"/>
  <c r="AD51" i="55"/>
  <c r="R51" i="55"/>
  <c r="H51" i="55"/>
  <c r="G51" i="55"/>
  <c r="AJ50" i="55"/>
  <c r="AI50" i="55"/>
  <c r="AH50" i="55"/>
  <c r="AG50" i="55"/>
  <c r="AF50" i="55"/>
  <c r="AE50" i="55"/>
  <c r="AD50" i="55"/>
  <c r="AK50" i="55" s="1"/>
  <c r="AL50" i="55" s="1"/>
  <c r="AN50" i="55" s="1"/>
  <c r="R50" i="55"/>
  <c r="H50" i="55"/>
  <c r="G50" i="55"/>
  <c r="AJ49" i="55"/>
  <c r="AI49" i="55"/>
  <c r="AH49" i="55"/>
  <c r="AG49" i="55"/>
  <c r="AF49" i="55"/>
  <c r="AE49" i="55"/>
  <c r="AD49" i="55"/>
  <c r="R49" i="55"/>
  <c r="H49" i="55"/>
  <c r="G49" i="55"/>
  <c r="AJ48" i="55"/>
  <c r="AI48" i="55"/>
  <c r="AH48" i="55"/>
  <c r="AG48" i="55"/>
  <c r="AF48" i="55"/>
  <c r="AE48" i="55"/>
  <c r="AD48" i="55"/>
  <c r="AK48" i="55" s="1"/>
  <c r="AL48" i="55" s="1"/>
  <c r="AN48" i="55" s="1"/>
  <c r="AP48" i="55" s="1"/>
  <c r="R48" i="55"/>
  <c r="H48" i="55"/>
  <c r="G48" i="55"/>
  <c r="AJ47" i="55"/>
  <c r="AI47" i="55"/>
  <c r="AH47" i="55"/>
  <c r="AG47" i="55"/>
  <c r="AF47" i="55"/>
  <c r="AE47" i="55"/>
  <c r="AD47" i="55"/>
  <c r="R47" i="55"/>
  <c r="H47" i="55"/>
  <c r="G47" i="55"/>
  <c r="AJ46" i="55"/>
  <c r="AI46" i="55"/>
  <c r="AH46" i="55"/>
  <c r="AG46" i="55"/>
  <c r="AF46" i="55"/>
  <c r="AE46" i="55"/>
  <c r="AD46" i="55"/>
  <c r="AK46" i="55" s="1"/>
  <c r="AL46" i="55" s="1"/>
  <c r="AN46" i="55" s="1"/>
  <c r="R46" i="55"/>
  <c r="H46" i="55"/>
  <c r="G46" i="55"/>
  <c r="AJ45" i="55"/>
  <c r="AI45" i="55"/>
  <c r="AH45" i="55"/>
  <c r="AG45" i="55"/>
  <c r="AF45" i="55"/>
  <c r="AE45" i="55"/>
  <c r="AD45" i="55"/>
  <c r="R45" i="55"/>
  <c r="H45" i="55"/>
  <c r="G45" i="55"/>
  <c r="AJ44" i="55"/>
  <c r="AI44" i="55"/>
  <c r="AH44" i="55"/>
  <c r="AG44" i="55"/>
  <c r="AF44" i="55"/>
  <c r="AE44" i="55"/>
  <c r="AD44" i="55"/>
  <c r="AK44" i="55" s="1"/>
  <c r="AL44" i="55" s="1"/>
  <c r="AN44" i="55" s="1"/>
  <c r="R44" i="55"/>
  <c r="H44" i="55"/>
  <c r="G44" i="55"/>
  <c r="AJ43" i="55"/>
  <c r="AI43" i="55"/>
  <c r="AH43" i="55"/>
  <c r="AG43" i="55"/>
  <c r="AF43" i="55"/>
  <c r="AE43" i="55"/>
  <c r="AD43" i="55"/>
  <c r="R43" i="55"/>
  <c r="H43" i="55"/>
  <c r="G43" i="55"/>
  <c r="AJ42" i="55"/>
  <c r="AI42" i="55"/>
  <c r="AH42" i="55"/>
  <c r="AG42" i="55"/>
  <c r="AF42" i="55"/>
  <c r="AE42" i="55"/>
  <c r="AD42" i="55"/>
  <c r="AK42" i="55" s="1"/>
  <c r="AL42" i="55" s="1"/>
  <c r="AN42" i="55" s="1"/>
  <c r="R42" i="55"/>
  <c r="H42" i="55"/>
  <c r="G42" i="55"/>
  <c r="AJ41" i="55"/>
  <c r="AI41" i="55"/>
  <c r="AH41" i="55"/>
  <c r="AG41" i="55"/>
  <c r="AF41" i="55"/>
  <c r="AE41" i="55"/>
  <c r="AD41" i="55"/>
  <c r="R41" i="55"/>
  <c r="H41" i="55"/>
  <c r="G41" i="55"/>
  <c r="AJ40" i="55"/>
  <c r="AI40" i="55"/>
  <c r="AH40" i="55"/>
  <c r="AG40" i="55"/>
  <c r="AF40" i="55"/>
  <c r="AE40" i="55"/>
  <c r="AD40" i="55"/>
  <c r="AK40" i="55" s="1"/>
  <c r="AL40" i="55" s="1"/>
  <c r="AN40" i="55" s="1"/>
  <c r="R40" i="55"/>
  <c r="H40" i="55"/>
  <c r="G40" i="55"/>
  <c r="AJ39" i="55"/>
  <c r="AI39" i="55"/>
  <c r="AH39" i="55"/>
  <c r="AG39" i="55"/>
  <c r="AF39" i="55"/>
  <c r="AE39" i="55"/>
  <c r="AD39" i="55"/>
  <c r="R39" i="55"/>
  <c r="H39" i="55"/>
  <c r="G39" i="55"/>
  <c r="AJ38" i="55"/>
  <c r="AI38" i="55"/>
  <c r="AH38" i="55"/>
  <c r="AG38" i="55"/>
  <c r="AF38" i="55"/>
  <c r="AE38" i="55"/>
  <c r="AD38" i="55"/>
  <c r="R38" i="55"/>
  <c r="H38" i="55"/>
  <c r="G38" i="55"/>
  <c r="AJ37" i="55"/>
  <c r="AI37" i="55"/>
  <c r="AH37" i="55"/>
  <c r="AG37" i="55"/>
  <c r="AF37" i="55"/>
  <c r="AE37" i="55"/>
  <c r="AD37" i="55"/>
  <c r="R37" i="55"/>
  <c r="H37" i="55"/>
  <c r="G37" i="55"/>
  <c r="AJ36" i="55"/>
  <c r="AI36" i="55"/>
  <c r="AH36" i="55"/>
  <c r="AG36" i="55"/>
  <c r="AF36" i="55"/>
  <c r="AE36" i="55"/>
  <c r="AD36" i="55"/>
  <c r="AK36" i="55" s="1"/>
  <c r="AL36" i="55" s="1"/>
  <c r="AN36" i="55" s="1"/>
  <c r="AO36" i="55" s="1"/>
  <c r="AQ36" i="55" s="1"/>
  <c r="AR36" i="55" s="1"/>
  <c r="R36" i="55"/>
  <c r="H36" i="55"/>
  <c r="G36" i="55"/>
  <c r="AJ35" i="55"/>
  <c r="AI35" i="55"/>
  <c r="AH35" i="55"/>
  <c r="AG35" i="55"/>
  <c r="AF35" i="55"/>
  <c r="AE35" i="55"/>
  <c r="AD35" i="55"/>
  <c r="R35" i="55"/>
  <c r="H35" i="55"/>
  <c r="G35" i="55"/>
  <c r="AJ34" i="55"/>
  <c r="AI34" i="55"/>
  <c r="AH34" i="55"/>
  <c r="AG34" i="55"/>
  <c r="AF34" i="55"/>
  <c r="AE34" i="55"/>
  <c r="AD34" i="55"/>
  <c r="AK34" i="55" s="1"/>
  <c r="AL34" i="55" s="1"/>
  <c r="AN34" i="55" s="1"/>
  <c r="R34" i="55"/>
  <c r="H34" i="55"/>
  <c r="G34" i="55"/>
  <c r="AJ33" i="55"/>
  <c r="AI33" i="55"/>
  <c r="AH33" i="55"/>
  <c r="AG33" i="55"/>
  <c r="AF33" i="55"/>
  <c r="AE33" i="55"/>
  <c r="AD33" i="55"/>
  <c r="R33" i="55"/>
  <c r="H33" i="55"/>
  <c r="G33" i="55"/>
  <c r="AJ32" i="55"/>
  <c r="AI32" i="55"/>
  <c r="AH32" i="55"/>
  <c r="AG32" i="55"/>
  <c r="AF32" i="55"/>
  <c r="AE32" i="55"/>
  <c r="AD32" i="55"/>
  <c r="AK32" i="55" s="1"/>
  <c r="AL32" i="55" s="1"/>
  <c r="AN32" i="55" s="1"/>
  <c r="R32" i="55"/>
  <c r="H32" i="55"/>
  <c r="G32" i="55"/>
  <c r="AJ31" i="55"/>
  <c r="AI31" i="55"/>
  <c r="AH31" i="55"/>
  <c r="AG31" i="55"/>
  <c r="AF31" i="55"/>
  <c r="AE31" i="55"/>
  <c r="AD31" i="55"/>
  <c r="R31" i="55"/>
  <c r="H31" i="55"/>
  <c r="G31" i="55"/>
  <c r="AJ30" i="55"/>
  <c r="AI30" i="55"/>
  <c r="AH30" i="55"/>
  <c r="AG30" i="55"/>
  <c r="AF30" i="55"/>
  <c r="AE30" i="55"/>
  <c r="AD30" i="55"/>
  <c r="AK30" i="55" s="1"/>
  <c r="AL30" i="55" s="1"/>
  <c r="AN30" i="55" s="1"/>
  <c r="AO30" i="55" s="1"/>
  <c r="AQ30" i="55" s="1"/>
  <c r="AR30" i="55" s="1"/>
  <c r="R30" i="55"/>
  <c r="H30" i="55"/>
  <c r="G30" i="55"/>
  <c r="AJ29" i="55"/>
  <c r="AI29" i="55"/>
  <c r="AH29" i="55"/>
  <c r="AG29" i="55"/>
  <c r="AF29" i="55"/>
  <c r="AE29" i="55"/>
  <c r="AD29" i="55"/>
  <c r="R29" i="55"/>
  <c r="H29" i="55"/>
  <c r="G29" i="55"/>
  <c r="AJ28" i="55"/>
  <c r="AI28" i="55"/>
  <c r="AH28" i="55"/>
  <c r="AG28" i="55"/>
  <c r="AF28" i="55"/>
  <c r="AE28" i="55"/>
  <c r="AD28" i="55"/>
  <c r="R28" i="55"/>
  <c r="H28" i="55"/>
  <c r="G28" i="55"/>
  <c r="AJ27" i="55"/>
  <c r="AI27" i="55"/>
  <c r="AH27" i="55"/>
  <c r="AG27" i="55"/>
  <c r="AF27" i="55"/>
  <c r="AE27" i="55"/>
  <c r="AD27" i="55"/>
  <c r="R27" i="55"/>
  <c r="H27" i="55"/>
  <c r="G27" i="55"/>
  <c r="AJ26" i="55"/>
  <c r="AI26" i="55"/>
  <c r="AH26" i="55"/>
  <c r="AG26" i="55"/>
  <c r="AF26" i="55"/>
  <c r="AE26" i="55"/>
  <c r="AD26" i="55"/>
  <c r="AK26" i="55" s="1"/>
  <c r="AL26" i="55" s="1"/>
  <c r="AN26" i="55" s="1"/>
  <c r="R26" i="55"/>
  <c r="H26" i="55"/>
  <c r="G26" i="55"/>
  <c r="AJ25" i="55"/>
  <c r="AI25" i="55"/>
  <c r="AH25" i="55"/>
  <c r="AG25" i="55"/>
  <c r="AF25" i="55"/>
  <c r="AE25" i="55"/>
  <c r="AD25" i="55"/>
  <c r="R25" i="55"/>
  <c r="H25" i="55"/>
  <c r="G25" i="55"/>
  <c r="AJ24" i="55"/>
  <c r="AI24" i="55"/>
  <c r="AH24" i="55"/>
  <c r="AG24" i="55"/>
  <c r="AF24" i="55"/>
  <c r="AE24" i="55"/>
  <c r="AD24" i="55"/>
  <c r="AK24" i="55" s="1"/>
  <c r="AL24" i="55" s="1"/>
  <c r="AN24" i="55" s="1"/>
  <c r="R24" i="55"/>
  <c r="H24" i="55"/>
  <c r="G24" i="55"/>
  <c r="AJ23" i="55"/>
  <c r="AI23" i="55"/>
  <c r="AH23" i="55"/>
  <c r="AG23" i="55"/>
  <c r="AF23" i="55"/>
  <c r="AE23" i="55"/>
  <c r="AD23" i="55"/>
  <c r="R23" i="55"/>
  <c r="H23" i="55"/>
  <c r="G23" i="55"/>
  <c r="AJ22" i="55"/>
  <c r="AI22" i="55"/>
  <c r="AH22" i="55"/>
  <c r="AG22" i="55"/>
  <c r="AF22" i="55"/>
  <c r="AE22" i="55"/>
  <c r="AD22" i="55"/>
  <c r="AK22" i="55" s="1"/>
  <c r="AL22" i="55" s="1"/>
  <c r="AN22" i="55" s="1"/>
  <c r="R22" i="55"/>
  <c r="H22" i="55"/>
  <c r="G22" i="55"/>
  <c r="AJ21" i="55"/>
  <c r="AI21" i="55"/>
  <c r="AH21" i="55"/>
  <c r="AG21" i="55"/>
  <c r="AF21" i="55"/>
  <c r="AE21" i="55"/>
  <c r="AD21" i="55"/>
  <c r="R21" i="55"/>
  <c r="H21" i="55"/>
  <c r="G21" i="55"/>
  <c r="AJ20" i="55"/>
  <c r="AI20" i="55"/>
  <c r="AH20" i="55"/>
  <c r="AG20" i="55"/>
  <c r="AF20" i="55"/>
  <c r="AE20" i="55"/>
  <c r="AD20" i="55"/>
  <c r="AK20" i="55" s="1"/>
  <c r="AL20" i="55" s="1"/>
  <c r="AN20" i="55" s="1"/>
  <c r="R20" i="55"/>
  <c r="H20" i="55"/>
  <c r="G20" i="55"/>
  <c r="AJ19" i="55"/>
  <c r="AI19" i="55"/>
  <c r="AH19" i="55"/>
  <c r="AG19" i="55"/>
  <c r="AF19" i="55"/>
  <c r="AE19" i="55"/>
  <c r="AD19" i="55"/>
  <c r="R19" i="55"/>
  <c r="H19" i="55"/>
  <c r="G19" i="55"/>
  <c r="AJ18" i="55"/>
  <c r="AI18" i="55"/>
  <c r="AH18" i="55"/>
  <c r="AG18" i="55"/>
  <c r="AF18" i="55"/>
  <c r="AE18" i="55"/>
  <c r="AD18" i="55"/>
  <c r="AK18" i="55" s="1"/>
  <c r="AL18" i="55" s="1"/>
  <c r="AN18" i="55" s="1"/>
  <c r="R18" i="55"/>
  <c r="H18" i="55"/>
  <c r="G18" i="55"/>
  <c r="AJ17" i="55"/>
  <c r="AI17" i="55"/>
  <c r="AH17" i="55"/>
  <c r="AG17" i="55"/>
  <c r="AF17" i="55"/>
  <c r="AE17" i="55"/>
  <c r="AD17" i="55"/>
  <c r="R17" i="55"/>
  <c r="H17" i="55"/>
  <c r="G17" i="55"/>
  <c r="AJ16" i="55"/>
  <c r="AI16" i="55"/>
  <c r="AH16" i="55"/>
  <c r="AG16" i="55"/>
  <c r="AF16" i="55"/>
  <c r="AE16" i="55"/>
  <c r="AD16" i="55"/>
  <c r="AK16" i="55" s="1"/>
  <c r="AL16" i="55" s="1"/>
  <c r="AN16" i="55" s="1"/>
  <c r="AO16" i="55" s="1"/>
  <c r="AQ16" i="55" s="1"/>
  <c r="AR16" i="55" s="1"/>
  <c r="AV16" i="55" s="1"/>
  <c r="R16" i="55"/>
  <c r="H16" i="55"/>
  <c r="G16" i="55"/>
  <c r="AJ15" i="55"/>
  <c r="AI15" i="55"/>
  <c r="AH15" i="55"/>
  <c r="AG15" i="55"/>
  <c r="AF15" i="55"/>
  <c r="AE15" i="55"/>
  <c r="AD15" i="55"/>
  <c r="R15" i="55"/>
  <c r="H15" i="55"/>
  <c r="G15" i="55"/>
  <c r="AJ14" i="55"/>
  <c r="AI14" i="55"/>
  <c r="AH14" i="55"/>
  <c r="AG14" i="55"/>
  <c r="AF14" i="55"/>
  <c r="AE14" i="55"/>
  <c r="AD14" i="55"/>
  <c r="AK14" i="55" s="1"/>
  <c r="AL14" i="55" s="1"/>
  <c r="AN14" i="55" s="1"/>
  <c r="R14" i="55"/>
  <c r="H14" i="55"/>
  <c r="G14" i="55"/>
  <c r="AJ13" i="55"/>
  <c r="AI13" i="55"/>
  <c r="AH13" i="55"/>
  <c r="AG13" i="55"/>
  <c r="AF13" i="55"/>
  <c r="AE13" i="55"/>
  <c r="AD13" i="55"/>
  <c r="R13" i="55"/>
  <c r="H13" i="55"/>
  <c r="G13" i="55"/>
  <c r="AJ12" i="55"/>
  <c r="AI12" i="55"/>
  <c r="AH12" i="55"/>
  <c r="AG12" i="55"/>
  <c r="AF12" i="55"/>
  <c r="AE12" i="55"/>
  <c r="AD12" i="55"/>
  <c r="AK12" i="55" s="1"/>
  <c r="AL12" i="55" s="1"/>
  <c r="AN12" i="55" s="1"/>
  <c r="R12" i="55"/>
  <c r="H12" i="55"/>
  <c r="G12" i="55"/>
  <c r="AJ11" i="55"/>
  <c r="AI11" i="55"/>
  <c r="AH11" i="55"/>
  <c r="AG11" i="55"/>
  <c r="AF11" i="55"/>
  <c r="AE11" i="55"/>
  <c r="AD11" i="55"/>
  <c r="R11" i="55"/>
  <c r="H11" i="55"/>
  <c r="G11" i="55"/>
  <c r="AJ10" i="55"/>
  <c r="AI10" i="55"/>
  <c r="AH10" i="55"/>
  <c r="AG10" i="55"/>
  <c r="AF10" i="55"/>
  <c r="AE10" i="55"/>
  <c r="AD10" i="55"/>
  <c r="AK10" i="55" s="1"/>
  <c r="AL10" i="55" s="1"/>
  <c r="AN10" i="55" s="1"/>
  <c r="R10" i="55"/>
  <c r="H10" i="55"/>
  <c r="G10" i="55"/>
  <c r="AJ9" i="55"/>
  <c r="AI9" i="55"/>
  <c r="AH9" i="55"/>
  <c r="AG9" i="55"/>
  <c r="AF9" i="55"/>
  <c r="AE9" i="55"/>
  <c r="AD9" i="55"/>
  <c r="R9" i="55"/>
  <c r="H9" i="55"/>
  <c r="G9" i="55"/>
  <c r="AJ8" i="55"/>
  <c r="AI8" i="55"/>
  <c r="AH8" i="55"/>
  <c r="AG8" i="55"/>
  <c r="AF8" i="55"/>
  <c r="AE8" i="55"/>
  <c r="AD8" i="55"/>
  <c r="AK8" i="55" s="1"/>
  <c r="AL8" i="55" s="1"/>
  <c r="AN8" i="55" s="1"/>
  <c r="R8" i="55"/>
  <c r="H8" i="55"/>
  <c r="G8" i="55"/>
  <c r="AJ7" i="55"/>
  <c r="AI7" i="55"/>
  <c r="AH7" i="55"/>
  <c r="AG7" i="55"/>
  <c r="AF7" i="55"/>
  <c r="AE7" i="55"/>
  <c r="AD7" i="55"/>
  <c r="R7" i="55"/>
  <c r="H7" i="55"/>
  <c r="G7" i="55"/>
  <c r="AJ6" i="55"/>
  <c r="AI6" i="55"/>
  <c r="AH6" i="55"/>
  <c r="AG6" i="55"/>
  <c r="AF6" i="55"/>
  <c r="AE6" i="55"/>
  <c r="AD6" i="55"/>
  <c r="AK6" i="55" s="1"/>
  <c r="AL6" i="55" s="1"/>
  <c r="AN6" i="55" s="1"/>
  <c r="R6" i="55"/>
  <c r="H6" i="55"/>
  <c r="G6" i="55"/>
  <c r="AJ5" i="55"/>
  <c r="AI5" i="55"/>
  <c r="AH5" i="55"/>
  <c r="AG5" i="55"/>
  <c r="AF5" i="55"/>
  <c r="AE5" i="55"/>
  <c r="AD5" i="55"/>
  <c r="R5" i="55"/>
  <c r="H5" i="55"/>
  <c r="G5" i="55"/>
  <c r="AJ4" i="55"/>
  <c r="AI4" i="55"/>
  <c r="AH4" i="55"/>
  <c r="AG4" i="55"/>
  <c r="AF4" i="55"/>
  <c r="AE4" i="55"/>
  <c r="AD4" i="55"/>
  <c r="AK4" i="55" s="1"/>
  <c r="AL4" i="55" s="1"/>
  <c r="AN4" i="55" s="1"/>
  <c r="AO4" i="55" s="1"/>
  <c r="AQ4" i="55" s="1"/>
  <c r="AR4" i="55" s="1"/>
  <c r="R4" i="55"/>
  <c r="H4" i="55"/>
  <c r="G4" i="55"/>
  <c r="AJ3" i="55"/>
  <c r="AI3" i="55"/>
  <c r="AH3" i="55"/>
  <c r="AG3" i="55"/>
  <c r="AF3" i="55"/>
  <c r="AE3" i="55"/>
  <c r="AD3" i="55"/>
  <c r="R3" i="55"/>
  <c r="H3" i="55"/>
  <c r="G3" i="55"/>
  <c r="X37" i="54"/>
  <c r="R37" i="54"/>
  <c r="S37" i="54" s="1"/>
  <c r="T37" i="54" s="1"/>
  <c r="X36" i="54"/>
  <c r="R36" i="54"/>
  <c r="S36" i="54" s="1"/>
  <c r="X35" i="54"/>
  <c r="R35" i="54"/>
  <c r="S35" i="54" s="1"/>
  <c r="X34" i="54"/>
  <c r="R34" i="54"/>
  <c r="S34" i="54" s="1"/>
  <c r="AA33" i="54"/>
  <c r="X33" i="54"/>
  <c r="R33" i="54"/>
  <c r="S33" i="54" s="1"/>
  <c r="AA32" i="54"/>
  <c r="X32" i="54"/>
  <c r="R32" i="54"/>
  <c r="S32" i="54" s="1"/>
  <c r="AA31" i="54"/>
  <c r="X31" i="54"/>
  <c r="R31" i="54"/>
  <c r="S31" i="54" s="1"/>
  <c r="AA30" i="54"/>
  <c r="X30" i="54"/>
  <c r="R30" i="54"/>
  <c r="S30" i="54" s="1"/>
  <c r="AA29" i="54"/>
  <c r="X29" i="54"/>
  <c r="R29" i="54"/>
  <c r="S29" i="54"/>
  <c r="U29" i="54" s="1"/>
  <c r="AA28" i="54"/>
  <c r="X28" i="54"/>
  <c r="R28" i="54"/>
  <c r="S28" i="54"/>
  <c r="U28" i="54" s="1"/>
  <c r="AA27" i="54"/>
  <c r="X27" i="54"/>
  <c r="R27" i="54"/>
  <c r="S27" i="54" s="1"/>
  <c r="AA26" i="54"/>
  <c r="X26" i="54"/>
  <c r="R26" i="54"/>
  <c r="S26" i="54" s="1"/>
  <c r="AA25" i="54"/>
  <c r="X25" i="54"/>
  <c r="R25" i="54"/>
  <c r="S25" i="54" s="1"/>
  <c r="AA24" i="54"/>
  <c r="X24" i="54"/>
  <c r="E24" i="54"/>
  <c r="D24" i="54"/>
  <c r="AA23" i="54"/>
  <c r="X23" i="54"/>
  <c r="E23" i="54"/>
  <c r="D23" i="54"/>
  <c r="AA22" i="54"/>
  <c r="X22" i="54"/>
  <c r="R22" i="54"/>
  <c r="S22" i="54"/>
  <c r="T22" i="54" s="1"/>
  <c r="O22" i="54"/>
  <c r="P22" i="54"/>
  <c r="E22" i="54"/>
  <c r="D22" i="54"/>
  <c r="AA21" i="54"/>
  <c r="X21" i="54"/>
  <c r="R21" i="54"/>
  <c r="S21" i="54" s="1"/>
  <c r="O21" i="54"/>
  <c r="P21" i="54" s="1"/>
  <c r="E21" i="54"/>
  <c r="D21" i="54"/>
  <c r="AA20" i="54"/>
  <c r="X20" i="54"/>
  <c r="R20" i="54"/>
  <c r="S20" i="54"/>
  <c r="T20" i="54" s="1"/>
  <c r="O20" i="54"/>
  <c r="P20" i="54" s="1"/>
  <c r="E20" i="54"/>
  <c r="D20" i="54"/>
  <c r="AA19" i="54"/>
  <c r="X19" i="54"/>
  <c r="R19" i="54"/>
  <c r="S19" i="54"/>
  <c r="T19" i="54" s="1"/>
  <c r="O19" i="54"/>
  <c r="U19" i="54" s="1"/>
  <c r="P19" i="54"/>
  <c r="E19" i="54"/>
  <c r="D19" i="54"/>
  <c r="AA18" i="54"/>
  <c r="X18" i="54"/>
  <c r="R18" i="54"/>
  <c r="S18" i="54"/>
  <c r="T18" i="54"/>
  <c r="O18" i="54"/>
  <c r="U18" i="54" s="1"/>
  <c r="P18" i="54"/>
  <c r="E18" i="54"/>
  <c r="D18" i="54"/>
  <c r="AA17" i="54"/>
  <c r="X17" i="54"/>
  <c r="R17" i="54"/>
  <c r="S17" i="54"/>
  <c r="T17" i="54" s="1"/>
  <c r="O17" i="54"/>
  <c r="U17" i="54" s="1"/>
  <c r="P17" i="54"/>
  <c r="E17" i="54"/>
  <c r="D17" i="54"/>
  <c r="AA16" i="54"/>
  <c r="X16" i="54"/>
  <c r="R16" i="54"/>
  <c r="S16" i="54"/>
  <c r="T16" i="54"/>
  <c r="O16" i="54"/>
  <c r="E16" i="54"/>
  <c r="D16" i="54"/>
  <c r="AA15" i="54"/>
  <c r="X15" i="54"/>
  <c r="R15" i="54"/>
  <c r="S15" i="54" s="1"/>
  <c r="T15" i="54" s="1"/>
  <c r="O15" i="54"/>
  <c r="P15" i="54" s="1"/>
  <c r="E15" i="54"/>
  <c r="D15" i="54"/>
  <c r="AA14" i="54"/>
  <c r="X14" i="54"/>
  <c r="R14" i="54"/>
  <c r="S14" i="54" s="1"/>
  <c r="O14" i="54"/>
  <c r="P14" i="54" s="1"/>
  <c r="E14" i="54"/>
  <c r="D14" i="54"/>
  <c r="AA13" i="54"/>
  <c r="X13" i="54"/>
  <c r="R13" i="54"/>
  <c r="S13" i="54"/>
  <c r="T13" i="54"/>
  <c r="O13" i="54"/>
  <c r="P13" i="54" s="1"/>
  <c r="E13" i="54"/>
  <c r="D13" i="54"/>
  <c r="AA12" i="54"/>
  <c r="X12" i="54"/>
  <c r="R12" i="54"/>
  <c r="S12" i="54"/>
  <c r="T12" i="54" s="1"/>
  <c r="O12" i="54"/>
  <c r="U12" i="54" s="1"/>
  <c r="P12" i="54"/>
  <c r="E12" i="54"/>
  <c r="D12" i="54"/>
  <c r="AA11" i="54"/>
  <c r="X11" i="54"/>
  <c r="R11" i="54"/>
  <c r="S11" i="54" s="1"/>
  <c r="T11" i="54" s="1"/>
  <c r="O11" i="54"/>
  <c r="U11" i="54" s="1"/>
  <c r="E11" i="54"/>
  <c r="D11" i="54"/>
  <c r="AA10" i="54"/>
  <c r="X10" i="54"/>
  <c r="R10" i="54"/>
  <c r="S10" i="54"/>
  <c r="T10" i="54" s="1"/>
  <c r="O10" i="54"/>
  <c r="P10" i="54" s="1"/>
  <c r="AE10" i="54" s="1"/>
  <c r="E10" i="54"/>
  <c r="D10" i="54"/>
  <c r="AA9" i="54"/>
  <c r="X9" i="54"/>
  <c r="R9" i="54"/>
  <c r="S9" i="54" s="1"/>
  <c r="T9" i="54" s="1"/>
  <c r="O9" i="54"/>
  <c r="P9" i="54"/>
  <c r="E9" i="54"/>
  <c r="D9" i="54"/>
  <c r="AA8" i="54"/>
  <c r="X8" i="54"/>
  <c r="R8" i="54"/>
  <c r="S8" i="54" s="1"/>
  <c r="T8" i="54" s="1"/>
  <c r="O8" i="54"/>
  <c r="P8" i="54" s="1"/>
  <c r="E8" i="54"/>
  <c r="D8" i="54"/>
  <c r="AA7" i="54"/>
  <c r="X7" i="54"/>
  <c r="R7" i="54"/>
  <c r="S7" i="54" s="1"/>
  <c r="O7" i="54"/>
  <c r="P7" i="54" s="1"/>
  <c r="E7" i="54"/>
  <c r="D7" i="54"/>
  <c r="AA6" i="54"/>
  <c r="X6" i="54"/>
  <c r="R6" i="54"/>
  <c r="S6" i="54" s="1"/>
  <c r="O6" i="54"/>
  <c r="E6" i="54"/>
  <c r="D6" i="54"/>
  <c r="AA5" i="54"/>
  <c r="X5" i="54"/>
  <c r="R5" i="54"/>
  <c r="S5" i="54" s="1"/>
  <c r="T5" i="54" s="1"/>
  <c r="O5" i="54"/>
  <c r="E5" i="54"/>
  <c r="D5" i="54"/>
  <c r="AA4" i="54"/>
  <c r="X4" i="54"/>
  <c r="R4" i="54"/>
  <c r="S4" i="54" s="1"/>
  <c r="O4" i="54"/>
  <c r="P4" i="54" s="1"/>
  <c r="AE4" i="54" s="1"/>
  <c r="Y18" i="24"/>
  <c r="Y19" i="24"/>
  <c r="Y20" i="24"/>
  <c r="Y21" i="24"/>
  <c r="V18" i="24"/>
  <c r="V19" i="24"/>
  <c r="V20" i="24"/>
  <c r="V21" i="24"/>
  <c r="P18" i="24"/>
  <c r="Q18" i="24" s="1"/>
  <c r="P19" i="24"/>
  <c r="Q19" i="24" s="1"/>
  <c r="R19" i="24" s="1"/>
  <c r="P20" i="24"/>
  <c r="Q20" i="24" s="1"/>
  <c r="R20" i="24" s="1"/>
  <c r="P21" i="24"/>
  <c r="Q21" i="24" s="1"/>
  <c r="R21" i="24" s="1"/>
  <c r="M19" i="24"/>
  <c r="N19" i="24" s="1"/>
  <c r="M20" i="24"/>
  <c r="N20" i="24" s="1"/>
  <c r="M21" i="24"/>
  <c r="M18" i="24"/>
  <c r="N18" i="24" s="1"/>
  <c r="E18" i="24"/>
  <c r="E19" i="24"/>
  <c r="E20" i="24"/>
  <c r="E21" i="24"/>
  <c r="D18" i="24"/>
  <c r="D19" i="24"/>
  <c r="D20" i="24"/>
  <c r="D21" i="24"/>
  <c r="Y10" i="24"/>
  <c r="Y11" i="24"/>
  <c r="Y12" i="24"/>
  <c r="Y13" i="24"/>
  <c r="Y14" i="24"/>
  <c r="P14" i="24"/>
  <c r="Q14" i="24" s="1"/>
  <c r="R14" i="24" s="1"/>
  <c r="P10" i="24"/>
  <c r="Q10" i="24" s="1"/>
  <c r="P11" i="24"/>
  <c r="Q11" i="24" s="1"/>
  <c r="R11" i="24" s="1"/>
  <c r="P12" i="24"/>
  <c r="Q12" i="24" s="1"/>
  <c r="R12" i="24" s="1"/>
  <c r="P13" i="24"/>
  <c r="Q13" i="24" s="1"/>
  <c r="R13" i="24" s="1"/>
  <c r="M10" i="24"/>
  <c r="M11" i="24"/>
  <c r="M12" i="24"/>
  <c r="M13" i="24"/>
  <c r="M14" i="24"/>
  <c r="E14" i="24"/>
  <c r="D14" i="24"/>
  <c r="E13" i="24"/>
  <c r="D13" i="24"/>
  <c r="E12" i="24"/>
  <c r="D12" i="24"/>
  <c r="E11" i="24"/>
  <c r="D11" i="24"/>
  <c r="E10" i="24"/>
  <c r="D10" i="24"/>
  <c r="P117" i="24"/>
  <c r="Q117" i="24" s="1"/>
  <c r="R117" i="24" s="1"/>
  <c r="P118" i="24"/>
  <c r="Q118" i="24" s="1"/>
  <c r="R118" i="24" s="1"/>
  <c r="P119" i="24"/>
  <c r="P120" i="24"/>
  <c r="P121" i="24"/>
  <c r="Q121" i="24" s="1"/>
  <c r="R121" i="24" s="1"/>
  <c r="P122" i="24"/>
  <c r="Q122" i="24" s="1"/>
  <c r="R122" i="24" s="1"/>
  <c r="P123" i="24"/>
  <c r="Q123" i="24" s="1"/>
  <c r="P124" i="24"/>
  <c r="Q124" i="24" s="1"/>
  <c r="R124" i="24" s="1"/>
  <c r="P125" i="24"/>
  <c r="Q125" i="24" s="1"/>
  <c r="R125" i="24" s="1"/>
  <c r="P126" i="24"/>
  <c r="Q126" i="24" s="1"/>
  <c r="R126" i="24" s="1"/>
  <c r="P127" i="24"/>
  <c r="Q127" i="24" s="1"/>
  <c r="P128" i="24"/>
  <c r="Q128" i="24" s="1"/>
  <c r="P129" i="24"/>
  <c r="Q129" i="24" s="1"/>
  <c r="P130" i="24"/>
  <c r="Q130" i="24" s="1"/>
  <c r="R130" i="24" s="1"/>
  <c r="P131" i="24"/>
  <c r="Q131" i="24" s="1"/>
  <c r="R131" i="24" s="1"/>
  <c r="P132" i="24"/>
  <c r="Q132" i="24" s="1"/>
  <c r="P133" i="24"/>
  <c r="Q133" i="24" s="1"/>
  <c r="P134" i="24"/>
  <c r="Q134" i="24" s="1"/>
  <c r="R134" i="24" s="1"/>
  <c r="P135" i="24"/>
  <c r="Q135" i="24" s="1"/>
  <c r="R135" i="24" s="1"/>
  <c r="P136" i="24"/>
  <c r="Q136" i="24" s="1"/>
  <c r="R136" i="24" s="1"/>
  <c r="P137" i="24"/>
  <c r="Q137" i="24" s="1"/>
  <c r="P138" i="24"/>
  <c r="Q138" i="24" s="1"/>
  <c r="R138" i="24" s="1"/>
  <c r="P139" i="24"/>
  <c r="Q139" i="24" s="1"/>
  <c r="R139" i="24" s="1"/>
  <c r="P140" i="24"/>
  <c r="Q140" i="24" s="1"/>
  <c r="P141" i="24"/>
  <c r="Q141" i="24" s="1"/>
  <c r="R141" i="24" s="1"/>
  <c r="P142" i="24"/>
  <c r="Q142" i="24" s="1"/>
  <c r="R142" i="24" s="1"/>
  <c r="P143" i="24"/>
  <c r="Q143" i="24" s="1"/>
  <c r="R143" i="24" s="1"/>
  <c r="P144" i="24"/>
  <c r="Q144" i="24" s="1"/>
  <c r="R144" i="24" s="1"/>
  <c r="P145" i="24"/>
  <c r="Q145" i="24" s="1"/>
  <c r="R145" i="24" s="1"/>
  <c r="P146" i="24"/>
  <c r="Q146" i="24" s="1"/>
  <c r="R146" i="24" s="1"/>
  <c r="P147" i="24"/>
  <c r="Q147" i="24" s="1"/>
  <c r="R147" i="24" s="1"/>
  <c r="P148" i="24"/>
  <c r="Q148" i="24" s="1"/>
  <c r="R148" i="24" s="1"/>
  <c r="P149" i="24"/>
  <c r="Q149" i="24" s="1"/>
  <c r="R149" i="24" s="1"/>
  <c r="P150" i="24"/>
  <c r="Q150" i="24" s="1"/>
  <c r="P151" i="24"/>
  <c r="Q151" i="24" s="1"/>
  <c r="R151" i="24" s="1"/>
  <c r="P152" i="24"/>
  <c r="Q152" i="24" s="1"/>
  <c r="P153" i="24"/>
  <c r="Q153" i="24" s="1"/>
  <c r="R153" i="24" s="1"/>
  <c r="P154" i="24"/>
  <c r="Q154" i="24" s="1"/>
  <c r="R154" i="24" s="1"/>
  <c r="P155" i="24"/>
  <c r="Q155" i="24" s="1"/>
  <c r="R155" i="24" s="1"/>
  <c r="P156" i="24"/>
  <c r="Q156" i="24" s="1"/>
  <c r="R156" i="24" s="1"/>
  <c r="P157" i="24"/>
  <c r="Q157" i="24" s="1"/>
  <c r="P158" i="24"/>
  <c r="Q158" i="24" s="1"/>
  <c r="P159" i="24"/>
  <c r="Q159" i="24" s="1"/>
  <c r="P160" i="24"/>
  <c r="Q160" i="24" s="1"/>
  <c r="R160" i="24" s="1"/>
  <c r="P161" i="24"/>
  <c r="Q161" i="24" s="1"/>
  <c r="R161" i="24" s="1"/>
  <c r="P162" i="24"/>
  <c r="Q162" i="24" s="1"/>
  <c r="P163" i="24"/>
  <c r="Q163" i="24" s="1"/>
  <c r="P164" i="24"/>
  <c r="Q164" i="24" s="1"/>
  <c r="R164" i="24" s="1"/>
  <c r="P165" i="24"/>
  <c r="Q165" i="24" s="1"/>
  <c r="R165" i="24" s="1"/>
  <c r="P166" i="24"/>
  <c r="Q166" i="24" s="1"/>
  <c r="R166" i="24" s="1"/>
  <c r="P167" i="24"/>
  <c r="Q167" i="24" s="1"/>
  <c r="P168" i="24"/>
  <c r="Q168" i="24" s="1"/>
  <c r="P169" i="24"/>
  <c r="Q169" i="24" s="1"/>
  <c r="P170" i="24"/>
  <c r="Q170" i="24" s="1"/>
  <c r="P171" i="24"/>
  <c r="Q171" i="24" s="1"/>
  <c r="R171" i="24" s="1"/>
  <c r="P172" i="24"/>
  <c r="Q172" i="24" s="1"/>
  <c r="R172" i="24" s="1"/>
  <c r="P173" i="24"/>
  <c r="Q173" i="24" s="1"/>
  <c r="P174" i="24"/>
  <c r="Q174" i="24" s="1"/>
  <c r="R174" i="24" s="1"/>
  <c r="P175" i="24"/>
  <c r="Q175" i="24" s="1"/>
  <c r="R175" i="24" s="1"/>
  <c r="P176" i="24"/>
  <c r="Q176" i="24" s="1"/>
  <c r="R176" i="24" s="1"/>
  <c r="P177" i="24"/>
  <c r="Q177" i="24" s="1"/>
  <c r="R177" i="24" s="1"/>
  <c r="P178" i="24"/>
  <c r="Q178" i="24" s="1"/>
  <c r="P179" i="24"/>
  <c r="Q179" i="24" s="1"/>
  <c r="R179" i="24" s="1"/>
  <c r="P180" i="24"/>
  <c r="Q180" i="24" s="1"/>
  <c r="P181" i="24"/>
  <c r="Q181" i="24" s="1"/>
  <c r="R181" i="24" s="1"/>
  <c r="P182" i="24"/>
  <c r="Q182" i="24" s="1"/>
  <c r="R182" i="24" s="1"/>
  <c r="P183" i="24"/>
  <c r="Q183" i="24" s="1"/>
  <c r="R183" i="24" s="1"/>
  <c r="P184" i="24"/>
  <c r="Q184" i="24" s="1"/>
  <c r="R184" i="24" s="1"/>
  <c r="P185" i="24"/>
  <c r="Q185" i="24" s="1"/>
  <c r="R185" i="24" s="1"/>
  <c r="P186" i="24"/>
  <c r="Q186" i="24" s="1"/>
  <c r="R186" i="24" s="1"/>
  <c r="P187" i="24"/>
  <c r="Q187" i="24" s="1"/>
  <c r="R187" i="24" s="1"/>
  <c r="P188" i="24"/>
  <c r="Q188" i="24" s="1"/>
  <c r="R188" i="24" s="1"/>
  <c r="P189" i="24"/>
  <c r="Q189" i="24" s="1"/>
  <c r="P190" i="24"/>
  <c r="Q190" i="24" s="1"/>
  <c r="R190" i="24" s="1"/>
  <c r="P191" i="24"/>
  <c r="Q191" i="24" s="1"/>
  <c r="R191" i="24" s="1"/>
  <c r="P192" i="24"/>
  <c r="Q192" i="24" s="1"/>
  <c r="P193" i="24"/>
  <c r="Q193" i="24" s="1"/>
  <c r="P194" i="24"/>
  <c r="Q194" i="24" s="1"/>
  <c r="R194" i="24" s="1"/>
  <c r="P195" i="24"/>
  <c r="Q195" i="24" s="1"/>
  <c r="R195" i="24" s="1"/>
  <c r="P196" i="24"/>
  <c r="Q196" i="24" s="1"/>
  <c r="R196" i="24" s="1"/>
  <c r="P197" i="24"/>
  <c r="Q197" i="24" s="1"/>
  <c r="P198" i="24"/>
  <c r="Q198" i="24" s="1"/>
  <c r="R198" i="24" s="1"/>
  <c r="P199" i="24"/>
  <c r="Q199" i="24" s="1"/>
  <c r="P200" i="24"/>
  <c r="Q200" i="24" s="1"/>
  <c r="R200" i="24" s="1"/>
  <c r="P201" i="24"/>
  <c r="Q201" i="24" s="1"/>
  <c r="R201" i="24" s="1"/>
  <c r="P202" i="24"/>
  <c r="Q202" i="24" s="1"/>
  <c r="R202" i="24" s="1"/>
  <c r="P203" i="24"/>
  <c r="Q203" i="24" s="1"/>
  <c r="P204" i="24"/>
  <c r="Q204" i="24" s="1"/>
  <c r="R204" i="24" s="1"/>
  <c r="P205" i="24"/>
  <c r="Q205" i="24" s="1"/>
  <c r="R205" i="24" s="1"/>
  <c r="P206" i="24"/>
  <c r="Q206" i="24" s="1"/>
  <c r="P207" i="24"/>
  <c r="Q207" i="24" s="1"/>
  <c r="P208" i="24"/>
  <c r="Q208" i="24" s="1"/>
  <c r="R208" i="24" s="1"/>
  <c r="P209" i="24"/>
  <c r="P210" i="24"/>
  <c r="P211" i="24"/>
  <c r="P212" i="24"/>
  <c r="Q212" i="24" s="1"/>
  <c r="R212" i="24" s="1"/>
  <c r="P213" i="24"/>
  <c r="Q213" i="24" s="1"/>
  <c r="R213" i="24" s="1"/>
  <c r="P214" i="24"/>
  <c r="Q214" i="24" s="1"/>
  <c r="R214" i="24" s="1"/>
  <c r="P215" i="24"/>
  <c r="Q215" i="24" s="1"/>
  <c r="R215" i="24" s="1"/>
  <c r="P216" i="24"/>
  <c r="Q216" i="24" s="1"/>
  <c r="R216" i="24" s="1"/>
  <c r="P217" i="24"/>
  <c r="Q217" i="24" s="1"/>
  <c r="P218" i="24"/>
  <c r="Q218" i="24" s="1"/>
  <c r="P219" i="24"/>
  <c r="Q219" i="24" s="1"/>
  <c r="R219" i="24" s="1"/>
  <c r="P220" i="24"/>
  <c r="Q220" i="24" s="1"/>
  <c r="R220" i="24" s="1"/>
  <c r="P221" i="24"/>
  <c r="Q221" i="24" s="1"/>
  <c r="R221" i="24" s="1"/>
  <c r="P222" i="24"/>
  <c r="Q222" i="24" s="1"/>
  <c r="R222" i="24" s="1"/>
  <c r="P223" i="24"/>
  <c r="Q223" i="24" s="1"/>
  <c r="R223" i="24" s="1"/>
  <c r="P224" i="24"/>
  <c r="Q224" i="24" s="1"/>
  <c r="R224" i="24" s="1"/>
  <c r="P225" i="24"/>
  <c r="Q225" i="24" s="1"/>
  <c r="R225" i="24" s="1"/>
  <c r="P226" i="24"/>
  <c r="Q226" i="24" s="1"/>
  <c r="R226" i="24" s="1"/>
  <c r="P227" i="24"/>
  <c r="Q227" i="24" s="1"/>
  <c r="R227" i="24" s="1"/>
  <c r="P228" i="24"/>
  <c r="Q228" i="24" s="1"/>
  <c r="R228" i="24" s="1"/>
  <c r="P229" i="24"/>
  <c r="Q229" i="24" s="1"/>
  <c r="P230" i="24"/>
  <c r="Q230" i="24" s="1"/>
  <c r="R230" i="24" s="1"/>
  <c r="P231" i="24"/>
  <c r="Q231" i="24" s="1"/>
  <c r="R231" i="24" s="1"/>
  <c r="P232" i="24"/>
  <c r="Q232" i="24" s="1"/>
  <c r="R232" i="24" s="1"/>
  <c r="P233" i="24"/>
  <c r="Q233" i="24" s="1"/>
  <c r="P234" i="24"/>
  <c r="Q234" i="24" s="1"/>
  <c r="R234" i="24" s="1"/>
  <c r="P235" i="24"/>
  <c r="Q235" i="24" s="1"/>
  <c r="R235" i="24" s="1"/>
  <c r="P236" i="24"/>
  <c r="Q236" i="24" s="1"/>
  <c r="R236" i="24" s="1"/>
  <c r="P237" i="24"/>
  <c r="Q237" i="24" s="1"/>
  <c r="P238" i="24"/>
  <c r="Q238" i="24" s="1"/>
  <c r="P239" i="24"/>
  <c r="P240" i="24"/>
  <c r="Q240" i="24" s="1"/>
  <c r="P241" i="24"/>
  <c r="Q241" i="24" s="1"/>
  <c r="R241" i="24" s="1"/>
  <c r="P242" i="24"/>
  <c r="Q242" i="24" s="1"/>
  <c r="R242" i="24" s="1"/>
  <c r="P243" i="24"/>
  <c r="Q243" i="24" s="1"/>
  <c r="R243" i="24" s="1"/>
  <c r="P244" i="24"/>
  <c r="Q244" i="24" s="1"/>
  <c r="R244" i="24" s="1"/>
  <c r="P245" i="24"/>
  <c r="Q245" i="24" s="1"/>
  <c r="R245" i="24" s="1"/>
  <c r="P246" i="24"/>
  <c r="Q246" i="24" s="1"/>
  <c r="R246" i="24" s="1"/>
  <c r="P247" i="24"/>
  <c r="Q247" i="24" s="1"/>
  <c r="R247" i="24" s="1"/>
  <c r="P248" i="24"/>
  <c r="Q248" i="24" s="1"/>
  <c r="P249" i="24"/>
  <c r="Q249" i="24" s="1"/>
  <c r="R249" i="24" s="1"/>
  <c r="P250" i="24"/>
  <c r="Q250" i="24" s="1"/>
  <c r="P251" i="24"/>
  <c r="Q251" i="24" s="1"/>
  <c r="R251" i="24" s="1"/>
  <c r="P252" i="24"/>
  <c r="Q252" i="24" s="1"/>
  <c r="R252" i="24" s="1"/>
  <c r="P253" i="24"/>
  <c r="Q253" i="24" s="1"/>
  <c r="R253" i="24" s="1"/>
  <c r="P254" i="24"/>
  <c r="Q254" i="24" s="1"/>
  <c r="R254" i="24" s="1"/>
  <c r="P255" i="24"/>
  <c r="Q255" i="24" s="1"/>
  <c r="R255" i="24" s="1"/>
  <c r="P256" i="24"/>
  <c r="Q256" i="24" s="1"/>
  <c r="R256" i="24" s="1"/>
  <c r="P257" i="24"/>
  <c r="Q257" i="24" s="1"/>
  <c r="P258" i="24"/>
  <c r="Q258" i="24" s="1"/>
  <c r="R258" i="24" s="1"/>
  <c r="P259" i="24"/>
  <c r="Q259" i="24" s="1"/>
  <c r="R259" i="24" s="1"/>
  <c r="P260" i="24"/>
  <c r="Q260" i="24" s="1"/>
  <c r="R260" i="24" s="1"/>
  <c r="P86" i="24"/>
  <c r="Q86" i="24" s="1"/>
  <c r="R86" i="24" s="1"/>
  <c r="P87" i="24"/>
  <c r="Q87" i="24" s="1"/>
  <c r="P88" i="24"/>
  <c r="Q88" i="24" s="1"/>
  <c r="P89" i="24"/>
  <c r="Q89" i="24" s="1"/>
  <c r="R89" i="24" s="1"/>
  <c r="P90" i="24"/>
  <c r="Q90" i="24" s="1"/>
  <c r="R90" i="24" s="1"/>
  <c r="P91" i="24"/>
  <c r="Q91" i="24" s="1"/>
  <c r="P92" i="24"/>
  <c r="Q92" i="24" s="1"/>
  <c r="R92" i="24" s="1"/>
  <c r="P93" i="24"/>
  <c r="Q93" i="24" s="1"/>
  <c r="R93" i="24" s="1"/>
  <c r="P94" i="24"/>
  <c r="P95" i="24"/>
  <c r="P96" i="24"/>
  <c r="Q96" i="24" s="1"/>
  <c r="R96" i="24" s="1"/>
  <c r="P97" i="24"/>
  <c r="Q97" i="24" s="1"/>
  <c r="P98" i="24"/>
  <c r="Q98" i="24" s="1"/>
  <c r="R98" i="24" s="1"/>
  <c r="P99" i="24"/>
  <c r="Q99" i="24" s="1"/>
  <c r="R99" i="24" s="1"/>
  <c r="P100" i="24"/>
  <c r="Q100" i="24" s="1"/>
  <c r="R100" i="24" s="1"/>
  <c r="P101" i="24"/>
  <c r="Q101" i="24" s="1"/>
  <c r="P102" i="24"/>
  <c r="Q102" i="24" s="1"/>
  <c r="P103" i="24"/>
  <c r="Q103" i="24" s="1"/>
  <c r="P104" i="24"/>
  <c r="P105" i="24"/>
  <c r="P106" i="24"/>
  <c r="P107" i="24"/>
  <c r="Q107" i="24" s="1"/>
  <c r="R107" i="24" s="1"/>
  <c r="P108" i="24"/>
  <c r="Q108" i="24" s="1"/>
  <c r="P109" i="24"/>
  <c r="Q109" i="24" s="1"/>
  <c r="P110" i="24"/>
  <c r="Q110" i="24" s="1"/>
  <c r="P111" i="24"/>
  <c r="Q111" i="24" s="1"/>
  <c r="R111" i="24" s="1"/>
  <c r="P112" i="24"/>
  <c r="Q112" i="24" s="1"/>
  <c r="R112" i="24" s="1"/>
  <c r="P113" i="24"/>
  <c r="Q113" i="24" s="1"/>
  <c r="P114" i="24"/>
  <c r="P115" i="24"/>
  <c r="P116" i="24"/>
  <c r="P85" i="24"/>
  <c r="Q85" i="24" s="1"/>
  <c r="P80" i="24"/>
  <c r="Q80" i="24" s="1"/>
  <c r="P81" i="24"/>
  <c r="Q81" i="24" s="1"/>
  <c r="R81" i="24" s="1"/>
  <c r="P82" i="24"/>
  <c r="Q82" i="24" s="1"/>
  <c r="R82" i="24" s="1"/>
  <c r="P83" i="24"/>
  <c r="Q83" i="24" s="1"/>
  <c r="R83" i="24" s="1"/>
  <c r="P84" i="24"/>
  <c r="Q84" i="24" s="1"/>
  <c r="R84" i="24" s="1"/>
  <c r="P74" i="24"/>
  <c r="Q74" i="24" s="1"/>
  <c r="R74" i="24" s="1"/>
  <c r="P75" i="24"/>
  <c r="Q75" i="24" s="1"/>
  <c r="P76" i="24"/>
  <c r="Q76" i="24" s="1"/>
  <c r="R76" i="24" s="1"/>
  <c r="P77" i="24"/>
  <c r="Q77" i="24" s="1"/>
  <c r="R77" i="24" s="1"/>
  <c r="P78" i="24"/>
  <c r="Q78" i="24" s="1"/>
  <c r="R78" i="24" s="1"/>
  <c r="P73" i="24"/>
  <c r="Q73" i="24" s="1"/>
  <c r="P68" i="24"/>
  <c r="Q68" i="24" s="1"/>
  <c r="R68" i="24" s="1"/>
  <c r="P69" i="24"/>
  <c r="Q69" i="24" s="1"/>
  <c r="P70" i="24"/>
  <c r="Q70" i="24" s="1"/>
  <c r="P71" i="24"/>
  <c r="Q71" i="24" s="1"/>
  <c r="P72" i="24"/>
  <c r="Q72" i="24" s="1"/>
  <c r="P67" i="24"/>
  <c r="Q67" i="24" s="1"/>
  <c r="R67" i="24" s="1"/>
  <c r="P62" i="24"/>
  <c r="Q62" i="24" s="1"/>
  <c r="R62" i="24" s="1"/>
  <c r="P63" i="24"/>
  <c r="Q63" i="24" s="1"/>
  <c r="R63" i="24" s="1"/>
  <c r="P64" i="24"/>
  <c r="Q64" i="24" s="1"/>
  <c r="P65" i="24"/>
  <c r="Q65" i="24" s="1"/>
  <c r="R65" i="24" s="1"/>
  <c r="P66" i="24"/>
  <c r="Q66" i="24" s="1"/>
  <c r="R66" i="24" s="1"/>
  <c r="P56" i="24"/>
  <c r="Q56" i="24" s="1"/>
  <c r="R56" i="24" s="1"/>
  <c r="P57" i="24"/>
  <c r="Q57" i="24" s="1"/>
  <c r="P58" i="24"/>
  <c r="Q58" i="24" s="1"/>
  <c r="R58" i="24" s="1"/>
  <c r="P59" i="24"/>
  <c r="Q59" i="24" s="1"/>
  <c r="R59" i="24" s="1"/>
  <c r="P60" i="24"/>
  <c r="Q60" i="24" s="1"/>
  <c r="R60" i="24" s="1"/>
  <c r="P55" i="24"/>
  <c r="Q55" i="24" s="1"/>
  <c r="P50" i="24"/>
  <c r="Q50" i="24" s="1"/>
  <c r="R50" i="24" s="1"/>
  <c r="P51" i="24"/>
  <c r="Q51" i="24" s="1"/>
  <c r="R51" i="24" s="1"/>
  <c r="P52" i="24"/>
  <c r="Q52" i="24" s="1"/>
  <c r="R52" i="24" s="1"/>
  <c r="P53" i="24"/>
  <c r="Q53" i="24" s="1"/>
  <c r="R53" i="24" s="1"/>
  <c r="P54" i="24"/>
  <c r="Q54" i="24" s="1"/>
  <c r="R54" i="24" s="1"/>
  <c r="P49" i="24"/>
  <c r="Q49" i="24" s="1"/>
  <c r="P44" i="24"/>
  <c r="Q44" i="24" s="1"/>
  <c r="R44" i="24" s="1"/>
  <c r="P45" i="24"/>
  <c r="Q45" i="24" s="1"/>
  <c r="R45" i="24" s="1"/>
  <c r="P46" i="24"/>
  <c r="Q46" i="24" s="1"/>
  <c r="R46" i="24" s="1"/>
  <c r="P47" i="24"/>
  <c r="Q47" i="24" s="1"/>
  <c r="P48" i="24"/>
  <c r="Q48" i="24" s="1"/>
  <c r="P38" i="24"/>
  <c r="Q38" i="24" s="1"/>
  <c r="R38" i="24" s="1"/>
  <c r="P39" i="24"/>
  <c r="Q39" i="24" s="1"/>
  <c r="R39" i="24" s="1"/>
  <c r="P40" i="24"/>
  <c r="Q40" i="24" s="1"/>
  <c r="R40" i="24" s="1"/>
  <c r="P41" i="24"/>
  <c r="Q41" i="24" s="1"/>
  <c r="P42" i="24"/>
  <c r="Q42" i="24" s="1"/>
  <c r="R42" i="24" s="1"/>
  <c r="V260" i="24"/>
  <c r="V259" i="24"/>
  <c r="V258" i="24"/>
  <c r="V257" i="24"/>
  <c r="V256" i="24"/>
  <c r="V255" i="24"/>
  <c r="V254" i="24"/>
  <c r="V253" i="24"/>
  <c r="V252" i="24"/>
  <c r="V251" i="24"/>
  <c r="V250" i="24"/>
  <c r="V249" i="24"/>
  <c r="V248" i="24"/>
  <c r="V247" i="24"/>
  <c r="V246" i="24"/>
  <c r="V245" i="24"/>
  <c r="V244" i="24"/>
  <c r="V243" i="24"/>
  <c r="V242" i="24"/>
  <c r="V241" i="24"/>
  <c r="V240" i="24"/>
  <c r="V239" i="24"/>
  <c r="V238" i="24"/>
  <c r="V237" i="24"/>
  <c r="V236" i="24"/>
  <c r="V235" i="24"/>
  <c r="V234" i="24"/>
  <c r="V233" i="24"/>
  <c r="V232" i="24"/>
  <c r="V231" i="24"/>
  <c r="V230" i="24"/>
  <c r="V229" i="24"/>
  <c r="V228" i="24"/>
  <c r="V227" i="24"/>
  <c r="V226" i="24"/>
  <c r="V225" i="24"/>
  <c r="V224" i="24"/>
  <c r="V223" i="24"/>
  <c r="V222" i="24"/>
  <c r="V221" i="24"/>
  <c r="V220" i="24"/>
  <c r="V219" i="24"/>
  <c r="V218" i="24"/>
  <c r="V217" i="24"/>
  <c r="V216" i="24"/>
  <c r="V215" i="24"/>
  <c r="V214" i="24"/>
  <c r="V213" i="24"/>
  <c r="V212" i="24"/>
  <c r="V211" i="24"/>
  <c r="AG211" i="24" s="1"/>
  <c r="AF211" i="24" s="1"/>
  <c r="V210" i="24"/>
  <c r="V209" i="24"/>
  <c r="V207" i="24"/>
  <c r="V206" i="24"/>
  <c r="V205" i="24"/>
  <c r="V204" i="24"/>
  <c r="V203" i="24"/>
  <c r="V202" i="24"/>
  <c r="V201" i="24"/>
  <c r="V200" i="24"/>
  <c r="V199" i="24"/>
  <c r="V198" i="24"/>
  <c r="V197" i="24"/>
  <c r="V196" i="24"/>
  <c r="V195" i="24"/>
  <c r="V194" i="24"/>
  <c r="V193" i="24"/>
  <c r="V192" i="24"/>
  <c r="V191" i="24"/>
  <c r="V190" i="24"/>
  <c r="V189" i="24"/>
  <c r="V188" i="24"/>
  <c r="V187" i="24"/>
  <c r="V186" i="24"/>
  <c r="V185" i="24"/>
  <c r="V184" i="24"/>
  <c r="V183" i="24"/>
  <c r="V182" i="24"/>
  <c r="V181" i="24"/>
  <c r="V180" i="24"/>
  <c r="V179" i="24"/>
  <c r="V178" i="24"/>
  <c r="V177" i="24"/>
  <c r="V176" i="24"/>
  <c r="V175" i="24"/>
  <c r="V174" i="24"/>
  <c r="V173" i="24"/>
  <c r="V172" i="24"/>
  <c r="V171" i="24"/>
  <c r="V170" i="24"/>
  <c r="V169" i="24"/>
  <c r="V168" i="24"/>
  <c r="V167" i="24"/>
  <c r="V166" i="24"/>
  <c r="V165" i="24"/>
  <c r="V164" i="24"/>
  <c r="V163" i="24"/>
  <c r="V162" i="24"/>
  <c r="V161" i="24"/>
  <c r="V160" i="24"/>
  <c r="V159" i="24"/>
  <c r="V158" i="24"/>
  <c r="V157" i="24"/>
  <c r="V156" i="24"/>
  <c r="V155" i="24"/>
  <c r="V154" i="24"/>
  <c r="V153" i="24"/>
  <c r="V152" i="24"/>
  <c r="V151" i="24"/>
  <c r="V150" i="24"/>
  <c r="V149" i="24"/>
  <c r="V148" i="24"/>
  <c r="V147" i="24"/>
  <c r="V146" i="24"/>
  <c r="V145" i="24"/>
  <c r="V144" i="24"/>
  <c r="V143" i="24"/>
  <c r="V142" i="24"/>
  <c r="V141" i="24"/>
  <c r="V140" i="24"/>
  <c r="V139" i="24"/>
  <c r="V138" i="24"/>
  <c r="V137" i="24"/>
  <c r="V136" i="24"/>
  <c r="V135" i="24"/>
  <c r="V134" i="24"/>
  <c r="V133" i="24"/>
  <c r="V132" i="24"/>
  <c r="V131" i="24"/>
  <c r="V130" i="24"/>
  <c r="V129" i="24"/>
  <c r="V128" i="24"/>
  <c r="V127" i="24"/>
  <c r="V126" i="24"/>
  <c r="V125" i="24"/>
  <c r="V124" i="24"/>
  <c r="V123" i="24"/>
  <c r="V122" i="24"/>
  <c r="V121" i="24"/>
  <c r="V120" i="24"/>
  <c r="V119" i="24"/>
  <c r="V118" i="24"/>
  <c r="V117" i="24"/>
  <c r="V116" i="24"/>
  <c r="V115" i="24"/>
  <c r="AG115" i="24" s="1"/>
  <c r="AF115" i="24" s="1"/>
  <c r="V114" i="24"/>
  <c r="V113" i="24"/>
  <c r="V112" i="24"/>
  <c r="V111" i="24"/>
  <c r="V110" i="24"/>
  <c r="V109" i="24"/>
  <c r="V108" i="24"/>
  <c r="V107" i="24"/>
  <c r="V106" i="24"/>
  <c r="V105" i="24"/>
  <c r="V104" i="24"/>
  <c r="V103" i="24"/>
  <c r="V102" i="24"/>
  <c r="V101" i="24"/>
  <c r="V100" i="24"/>
  <c r="V99" i="24"/>
  <c r="V98" i="24"/>
  <c r="V97" i="24"/>
  <c r="V96" i="24"/>
  <c r="V95" i="24"/>
  <c r="R95" i="24"/>
  <c r="V94" i="24"/>
  <c r="V93" i="24"/>
  <c r="V92" i="24"/>
  <c r="V91" i="24"/>
  <c r="V90" i="24"/>
  <c r="V89" i="24"/>
  <c r="V88" i="24"/>
  <c r="V87" i="24"/>
  <c r="V86" i="24"/>
  <c r="V85" i="24"/>
  <c r="V84" i="24"/>
  <c r="V83" i="24"/>
  <c r="V82" i="24"/>
  <c r="V81" i="24"/>
  <c r="V80" i="24"/>
  <c r="V79" i="24"/>
  <c r="V78" i="24"/>
  <c r="V77" i="24"/>
  <c r="V76" i="24"/>
  <c r="V75" i="24"/>
  <c r="V74" i="24"/>
  <c r="V73" i="24"/>
  <c r="V72" i="24"/>
  <c r="V71" i="24"/>
  <c r="V70" i="24"/>
  <c r="V69" i="24"/>
  <c r="V68" i="24"/>
  <c r="V67" i="24"/>
  <c r="V66" i="24"/>
  <c r="V65" i="24"/>
  <c r="V64" i="24"/>
  <c r="V63" i="24"/>
  <c r="V62" i="24"/>
  <c r="V61" i="24"/>
  <c r="V60" i="24"/>
  <c r="V59" i="24"/>
  <c r="V58" i="24"/>
  <c r="V57" i="24"/>
  <c r="V56" i="24"/>
  <c r="V55" i="24"/>
  <c r="V54" i="24"/>
  <c r="V53" i="24"/>
  <c r="V52" i="24"/>
  <c r="V51" i="24"/>
  <c r="V50" i="24"/>
  <c r="V49" i="24"/>
  <c r="V48" i="24"/>
  <c r="V47" i="24"/>
  <c r="V46" i="24"/>
  <c r="V45" i="24"/>
  <c r="V44" i="24"/>
  <c r="V43" i="24"/>
  <c r="V42" i="24"/>
  <c r="V41" i="24"/>
  <c r="V40" i="24"/>
  <c r="V39" i="24"/>
  <c r="V38" i="24"/>
  <c r="V37" i="24"/>
  <c r="V36" i="24"/>
  <c r="V35" i="24"/>
  <c r="V34" i="24"/>
  <c r="V33" i="24"/>
  <c r="V32" i="24"/>
  <c r="V31" i="24"/>
  <c r="V30" i="24"/>
  <c r="V29" i="24"/>
  <c r="V28" i="24"/>
  <c r="V27" i="24"/>
  <c r="V26" i="24"/>
  <c r="V25" i="24"/>
  <c r="V24" i="24"/>
  <c r="V23" i="24"/>
  <c r="V22" i="24"/>
  <c r="V17" i="24"/>
  <c r="V16" i="24"/>
  <c r="V15" i="24"/>
  <c r="V8" i="24"/>
  <c r="V7" i="24"/>
  <c r="R7" i="24"/>
  <c r="V6" i="24"/>
  <c r="R6" i="24"/>
  <c r="V5" i="24"/>
  <c r="R5" i="24"/>
  <c r="V4" i="24"/>
  <c r="R4" i="24"/>
  <c r="P32" i="24"/>
  <c r="Q32" i="24" s="1"/>
  <c r="R32" i="24" s="1"/>
  <c r="P33" i="24"/>
  <c r="P34" i="24"/>
  <c r="P35" i="24"/>
  <c r="Q35" i="24" s="1"/>
  <c r="P36" i="24"/>
  <c r="Q36" i="24" s="1"/>
  <c r="R36" i="24" s="1"/>
  <c r="P31" i="24"/>
  <c r="Q31" i="24" s="1"/>
  <c r="P26" i="24"/>
  <c r="Q26" i="24" s="1"/>
  <c r="P27" i="24"/>
  <c r="Q27" i="24" s="1"/>
  <c r="P28" i="24"/>
  <c r="Q28" i="24" s="1"/>
  <c r="P29" i="24"/>
  <c r="Q29" i="24" s="1"/>
  <c r="R29" i="24" s="1"/>
  <c r="P30" i="24"/>
  <c r="Q30" i="24" s="1"/>
  <c r="R30" i="24" s="1"/>
  <c r="P25" i="24"/>
  <c r="Q25" i="24" s="1"/>
  <c r="P16" i="24"/>
  <c r="Q16" i="24" s="1"/>
  <c r="R16" i="24" s="1"/>
  <c r="P17" i="24"/>
  <c r="Q17" i="24" s="1"/>
  <c r="R17" i="24" s="1"/>
  <c r="P22" i="24"/>
  <c r="Q22" i="24" s="1"/>
  <c r="P23" i="24"/>
  <c r="Q23" i="24" s="1"/>
  <c r="P24" i="24"/>
  <c r="Q24" i="24" s="1"/>
  <c r="P4" i="24"/>
  <c r="M102" i="24"/>
  <c r="N102" i="24" s="1"/>
  <c r="M103" i="24"/>
  <c r="N103" i="24" s="1"/>
  <c r="M104" i="24"/>
  <c r="N104" i="24" s="1"/>
  <c r="M105" i="24"/>
  <c r="N105" i="24" s="1"/>
  <c r="M106" i="24"/>
  <c r="N106" i="24" s="1"/>
  <c r="M107" i="24"/>
  <c r="N107" i="24" s="1"/>
  <c r="M108" i="24"/>
  <c r="N108" i="24" s="1"/>
  <c r="M109" i="24"/>
  <c r="N109" i="24" s="1"/>
  <c r="M110" i="24"/>
  <c r="N110" i="24" s="1"/>
  <c r="M111" i="24"/>
  <c r="M112" i="24"/>
  <c r="M113" i="24"/>
  <c r="N113" i="24" s="1"/>
  <c r="M114" i="24"/>
  <c r="N114" i="24" s="1"/>
  <c r="M115" i="24"/>
  <c r="N115" i="24" s="1"/>
  <c r="M116" i="24"/>
  <c r="N116" i="24" s="1"/>
  <c r="M117" i="24"/>
  <c r="N117" i="24" s="1"/>
  <c r="M118" i="24"/>
  <c r="N118" i="24" s="1"/>
  <c r="M119" i="24"/>
  <c r="N119" i="24" s="1"/>
  <c r="M120" i="24"/>
  <c r="N120" i="24" s="1"/>
  <c r="M121" i="24"/>
  <c r="M122" i="24"/>
  <c r="N122" i="24" s="1"/>
  <c r="M123" i="24"/>
  <c r="N123" i="24" s="1"/>
  <c r="M124" i="24"/>
  <c r="N124" i="24" s="1"/>
  <c r="M125" i="24"/>
  <c r="N125" i="24" s="1"/>
  <c r="M126" i="24"/>
  <c r="M127" i="24"/>
  <c r="N127" i="24" s="1"/>
  <c r="M128" i="24"/>
  <c r="N128" i="24" s="1"/>
  <c r="M129" i="24"/>
  <c r="N129" i="24" s="1"/>
  <c r="M130" i="24"/>
  <c r="N130" i="24" s="1"/>
  <c r="M131" i="24"/>
  <c r="M132" i="24"/>
  <c r="N132" i="24" s="1"/>
  <c r="M133" i="24"/>
  <c r="N133" i="24" s="1"/>
  <c r="M134" i="24"/>
  <c r="N134" i="24" s="1"/>
  <c r="M135" i="24"/>
  <c r="N135" i="24" s="1"/>
  <c r="M136" i="24"/>
  <c r="M137" i="24"/>
  <c r="N137" i="24" s="1"/>
  <c r="M138" i="24"/>
  <c r="N138" i="24" s="1"/>
  <c r="M139" i="24"/>
  <c r="M140" i="24"/>
  <c r="N140" i="24" s="1"/>
  <c r="M141" i="24"/>
  <c r="M142" i="24"/>
  <c r="N142" i="24" s="1"/>
  <c r="M143" i="24"/>
  <c r="N143" i="24" s="1"/>
  <c r="M144" i="24"/>
  <c r="N144" i="24" s="1"/>
  <c r="M145" i="24"/>
  <c r="M146" i="24"/>
  <c r="N146" i="24" s="1"/>
  <c r="M147" i="24"/>
  <c r="N147" i="24" s="1"/>
  <c r="M148" i="24"/>
  <c r="N148" i="24" s="1"/>
  <c r="M149" i="24"/>
  <c r="N149" i="24" s="1"/>
  <c r="M150" i="24"/>
  <c r="N150" i="24" s="1"/>
  <c r="M151" i="24"/>
  <c r="M152" i="24"/>
  <c r="N152" i="24" s="1"/>
  <c r="M153" i="24"/>
  <c r="N153" i="24" s="1"/>
  <c r="M154" i="24"/>
  <c r="M155" i="24"/>
  <c r="M156" i="24"/>
  <c r="N156" i="24" s="1"/>
  <c r="M157" i="24"/>
  <c r="N157" i="24" s="1"/>
  <c r="M158" i="24"/>
  <c r="N158" i="24" s="1"/>
  <c r="M159" i="24"/>
  <c r="N159" i="24" s="1"/>
  <c r="M160" i="24"/>
  <c r="N160" i="24" s="1"/>
  <c r="M161" i="24"/>
  <c r="N161" i="24" s="1"/>
  <c r="M162" i="24"/>
  <c r="N162" i="24" s="1"/>
  <c r="M163" i="24"/>
  <c r="N163" i="24" s="1"/>
  <c r="M164" i="24"/>
  <c r="M165" i="24"/>
  <c r="N165" i="24" s="1"/>
  <c r="M166" i="24"/>
  <c r="N166" i="24" s="1"/>
  <c r="M167" i="24"/>
  <c r="N167" i="24" s="1"/>
  <c r="M168" i="24"/>
  <c r="N168" i="24" s="1"/>
  <c r="M169" i="24"/>
  <c r="N169" i="24" s="1"/>
  <c r="M170" i="24"/>
  <c r="N170" i="24" s="1"/>
  <c r="M171" i="24"/>
  <c r="N171" i="24" s="1"/>
  <c r="M172" i="24"/>
  <c r="N172" i="24" s="1"/>
  <c r="M173" i="24"/>
  <c r="N173" i="24" s="1"/>
  <c r="M174" i="24"/>
  <c r="N174" i="24" s="1"/>
  <c r="M175" i="24"/>
  <c r="M176" i="24"/>
  <c r="M177" i="24"/>
  <c r="N177" i="24" s="1"/>
  <c r="M178" i="24"/>
  <c r="N178" i="24" s="1"/>
  <c r="M179" i="24"/>
  <c r="N179" i="24" s="1"/>
  <c r="M180" i="24"/>
  <c r="N180" i="24" s="1"/>
  <c r="M181" i="24"/>
  <c r="N181" i="24" s="1"/>
  <c r="M182" i="24"/>
  <c r="N182" i="24" s="1"/>
  <c r="M183" i="24"/>
  <c r="N183" i="24" s="1"/>
  <c r="M184" i="24"/>
  <c r="N184" i="24" s="1"/>
  <c r="M185" i="24"/>
  <c r="M186" i="24"/>
  <c r="M187" i="24"/>
  <c r="N187" i="24" s="1"/>
  <c r="M188" i="24"/>
  <c r="N188" i="24" s="1"/>
  <c r="M189" i="24"/>
  <c r="N189" i="24" s="1"/>
  <c r="M190" i="24"/>
  <c r="N190" i="24" s="1"/>
  <c r="M191" i="24"/>
  <c r="M192" i="24"/>
  <c r="N192" i="24" s="1"/>
  <c r="M193" i="24"/>
  <c r="N193" i="24" s="1"/>
  <c r="M194" i="24"/>
  <c r="N194" i="24" s="1"/>
  <c r="M195" i="24"/>
  <c r="M196" i="24"/>
  <c r="M197" i="24"/>
  <c r="N197" i="24" s="1"/>
  <c r="M198" i="24"/>
  <c r="M199" i="24"/>
  <c r="N199" i="24" s="1"/>
  <c r="M200" i="24"/>
  <c r="N200" i="24" s="1"/>
  <c r="M201" i="24"/>
  <c r="N201" i="24" s="1"/>
  <c r="M202" i="24"/>
  <c r="N202" i="24" s="1"/>
  <c r="M203" i="24"/>
  <c r="N203" i="24" s="1"/>
  <c r="M204" i="24"/>
  <c r="M205" i="24"/>
  <c r="M206" i="24"/>
  <c r="N206" i="24" s="1"/>
  <c r="M207" i="24"/>
  <c r="N207" i="24" s="1"/>
  <c r="M208" i="24"/>
  <c r="N208" i="24" s="1"/>
  <c r="M209" i="24"/>
  <c r="N209" i="24" s="1"/>
  <c r="M210" i="24"/>
  <c r="N210" i="24" s="1"/>
  <c r="M211" i="24"/>
  <c r="N211" i="24" s="1"/>
  <c r="M212" i="24"/>
  <c r="N212" i="24" s="1"/>
  <c r="M213" i="24"/>
  <c r="N213" i="24" s="1"/>
  <c r="M214" i="24"/>
  <c r="N214" i="24" s="1"/>
  <c r="M215" i="24"/>
  <c r="M216" i="24"/>
  <c r="M217" i="24"/>
  <c r="N217" i="24" s="1"/>
  <c r="M218" i="24"/>
  <c r="N218" i="24" s="1"/>
  <c r="M219" i="24"/>
  <c r="M220" i="24"/>
  <c r="N220" i="24" s="1"/>
  <c r="M221" i="24"/>
  <c r="M222" i="24"/>
  <c r="M223" i="24"/>
  <c r="N223" i="24" s="1"/>
  <c r="M224" i="24"/>
  <c r="M225" i="24"/>
  <c r="N225" i="24" s="1"/>
  <c r="M226" i="24"/>
  <c r="M227" i="24"/>
  <c r="N227" i="24" s="1"/>
  <c r="M228" i="24"/>
  <c r="N228" i="24" s="1"/>
  <c r="M229" i="24"/>
  <c r="N229" i="24" s="1"/>
  <c r="M230" i="24"/>
  <c r="N230" i="24" s="1"/>
  <c r="M231" i="24"/>
  <c r="M232" i="24"/>
  <c r="M233" i="24"/>
  <c r="N233" i="24" s="1"/>
  <c r="M234" i="24"/>
  <c r="N234" i="24" s="1"/>
  <c r="M235" i="24"/>
  <c r="M236" i="24"/>
  <c r="M237" i="24"/>
  <c r="N237" i="24" s="1"/>
  <c r="M238" i="24"/>
  <c r="N238" i="24" s="1"/>
  <c r="M239" i="24"/>
  <c r="N239" i="24" s="1"/>
  <c r="M240" i="24"/>
  <c r="N240" i="24" s="1"/>
  <c r="M241" i="24"/>
  <c r="N241" i="24" s="1"/>
  <c r="M242" i="24"/>
  <c r="M243" i="24"/>
  <c r="N243" i="24" s="1"/>
  <c r="M244" i="24"/>
  <c r="N244" i="24" s="1"/>
  <c r="M245" i="24"/>
  <c r="M246" i="24"/>
  <c r="M247" i="24"/>
  <c r="N247" i="24" s="1"/>
  <c r="M248" i="24"/>
  <c r="N248" i="24" s="1"/>
  <c r="M249" i="24"/>
  <c r="N249" i="24" s="1"/>
  <c r="M250" i="24"/>
  <c r="N250" i="24" s="1"/>
  <c r="M251" i="24"/>
  <c r="M252" i="24"/>
  <c r="N252" i="24" s="1"/>
  <c r="M253" i="24"/>
  <c r="N253" i="24" s="1"/>
  <c r="M254" i="24"/>
  <c r="N254" i="24" s="1"/>
  <c r="M255" i="24"/>
  <c r="M256" i="24"/>
  <c r="M257" i="24"/>
  <c r="N257" i="24" s="1"/>
  <c r="M258" i="24"/>
  <c r="M259" i="24"/>
  <c r="M260" i="24"/>
  <c r="N260" i="24" s="1"/>
  <c r="M79" i="24"/>
  <c r="M80" i="24"/>
  <c r="N80" i="24" s="1"/>
  <c r="M81" i="24"/>
  <c r="N81" i="24" s="1"/>
  <c r="M82" i="24"/>
  <c r="M83" i="24"/>
  <c r="M84" i="24"/>
  <c r="N84" i="24" s="1"/>
  <c r="M85" i="24"/>
  <c r="N85" i="24" s="1"/>
  <c r="M86" i="24"/>
  <c r="N86" i="24" s="1"/>
  <c r="M87" i="24"/>
  <c r="N87" i="24" s="1"/>
  <c r="M88" i="24"/>
  <c r="N88" i="24" s="1"/>
  <c r="M89" i="24"/>
  <c r="M90" i="24"/>
  <c r="N90" i="24" s="1"/>
  <c r="M91" i="24"/>
  <c r="N91" i="24" s="1"/>
  <c r="M92" i="24"/>
  <c r="N92" i="24" s="1"/>
  <c r="M93" i="24"/>
  <c r="M94" i="24"/>
  <c r="N94" i="24" s="1"/>
  <c r="M95" i="24"/>
  <c r="N95" i="24" s="1"/>
  <c r="M96" i="24"/>
  <c r="N96" i="24" s="1"/>
  <c r="M97" i="24"/>
  <c r="N97" i="24" s="1"/>
  <c r="M98" i="24"/>
  <c r="N98" i="24" s="1"/>
  <c r="M99" i="24"/>
  <c r="M100" i="24"/>
  <c r="M101" i="24"/>
  <c r="N101" i="24" s="1"/>
  <c r="M66" i="24"/>
  <c r="M67" i="24"/>
  <c r="M68" i="24"/>
  <c r="N68" i="24" s="1"/>
  <c r="M69" i="24"/>
  <c r="N69" i="24" s="1"/>
  <c r="M70" i="24"/>
  <c r="N70" i="24" s="1"/>
  <c r="M71" i="24"/>
  <c r="N71" i="24" s="1"/>
  <c r="M72" i="24"/>
  <c r="N72" i="24" s="1"/>
  <c r="M73" i="24"/>
  <c r="M74" i="24"/>
  <c r="M75" i="24"/>
  <c r="N75" i="24" s="1"/>
  <c r="M76" i="24"/>
  <c r="N76" i="24" s="1"/>
  <c r="M77" i="24"/>
  <c r="M78" i="24"/>
  <c r="N78" i="24" s="1"/>
  <c r="M64" i="24"/>
  <c r="N64" i="24" s="1"/>
  <c r="M65" i="24"/>
  <c r="M62" i="24"/>
  <c r="N62" i="24" s="1"/>
  <c r="M63" i="24"/>
  <c r="N63" i="24" s="1"/>
  <c r="M61" i="24"/>
  <c r="M56" i="24"/>
  <c r="N56" i="24" s="1"/>
  <c r="M57" i="24"/>
  <c r="N57" i="24" s="1"/>
  <c r="M58" i="24"/>
  <c r="M59" i="24"/>
  <c r="N59" i="24" s="1"/>
  <c r="M60" i="24"/>
  <c r="N60" i="24" s="1"/>
  <c r="M55" i="24"/>
  <c r="N55" i="24" s="1"/>
  <c r="M50" i="24"/>
  <c r="N50" i="24" s="1"/>
  <c r="M51" i="24"/>
  <c r="N51" i="24" s="1"/>
  <c r="M52" i="24"/>
  <c r="N52" i="24" s="1"/>
  <c r="M53" i="24"/>
  <c r="N53" i="24" s="1"/>
  <c r="M54" i="24"/>
  <c r="N54" i="24" s="1"/>
  <c r="M49" i="24"/>
  <c r="N49" i="24" s="1"/>
  <c r="M44" i="24"/>
  <c r="N44" i="24" s="1"/>
  <c r="M45" i="24"/>
  <c r="M46" i="24"/>
  <c r="N46" i="24" s="1"/>
  <c r="M47" i="24"/>
  <c r="N47" i="24" s="1"/>
  <c r="M48" i="24"/>
  <c r="N48" i="24" s="1"/>
  <c r="M43" i="24"/>
  <c r="N43" i="24" s="1"/>
  <c r="M38" i="24"/>
  <c r="N38" i="24" s="1"/>
  <c r="M39" i="24"/>
  <c r="M40" i="24"/>
  <c r="M41" i="24"/>
  <c r="N41" i="24" s="1"/>
  <c r="M42" i="24"/>
  <c r="N42" i="24" s="1"/>
  <c r="M37" i="24"/>
  <c r="N37" i="24" s="1"/>
  <c r="M32" i="24"/>
  <c r="M33" i="24"/>
  <c r="N33" i="24" s="1"/>
  <c r="M34" i="24"/>
  <c r="N34" i="24" s="1"/>
  <c r="M35" i="24"/>
  <c r="N35" i="24" s="1"/>
  <c r="M36" i="24"/>
  <c r="N36" i="24" s="1"/>
  <c r="M26" i="24"/>
  <c r="N26" i="24" s="1"/>
  <c r="M27" i="24"/>
  <c r="N27" i="24" s="1"/>
  <c r="M28" i="24"/>
  <c r="N28" i="24" s="1"/>
  <c r="M29" i="24"/>
  <c r="N29" i="24" s="1"/>
  <c r="M30" i="24"/>
  <c r="N30" i="24" s="1"/>
  <c r="M25" i="24"/>
  <c r="M16" i="24"/>
  <c r="M17" i="24"/>
  <c r="M22" i="24"/>
  <c r="N22" i="24" s="1"/>
  <c r="M23" i="24"/>
  <c r="N23" i="24" s="1"/>
  <c r="M24" i="24"/>
  <c r="N24" i="24" s="1"/>
  <c r="D193" i="24"/>
  <c r="E193" i="24"/>
  <c r="D194" i="24"/>
  <c r="D260" i="24"/>
  <c r="E260" i="24"/>
  <c r="D255" i="24"/>
  <c r="E255" i="24"/>
  <c r="D256" i="24"/>
  <c r="E256" i="24"/>
  <c r="D257" i="24"/>
  <c r="E257" i="24"/>
  <c r="D258" i="24"/>
  <c r="E258" i="24"/>
  <c r="D259" i="24"/>
  <c r="E259" i="24"/>
  <c r="D254" i="24"/>
  <c r="E254" i="24"/>
  <c r="D249" i="24"/>
  <c r="E249" i="24"/>
  <c r="D250" i="24"/>
  <c r="E250" i="24"/>
  <c r="D251" i="24"/>
  <c r="E251" i="24"/>
  <c r="D252" i="24"/>
  <c r="E252" i="24"/>
  <c r="D253" i="24"/>
  <c r="E253" i="24"/>
  <c r="D248" i="24"/>
  <c r="E248" i="24"/>
  <c r="D243" i="24"/>
  <c r="E243" i="24"/>
  <c r="D244" i="24"/>
  <c r="E244" i="24"/>
  <c r="D245" i="24"/>
  <c r="E245" i="24"/>
  <c r="D246" i="24"/>
  <c r="E246" i="24"/>
  <c r="D247" i="24"/>
  <c r="E247" i="24"/>
  <c r="D242" i="24"/>
  <c r="E242" i="24"/>
  <c r="D237" i="24"/>
  <c r="E237" i="24"/>
  <c r="D238" i="24"/>
  <c r="E238" i="24"/>
  <c r="D239" i="24"/>
  <c r="E239" i="24"/>
  <c r="D240" i="24"/>
  <c r="E240" i="24"/>
  <c r="D241" i="24"/>
  <c r="E241" i="24"/>
  <c r="D236" i="24"/>
  <c r="E236" i="24"/>
  <c r="D231" i="24"/>
  <c r="E231" i="24"/>
  <c r="D232" i="24"/>
  <c r="E232" i="24"/>
  <c r="D233" i="24"/>
  <c r="E233" i="24"/>
  <c r="D234" i="24"/>
  <c r="E234" i="24"/>
  <c r="D235" i="24"/>
  <c r="E235" i="24"/>
  <c r="D230" i="24"/>
  <c r="E230" i="24"/>
  <c r="D225" i="24"/>
  <c r="E225" i="24"/>
  <c r="D226" i="24"/>
  <c r="E226" i="24"/>
  <c r="D227" i="24"/>
  <c r="E227" i="24"/>
  <c r="D228" i="24"/>
  <c r="E228" i="24"/>
  <c r="D229" i="24"/>
  <c r="E229" i="24"/>
  <c r="D224" i="24"/>
  <c r="E224" i="24"/>
  <c r="D219" i="24"/>
  <c r="E219" i="24"/>
  <c r="D220" i="24"/>
  <c r="E220" i="24"/>
  <c r="D221" i="24"/>
  <c r="E221" i="24"/>
  <c r="D222" i="24"/>
  <c r="E222" i="24"/>
  <c r="D223" i="24"/>
  <c r="E223" i="24"/>
  <c r="D218" i="24"/>
  <c r="E218" i="24"/>
  <c r="D213" i="24"/>
  <c r="E213" i="24"/>
  <c r="D214" i="24"/>
  <c r="E214" i="24"/>
  <c r="D215" i="24"/>
  <c r="E215" i="24"/>
  <c r="D216" i="24"/>
  <c r="E216" i="24"/>
  <c r="D217" i="24"/>
  <c r="E217" i="24"/>
  <c r="D212" i="24"/>
  <c r="E212" i="24"/>
  <c r="D207" i="24"/>
  <c r="E207" i="24"/>
  <c r="D208" i="24"/>
  <c r="E208" i="24"/>
  <c r="D209" i="24"/>
  <c r="E209" i="24"/>
  <c r="D210" i="24"/>
  <c r="E210" i="24"/>
  <c r="D211" i="24"/>
  <c r="E211" i="24"/>
  <c r="D206" i="24"/>
  <c r="E206" i="24"/>
  <c r="D201" i="24"/>
  <c r="E201" i="24"/>
  <c r="D202" i="24"/>
  <c r="E202" i="24"/>
  <c r="D203" i="24"/>
  <c r="E203" i="24"/>
  <c r="D204" i="24"/>
  <c r="E204" i="24"/>
  <c r="D205" i="24"/>
  <c r="E205" i="24"/>
  <c r="D200" i="24"/>
  <c r="E200" i="24"/>
  <c r="D195" i="24"/>
  <c r="E195" i="24"/>
  <c r="D196" i="24"/>
  <c r="E196" i="24"/>
  <c r="D197" i="24"/>
  <c r="E197" i="24"/>
  <c r="D198" i="24"/>
  <c r="E198" i="24"/>
  <c r="D199" i="24"/>
  <c r="E199" i="24"/>
  <c r="D188" i="24"/>
  <c r="E188" i="24"/>
  <c r="D189" i="24"/>
  <c r="E189" i="24"/>
  <c r="D190" i="24"/>
  <c r="E190" i="24"/>
  <c r="D191" i="24"/>
  <c r="E191" i="24"/>
  <c r="D192" i="24"/>
  <c r="E192" i="24"/>
  <c r="D182" i="24"/>
  <c r="E182" i="24"/>
  <c r="D183" i="24"/>
  <c r="E183" i="24"/>
  <c r="D184" i="24"/>
  <c r="E184" i="24"/>
  <c r="D185" i="24"/>
  <c r="E185" i="24"/>
  <c r="D186" i="24"/>
  <c r="E186" i="24"/>
  <c r="D176" i="24"/>
  <c r="E176" i="24"/>
  <c r="D177" i="24"/>
  <c r="E177" i="24"/>
  <c r="D178" i="24"/>
  <c r="E178" i="24"/>
  <c r="D179" i="24"/>
  <c r="E179" i="24"/>
  <c r="D180" i="24"/>
  <c r="E180" i="24"/>
  <c r="D170" i="24"/>
  <c r="E170" i="24"/>
  <c r="D171" i="24"/>
  <c r="E171" i="24"/>
  <c r="D172" i="24"/>
  <c r="E172" i="24"/>
  <c r="D173" i="24"/>
  <c r="E173" i="24"/>
  <c r="D174" i="24"/>
  <c r="E174" i="24"/>
  <c r="D164" i="24"/>
  <c r="E164" i="24"/>
  <c r="D165" i="24"/>
  <c r="E165" i="24"/>
  <c r="D166" i="24"/>
  <c r="E166" i="24"/>
  <c r="D167" i="24"/>
  <c r="E167" i="24"/>
  <c r="D168" i="24"/>
  <c r="E168" i="24"/>
  <c r="D158" i="24"/>
  <c r="E158" i="24"/>
  <c r="D159" i="24"/>
  <c r="E159" i="24"/>
  <c r="D160" i="24"/>
  <c r="E160" i="24"/>
  <c r="D161" i="24"/>
  <c r="E161" i="24"/>
  <c r="D162" i="24"/>
  <c r="E162" i="24"/>
  <c r="D152" i="24"/>
  <c r="E152" i="24"/>
  <c r="D153" i="24"/>
  <c r="E153" i="24"/>
  <c r="D154" i="24"/>
  <c r="E154" i="24"/>
  <c r="D155" i="24"/>
  <c r="E155" i="24"/>
  <c r="D156" i="24"/>
  <c r="E156" i="24"/>
  <c r="D146" i="24"/>
  <c r="E146" i="24"/>
  <c r="D147" i="24"/>
  <c r="E147" i="24"/>
  <c r="D148" i="24"/>
  <c r="E148" i="24"/>
  <c r="D149" i="24"/>
  <c r="E149" i="24"/>
  <c r="D150" i="24"/>
  <c r="E150" i="24"/>
  <c r="D140" i="24"/>
  <c r="E140" i="24"/>
  <c r="D141" i="24"/>
  <c r="E141" i="24"/>
  <c r="D142" i="24"/>
  <c r="E142" i="24"/>
  <c r="D143" i="24"/>
  <c r="E143" i="24"/>
  <c r="D144" i="24"/>
  <c r="E144" i="24"/>
  <c r="D134" i="24"/>
  <c r="E134" i="24"/>
  <c r="D135" i="24"/>
  <c r="E135" i="24"/>
  <c r="D136" i="24"/>
  <c r="E136" i="24"/>
  <c r="D137" i="24"/>
  <c r="E137" i="24"/>
  <c r="D138" i="24"/>
  <c r="E138" i="24"/>
  <c r="D128" i="24"/>
  <c r="E128" i="24"/>
  <c r="D129" i="24"/>
  <c r="E129" i="24"/>
  <c r="D130" i="24"/>
  <c r="E130" i="24"/>
  <c r="D131" i="24"/>
  <c r="E131" i="24"/>
  <c r="D132" i="24"/>
  <c r="E132" i="24"/>
  <c r="D122" i="24"/>
  <c r="E122" i="24"/>
  <c r="D123" i="24"/>
  <c r="E123" i="24"/>
  <c r="D124" i="24"/>
  <c r="E124" i="24"/>
  <c r="D125" i="24"/>
  <c r="E125" i="24"/>
  <c r="D126" i="24"/>
  <c r="E126" i="24"/>
  <c r="D116" i="24"/>
  <c r="E116" i="24"/>
  <c r="D117" i="24"/>
  <c r="E117" i="24"/>
  <c r="D118" i="24"/>
  <c r="E118" i="24"/>
  <c r="D119" i="24"/>
  <c r="E119" i="24"/>
  <c r="D120" i="24"/>
  <c r="E120" i="24"/>
  <c r="D115" i="24"/>
  <c r="E115" i="24"/>
  <c r="D110" i="24"/>
  <c r="E110" i="24"/>
  <c r="D111" i="24"/>
  <c r="E111" i="24"/>
  <c r="D112" i="24"/>
  <c r="E112" i="24"/>
  <c r="D113" i="24"/>
  <c r="E113" i="24"/>
  <c r="D114" i="24"/>
  <c r="E114" i="24"/>
  <c r="D104" i="24"/>
  <c r="E104" i="24"/>
  <c r="D105" i="24"/>
  <c r="E105" i="24"/>
  <c r="D106" i="24"/>
  <c r="E106" i="24"/>
  <c r="D107" i="24"/>
  <c r="E107" i="24"/>
  <c r="D108" i="24"/>
  <c r="E108" i="24"/>
  <c r="D98" i="24"/>
  <c r="E98" i="24"/>
  <c r="D99" i="24"/>
  <c r="E99" i="24"/>
  <c r="D100" i="24"/>
  <c r="E100" i="24"/>
  <c r="D101" i="24"/>
  <c r="E101" i="24"/>
  <c r="D102" i="24"/>
  <c r="E102" i="24"/>
  <c r="D92" i="24"/>
  <c r="E92" i="24"/>
  <c r="D93" i="24"/>
  <c r="E93" i="24"/>
  <c r="D94" i="24"/>
  <c r="E94" i="24"/>
  <c r="D95" i="24"/>
  <c r="E95" i="24"/>
  <c r="D96" i="24"/>
  <c r="E96" i="24"/>
  <c r="D86" i="24"/>
  <c r="E86" i="24"/>
  <c r="D87" i="24"/>
  <c r="E87" i="24"/>
  <c r="D88" i="24"/>
  <c r="E88" i="24"/>
  <c r="D89" i="24"/>
  <c r="E89" i="24"/>
  <c r="D90" i="24"/>
  <c r="E90" i="24"/>
  <c r="D80" i="24"/>
  <c r="E80" i="24"/>
  <c r="D81" i="24"/>
  <c r="E81" i="24"/>
  <c r="D82" i="24"/>
  <c r="E82" i="24"/>
  <c r="D83" i="24"/>
  <c r="E83" i="24"/>
  <c r="D84" i="24"/>
  <c r="E84" i="24"/>
  <c r="D74" i="24"/>
  <c r="E74" i="24"/>
  <c r="D75" i="24"/>
  <c r="E75" i="24"/>
  <c r="D76" i="24"/>
  <c r="E76" i="24"/>
  <c r="D77" i="24"/>
  <c r="E77" i="24"/>
  <c r="D78" i="24"/>
  <c r="E78" i="24"/>
  <c r="D68" i="24"/>
  <c r="E68" i="24"/>
  <c r="D69" i="24"/>
  <c r="E69" i="24"/>
  <c r="D70" i="24"/>
  <c r="E70" i="24"/>
  <c r="D71" i="24"/>
  <c r="E71" i="24"/>
  <c r="D72" i="24"/>
  <c r="E72" i="24"/>
  <c r="D62" i="24"/>
  <c r="E62" i="24"/>
  <c r="D63" i="24"/>
  <c r="E63" i="24"/>
  <c r="D64" i="24"/>
  <c r="E64" i="24"/>
  <c r="D65" i="24"/>
  <c r="E65" i="24"/>
  <c r="D66" i="24"/>
  <c r="E66" i="24"/>
  <c r="D56" i="24"/>
  <c r="E56" i="24"/>
  <c r="D57" i="24"/>
  <c r="E57" i="24"/>
  <c r="D58" i="24"/>
  <c r="E58" i="24"/>
  <c r="D59" i="24"/>
  <c r="E59" i="24"/>
  <c r="D60" i="24"/>
  <c r="E60" i="24"/>
  <c r="D50" i="24"/>
  <c r="E50" i="24"/>
  <c r="D51" i="24"/>
  <c r="E51" i="24"/>
  <c r="D52" i="24"/>
  <c r="E52" i="24"/>
  <c r="D53" i="24"/>
  <c r="E53" i="24"/>
  <c r="D54" i="24"/>
  <c r="E54" i="24"/>
  <c r="D44" i="24"/>
  <c r="E44" i="24"/>
  <c r="D45" i="24"/>
  <c r="E45" i="24"/>
  <c r="D46" i="24"/>
  <c r="E46" i="24"/>
  <c r="D47" i="24"/>
  <c r="E47" i="24"/>
  <c r="D48" i="24"/>
  <c r="E48" i="24"/>
  <c r="D38" i="24"/>
  <c r="E38" i="24"/>
  <c r="D39" i="24"/>
  <c r="E39" i="24"/>
  <c r="D40" i="24"/>
  <c r="E40" i="24"/>
  <c r="D41" i="24"/>
  <c r="E41" i="24"/>
  <c r="D42" i="24"/>
  <c r="E42" i="24"/>
  <c r="D32" i="24"/>
  <c r="E32" i="24"/>
  <c r="D33" i="24"/>
  <c r="E33" i="24"/>
  <c r="D34" i="24"/>
  <c r="E34" i="24"/>
  <c r="D35" i="24"/>
  <c r="E35" i="24"/>
  <c r="D36" i="24"/>
  <c r="E36" i="24"/>
  <c r="D31" i="24"/>
  <c r="E31" i="24"/>
  <c r="D26" i="24"/>
  <c r="E26" i="24"/>
  <c r="D27" i="24"/>
  <c r="E27" i="24"/>
  <c r="D28" i="24"/>
  <c r="E28" i="24"/>
  <c r="D29" i="24"/>
  <c r="E29" i="24"/>
  <c r="D30" i="24"/>
  <c r="E30" i="24"/>
  <c r="D16" i="24"/>
  <c r="E16" i="24"/>
  <c r="D17" i="24"/>
  <c r="E17" i="24"/>
  <c r="D22" i="24"/>
  <c r="E22" i="24"/>
  <c r="D23" i="24"/>
  <c r="E23" i="24"/>
  <c r="D24" i="24"/>
  <c r="E24" i="24"/>
  <c r="M4" i="24"/>
  <c r="AB14" i="25" s="1"/>
  <c r="Y4" i="24"/>
  <c r="M5" i="24"/>
  <c r="P5" i="24"/>
  <c r="M6" i="24"/>
  <c r="S6" i="24" s="1"/>
  <c r="P6" i="24"/>
  <c r="M7" i="24"/>
  <c r="S7" i="24" s="1"/>
  <c r="P7" i="24"/>
  <c r="M8" i="24"/>
  <c r="N8" i="24" s="1"/>
  <c r="P8" i="24"/>
  <c r="Q8" i="24" s="1"/>
  <c r="R8" i="24" s="1"/>
  <c r="M9" i="24"/>
  <c r="N9" i="24" s="1"/>
  <c r="P9" i="24"/>
  <c r="Q9" i="24" s="1"/>
  <c r="D6" i="24"/>
  <c r="E6" i="24"/>
  <c r="D7" i="24"/>
  <c r="E7" i="24"/>
  <c r="D8" i="24"/>
  <c r="E8" i="24"/>
  <c r="D9" i="24"/>
  <c r="E9" i="24"/>
  <c r="B222" i="28" a="1"/>
  <c r="B222" i="28"/>
  <c r="AM55" i="53"/>
  <c r="AL55" i="53"/>
  <c r="AK55" i="53"/>
  <c r="AJ55" i="53"/>
  <c r="AI55" i="53"/>
  <c r="AH55" i="53"/>
  <c r="AG55" i="53"/>
  <c r="AF55" i="53"/>
  <c r="AE55" i="53"/>
  <c r="AD55" i="53"/>
  <c r="AC55" i="53"/>
  <c r="AB55" i="53"/>
  <c r="AA55" i="53"/>
  <c r="Z55" i="53"/>
  <c r="Y55" i="53"/>
  <c r="X55" i="53"/>
  <c r="W55" i="53"/>
  <c r="V55" i="53"/>
  <c r="U55" i="53"/>
  <c r="T55" i="53"/>
  <c r="S55" i="53"/>
  <c r="R55" i="53"/>
  <c r="Q55" i="53"/>
  <c r="P55" i="53"/>
  <c r="O55" i="53"/>
  <c r="N55" i="53"/>
  <c r="M55" i="53"/>
  <c r="L55" i="53"/>
  <c r="K55" i="53"/>
  <c r="J55" i="53"/>
  <c r="AM54" i="53"/>
  <c r="AL54" i="53"/>
  <c r="AK54" i="53"/>
  <c r="AJ54" i="53"/>
  <c r="AI54" i="53"/>
  <c r="AH54" i="53"/>
  <c r="AG54" i="53"/>
  <c r="AF54" i="53"/>
  <c r="AE54" i="53"/>
  <c r="AD54" i="53"/>
  <c r="AC54" i="53"/>
  <c r="AB54" i="53"/>
  <c r="AA54" i="53"/>
  <c r="Z54" i="53"/>
  <c r="Y54" i="53"/>
  <c r="X54" i="53"/>
  <c r="W54" i="53"/>
  <c r="V54" i="53"/>
  <c r="U54" i="53"/>
  <c r="T54" i="53"/>
  <c r="S54" i="53"/>
  <c r="R54" i="53"/>
  <c r="Q54" i="53"/>
  <c r="P54" i="53"/>
  <c r="O54" i="53"/>
  <c r="N54" i="53"/>
  <c r="M54" i="53"/>
  <c r="L54" i="53"/>
  <c r="K54" i="53"/>
  <c r="J54" i="53"/>
  <c r="AM53" i="53"/>
  <c r="AL53" i="53"/>
  <c r="AK53" i="53"/>
  <c r="AJ53" i="53"/>
  <c r="AI53" i="53"/>
  <c r="AH53" i="53"/>
  <c r="AG53" i="53"/>
  <c r="AF53" i="53"/>
  <c r="AE53" i="53"/>
  <c r="AD53" i="53"/>
  <c r="AC53" i="53"/>
  <c r="AB53" i="53"/>
  <c r="AA53" i="53"/>
  <c r="Z53" i="53"/>
  <c r="Y53" i="53"/>
  <c r="X53" i="53"/>
  <c r="W53" i="53"/>
  <c r="V53" i="53"/>
  <c r="U53" i="53"/>
  <c r="T53" i="53"/>
  <c r="S53" i="53"/>
  <c r="R53" i="53"/>
  <c r="Q53" i="53"/>
  <c r="P53" i="53"/>
  <c r="O53" i="53"/>
  <c r="N53" i="53"/>
  <c r="M53" i="53"/>
  <c r="L53" i="53"/>
  <c r="K53" i="53"/>
  <c r="J53" i="53"/>
  <c r="AM52" i="53"/>
  <c r="AL52" i="53"/>
  <c r="AK52" i="53"/>
  <c r="AJ52" i="53"/>
  <c r="AI52" i="53"/>
  <c r="AH52" i="53"/>
  <c r="AG52" i="53"/>
  <c r="AF52" i="53"/>
  <c r="AE52" i="53"/>
  <c r="AD52" i="53"/>
  <c r="AC52" i="53"/>
  <c r="AB52" i="53"/>
  <c r="AA52" i="53"/>
  <c r="Z52" i="53"/>
  <c r="Y52" i="53"/>
  <c r="X52" i="53"/>
  <c r="W52" i="53"/>
  <c r="V52" i="53"/>
  <c r="U52" i="53"/>
  <c r="T52" i="53"/>
  <c r="S52" i="53"/>
  <c r="R52" i="53"/>
  <c r="Q52" i="53"/>
  <c r="P52" i="53"/>
  <c r="O52" i="53"/>
  <c r="N52" i="53"/>
  <c r="M52" i="53"/>
  <c r="L52" i="53"/>
  <c r="K52" i="53"/>
  <c r="J52" i="53"/>
  <c r="AM51" i="53"/>
  <c r="AL51" i="53"/>
  <c r="AK51" i="53"/>
  <c r="AJ51" i="53"/>
  <c r="AI51" i="53"/>
  <c r="AH51" i="53"/>
  <c r="AG51" i="53"/>
  <c r="AF51" i="53"/>
  <c r="AE51" i="53"/>
  <c r="AD51" i="53"/>
  <c r="AC51" i="53"/>
  <c r="AB51" i="53"/>
  <c r="AA51" i="53"/>
  <c r="Z51" i="53"/>
  <c r="Y51" i="53"/>
  <c r="X51" i="53"/>
  <c r="W51" i="53"/>
  <c r="V51" i="53"/>
  <c r="U51" i="53"/>
  <c r="T51" i="53"/>
  <c r="S51" i="53"/>
  <c r="R51" i="53"/>
  <c r="Q51" i="53"/>
  <c r="P51" i="53"/>
  <c r="O51" i="53"/>
  <c r="N51" i="53"/>
  <c r="M51" i="53"/>
  <c r="L51" i="53"/>
  <c r="K51" i="53"/>
  <c r="J51" i="53"/>
  <c r="AM50" i="53"/>
  <c r="AL50" i="53"/>
  <c r="AK50" i="53"/>
  <c r="AJ50" i="53"/>
  <c r="AI50" i="53"/>
  <c r="AH50" i="53"/>
  <c r="AG50" i="53"/>
  <c r="AF50" i="53"/>
  <c r="AE50" i="53"/>
  <c r="AD50" i="53"/>
  <c r="AC50" i="53"/>
  <c r="AB50" i="53"/>
  <c r="AA50" i="53"/>
  <c r="Z50" i="53"/>
  <c r="Y50" i="53"/>
  <c r="X50" i="53"/>
  <c r="W50" i="53"/>
  <c r="V50" i="53"/>
  <c r="U50" i="53"/>
  <c r="T50" i="53"/>
  <c r="S50" i="53"/>
  <c r="R50" i="53"/>
  <c r="Q50" i="53"/>
  <c r="P50" i="53"/>
  <c r="O50" i="53"/>
  <c r="N50" i="53"/>
  <c r="M50" i="53"/>
  <c r="L50" i="53"/>
  <c r="K50" i="53"/>
  <c r="J50" i="53"/>
  <c r="AM49" i="53"/>
  <c r="AL49" i="53"/>
  <c r="AK49" i="53"/>
  <c r="AJ49" i="53"/>
  <c r="AI49" i="53"/>
  <c r="AH49" i="53"/>
  <c r="AG49" i="53"/>
  <c r="AF49" i="53"/>
  <c r="AE49" i="53"/>
  <c r="AD49" i="53"/>
  <c r="AC49" i="53"/>
  <c r="AB49" i="53"/>
  <c r="AA49" i="53"/>
  <c r="Z49" i="53"/>
  <c r="Y49" i="53"/>
  <c r="X49" i="53"/>
  <c r="W49" i="53"/>
  <c r="V49" i="53"/>
  <c r="U49" i="53"/>
  <c r="T49" i="53"/>
  <c r="S49" i="53"/>
  <c r="R49" i="53"/>
  <c r="Q49" i="53"/>
  <c r="P49" i="53"/>
  <c r="O49" i="53"/>
  <c r="N49" i="53"/>
  <c r="M49" i="53"/>
  <c r="L49" i="53"/>
  <c r="K49" i="53"/>
  <c r="J49" i="53"/>
  <c r="AM48" i="53"/>
  <c r="AL48" i="53"/>
  <c r="AK48" i="53"/>
  <c r="AJ48" i="53"/>
  <c r="AI48" i="53"/>
  <c r="AH48" i="53"/>
  <c r="AG48" i="53"/>
  <c r="AF48" i="53"/>
  <c r="AE48" i="53"/>
  <c r="AD48" i="53"/>
  <c r="AC48" i="53"/>
  <c r="AB48" i="53"/>
  <c r="AA48" i="53"/>
  <c r="Z48" i="53"/>
  <c r="Y48" i="53"/>
  <c r="X48" i="53"/>
  <c r="W48" i="53"/>
  <c r="V48" i="53"/>
  <c r="U48" i="53"/>
  <c r="T48" i="53"/>
  <c r="S48" i="53"/>
  <c r="R48" i="53"/>
  <c r="Q48" i="53"/>
  <c r="P48" i="53"/>
  <c r="O48" i="53"/>
  <c r="N48" i="53"/>
  <c r="M48" i="53"/>
  <c r="L48" i="53"/>
  <c r="K48" i="53"/>
  <c r="J48" i="53"/>
  <c r="AM47" i="53"/>
  <c r="AL47" i="53"/>
  <c r="AK47" i="53"/>
  <c r="AJ47" i="53"/>
  <c r="AI47" i="53"/>
  <c r="AH47" i="53"/>
  <c r="AG47" i="53"/>
  <c r="AF47" i="53"/>
  <c r="AE47" i="53"/>
  <c r="AD47" i="53"/>
  <c r="AC47" i="53"/>
  <c r="AB47" i="53"/>
  <c r="AA47" i="53"/>
  <c r="Z47" i="53"/>
  <c r="Y47" i="53"/>
  <c r="X47" i="53"/>
  <c r="W47" i="53"/>
  <c r="V47" i="53"/>
  <c r="U47" i="53"/>
  <c r="T47" i="53"/>
  <c r="S47" i="53"/>
  <c r="R47" i="53"/>
  <c r="Q47" i="53"/>
  <c r="P47" i="53"/>
  <c r="O47" i="53"/>
  <c r="N47" i="53"/>
  <c r="M47" i="53"/>
  <c r="L47" i="53"/>
  <c r="K47" i="53"/>
  <c r="J47" i="53"/>
  <c r="AM46" i="53"/>
  <c r="AL46" i="53"/>
  <c r="AK46" i="53"/>
  <c r="AJ46" i="53"/>
  <c r="AI46" i="53"/>
  <c r="AH46" i="53"/>
  <c r="AG46" i="53"/>
  <c r="AF46" i="53"/>
  <c r="AE46" i="53"/>
  <c r="AD46" i="53"/>
  <c r="AC46" i="53"/>
  <c r="AB46" i="53"/>
  <c r="AA46" i="53"/>
  <c r="Z46" i="53"/>
  <c r="Y46" i="53"/>
  <c r="X46" i="53"/>
  <c r="W46" i="53"/>
  <c r="V46" i="53"/>
  <c r="U46" i="53"/>
  <c r="T46" i="53"/>
  <c r="S46" i="53"/>
  <c r="R46" i="53"/>
  <c r="Q46" i="53"/>
  <c r="P46" i="53"/>
  <c r="O46" i="53"/>
  <c r="N46" i="53"/>
  <c r="M46" i="53"/>
  <c r="L46" i="53"/>
  <c r="K46" i="53"/>
  <c r="J46" i="53"/>
  <c r="AM45" i="53"/>
  <c r="AL45" i="53"/>
  <c r="AK45" i="53"/>
  <c r="AJ45" i="53"/>
  <c r="AI45" i="53"/>
  <c r="AH45" i="53"/>
  <c r="AG45" i="53"/>
  <c r="AF45" i="53"/>
  <c r="AE45" i="53"/>
  <c r="AD45" i="53"/>
  <c r="AC45" i="53"/>
  <c r="AB45" i="53"/>
  <c r="AA45" i="53"/>
  <c r="Z45" i="53"/>
  <c r="Y45" i="53"/>
  <c r="X45" i="53"/>
  <c r="W45" i="53"/>
  <c r="V45" i="53"/>
  <c r="U45" i="53"/>
  <c r="T45" i="53"/>
  <c r="S45" i="53"/>
  <c r="R45" i="53"/>
  <c r="Q45" i="53"/>
  <c r="P45" i="53"/>
  <c r="O45" i="53"/>
  <c r="N45" i="53"/>
  <c r="M45" i="53"/>
  <c r="L45" i="53"/>
  <c r="K45" i="53"/>
  <c r="J45" i="53"/>
  <c r="AM44" i="53"/>
  <c r="AL44" i="53"/>
  <c r="AK44" i="53"/>
  <c r="AJ44" i="53"/>
  <c r="AI44" i="53"/>
  <c r="AH44" i="53"/>
  <c r="AG44" i="53"/>
  <c r="AF44" i="53"/>
  <c r="AE44" i="53"/>
  <c r="AD44" i="53"/>
  <c r="AC44" i="53"/>
  <c r="AB44" i="53"/>
  <c r="AA44" i="53"/>
  <c r="Z44" i="53"/>
  <c r="Y44" i="53"/>
  <c r="X44" i="53"/>
  <c r="W44" i="53"/>
  <c r="V44" i="53"/>
  <c r="U44" i="53"/>
  <c r="T44" i="53"/>
  <c r="S44" i="53"/>
  <c r="R44" i="53"/>
  <c r="Q44" i="53"/>
  <c r="P44" i="53"/>
  <c r="O44" i="53"/>
  <c r="N44" i="53"/>
  <c r="M44" i="53"/>
  <c r="L44" i="53"/>
  <c r="K44" i="53"/>
  <c r="J44" i="53"/>
  <c r="AM43" i="53"/>
  <c r="AL43" i="53"/>
  <c r="AK43" i="53"/>
  <c r="AJ43" i="53"/>
  <c r="AI43" i="53"/>
  <c r="AH43" i="53"/>
  <c r="AG43" i="53"/>
  <c r="AF43" i="53"/>
  <c r="AE43" i="53"/>
  <c r="AD43" i="53"/>
  <c r="AC43" i="53"/>
  <c r="AB43" i="53"/>
  <c r="AA43" i="53"/>
  <c r="Z43" i="53"/>
  <c r="Y43" i="53"/>
  <c r="X43" i="53"/>
  <c r="W43" i="53"/>
  <c r="V43" i="53"/>
  <c r="U43" i="53"/>
  <c r="T43" i="53"/>
  <c r="S43" i="53"/>
  <c r="R43" i="53"/>
  <c r="Q43" i="53"/>
  <c r="P43" i="53"/>
  <c r="O43" i="53"/>
  <c r="N43" i="53"/>
  <c r="M43" i="53"/>
  <c r="L43" i="53"/>
  <c r="K43" i="53"/>
  <c r="J43" i="53"/>
  <c r="AM42" i="53"/>
  <c r="AL42" i="53"/>
  <c r="AK42" i="53"/>
  <c r="AJ42" i="53"/>
  <c r="AI42" i="53"/>
  <c r="AH42" i="53"/>
  <c r="AG42" i="53"/>
  <c r="AF42" i="53"/>
  <c r="AE42" i="53"/>
  <c r="AD42" i="53"/>
  <c r="AC42" i="53"/>
  <c r="AB42" i="53"/>
  <c r="AA42" i="53"/>
  <c r="Z42" i="53"/>
  <c r="Y42" i="53"/>
  <c r="X42" i="53"/>
  <c r="W42" i="53"/>
  <c r="V42" i="53"/>
  <c r="U42" i="53"/>
  <c r="T42" i="53"/>
  <c r="S42" i="53"/>
  <c r="R42" i="53"/>
  <c r="Q42" i="53"/>
  <c r="P42" i="53"/>
  <c r="O42" i="53"/>
  <c r="N42" i="53"/>
  <c r="M42" i="53"/>
  <c r="L42" i="53"/>
  <c r="K42" i="53"/>
  <c r="J42" i="53"/>
  <c r="AM41" i="53"/>
  <c r="AL41" i="53"/>
  <c r="AK41" i="53"/>
  <c r="AJ41" i="53"/>
  <c r="AI41" i="53"/>
  <c r="AH41" i="53"/>
  <c r="AG41" i="53"/>
  <c r="AF41" i="53"/>
  <c r="AE41" i="53"/>
  <c r="AD41" i="53"/>
  <c r="AC41" i="53"/>
  <c r="AB41" i="53"/>
  <c r="AA41" i="53"/>
  <c r="Z41" i="53"/>
  <c r="Y41" i="53"/>
  <c r="X41" i="53"/>
  <c r="W41" i="53"/>
  <c r="V41" i="53"/>
  <c r="U41" i="53"/>
  <c r="T41" i="53"/>
  <c r="S41" i="53"/>
  <c r="R41" i="53"/>
  <c r="Q41" i="53"/>
  <c r="P41" i="53"/>
  <c r="O41" i="53"/>
  <c r="N41" i="53"/>
  <c r="M41" i="53"/>
  <c r="L41" i="53"/>
  <c r="K41" i="53"/>
  <c r="J41" i="53"/>
  <c r="AM40" i="53"/>
  <c r="AL40" i="53"/>
  <c r="AK40" i="53"/>
  <c r="AJ40" i="53"/>
  <c r="AI40" i="53"/>
  <c r="AH40" i="53"/>
  <c r="AG40" i="53"/>
  <c r="AF40" i="53"/>
  <c r="AE40" i="53"/>
  <c r="AD40" i="53"/>
  <c r="AC40" i="53"/>
  <c r="AB40" i="53"/>
  <c r="AA40" i="53"/>
  <c r="Z40" i="53"/>
  <c r="Y40" i="53"/>
  <c r="X40" i="53"/>
  <c r="W40" i="53"/>
  <c r="V40" i="53"/>
  <c r="U40" i="53"/>
  <c r="T40" i="53"/>
  <c r="S40" i="53"/>
  <c r="R40" i="53"/>
  <c r="Q40" i="53"/>
  <c r="P40" i="53"/>
  <c r="O40" i="53"/>
  <c r="N40" i="53"/>
  <c r="M40" i="53"/>
  <c r="L40" i="53"/>
  <c r="K40" i="53"/>
  <c r="J40" i="53"/>
  <c r="AM39" i="53"/>
  <c r="AL39" i="53"/>
  <c r="AK39" i="53"/>
  <c r="AJ39" i="53"/>
  <c r="AI39" i="53"/>
  <c r="AH39" i="53"/>
  <c r="AG39" i="53"/>
  <c r="AF39" i="53"/>
  <c r="AE39" i="53"/>
  <c r="AD39" i="53"/>
  <c r="AC39" i="53"/>
  <c r="AB39" i="53"/>
  <c r="AA39" i="53"/>
  <c r="Z39" i="53"/>
  <c r="Y39" i="53"/>
  <c r="X39" i="53"/>
  <c r="W39" i="53"/>
  <c r="V39" i="53"/>
  <c r="U39" i="53"/>
  <c r="T39" i="53"/>
  <c r="S39" i="53"/>
  <c r="R39" i="53"/>
  <c r="Q39" i="53"/>
  <c r="P39" i="53"/>
  <c r="O39" i="53"/>
  <c r="N39" i="53"/>
  <c r="M39" i="53"/>
  <c r="L39" i="53"/>
  <c r="K39" i="53"/>
  <c r="J39" i="53"/>
  <c r="AM38" i="53"/>
  <c r="AL38" i="53"/>
  <c r="AK38" i="53"/>
  <c r="AJ38" i="53"/>
  <c r="AI38" i="53"/>
  <c r="AH38" i="53"/>
  <c r="AG38" i="53"/>
  <c r="AF38" i="53"/>
  <c r="AE38" i="53"/>
  <c r="AD38" i="53"/>
  <c r="AC38" i="53"/>
  <c r="AB38" i="53"/>
  <c r="AA38" i="53"/>
  <c r="Z38" i="53"/>
  <c r="Y38" i="53"/>
  <c r="X38" i="53"/>
  <c r="W38" i="53"/>
  <c r="V38" i="53"/>
  <c r="U38" i="53"/>
  <c r="T38" i="53"/>
  <c r="S38" i="53"/>
  <c r="R38" i="53"/>
  <c r="Q38" i="53"/>
  <c r="P38" i="53"/>
  <c r="O38" i="53"/>
  <c r="N38" i="53"/>
  <c r="M38" i="53"/>
  <c r="L38" i="53"/>
  <c r="K38" i="53"/>
  <c r="J38" i="53"/>
  <c r="AM37" i="53"/>
  <c r="AL37" i="53"/>
  <c r="AK37" i="53"/>
  <c r="AJ37" i="53"/>
  <c r="AI37" i="53"/>
  <c r="AH37" i="53"/>
  <c r="AG37" i="53"/>
  <c r="AF37" i="53"/>
  <c r="AE37" i="53"/>
  <c r="AD37" i="53"/>
  <c r="AC37" i="53"/>
  <c r="AB37" i="53"/>
  <c r="AA37" i="53"/>
  <c r="Z37" i="53"/>
  <c r="Y37" i="53"/>
  <c r="X37" i="53"/>
  <c r="W37" i="53"/>
  <c r="V37" i="53"/>
  <c r="U37" i="53"/>
  <c r="T37" i="53"/>
  <c r="S37" i="53"/>
  <c r="R37" i="53"/>
  <c r="Q37" i="53"/>
  <c r="P37" i="53"/>
  <c r="O37" i="53"/>
  <c r="N37" i="53"/>
  <c r="M37" i="53"/>
  <c r="L37" i="53"/>
  <c r="K37" i="53"/>
  <c r="J37" i="53"/>
  <c r="AM36" i="53"/>
  <c r="AL36" i="53"/>
  <c r="AK36" i="53"/>
  <c r="AJ36" i="53"/>
  <c r="AI36" i="53"/>
  <c r="AH36" i="53"/>
  <c r="AG36" i="53"/>
  <c r="AF36" i="53"/>
  <c r="AE36" i="53"/>
  <c r="AD36" i="53"/>
  <c r="AC36" i="53"/>
  <c r="AB36" i="53"/>
  <c r="AA36" i="53"/>
  <c r="Z36" i="53"/>
  <c r="Y36" i="53"/>
  <c r="X36" i="53"/>
  <c r="W36" i="53"/>
  <c r="V36" i="53"/>
  <c r="U36" i="53"/>
  <c r="T36" i="53"/>
  <c r="S36" i="53"/>
  <c r="R36" i="53"/>
  <c r="Q36" i="53"/>
  <c r="P36" i="53"/>
  <c r="O36" i="53"/>
  <c r="N36" i="53"/>
  <c r="M36" i="53"/>
  <c r="L36" i="53"/>
  <c r="K36" i="53"/>
  <c r="J36" i="53"/>
  <c r="AM35" i="53"/>
  <c r="AL35" i="53"/>
  <c r="AK35" i="53"/>
  <c r="AJ35" i="53"/>
  <c r="AI35" i="53"/>
  <c r="AH35" i="53"/>
  <c r="AG35" i="53"/>
  <c r="AF35" i="53"/>
  <c r="AE35" i="53"/>
  <c r="AD35" i="53"/>
  <c r="AC35" i="53"/>
  <c r="AB35" i="53"/>
  <c r="AA35" i="53"/>
  <c r="Z35" i="53"/>
  <c r="Y35" i="53"/>
  <c r="X35" i="53"/>
  <c r="W35" i="53"/>
  <c r="V35" i="53"/>
  <c r="U35" i="53"/>
  <c r="T35" i="53"/>
  <c r="S35" i="53"/>
  <c r="R35" i="53"/>
  <c r="Q35" i="53"/>
  <c r="P35" i="53"/>
  <c r="O35" i="53"/>
  <c r="N35" i="53"/>
  <c r="M35" i="53"/>
  <c r="L35" i="53"/>
  <c r="K35" i="53"/>
  <c r="J35" i="53"/>
  <c r="AM34" i="53"/>
  <c r="AL34" i="53"/>
  <c r="AK34" i="53"/>
  <c r="AJ34" i="53"/>
  <c r="AI34" i="53"/>
  <c r="AH34" i="53"/>
  <c r="AG34" i="53"/>
  <c r="AF34" i="53"/>
  <c r="AE34" i="53"/>
  <c r="AD34" i="53"/>
  <c r="AC34" i="53"/>
  <c r="AB34" i="53"/>
  <c r="AA34" i="53"/>
  <c r="Z34" i="53"/>
  <c r="Y34" i="53"/>
  <c r="X34" i="53"/>
  <c r="W34" i="53"/>
  <c r="V34" i="53"/>
  <c r="U34" i="53"/>
  <c r="T34" i="53"/>
  <c r="S34" i="53"/>
  <c r="R34" i="53"/>
  <c r="Q34" i="53"/>
  <c r="P34" i="53"/>
  <c r="O34" i="53"/>
  <c r="N34" i="53"/>
  <c r="M34" i="53"/>
  <c r="L34" i="53"/>
  <c r="K34" i="53"/>
  <c r="J34" i="53"/>
  <c r="AM33" i="53"/>
  <c r="AL33" i="53"/>
  <c r="AK33" i="53"/>
  <c r="AJ33" i="53"/>
  <c r="AI33" i="53"/>
  <c r="AH33" i="53"/>
  <c r="AG33" i="53"/>
  <c r="AF33" i="53"/>
  <c r="AE33" i="53"/>
  <c r="AD33" i="53"/>
  <c r="AC33" i="53"/>
  <c r="AB33" i="53"/>
  <c r="AA33" i="53"/>
  <c r="Z33" i="53"/>
  <c r="Y33" i="53"/>
  <c r="X33" i="53"/>
  <c r="W33" i="53"/>
  <c r="V33" i="53"/>
  <c r="U33" i="53"/>
  <c r="T33" i="53"/>
  <c r="S33" i="53"/>
  <c r="R33" i="53"/>
  <c r="Q33" i="53"/>
  <c r="P33" i="53"/>
  <c r="O33" i="53"/>
  <c r="N33" i="53"/>
  <c r="M33" i="53"/>
  <c r="L33" i="53"/>
  <c r="K33" i="53"/>
  <c r="J33" i="53"/>
  <c r="AM32" i="53"/>
  <c r="AL32" i="53"/>
  <c r="AK32" i="53"/>
  <c r="AJ32" i="53"/>
  <c r="AI32" i="53"/>
  <c r="AH32" i="53"/>
  <c r="AG32" i="53"/>
  <c r="AF32" i="53"/>
  <c r="AE32" i="53"/>
  <c r="AD32" i="53"/>
  <c r="AC32" i="53"/>
  <c r="AB32" i="53"/>
  <c r="AA32" i="53"/>
  <c r="Z32" i="53"/>
  <c r="Y32" i="53"/>
  <c r="X32" i="53"/>
  <c r="W32" i="53"/>
  <c r="V32" i="53"/>
  <c r="U32" i="53"/>
  <c r="T32" i="53"/>
  <c r="S32" i="53"/>
  <c r="R32" i="53"/>
  <c r="Q32" i="53"/>
  <c r="P32" i="53"/>
  <c r="O32" i="53"/>
  <c r="N32" i="53"/>
  <c r="M32" i="53"/>
  <c r="L32" i="53"/>
  <c r="K32" i="53"/>
  <c r="J32" i="53"/>
  <c r="AM31" i="53"/>
  <c r="AL31" i="53"/>
  <c r="AK31" i="53"/>
  <c r="AJ31" i="53"/>
  <c r="AI31" i="53"/>
  <c r="AH31" i="53"/>
  <c r="AG31" i="53"/>
  <c r="AF31" i="53"/>
  <c r="AE31" i="53"/>
  <c r="AD31" i="53"/>
  <c r="AC31" i="53"/>
  <c r="AB31" i="53"/>
  <c r="AA31" i="53"/>
  <c r="Z31" i="53"/>
  <c r="Y31" i="53"/>
  <c r="X31" i="53"/>
  <c r="W31" i="53"/>
  <c r="V31" i="53"/>
  <c r="U31" i="53"/>
  <c r="T31" i="53"/>
  <c r="S31" i="53"/>
  <c r="R31" i="53"/>
  <c r="Q31" i="53"/>
  <c r="P31" i="53"/>
  <c r="O31" i="53"/>
  <c r="N31" i="53"/>
  <c r="M31" i="53"/>
  <c r="L31" i="53"/>
  <c r="K31" i="53"/>
  <c r="J31" i="53"/>
  <c r="AM30" i="53"/>
  <c r="AL30" i="53"/>
  <c r="AK30" i="53"/>
  <c r="AJ30" i="53"/>
  <c r="AI30" i="53"/>
  <c r="AH30" i="53"/>
  <c r="AG30" i="53"/>
  <c r="AF30" i="53"/>
  <c r="AE30" i="53"/>
  <c r="AD30" i="53"/>
  <c r="AC30" i="53"/>
  <c r="AB30" i="53"/>
  <c r="AA30" i="53"/>
  <c r="Z30" i="53"/>
  <c r="Y30" i="53"/>
  <c r="X30" i="53"/>
  <c r="W30" i="53"/>
  <c r="V30" i="53"/>
  <c r="U30" i="53"/>
  <c r="T30" i="53"/>
  <c r="S30" i="53"/>
  <c r="R30" i="53"/>
  <c r="Q30" i="53"/>
  <c r="P30" i="53"/>
  <c r="O30" i="53"/>
  <c r="N30" i="53"/>
  <c r="M30" i="53"/>
  <c r="L30" i="53"/>
  <c r="K30" i="53"/>
  <c r="J30" i="53"/>
  <c r="AM29" i="53"/>
  <c r="AL29" i="53"/>
  <c r="AK29" i="53"/>
  <c r="AJ29" i="53"/>
  <c r="AI29" i="53"/>
  <c r="AH29" i="53"/>
  <c r="AG29" i="53"/>
  <c r="AF29" i="53"/>
  <c r="AE29" i="53"/>
  <c r="AD29" i="53"/>
  <c r="AC29" i="53"/>
  <c r="AB29" i="53"/>
  <c r="AA29" i="53"/>
  <c r="Z29" i="53"/>
  <c r="Y29" i="53"/>
  <c r="X29" i="53"/>
  <c r="W29" i="53"/>
  <c r="V29" i="53"/>
  <c r="U29" i="53"/>
  <c r="T29" i="53"/>
  <c r="S29" i="53"/>
  <c r="R29" i="53"/>
  <c r="Q29" i="53"/>
  <c r="P29" i="53"/>
  <c r="O29" i="53"/>
  <c r="N29" i="53"/>
  <c r="M29" i="53"/>
  <c r="L29" i="53"/>
  <c r="K29" i="53"/>
  <c r="J29" i="53"/>
  <c r="AM28" i="53"/>
  <c r="AL28" i="53"/>
  <c r="AK28" i="53"/>
  <c r="AJ28" i="53"/>
  <c r="AI28" i="53"/>
  <c r="AH28" i="53"/>
  <c r="AG28" i="53"/>
  <c r="AF28" i="53"/>
  <c r="AE28" i="53"/>
  <c r="AD28" i="53"/>
  <c r="AC28" i="53"/>
  <c r="AB28" i="53"/>
  <c r="AA28" i="53"/>
  <c r="Z28" i="53"/>
  <c r="Y28" i="53"/>
  <c r="X28" i="53"/>
  <c r="W28" i="53"/>
  <c r="V28" i="53"/>
  <c r="U28" i="53"/>
  <c r="T28" i="53"/>
  <c r="S28" i="53"/>
  <c r="R28" i="53"/>
  <c r="Q28" i="53"/>
  <c r="P28" i="53"/>
  <c r="O28" i="53"/>
  <c r="N28" i="53"/>
  <c r="M28" i="53"/>
  <c r="L28" i="53"/>
  <c r="K28" i="53"/>
  <c r="J28" i="53"/>
  <c r="AM27" i="53"/>
  <c r="AL27" i="53"/>
  <c r="AK27" i="53"/>
  <c r="AJ27" i="53"/>
  <c r="AI27" i="53"/>
  <c r="AH27" i="53"/>
  <c r="AG27" i="53"/>
  <c r="AF27" i="53"/>
  <c r="AE27" i="53"/>
  <c r="AD27" i="53"/>
  <c r="AC27" i="53"/>
  <c r="AB27" i="53"/>
  <c r="AA27" i="53"/>
  <c r="Z27" i="53"/>
  <c r="Y27" i="53"/>
  <c r="X27" i="53"/>
  <c r="W27" i="53"/>
  <c r="V27" i="53"/>
  <c r="U27" i="53"/>
  <c r="T27" i="53"/>
  <c r="S27" i="53"/>
  <c r="R27" i="53"/>
  <c r="Q27" i="53"/>
  <c r="P27" i="53"/>
  <c r="O27" i="53"/>
  <c r="N27" i="53"/>
  <c r="M27" i="53"/>
  <c r="L27" i="53"/>
  <c r="K27" i="53"/>
  <c r="J27" i="53"/>
  <c r="AM26" i="53"/>
  <c r="AL26" i="53"/>
  <c r="AK26" i="53"/>
  <c r="AJ26" i="53"/>
  <c r="AI26" i="53"/>
  <c r="AH26" i="53"/>
  <c r="AG26" i="53"/>
  <c r="AF26" i="53"/>
  <c r="AE26" i="53"/>
  <c r="AD26" i="53"/>
  <c r="AC26" i="53"/>
  <c r="AB26" i="53"/>
  <c r="AA26" i="53"/>
  <c r="Z26" i="53"/>
  <c r="Y26" i="53"/>
  <c r="X26" i="53"/>
  <c r="W26" i="53"/>
  <c r="V26" i="53"/>
  <c r="U26" i="53"/>
  <c r="T26" i="53"/>
  <c r="S26" i="53"/>
  <c r="R26" i="53"/>
  <c r="Q26" i="53"/>
  <c r="P26" i="53"/>
  <c r="O26" i="53"/>
  <c r="N26" i="53"/>
  <c r="M26" i="53"/>
  <c r="L26" i="53"/>
  <c r="K26" i="53"/>
  <c r="J26" i="53"/>
  <c r="AM25" i="53"/>
  <c r="AL25" i="53"/>
  <c r="AK25" i="53"/>
  <c r="AJ25" i="53"/>
  <c r="AI25" i="53"/>
  <c r="AH25" i="53"/>
  <c r="AG25" i="53"/>
  <c r="AF25" i="53"/>
  <c r="AE25" i="53"/>
  <c r="AD25" i="53"/>
  <c r="AC25" i="53"/>
  <c r="AB25" i="53"/>
  <c r="AA25" i="53"/>
  <c r="Z25" i="53"/>
  <c r="Y25" i="53"/>
  <c r="X25" i="53"/>
  <c r="W25" i="53"/>
  <c r="V25" i="53"/>
  <c r="U25" i="53"/>
  <c r="T25" i="53"/>
  <c r="S25" i="53"/>
  <c r="R25" i="53"/>
  <c r="Q25" i="53"/>
  <c r="P25" i="53"/>
  <c r="O25" i="53"/>
  <c r="N25" i="53"/>
  <c r="M25" i="53"/>
  <c r="L25" i="53"/>
  <c r="K25" i="53"/>
  <c r="J25" i="53"/>
  <c r="AM24" i="53"/>
  <c r="AL24" i="53"/>
  <c r="AK24" i="53"/>
  <c r="AJ24" i="53"/>
  <c r="AI24" i="53"/>
  <c r="AH24" i="53"/>
  <c r="AG24" i="53"/>
  <c r="AF24" i="53"/>
  <c r="AE24" i="53"/>
  <c r="AD24" i="53"/>
  <c r="AC24" i="53"/>
  <c r="AB24" i="53"/>
  <c r="AA24" i="53"/>
  <c r="Z24" i="53"/>
  <c r="Y24" i="53"/>
  <c r="X24" i="53"/>
  <c r="W24" i="53"/>
  <c r="V24" i="53"/>
  <c r="U24" i="53"/>
  <c r="T24" i="53"/>
  <c r="S24" i="53"/>
  <c r="R24" i="53"/>
  <c r="Q24" i="53"/>
  <c r="P24" i="53"/>
  <c r="O24" i="53"/>
  <c r="N24" i="53"/>
  <c r="M24" i="53"/>
  <c r="L24" i="53"/>
  <c r="K24" i="53"/>
  <c r="J24" i="53"/>
  <c r="AM23" i="53"/>
  <c r="AL23" i="53"/>
  <c r="AK23" i="53"/>
  <c r="AJ23" i="53"/>
  <c r="AI23" i="53"/>
  <c r="AH23" i="53"/>
  <c r="AG23" i="53"/>
  <c r="AF23" i="53"/>
  <c r="AE23" i="53"/>
  <c r="AD23" i="53"/>
  <c r="AC23" i="53"/>
  <c r="AB23" i="53"/>
  <c r="AA23" i="53"/>
  <c r="Z23" i="53"/>
  <c r="Y23" i="53"/>
  <c r="X23" i="53"/>
  <c r="W23" i="53"/>
  <c r="V23" i="53"/>
  <c r="U23" i="53"/>
  <c r="T23" i="53"/>
  <c r="S23" i="53"/>
  <c r="R23" i="53"/>
  <c r="Q23" i="53"/>
  <c r="P23" i="53"/>
  <c r="O23" i="53"/>
  <c r="N23" i="53"/>
  <c r="M23" i="53"/>
  <c r="L23" i="53"/>
  <c r="K23" i="53"/>
  <c r="J23" i="53"/>
  <c r="AM22" i="53"/>
  <c r="AL22" i="53"/>
  <c r="AK22" i="53"/>
  <c r="AJ22" i="53"/>
  <c r="AI22" i="53"/>
  <c r="AH22" i="53"/>
  <c r="AG22" i="53"/>
  <c r="AF22" i="53"/>
  <c r="AE22" i="53"/>
  <c r="AD22" i="53"/>
  <c r="AC22" i="53"/>
  <c r="AB22" i="53"/>
  <c r="AA22" i="53"/>
  <c r="Z22" i="53"/>
  <c r="Y22" i="53"/>
  <c r="X22" i="53"/>
  <c r="W22" i="53"/>
  <c r="V22" i="53"/>
  <c r="U22" i="53"/>
  <c r="T22" i="53"/>
  <c r="S22" i="53"/>
  <c r="R22" i="53"/>
  <c r="Q22" i="53"/>
  <c r="P22" i="53"/>
  <c r="O22" i="53"/>
  <c r="N22" i="53"/>
  <c r="M22" i="53"/>
  <c r="L22" i="53"/>
  <c r="K22" i="53"/>
  <c r="J22" i="53"/>
  <c r="AM21" i="53"/>
  <c r="AL21" i="53"/>
  <c r="AK21" i="53"/>
  <c r="AJ21" i="53"/>
  <c r="AI21" i="53"/>
  <c r="AH21" i="53"/>
  <c r="AG21" i="53"/>
  <c r="AF21" i="53"/>
  <c r="AE21" i="53"/>
  <c r="AD21" i="53"/>
  <c r="AC21" i="53"/>
  <c r="AB21" i="53"/>
  <c r="AA21" i="53"/>
  <c r="Z21" i="53"/>
  <c r="Y21" i="53"/>
  <c r="X21" i="53"/>
  <c r="W21" i="53"/>
  <c r="V21" i="53"/>
  <c r="U21" i="53"/>
  <c r="T21" i="53"/>
  <c r="S21" i="53"/>
  <c r="R21" i="53"/>
  <c r="Q21" i="53"/>
  <c r="P21" i="53"/>
  <c r="O21" i="53"/>
  <c r="N21" i="53"/>
  <c r="M21" i="53"/>
  <c r="L21" i="53"/>
  <c r="K21" i="53"/>
  <c r="J21" i="53"/>
  <c r="AM20" i="53"/>
  <c r="AL20" i="53"/>
  <c r="AK20" i="53"/>
  <c r="AJ20" i="53"/>
  <c r="AI20" i="53"/>
  <c r="AH20" i="53"/>
  <c r="AG20" i="53"/>
  <c r="AF20" i="53"/>
  <c r="AE20" i="53"/>
  <c r="AD20" i="53"/>
  <c r="AC20" i="53"/>
  <c r="AB20" i="53"/>
  <c r="AA20" i="53"/>
  <c r="Z20" i="53"/>
  <c r="Y20" i="53"/>
  <c r="X20" i="53"/>
  <c r="W20" i="53"/>
  <c r="V20" i="53"/>
  <c r="U20" i="53"/>
  <c r="T20" i="53"/>
  <c r="S20" i="53"/>
  <c r="R20" i="53"/>
  <c r="Q20" i="53"/>
  <c r="P20" i="53"/>
  <c r="O20" i="53"/>
  <c r="N20" i="53"/>
  <c r="M20" i="53"/>
  <c r="L20" i="53"/>
  <c r="K20" i="53"/>
  <c r="J20" i="53"/>
  <c r="AM19" i="53"/>
  <c r="AL19" i="53"/>
  <c r="AK19" i="53"/>
  <c r="AJ19" i="53"/>
  <c r="AI19" i="53"/>
  <c r="AH19" i="53"/>
  <c r="AG19" i="53"/>
  <c r="AF19" i="53"/>
  <c r="AE19" i="53"/>
  <c r="AD19" i="53"/>
  <c r="AC19" i="53"/>
  <c r="AB19" i="53"/>
  <c r="AA19" i="53"/>
  <c r="Z19" i="53"/>
  <c r="Y19" i="53"/>
  <c r="X19" i="53"/>
  <c r="W19" i="53"/>
  <c r="V19" i="53"/>
  <c r="U19" i="53"/>
  <c r="T19" i="53"/>
  <c r="S19" i="53"/>
  <c r="R19" i="53"/>
  <c r="Q19" i="53"/>
  <c r="P19" i="53"/>
  <c r="O19" i="53"/>
  <c r="N19" i="53"/>
  <c r="M19" i="53"/>
  <c r="L19" i="53"/>
  <c r="K19" i="53"/>
  <c r="J19" i="53"/>
  <c r="AM18" i="53"/>
  <c r="AL18" i="53"/>
  <c r="AK18" i="53"/>
  <c r="AJ18" i="53"/>
  <c r="AI18" i="53"/>
  <c r="AH18" i="53"/>
  <c r="AG18" i="53"/>
  <c r="AF18" i="53"/>
  <c r="AE18" i="53"/>
  <c r="AD18" i="53"/>
  <c r="AC18" i="53"/>
  <c r="AB18" i="53"/>
  <c r="AA18" i="53"/>
  <c r="Z18" i="53"/>
  <c r="Y18" i="53"/>
  <c r="X18" i="53"/>
  <c r="W18" i="53"/>
  <c r="V18" i="53"/>
  <c r="U18" i="53"/>
  <c r="T18" i="53"/>
  <c r="S18" i="53"/>
  <c r="R18" i="53"/>
  <c r="Q18" i="53"/>
  <c r="P18" i="53"/>
  <c r="O18" i="53"/>
  <c r="N18" i="53"/>
  <c r="M18" i="53"/>
  <c r="L18" i="53"/>
  <c r="K18" i="53"/>
  <c r="J18" i="53"/>
  <c r="AM17" i="53"/>
  <c r="AL17" i="53"/>
  <c r="AK17" i="53"/>
  <c r="AJ17" i="53"/>
  <c r="AI17" i="53"/>
  <c r="AH17" i="53"/>
  <c r="AG17" i="53"/>
  <c r="AF17" i="53"/>
  <c r="AE17" i="53"/>
  <c r="AD17" i="53"/>
  <c r="AC17" i="53"/>
  <c r="AB17" i="53"/>
  <c r="AA17" i="53"/>
  <c r="Z17" i="53"/>
  <c r="Y17" i="53"/>
  <c r="X17" i="53"/>
  <c r="W17" i="53"/>
  <c r="V17" i="53"/>
  <c r="U17" i="53"/>
  <c r="T17" i="53"/>
  <c r="S17" i="53"/>
  <c r="R17" i="53"/>
  <c r="Q17" i="53"/>
  <c r="P17" i="53"/>
  <c r="O17" i="53"/>
  <c r="N17" i="53"/>
  <c r="M17" i="53"/>
  <c r="L17" i="53"/>
  <c r="K17" i="53"/>
  <c r="J17" i="53"/>
  <c r="AM16" i="53"/>
  <c r="AL16" i="53"/>
  <c r="AK16" i="53"/>
  <c r="AJ16" i="53"/>
  <c r="AI16" i="53"/>
  <c r="AH16" i="53"/>
  <c r="AG16" i="53"/>
  <c r="AF16" i="53"/>
  <c r="AE16" i="53"/>
  <c r="AD16" i="53"/>
  <c r="AC16" i="53"/>
  <c r="AB16" i="53"/>
  <c r="AA16" i="53"/>
  <c r="Z16" i="53"/>
  <c r="Y16" i="53"/>
  <c r="X16" i="53"/>
  <c r="W16" i="53"/>
  <c r="V16" i="53"/>
  <c r="U16" i="53"/>
  <c r="T16" i="53"/>
  <c r="S16" i="53"/>
  <c r="R16" i="53"/>
  <c r="Q16" i="53"/>
  <c r="P16" i="53"/>
  <c r="O16" i="53"/>
  <c r="N16" i="53"/>
  <c r="M16" i="53"/>
  <c r="L16" i="53"/>
  <c r="K16" i="53"/>
  <c r="J16" i="53"/>
  <c r="AM15" i="53"/>
  <c r="AL15" i="53"/>
  <c r="AK15" i="53"/>
  <c r="AJ15" i="53"/>
  <c r="AI15" i="53"/>
  <c r="AH15" i="53"/>
  <c r="AG15" i="53"/>
  <c r="AF15" i="53"/>
  <c r="AE15" i="53"/>
  <c r="AD15" i="53"/>
  <c r="AC15" i="53"/>
  <c r="AB15" i="53"/>
  <c r="AA15" i="53"/>
  <c r="Z15" i="53"/>
  <c r="Y15" i="53"/>
  <c r="X15" i="53"/>
  <c r="W15" i="53"/>
  <c r="V15" i="53"/>
  <c r="U15" i="53"/>
  <c r="T15" i="53"/>
  <c r="S15" i="53"/>
  <c r="R15" i="53"/>
  <c r="Q15" i="53"/>
  <c r="P15" i="53"/>
  <c r="O15" i="53"/>
  <c r="N15" i="53"/>
  <c r="M15" i="53"/>
  <c r="L15" i="53"/>
  <c r="K15" i="53"/>
  <c r="J15" i="53"/>
  <c r="AM14" i="53"/>
  <c r="AL14" i="53"/>
  <c r="AK14" i="53"/>
  <c r="AJ14" i="53"/>
  <c r="AI14" i="53"/>
  <c r="AH14" i="53"/>
  <c r="AG14" i="53"/>
  <c r="AF14" i="53"/>
  <c r="AE14" i="53"/>
  <c r="AD14" i="53"/>
  <c r="AC14" i="53"/>
  <c r="AB14" i="53"/>
  <c r="AA14" i="53"/>
  <c r="Z14" i="53"/>
  <c r="Y14" i="53"/>
  <c r="X14" i="53"/>
  <c r="W14" i="53"/>
  <c r="V14" i="53"/>
  <c r="U14" i="53"/>
  <c r="T14" i="53"/>
  <c r="S14" i="53"/>
  <c r="R14" i="53"/>
  <c r="Q14" i="53"/>
  <c r="P14" i="53"/>
  <c r="O14" i="53"/>
  <c r="N14" i="53"/>
  <c r="M14" i="53"/>
  <c r="L14" i="53"/>
  <c r="K14" i="53"/>
  <c r="J14" i="53"/>
  <c r="AM13" i="53"/>
  <c r="AL13" i="53"/>
  <c r="AK13" i="53"/>
  <c r="AJ13" i="53"/>
  <c r="AI13" i="53"/>
  <c r="AH13" i="53"/>
  <c r="AG13" i="53"/>
  <c r="AF13" i="53"/>
  <c r="AE13" i="53"/>
  <c r="AD13" i="53"/>
  <c r="AC13" i="53"/>
  <c r="AB13" i="53"/>
  <c r="AA13" i="53"/>
  <c r="Z13" i="53"/>
  <c r="Y13" i="53"/>
  <c r="X13" i="53"/>
  <c r="W13" i="53"/>
  <c r="V13" i="53"/>
  <c r="U13" i="53"/>
  <c r="T13" i="53"/>
  <c r="S13" i="53"/>
  <c r="R13" i="53"/>
  <c r="Q13" i="53"/>
  <c r="P13" i="53"/>
  <c r="O13" i="53"/>
  <c r="N13" i="53"/>
  <c r="M13" i="53"/>
  <c r="L13" i="53"/>
  <c r="K13" i="53"/>
  <c r="J13" i="53"/>
  <c r="AM12" i="53"/>
  <c r="AL12" i="53"/>
  <c r="AK12" i="53"/>
  <c r="AJ12" i="53"/>
  <c r="AI12" i="53"/>
  <c r="AH12" i="53"/>
  <c r="AG12" i="53"/>
  <c r="AF12" i="53"/>
  <c r="AE12" i="53"/>
  <c r="AD12" i="53"/>
  <c r="AC12" i="53"/>
  <c r="AB12" i="53"/>
  <c r="AA12" i="53"/>
  <c r="Z12" i="53"/>
  <c r="Y12" i="53"/>
  <c r="X12" i="53"/>
  <c r="W12" i="53"/>
  <c r="V12" i="53"/>
  <c r="U12" i="53"/>
  <c r="T12" i="53"/>
  <c r="S12" i="53"/>
  <c r="R12" i="53"/>
  <c r="Q12" i="53"/>
  <c r="P12" i="53"/>
  <c r="O12" i="53"/>
  <c r="N12" i="53"/>
  <c r="M12" i="53"/>
  <c r="L12" i="53"/>
  <c r="K12" i="53"/>
  <c r="J12" i="53"/>
  <c r="AM11" i="53"/>
  <c r="AL11" i="53"/>
  <c r="AK11" i="53"/>
  <c r="AJ11" i="53"/>
  <c r="AI11" i="53"/>
  <c r="AH11" i="53"/>
  <c r="AG11" i="53"/>
  <c r="AF11" i="53"/>
  <c r="AE11" i="53"/>
  <c r="AD11" i="53"/>
  <c r="AC11" i="53"/>
  <c r="AB11" i="53"/>
  <c r="AA11" i="53"/>
  <c r="Z11" i="53"/>
  <c r="Y11" i="53"/>
  <c r="X11" i="53"/>
  <c r="W11" i="53"/>
  <c r="V11" i="53"/>
  <c r="U11" i="53"/>
  <c r="T11" i="53"/>
  <c r="S11" i="53"/>
  <c r="R11" i="53"/>
  <c r="Q11" i="53"/>
  <c r="P11" i="53"/>
  <c r="O11" i="53"/>
  <c r="N11" i="53"/>
  <c r="M11" i="53"/>
  <c r="L11" i="53"/>
  <c r="K11" i="53"/>
  <c r="J11" i="53"/>
  <c r="AM10" i="53"/>
  <c r="AL10" i="53"/>
  <c r="AK10" i="53"/>
  <c r="AJ10" i="53"/>
  <c r="AI10" i="53"/>
  <c r="AH10" i="53"/>
  <c r="AG10" i="53"/>
  <c r="AF10" i="53"/>
  <c r="AE10" i="53"/>
  <c r="AD10" i="53"/>
  <c r="AC10" i="53"/>
  <c r="AB10" i="53"/>
  <c r="AA10" i="53"/>
  <c r="Z10" i="53"/>
  <c r="Y10" i="53"/>
  <c r="X10" i="53"/>
  <c r="W10" i="53"/>
  <c r="V10" i="53"/>
  <c r="U10" i="53"/>
  <c r="T10" i="53"/>
  <c r="S10" i="53"/>
  <c r="R10" i="53"/>
  <c r="Q10" i="53"/>
  <c r="P10" i="53"/>
  <c r="O10" i="53"/>
  <c r="N10" i="53"/>
  <c r="M10" i="53"/>
  <c r="L10" i="53"/>
  <c r="K10" i="53"/>
  <c r="J10" i="53"/>
  <c r="AM9" i="53"/>
  <c r="AL9" i="53"/>
  <c r="AK9" i="53"/>
  <c r="AJ9" i="53"/>
  <c r="AI9" i="53"/>
  <c r="AH9" i="53"/>
  <c r="AG9" i="53"/>
  <c r="AF9" i="53"/>
  <c r="AE9" i="53"/>
  <c r="AD9" i="53"/>
  <c r="AC9" i="53"/>
  <c r="AB9" i="53"/>
  <c r="AA9" i="53"/>
  <c r="Z9" i="53"/>
  <c r="Y9" i="53"/>
  <c r="X9" i="53"/>
  <c r="W9" i="53"/>
  <c r="V9" i="53"/>
  <c r="U9" i="53"/>
  <c r="T9" i="53"/>
  <c r="S9" i="53"/>
  <c r="R9" i="53"/>
  <c r="Q9" i="53"/>
  <c r="P9" i="53"/>
  <c r="O9" i="53"/>
  <c r="N9" i="53"/>
  <c r="M9" i="53"/>
  <c r="L9" i="53"/>
  <c r="K9" i="53"/>
  <c r="J9" i="53"/>
  <c r="AM8" i="53"/>
  <c r="AL8" i="53"/>
  <c r="AK8" i="53"/>
  <c r="AJ8" i="53"/>
  <c r="AI8" i="53"/>
  <c r="AH8" i="53"/>
  <c r="AG8" i="53"/>
  <c r="AF8" i="53"/>
  <c r="AE8" i="53"/>
  <c r="AD8" i="53"/>
  <c r="AC8" i="53"/>
  <c r="AB8" i="53"/>
  <c r="AA8" i="53"/>
  <c r="Z8" i="53"/>
  <c r="Y8" i="53"/>
  <c r="X8" i="53"/>
  <c r="W8" i="53"/>
  <c r="V8" i="53"/>
  <c r="U8" i="53"/>
  <c r="T8" i="53"/>
  <c r="S8" i="53"/>
  <c r="R8" i="53"/>
  <c r="Q8" i="53"/>
  <c r="P8" i="53"/>
  <c r="O8" i="53"/>
  <c r="N8" i="53"/>
  <c r="M8" i="53"/>
  <c r="L8" i="53"/>
  <c r="K8" i="53"/>
  <c r="J8" i="53"/>
  <c r="AM7" i="53"/>
  <c r="AL7" i="53"/>
  <c r="AK7" i="53"/>
  <c r="AJ7" i="53"/>
  <c r="AI7" i="53"/>
  <c r="AH7" i="53"/>
  <c r="AG7" i="53"/>
  <c r="AF7" i="53"/>
  <c r="AE7" i="53"/>
  <c r="AD7" i="53"/>
  <c r="AC7" i="53"/>
  <c r="AB7" i="53"/>
  <c r="AA7" i="53"/>
  <c r="Z7" i="53"/>
  <c r="Y7" i="53"/>
  <c r="X7" i="53"/>
  <c r="W7" i="53"/>
  <c r="V7" i="53"/>
  <c r="U7" i="53"/>
  <c r="T7" i="53"/>
  <c r="S7" i="53"/>
  <c r="R7" i="53"/>
  <c r="Q7" i="53"/>
  <c r="P7" i="53"/>
  <c r="O7" i="53"/>
  <c r="N7" i="53"/>
  <c r="M7" i="53"/>
  <c r="L7" i="53"/>
  <c r="K7" i="53"/>
  <c r="J7" i="53"/>
  <c r="AM6" i="53"/>
  <c r="AL6" i="53"/>
  <c r="AK6" i="53"/>
  <c r="AJ6" i="53"/>
  <c r="AI6" i="53"/>
  <c r="AH6" i="53"/>
  <c r="AG6" i="53"/>
  <c r="AF6" i="53"/>
  <c r="AE6" i="53"/>
  <c r="AD6" i="53"/>
  <c r="AC6" i="53"/>
  <c r="AB6" i="53"/>
  <c r="AA6" i="53"/>
  <c r="Z6" i="53"/>
  <c r="Y6" i="53"/>
  <c r="X6" i="53"/>
  <c r="W6" i="53"/>
  <c r="V6" i="53"/>
  <c r="U6" i="53"/>
  <c r="T6" i="53"/>
  <c r="S6" i="53"/>
  <c r="R6" i="53"/>
  <c r="Q6" i="53"/>
  <c r="P6" i="53"/>
  <c r="O6" i="53"/>
  <c r="N6" i="53"/>
  <c r="M6" i="53"/>
  <c r="L6" i="53"/>
  <c r="K6" i="53"/>
  <c r="J6" i="53"/>
  <c r="AJ44" i="52"/>
  <c r="AD44" i="52"/>
  <c r="X44" i="52"/>
  <c r="R44" i="52"/>
  <c r="L44" i="52"/>
  <c r="AJ36" i="52"/>
  <c r="AD36" i="52"/>
  <c r="X36" i="52"/>
  <c r="R36" i="52"/>
  <c r="L36" i="52"/>
  <c r="AJ28" i="52"/>
  <c r="AD28" i="52"/>
  <c r="X28" i="52"/>
  <c r="R28" i="52"/>
  <c r="L28" i="52"/>
  <c r="AJ20" i="52"/>
  <c r="AD20" i="52"/>
  <c r="X20" i="52"/>
  <c r="R20" i="52"/>
  <c r="L20" i="52"/>
  <c r="AJ12" i="52"/>
  <c r="AD12" i="52"/>
  <c r="X12" i="52"/>
  <c r="R12" i="52"/>
  <c r="L12" i="52"/>
  <c r="L8" i="52"/>
  <c r="AL30" i="52"/>
  <c r="AL22" i="52"/>
  <c r="AL14" i="52"/>
  <c r="AL6" i="52"/>
  <c r="AF38" i="52"/>
  <c r="AL38" i="52"/>
  <c r="AF30" i="52"/>
  <c r="Z14" i="52"/>
  <c r="Z22" i="52"/>
  <c r="T6" i="52"/>
  <c r="T14" i="52"/>
  <c r="Z30" i="52"/>
  <c r="T22" i="52"/>
  <c r="N6" i="52"/>
  <c r="N14" i="52"/>
  <c r="Z38" i="52"/>
  <c r="T30" i="52"/>
  <c r="N22" i="52"/>
  <c r="T38" i="52"/>
  <c r="N30" i="52"/>
  <c r="N38" i="52"/>
  <c r="AF6" i="52"/>
  <c r="AF14" i="52"/>
  <c r="AF22" i="52"/>
  <c r="Z6" i="52"/>
  <c r="AB42" i="52"/>
  <c r="AB34" i="52"/>
  <c r="AB26" i="52"/>
  <c r="AB18" i="52"/>
  <c r="AB10" i="52"/>
  <c r="V42" i="52"/>
  <c r="V34" i="52"/>
  <c r="V26" i="52"/>
  <c r="V18" i="52"/>
  <c r="V10" i="52"/>
  <c r="P42" i="52"/>
  <c r="P26" i="52"/>
  <c r="P18" i="52"/>
  <c r="P10" i="52"/>
  <c r="P34" i="52"/>
  <c r="AH10" i="52"/>
  <c r="AH18" i="52"/>
  <c r="AH26" i="52"/>
  <c r="J10" i="52"/>
  <c r="J18" i="52"/>
  <c r="AH34" i="52"/>
  <c r="J26" i="52"/>
  <c r="AH42" i="52"/>
  <c r="J34" i="52"/>
  <c r="J42" i="52"/>
  <c r="AH22" i="52"/>
  <c r="AH14" i="52"/>
  <c r="AH6" i="52"/>
  <c r="AH38" i="52"/>
  <c r="AH30" i="52"/>
  <c r="AB22" i="52"/>
  <c r="V6" i="52"/>
  <c r="V14" i="52"/>
  <c r="AB30" i="52"/>
  <c r="V22" i="52"/>
  <c r="P6" i="52"/>
  <c r="P14" i="52"/>
  <c r="AB38" i="52"/>
  <c r="V30" i="52"/>
  <c r="P22" i="52"/>
  <c r="V38" i="52"/>
  <c r="P30" i="52"/>
  <c r="P38" i="52"/>
  <c r="AB6" i="52"/>
  <c r="AB14" i="52"/>
  <c r="N40" i="52"/>
  <c r="N32" i="52"/>
  <c r="N24" i="52"/>
  <c r="N16" i="52"/>
  <c r="N8" i="52"/>
  <c r="Z40" i="52"/>
  <c r="T32" i="52"/>
  <c r="T40" i="52"/>
  <c r="AL8" i="52"/>
  <c r="AL16" i="52"/>
  <c r="AL24" i="52"/>
  <c r="AF8" i="52"/>
  <c r="AF16" i="52"/>
  <c r="AF24" i="52"/>
  <c r="AL32" i="52"/>
  <c r="Z8" i="52"/>
  <c r="Z16" i="52"/>
  <c r="Z24" i="52"/>
  <c r="AL40" i="52"/>
  <c r="AF32" i="52"/>
  <c r="T8" i="52"/>
  <c r="T16" i="52"/>
  <c r="T24" i="52"/>
  <c r="AF40" i="52"/>
  <c r="Z32" i="52"/>
  <c r="AH44" i="52"/>
  <c r="AH28" i="52"/>
  <c r="AH20" i="52"/>
  <c r="AH12" i="52"/>
  <c r="AB44" i="52"/>
  <c r="AB36" i="52"/>
  <c r="AB28" i="52"/>
  <c r="AB20" i="52"/>
  <c r="AB12" i="52"/>
  <c r="V44" i="52"/>
  <c r="V36" i="52"/>
  <c r="AH36" i="52"/>
  <c r="V28" i="52"/>
  <c r="P36" i="52"/>
  <c r="J28" i="52"/>
  <c r="J36" i="52"/>
  <c r="P44" i="52"/>
  <c r="J44" i="52"/>
  <c r="V12" i="52"/>
  <c r="V20" i="52"/>
  <c r="P12" i="52"/>
  <c r="P20" i="52"/>
  <c r="P28" i="52"/>
  <c r="J12" i="52"/>
  <c r="J20" i="52"/>
  <c r="P40" i="52"/>
  <c r="P32" i="52"/>
  <c r="P24" i="52"/>
  <c r="P16" i="52"/>
  <c r="P8" i="52"/>
  <c r="J24" i="52"/>
  <c r="J16" i="52"/>
  <c r="J8" i="52"/>
  <c r="J40" i="52"/>
  <c r="J32" i="52"/>
  <c r="AB40" i="52"/>
  <c r="V32" i="52"/>
  <c r="V40" i="52"/>
  <c r="AH8" i="52"/>
  <c r="AH16" i="52"/>
  <c r="AH24" i="52"/>
  <c r="AB8" i="52"/>
  <c r="AB16" i="52"/>
  <c r="AB24" i="52"/>
  <c r="AH32" i="52"/>
  <c r="V8" i="52"/>
  <c r="V16" i="52"/>
  <c r="V24" i="52"/>
  <c r="AH40" i="52"/>
  <c r="AB32" i="52"/>
  <c r="Z42" i="52"/>
  <c r="Z34" i="52"/>
  <c r="Z26" i="52"/>
  <c r="Z18" i="52"/>
  <c r="Z10" i="52"/>
  <c r="T26" i="52"/>
  <c r="T18" i="52"/>
  <c r="T10" i="52"/>
  <c r="N26" i="52"/>
  <c r="N10" i="52"/>
  <c r="T42" i="52"/>
  <c r="T34" i="52"/>
  <c r="N42" i="52"/>
  <c r="N34" i="52"/>
  <c r="N18" i="52"/>
  <c r="AL18" i="52"/>
  <c r="AL26" i="52"/>
  <c r="AF10" i="52"/>
  <c r="AF18" i="52"/>
  <c r="AL34" i="52"/>
  <c r="AF26" i="52"/>
  <c r="AF34" i="52"/>
  <c r="AL42" i="52"/>
  <c r="AF42" i="52"/>
  <c r="AL10" i="52"/>
  <c r="R40" i="52"/>
  <c r="R32" i="52"/>
  <c r="R24" i="52"/>
  <c r="R16" i="52"/>
  <c r="R8" i="52"/>
  <c r="L40" i="52"/>
  <c r="L32" i="52"/>
  <c r="L24" i="52"/>
  <c r="L16" i="52"/>
  <c r="X40" i="52"/>
  <c r="AJ8" i="52"/>
  <c r="AJ16" i="52"/>
  <c r="AJ24" i="52"/>
  <c r="AD8" i="52"/>
  <c r="AD16" i="52"/>
  <c r="AD24" i="52"/>
  <c r="AJ32" i="52"/>
  <c r="X8" i="52"/>
  <c r="X16" i="52"/>
  <c r="X24" i="52"/>
  <c r="AJ40" i="52"/>
  <c r="AD32" i="52"/>
  <c r="AD40" i="52"/>
  <c r="X32" i="52"/>
  <c r="AL44" i="52"/>
  <c r="AL36" i="52"/>
  <c r="AL28" i="52"/>
  <c r="AL20" i="52"/>
  <c r="AL12" i="52"/>
  <c r="AF44" i="52"/>
  <c r="AF36" i="52"/>
  <c r="AF28" i="52"/>
  <c r="AF20" i="52"/>
  <c r="Z36" i="52"/>
  <c r="AF12" i="52"/>
  <c r="Z44" i="52"/>
  <c r="Z28" i="52"/>
  <c r="Z20" i="52"/>
  <c r="Z12" i="52"/>
  <c r="N36" i="52"/>
  <c r="T44" i="52"/>
  <c r="N44" i="52"/>
  <c r="T12" i="52"/>
  <c r="T20" i="52"/>
  <c r="T28" i="52"/>
  <c r="N12" i="52"/>
  <c r="N20" i="52"/>
  <c r="T36" i="52"/>
  <c r="N28" i="52"/>
  <c r="X42" i="52"/>
  <c r="X34" i="52"/>
  <c r="X26" i="52"/>
  <c r="X18" i="52"/>
  <c r="X10" i="52"/>
  <c r="R42" i="52"/>
  <c r="R34" i="52"/>
  <c r="R26" i="52"/>
  <c r="R18" i="52"/>
  <c r="R10" i="52"/>
  <c r="L42" i="52"/>
  <c r="L26" i="52"/>
  <c r="AJ10" i="52"/>
  <c r="AJ18" i="52"/>
  <c r="AJ26" i="52"/>
  <c r="AD10" i="52"/>
  <c r="AD18" i="52"/>
  <c r="L10" i="52"/>
  <c r="L18" i="52"/>
  <c r="AJ34" i="52"/>
  <c r="AD26" i="52"/>
  <c r="AD34" i="52"/>
  <c r="AJ42" i="52"/>
  <c r="L34" i="52"/>
  <c r="AD42" i="52"/>
  <c r="AJ30" i="52"/>
  <c r="AJ14" i="52"/>
  <c r="AJ38" i="52"/>
  <c r="AJ22" i="52"/>
  <c r="AJ6" i="52"/>
  <c r="X6" i="52"/>
  <c r="X14" i="52"/>
  <c r="AD30" i="52"/>
  <c r="X22" i="52"/>
  <c r="R6" i="52"/>
  <c r="R14" i="52"/>
  <c r="AD38" i="52"/>
  <c r="X30" i="52"/>
  <c r="R22" i="52"/>
  <c r="L6" i="52"/>
  <c r="L14" i="52"/>
  <c r="X38" i="52"/>
  <c r="R30" i="52"/>
  <c r="L22" i="52"/>
  <c r="R38" i="52"/>
  <c r="L30" i="52"/>
  <c r="L38" i="52"/>
  <c r="AD6" i="52"/>
  <c r="AD14" i="52"/>
  <c r="AD22" i="52"/>
  <c r="D181" i="24"/>
  <c r="E181" i="24"/>
  <c r="D187" i="24"/>
  <c r="E187" i="24"/>
  <c r="E194" i="24"/>
  <c r="D175" i="24"/>
  <c r="D25" i="24"/>
  <c r="E25" i="24"/>
  <c r="D37" i="24"/>
  <c r="E37" i="24"/>
  <c r="D43" i="24"/>
  <c r="E43" i="24"/>
  <c r="D49" i="24"/>
  <c r="E49" i="24"/>
  <c r="D55" i="24"/>
  <c r="E55" i="24"/>
  <c r="D61" i="24"/>
  <c r="E61" i="24"/>
  <c r="D67" i="24"/>
  <c r="E67" i="24"/>
  <c r="D73" i="24"/>
  <c r="E73" i="24"/>
  <c r="D79" i="24"/>
  <c r="E79" i="24"/>
  <c r="D85" i="24"/>
  <c r="E85" i="24"/>
  <c r="D91" i="24"/>
  <c r="E91" i="24"/>
  <c r="D97" i="24"/>
  <c r="E97" i="24"/>
  <c r="D103" i="24"/>
  <c r="E103" i="24"/>
  <c r="D109" i="24"/>
  <c r="E109" i="24"/>
  <c r="D121" i="24"/>
  <c r="E121" i="24"/>
  <c r="D127" i="24"/>
  <c r="E127" i="24"/>
  <c r="D133" i="24"/>
  <c r="E133" i="24"/>
  <c r="D139" i="24"/>
  <c r="E139" i="24"/>
  <c r="D145" i="24"/>
  <c r="E145" i="24"/>
  <c r="D151" i="24"/>
  <c r="E151" i="24"/>
  <c r="D157" i="24"/>
  <c r="E157" i="24"/>
  <c r="D163" i="24"/>
  <c r="E163" i="24"/>
  <c r="D169" i="24"/>
  <c r="E169" i="24"/>
  <c r="E175" i="24"/>
  <c r="E15" i="24"/>
  <c r="D15" i="24"/>
  <c r="AG30" i="45"/>
  <c r="P54" i="45"/>
  <c r="R12" i="45"/>
  <c r="O40" i="45"/>
  <c r="U30" i="45"/>
  <c r="AA20" i="45"/>
  <c r="AG50" i="45"/>
  <c r="O20" i="45"/>
  <c r="O50" i="45"/>
  <c r="O10" i="45"/>
  <c r="AM10" i="45"/>
  <c r="AM40" i="45"/>
  <c r="J44" i="45"/>
  <c r="P34" i="45"/>
  <c r="AH44" i="45"/>
  <c r="J14" i="45"/>
  <c r="P14" i="45"/>
  <c r="J24" i="45"/>
  <c r="V44" i="45"/>
  <c r="AL45" i="45"/>
  <c r="N15" i="45"/>
  <c r="N55" i="45"/>
  <c r="T45" i="45"/>
  <c r="Z35" i="45"/>
  <c r="AF25" i="45"/>
  <c r="AL15" i="45"/>
  <c r="AL55" i="45"/>
  <c r="N25" i="45"/>
  <c r="T15" i="45"/>
  <c r="T55" i="45"/>
  <c r="Z45" i="45"/>
  <c r="AL25" i="45"/>
  <c r="Z15" i="45"/>
  <c r="Z55" i="45"/>
  <c r="T35" i="45"/>
  <c r="N45" i="45"/>
  <c r="AF15" i="45"/>
  <c r="N35" i="45"/>
  <c r="T25" i="45"/>
  <c r="AF45" i="45"/>
  <c r="AF55" i="45"/>
  <c r="AF35" i="45"/>
  <c r="AL35" i="45"/>
  <c r="Z25" i="45"/>
  <c r="AG34" i="45"/>
  <c r="AM24" i="45"/>
  <c r="O34" i="45"/>
  <c r="U24" i="45"/>
  <c r="AA14" i="45"/>
  <c r="AA54" i="45"/>
  <c r="AG44" i="45"/>
  <c r="AM34" i="45"/>
  <c r="O44" i="45"/>
  <c r="U34" i="45"/>
  <c r="AG14" i="45"/>
  <c r="AG54" i="45"/>
  <c r="U44" i="45"/>
  <c r="O24" i="45"/>
  <c r="AM14" i="45"/>
  <c r="AG24" i="45"/>
  <c r="AA34" i="45"/>
  <c r="AA44" i="45"/>
  <c r="O14" i="45"/>
  <c r="O54" i="45"/>
  <c r="U14" i="45"/>
  <c r="U54" i="45"/>
  <c r="AM44" i="45"/>
  <c r="AM54" i="45"/>
  <c r="AA24" i="45"/>
  <c r="AB23" i="45"/>
  <c r="AH13" i="45"/>
  <c r="AH53" i="45"/>
  <c r="J23" i="45"/>
  <c r="P13" i="45"/>
  <c r="P53" i="45"/>
  <c r="V43" i="45"/>
  <c r="AB33" i="45"/>
  <c r="AH23" i="45"/>
  <c r="J33" i="45"/>
  <c r="P23" i="45"/>
  <c r="V13" i="45"/>
  <c r="AB43" i="45"/>
  <c r="P33" i="45"/>
  <c r="J13" i="45"/>
  <c r="J53" i="45"/>
  <c r="AB13" i="45"/>
  <c r="P43" i="45"/>
  <c r="AB53" i="45"/>
  <c r="V23" i="45"/>
  <c r="V33" i="45"/>
  <c r="AH33" i="45"/>
  <c r="AH43" i="45"/>
  <c r="J43" i="45"/>
  <c r="V53" i="45"/>
  <c r="W29" i="45"/>
  <c r="AC19" i="45"/>
  <c r="AI9" i="45"/>
  <c r="AI49" i="45"/>
  <c r="K19" i="45"/>
  <c r="Q9" i="45"/>
  <c r="Q49" i="45"/>
  <c r="W39" i="45"/>
  <c r="AC29" i="45"/>
  <c r="AI19" i="45"/>
  <c r="K29" i="45"/>
  <c r="Q19" i="45"/>
  <c r="W9" i="45"/>
  <c r="W49" i="45"/>
  <c r="K39" i="45"/>
  <c r="AI39" i="45"/>
  <c r="AI29" i="45"/>
  <c r="AC39" i="45"/>
  <c r="AC49" i="45"/>
  <c r="W19" i="45"/>
  <c r="K49" i="45"/>
  <c r="K9" i="45"/>
  <c r="Q29" i="45"/>
  <c r="Q39" i="45"/>
  <c r="AC9" i="45"/>
  <c r="AG15" i="45"/>
  <c r="AG55" i="45"/>
  <c r="AM45" i="45"/>
  <c r="O15" i="45"/>
  <c r="O55" i="45"/>
  <c r="U45" i="45"/>
  <c r="AA35" i="45"/>
  <c r="AG25" i="45"/>
  <c r="AM15" i="45"/>
  <c r="AM55" i="45"/>
  <c r="O25" i="45"/>
  <c r="U15" i="45"/>
  <c r="U55" i="45"/>
  <c r="AG35" i="45"/>
  <c r="U25" i="45"/>
  <c r="O45" i="45"/>
  <c r="AA15" i="45"/>
  <c r="O35" i="45"/>
  <c r="AA55" i="45"/>
  <c r="AA45" i="45"/>
  <c r="U35" i="45"/>
  <c r="AG45" i="45"/>
  <c r="AM25" i="45"/>
  <c r="AM35" i="45"/>
  <c r="AA25" i="45"/>
  <c r="AL18" i="45"/>
  <c r="N28" i="45"/>
  <c r="T18" i="45"/>
  <c r="Z8" i="45"/>
  <c r="Z48" i="45"/>
  <c r="AF38" i="45"/>
  <c r="AL28" i="45"/>
  <c r="N38" i="45"/>
  <c r="T28" i="45"/>
  <c r="Z18" i="45"/>
  <c r="AF8" i="45"/>
  <c r="AL38" i="45"/>
  <c r="Z28" i="45"/>
  <c r="T8" i="45"/>
  <c r="T48" i="45"/>
  <c r="T38" i="45"/>
  <c r="N8" i="45"/>
  <c r="Z38" i="45"/>
  <c r="N48" i="45"/>
  <c r="AF48" i="45"/>
  <c r="AL48" i="45"/>
  <c r="N18" i="45"/>
  <c r="AF28" i="45"/>
  <c r="AF18" i="45"/>
  <c r="AL8" i="45"/>
  <c r="AG13" i="45"/>
  <c r="AG53" i="45"/>
  <c r="AM43" i="45"/>
  <c r="O13" i="45"/>
  <c r="O53" i="45"/>
  <c r="U43" i="45"/>
  <c r="AA33" i="45"/>
  <c r="AG23" i="45"/>
  <c r="AM13" i="45"/>
  <c r="AM53" i="45"/>
  <c r="O23" i="45"/>
  <c r="U13" i="45"/>
  <c r="U53" i="45"/>
  <c r="AG33" i="45"/>
  <c r="U23" i="45"/>
  <c r="O43" i="45"/>
  <c r="O33" i="45"/>
  <c r="AA53" i="45"/>
  <c r="U33" i="45"/>
  <c r="AA43" i="45"/>
  <c r="AG43" i="45"/>
  <c r="AA23" i="45"/>
  <c r="AM23" i="45"/>
  <c r="AM33" i="45"/>
  <c r="AA13" i="45"/>
  <c r="R20" i="45"/>
  <c r="X10" i="45"/>
  <c r="X50" i="45"/>
  <c r="AD40" i="45"/>
  <c r="AJ30" i="45"/>
  <c r="L40" i="45"/>
  <c r="R30" i="45"/>
  <c r="X20" i="45"/>
  <c r="AD10" i="45"/>
  <c r="AD50" i="45"/>
  <c r="AJ40" i="45"/>
  <c r="L10" i="45"/>
  <c r="R40" i="45"/>
  <c r="AJ10" i="45"/>
  <c r="AJ50" i="45"/>
  <c r="AD30" i="45"/>
  <c r="R50" i="45"/>
  <c r="R10" i="45"/>
  <c r="L30" i="45"/>
  <c r="X30" i="45"/>
  <c r="X40" i="45"/>
  <c r="L20" i="45"/>
  <c r="AD20" i="45"/>
  <c r="AJ20" i="45"/>
  <c r="L50" i="45"/>
  <c r="R24" i="45"/>
  <c r="X14" i="45"/>
  <c r="X54" i="45"/>
  <c r="AD44" i="45"/>
  <c r="AJ34" i="45"/>
  <c r="L44" i="45"/>
  <c r="R34" i="45"/>
  <c r="X24" i="45"/>
  <c r="AD14" i="45"/>
  <c r="AD54" i="45"/>
  <c r="AJ44" i="45"/>
  <c r="L14" i="45"/>
  <c r="R44" i="45"/>
  <c r="AJ14" i="45"/>
  <c r="AJ54" i="45"/>
  <c r="AD34" i="45"/>
  <c r="AD24" i="45"/>
  <c r="AJ24" i="45"/>
  <c r="X34" i="45"/>
  <c r="L54" i="45"/>
  <c r="R14" i="45"/>
  <c r="R54" i="45"/>
  <c r="X44" i="45"/>
  <c r="L24" i="45"/>
  <c r="L34" i="45"/>
  <c r="AJ42" i="45"/>
  <c r="R42" i="45"/>
  <c r="R41" i="45"/>
  <c r="X31" i="45"/>
  <c r="AD21" i="45"/>
  <c r="AJ11" i="45"/>
  <c r="AJ51" i="45"/>
  <c r="L21" i="45"/>
  <c r="R11" i="45"/>
  <c r="R51" i="45"/>
  <c r="X41" i="45"/>
  <c r="AD31" i="45"/>
  <c r="AJ21" i="45"/>
  <c r="R21" i="45"/>
  <c r="AJ31" i="45"/>
  <c r="AD11" i="45"/>
  <c r="AD51" i="45"/>
  <c r="AD41" i="45"/>
  <c r="X21" i="45"/>
  <c r="AJ41" i="45"/>
  <c r="X51" i="45"/>
  <c r="L11" i="45"/>
  <c r="L51" i="45"/>
  <c r="L31" i="45"/>
  <c r="X11" i="45"/>
  <c r="L41" i="45"/>
  <c r="R31" i="45"/>
  <c r="AB37" i="45"/>
  <c r="AH37" i="45"/>
  <c r="J7" i="45"/>
  <c r="J47" i="45"/>
  <c r="P7" i="45"/>
  <c r="P47" i="45"/>
  <c r="V7" i="45"/>
  <c r="V47" i="45"/>
  <c r="AB7" i="45"/>
  <c r="AB47" i="45"/>
  <c r="AH7" i="45"/>
  <c r="AH47" i="45"/>
  <c r="J17" i="45"/>
  <c r="P17" i="45"/>
  <c r="V17" i="45"/>
  <c r="AB17" i="45"/>
  <c r="P27" i="45"/>
  <c r="J37" i="45"/>
  <c r="P37" i="45"/>
  <c r="V27" i="45"/>
  <c r="V37" i="45"/>
  <c r="AH17" i="45"/>
  <c r="J27" i="45"/>
  <c r="AB27" i="45"/>
  <c r="AH27" i="45"/>
  <c r="AB40" i="45"/>
  <c r="AH30" i="45"/>
  <c r="J40" i="45"/>
  <c r="P30" i="45"/>
  <c r="V20" i="45"/>
  <c r="AB10" i="45"/>
  <c r="AB50" i="45"/>
  <c r="AH40" i="45"/>
  <c r="J10" i="45"/>
  <c r="J50" i="45"/>
  <c r="P40" i="45"/>
  <c r="AB20" i="45"/>
  <c r="P10" i="45"/>
  <c r="P50" i="45"/>
  <c r="J30" i="45"/>
  <c r="AH20" i="45"/>
  <c r="V40" i="45"/>
  <c r="V50" i="45"/>
  <c r="V30" i="45"/>
  <c r="J20" i="45"/>
  <c r="AH50" i="45"/>
  <c r="V10" i="45"/>
  <c r="AH10" i="45"/>
  <c r="AB30" i="45"/>
  <c r="P20" i="45"/>
  <c r="W8" i="45"/>
  <c r="W48" i="45"/>
  <c r="AC38" i="45"/>
  <c r="AI28" i="45"/>
  <c r="K38" i="45"/>
  <c r="Q28" i="45"/>
  <c r="W18" i="45"/>
  <c r="AC8" i="45"/>
  <c r="AC48" i="45"/>
  <c r="AI38" i="45"/>
  <c r="K8" i="45"/>
  <c r="K48" i="45"/>
  <c r="W28" i="45"/>
  <c r="K18" i="45"/>
  <c r="AI18" i="45"/>
  <c r="K28" i="45"/>
  <c r="Q8" i="45"/>
  <c r="Q38" i="45"/>
  <c r="W38" i="45"/>
  <c r="AI48" i="45"/>
  <c r="Q48" i="45"/>
  <c r="AC28" i="45"/>
  <c r="AI8" i="45"/>
  <c r="Q18" i="45"/>
  <c r="AC18" i="45"/>
  <c r="AF6" i="45"/>
  <c r="AG9" i="45"/>
  <c r="AG49" i="45"/>
  <c r="AM39" i="45"/>
  <c r="O9" i="45"/>
  <c r="O49" i="45"/>
  <c r="U39" i="45"/>
  <c r="AA29" i="45"/>
  <c r="AG19" i="45"/>
  <c r="AM9" i="45"/>
  <c r="AM49" i="45"/>
  <c r="O19" i="45"/>
  <c r="U9" i="45"/>
  <c r="U49" i="45"/>
  <c r="AG29" i="45"/>
  <c r="U19" i="45"/>
  <c r="O39" i="45"/>
  <c r="AM29" i="45"/>
  <c r="U29" i="45"/>
  <c r="AA19" i="45"/>
  <c r="AM19" i="45"/>
  <c r="AA39" i="45"/>
  <c r="AA9" i="45"/>
  <c r="O29" i="45"/>
  <c r="AG39" i="45"/>
  <c r="AA49" i="45"/>
  <c r="K6" i="45"/>
  <c r="Q6" i="45"/>
  <c r="W6" i="45"/>
  <c r="AC6" i="45"/>
  <c r="AI6" i="45"/>
  <c r="K16" i="45"/>
  <c r="Q16" i="45"/>
  <c r="W16" i="45"/>
  <c r="AC16" i="45"/>
  <c r="AI16" i="45"/>
  <c r="K26" i="45"/>
  <c r="Q26" i="45"/>
  <c r="W26" i="45"/>
  <c r="AC26" i="45"/>
  <c r="AI26" i="45"/>
  <c r="K36" i="45"/>
  <c r="Q36" i="45"/>
  <c r="W36" i="45"/>
  <c r="AC36" i="45"/>
  <c r="AI36" i="45"/>
  <c r="K46" i="45"/>
  <c r="Q46" i="45"/>
  <c r="W46" i="45"/>
  <c r="AC46" i="45"/>
  <c r="AI46" i="45"/>
  <c r="O6" i="45"/>
  <c r="U6" i="45"/>
  <c r="AA6" i="45"/>
  <c r="AG6" i="45"/>
  <c r="AM6" i="45"/>
  <c r="O16" i="45"/>
  <c r="U16" i="45"/>
  <c r="AA16" i="45"/>
  <c r="AG16" i="45"/>
  <c r="AM16" i="45"/>
  <c r="O26" i="45"/>
  <c r="U26" i="45"/>
  <c r="AA26" i="45"/>
  <c r="AG26" i="45"/>
  <c r="AM26" i="45"/>
  <c r="O36" i="45"/>
  <c r="U36" i="45"/>
  <c r="AA36" i="45"/>
  <c r="AG36" i="45"/>
  <c r="AM36" i="45"/>
  <c r="O46" i="45"/>
  <c r="U46" i="45"/>
  <c r="AA46" i="45"/>
  <c r="AG46" i="45"/>
  <c r="AM46" i="45"/>
  <c r="M7" i="45"/>
  <c r="S7" i="45"/>
  <c r="Y7" i="45"/>
  <c r="AE7" i="45"/>
  <c r="AK7" i="45"/>
  <c r="M17" i="45"/>
  <c r="S17" i="45"/>
  <c r="Y17" i="45"/>
  <c r="AE17" i="45"/>
  <c r="AK17" i="45"/>
  <c r="M27" i="45"/>
  <c r="S27" i="45"/>
  <c r="Y27" i="45"/>
  <c r="AE27" i="45"/>
  <c r="AK27" i="45"/>
  <c r="M37" i="45"/>
  <c r="S37" i="45"/>
  <c r="Y37" i="45"/>
  <c r="AE37" i="45"/>
  <c r="AK37" i="45"/>
  <c r="M47" i="45"/>
  <c r="S47" i="45"/>
  <c r="Y47" i="45"/>
  <c r="AE47" i="45"/>
  <c r="AK47" i="45"/>
  <c r="Y260" i="24"/>
  <c r="Y259" i="24"/>
  <c r="Y258" i="24"/>
  <c r="Y257" i="24"/>
  <c r="Y256" i="24"/>
  <c r="Y255" i="24"/>
  <c r="Y254" i="24"/>
  <c r="Y253" i="24"/>
  <c r="Y252" i="24"/>
  <c r="Y251" i="24"/>
  <c r="Y250" i="24"/>
  <c r="Y249" i="24"/>
  <c r="Y248" i="24"/>
  <c r="Y247" i="24"/>
  <c r="Y246" i="24"/>
  <c r="Y245" i="24"/>
  <c r="Y244" i="24"/>
  <c r="Y243" i="24"/>
  <c r="Y242" i="24"/>
  <c r="Y241" i="24"/>
  <c r="Y240" i="24"/>
  <c r="Y239" i="24"/>
  <c r="Y238" i="24"/>
  <c r="Y237" i="24"/>
  <c r="Y236" i="24"/>
  <c r="Y235" i="24"/>
  <c r="Y234" i="24"/>
  <c r="Y233" i="24"/>
  <c r="Y232" i="24"/>
  <c r="Y231" i="24"/>
  <c r="Y230" i="24"/>
  <c r="Y229" i="24"/>
  <c r="Y228" i="24"/>
  <c r="Y227" i="24"/>
  <c r="Y226" i="24"/>
  <c r="Y225" i="24"/>
  <c r="Y224" i="24"/>
  <c r="Y223" i="24"/>
  <c r="Y222" i="24"/>
  <c r="Y221" i="24"/>
  <c r="Y220" i="24"/>
  <c r="Y219" i="24"/>
  <c r="Y218" i="24"/>
  <c r="Y217" i="24"/>
  <c r="Y216" i="24"/>
  <c r="Y215" i="24"/>
  <c r="Y214" i="24"/>
  <c r="Y213" i="24"/>
  <c r="Y212" i="24"/>
  <c r="Y211" i="24"/>
  <c r="Y210" i="24"/>
  <c r="Y209" i="24"/>
  <c r="Y208" i="24"/>
  <c r="Y207" i="24"/>
  <c r="Y206" i="24"/>
  <c r="Y205" i="24"/>
  <c r="Y204" i="24"/>
  <c r="Y203" i="24"/>
  <c r="Y202" i="24"/>
  <c r="Y201" i="24"/>
  <c r="Y200" i="24"/>
  <c r="Y199" i="24"/>
  <c r="Y198" i="24"/>
  <c r="Y197" i="24"/>
  <c r="Y196" i="24"/>
  <c r="Y195" i="24"/>
  <c r="Y194" i="24"/>
  <c r="Y193" i="24"/>
  <c r="Y192" i="24"/>
  <c r="Y191" i="24"/>
  <c r="Y190" i="24"/>
  <c r="Y189" i="24"/>
  <c r="Y188" i="24"/>
  <c r="Y187" i="24"/>
  <c r="Y186" i="24"/>
  <c r="Y185" i="24"/>
  <c r="Y184" i="24"/>
  <c r="Y183" i="24"/>
  <c r="Y182" i="24"/>
  <c r="Y181" i="24"/>
  <c r="Y180" i="24"/>
  <c r="Y179" i="24"/>
  <c r="Y178" i="24"/>
  <c r="Y177" i="24"/>
  <c r="Y176" i="24"/>
  <c r="Y175" i="24"/>
  <c r="Y174" i="24"/>
  <c r="Y173" i="24"/>
  <c r="Y172" i="24"/>
  <c r="Y171" i="24"/>
  <c r="Y170" i="24"/>
  <c r="Y169" i="24"/>
  <c r="Y168" i="24"/>
  <c r="Y167" i="24"/>
  <c r="Y166" i="24"/>
  <c r="Y165" i="24"/>
  <c r="Y164" i="24"/>
  <c r="Y163" i="24"/>
  <c r="Y162" i="24"/>
  <c r="Y161" i="24"/>
  <c r="Y160" i="24"/>
  <c r="Y159" i="24"/>
  <c r="Y158" i="24"/>
  <c r="Y157" i="24"/>
  <c r="Y156" i="24"/>
  <c r="Y155" i="24"/>
  <c r="Y154" i="24"/>
  <c r="Y153" i="24"/>
  <c r="Y152" i="24"/>
  <c r="Y151" i="24"/>
  <c r="Y150" i="24"/>
  <c r="Y149" i="24"/>
  <c r="Y148" i="24"/>
  <c r="Y147" i="24"/>
  <c r="Y146" i="24"/>
  <c r="Y145" i="24"/>
  <c r="Y144" i="24"/>
  <c r="Y143" i="24"/>
  <c r="Y142" i="24"/>
  <c r="Y141" i="24"/>
  <c r="Y140" i="24"/>
  <c r="Y139" i="24"/>
  <c r="Y138" i="24"/>
  <c r="Y137" i="24"/>
  <c r="Y136" i="24"/>
  <c r="Y135" i="24"/>
  <c r="Y134" i="24"/>
  <c r="Y133" i="24"/>
  <c r="Y132" i="24"/>
  <c r="Y131" i="24"/>
  <c r="Y130" i="24"/>
  <c r="Y129" i="24"/>
  <c r="Y128" i="24"/>
  <c r="Y127" i="24"/>
  <c r="Y126" i="24"/>
  <c r="Y125" i="24"/>
  <c r="Y124" i="24"/>
  <c r="Y123" i="24"/>
  <c r="Y122" i="24"/>
  <c r="Y121" i="24"/>
  <c r="Y120" i="24"/>
  <c r="Y119" i="24"/>
  <c r="Y118" i="24"/>
  <c r="Y117" i="24"/>
  <c r="Y116" i="24"/>
  <c r="Y115" i="24"/>
  <c r="Y114" i="24"/>
  <c r="Y113" i="24"/>
  <c r="Y112" i="24"/>
  <c r="Y111" i="24"/>
  <c r="Y110" i="24"/>
  <c r="Y109" i="24"/>
  <c r="Y108" i="24"/>
  <c r="Y107" i="24"/>
  <c r="Y106" i="24"/>
  <c r="Y105" i="24"/>
  <c r="Y104" i="24"/>
  <c r="Y103" i="24"/>
  <c r="Y102" i="24"/>
  <c r="Y101" i="24"/>
  <c r="Y100" i="24"/>
  <c r="Y99" i="24"/>
  <c r="Y98" i="24"/>
  <c r="Y97" i="24"/>
  <c r="Y96" i="24"/>
  <c r="Y95" i="24"/>
  <c r="Y94" i="24"/>
  <c r="Y93" i="24"/>
  <c r="Y92" i="24"/>
  <c r="Y91" i="24"/>
  <c r="Y90" i="24"/>
  <c r="Y89" i="24"/>
  <c r="Y88" i="24"/>
  <c r="Y87" i="24"/>
  <c r="Y86" i="24"/>
  <c r="Y85" i="24"/>
  <c r="Y84" i="24"/>
  <c r="Y83" i="24"/>
  <c r="Y82" i="24"/>
  <c r="Y81" i="24"/>
  <c r="Y80" i="24"/>
  <c r="Y79" i="24"/>
  <c r="Y78" i="24"/>
  <c r="Y77" i="24"/>
  <c r="Y76" i="24"/>
  <c r="Y75" i="24"/>
  <c r="Y74" i="24"/>
  <c r="Y73" i="24"/>
  <c r="Y72" i="24"/>
  <c r="Y71" i="24"/>
  <c r="Y70" i="24"/>
  <c r="Y69" i="24"/>
  <c r="Y68" i="24"/>
  <c r="Y67" i="24"/>
  <c r="Y66" i="24"/>
  <c r="Y65" i="24"/>
  <c r="Y64" i="24"/>
  <c r="Y63" i="24"/>
  <c r="Y62" i="24"/>
  <c r="Y61" i="24"/>
  <c r="AD37" i="45"/>
  <c r="AF27" i="45"/>
  <c r="AL27" i="45"/>
  <c r="Z47" i="45"/>
  <c r="AF47" i="45"/>
  <c r="Z46" i="45"/>
  <c r="X22" i="45"/>
  <c r="X37" i="45"/>
  <c r="R32" i="45"/>
  <c r="L42" i="45"/>
  <c r="Z6" i="45"/>
  <c r="AJ32" i="45"/>
  <c r="U50" i="45"/>
  <c r="AD52" i="45"/>
  <c r="AG10" i="45"/>
  <c r="L52" i="45"/>
  <c r="AM30" i="45"/>
  <c r="AD12" i="45"/>
  <c r="X42" i="45"/>
  <c r="AD32" i="45"/>
  <c r="AG40" i="45"/>
  <c r="AJ52" i="45"/>
  <c r="U20" i="45"/>
  <c r="AJ12" i="45"/>
  <c r="U37" i="45"/>
  <c r="O37" i="45"/>
  <c r="AJ22" i="45"/>
  <c r="AB24" i="45"/>
  <c r="U10" i="45"/>
  <c r="AG17" i="45"/>
  <c r="P44" i="45"/>
  <c r="J54" i="45"/>
  <c r="T47" i="45"/>
  <c r="L12" i="45"/>
  <c r="AB54" i="45"/>
  <c r="U40" i="45"/>
  <c r="T37" i="45"/>
  <c r="AD47" i="45"/>
  <c r="AB14" i="45"/>
  <c r="N37" i="45"/>
  <c r="AJ37" i="45"/>
  <c r="AB34" i="45"/>
  <c r="V24" i="45"/>
  <c r="N27" i="45"/>
  <c r="R37" i="45"/>
  <c r="AH14" i="45"/>
  <c r="AH34" i="45"/>
  <c r="Z17" i="45"/>
  <c r="X27" i="45"/>
  <c r="AH54" i="45"/>
  <c r="AB44" i="45"/>
  <c r="V34" i="45"/>
  <c r="Z7" i="45"/>
  <c r="L27" i="45"/>
  <c r="X32" i="45"/>
  <c r="AD42" i="45"/>
  <c r="V54" i="45"/>
  <c r="AA50" i="45"/>
  <c r="R27" i="45"/>
  <c r="T7" i="45"/>
  <c r="AJ17" i="45"/>
  <c r="L32" i="45"/>
  <c r="X52" i="45"/>
  <c r="V14" i="45"/>
  <c r="AM50" i="45"/>
  <c r="AA10" i="45"/>
  <c r="R17" i="45"/>
  <c r="AD22" i="45"/>
  <c r="R22" i="45"/>
  <c r="AH24" i="45"/>
  <c r="AG20" i="45"/>
  <c r="O30" i="45"/>
  <c r="L22" i="45"/>
  <c r="AD7" i="45"/>
  <c r="R52" i="45"/>
  <c r="J34" i="45"/>
  <c r="AA40" i="45"/>
  <c r="AM20" i="45"/>
  <c r="AF7" i="45"/>
  <c r="AD17" i="45"/>
  <c r="X12" i="45"/>
  <c r="P24" i="45"/>
  <c r="AA37" i="45"/>
  <c r="AA30" i="45"/>
  <c r="N46" i="45"/>
  <c r="N6" i="45"/>
  <c r="AB42" i="45"/>
  <c r="AH32" i="45"/>
  <c r="J42" i="45"/>
  <c r="P32" i="45"/>
  <c r="V22" i="45"/>
  <c r="AB12" i="45"/>
  <c r="AB52" i="45"/>
  <c r="AH42" i="45"/>
  <c r="J12" i="45"/>
  <c r="J52" i="45"/>
  <c r="P42" i="45"/>
  <c r="AB22" i="45"/>
  <c r="P12" i="45"/>
  <c r="P52" i="45"/>
  <c r="J32" i="45"/>
  <c r="J22" i="45"/>
  <c r="V12" i="45"/>
  <c r="V42" i="45"/>
  <c r="V52" i="45"/>
  <c r="AH12" i="45"/>
  <c r="V32" i="45"/>
  <c r="AB32" i="45"/>
  <c r="AH52" i="45"/>
  <c r="P22" i="45"/>
  <c r="AH22" i="45"/>
  <c r="AM27" i="45"/>
  <c r="AL36" i="45"/>
  <c r="Z27" i="45"/>
  <c r="AG27" i="45"/>
  <c r="AF36" i="45"/>
  <c r="AL22" i="45"/>
  <c r="N32" i="45"/>
  <c r="T22" i="45"/>
  <c r="Z12" i="45"/>
  <c r="Z52" i="45"/>
  <c r="AF42" i="45"/>
  <c r="AL32" i="45"/>
  <c r="N42" i="45"/>
  <c r="T32" i="45"/>
  <c r="Z22" i="45"/>
  <c r="AF12" i="45"/>
  <c r="AL42" i="45"/>
  <c r="Z32" i="45"/>
  <c r="T12" i="45"/>
  <c r="T52" i="45"/>
  <c r="N12" i="45"/>
  <c r="N52" i="45"/>
  <c r="AF32" i="45"/>
  <c r="AF22" i="45"/>
  <c r="T42" i="45"/>
  <c r="AF52" i="45"/>
  <c r="AL12" i="45"/>
  <c r="AL52" i="45"/>
  <c r="N22" i="45"/>
  <c r="Z42" i="45"/>
  <c r="W14" i="45"/>
  <c r="W54" i="45"/>
  <c r="AC44" i="45"/>
  <c r="AI34" i="45"/>
  <c r="K44" i="45"/>
  <c r="Q34" i="45"/>
  <c r="W24" i="45"/>
  <c r="AC14" i="45"/>
  <c r="AC54" i="45"/>
  <c r="AI44" i="45"/>
  <c r="K14" i="45"/>
  <c r="K54" i="45"/>
  <c r="W34" i="45"/>
  <c r="K24" i="45"/>
  <c r="AI24" i="45"/>
  <c r="Q14" i="45"/>
  <c r="Q54" i="45"/>
  <c r="Q44" i="45"/>
  <c r="W44" i="45"/>
  <c r="AI54" i="45"/>
  <c r="Q24" i="45"/>
  <c r="AI14" i="45"/>
  <c r="K34" i="45"/>
  <c r="AC34" i="45"/>
  <c r="AC24" i="45"/>
  <c r="AG32" i="45"/>
  <c r="AM22" i="45"/>
  <c r="O32" i="45"/>
  <c r="U22" i="45"/>
  <c r="AA12" i="45"/>
  <c r="AA52" i="45"/>
  <c r="AG42" i="45"/>
  <c r="AM32" i="45"/>
  <c r="O42" i="45"/>
  <c r="U32" i="45"/>
  <c r="AG12" i="45"/>
  <c r="AG52" i="45"/>
  <c r="U42" i="45"/>
  <c r="O22" i="45"/>
  <c r="O12" i="45"/>
  <c r="AM42" i="45"/>
  <c r="O52" i="45"/>
  <c r="U12" i="45"/>
  <c r="U52" i="45"/>
  <c r="AM12" i="45"/>
  <c r="AA22" i="45"/>
  <c r="AM52" i="45"/>
  <c r="AA32" i="45"/>
  <c r="AA42" i="45"/>
  <c r="AG22" i="45"/>
  <c r="W31" i="45"/>
  <c r="AC21" i="45"/>
  <c r="AI11" i="45"/>
  <c r="AI51" i="45"/>
  <c r="K21" i="45"/>
  <c r="Q11" i="45"/>
  <c r="Q51" i="45"/>
  <c r="W41" i="45"/>
  <c r="AC31" i="45"/>
  <c r="AI21" i="45"/>
  <c r="K31" i="45"/>
  <c r="Q21" i="45"/>
  <c r="W11" i="45"/>
  <c r="W51" i="45"/>
  <c r="K41" i="45"/>
  <c r="AI41" i="45"/>
  <c r="AC11" i="45"/>
  <c r="AI31" i="45"/>
  <c r="W21" i="45"/>
  <c r="Q31" i="45"/>
  <c r="Q41" i="45"/>
  <c r="K51" i="45"/>
  <c r="K11" i="45"/>
  <c r="AC51" i="45"/>
  <c r="AC41" i="45"/>
  <c r="M15" i="45"/>
  <c r="M55" i="45"/>
  <c r="S45" i="45"/>
  <c r="Y35" i="45"/>
  <c r="AE25" i="45"/>
  <c r="AK15" i="45"/>
  <c r="AK55" i="45"/>
  <c r="M25" i="45"/>
  <c r="S15" i="45"/>
  <c r="S55" i="45"/>
  <c r="Y45" i="45"/>
  <c r="AE35" i="45"/>
  <c r="M35" i="45"/>
  <c r="AE45" i="45"/>
  <c r="Y25" i="45"/>
  <c r="AE15" i="45"/>
  <c r="M45" i="45"/>
  <c r="Y55" i="45"/>
  <c r="S25" i="45"/>
  <c r="S35" i="45"/>
  <c r="AE55" i="45"/>
  <c r="AK25" i="45"/>
  <c r="AK35" i="45"/>
  <c r="AK45" i="45"/>
  <c r="Y15" i="45"/>
  <c r="T27" i="45"/>
  <c r="X17" i="45"/>
  <c r="AA27" i="45"/>
  <c r="Z36" i="45"/>
  <c r="T6" i="45"/>
  <c r="U27" i="45"/>
  <c r="M11" i="45"/>
  <c r="M51" i="45"/>
  <c r="S41" i="45"/>
  <c r="Y31" i="45"/>
  <c r="AE21" i="45"/>
  <c r="AK11" i="45"/>
  <c r="AK51" i="45"/>
  <c r="M21" i="45"/>
  <c r="S11" i="45"/>
  <c r="S51" i="45"/>
  <c r="Y41" i="45"/>
  <c r="AE31" i="45"/>
  <c r="AK21" i="45"/>
  <c r="M31" i="45"/>
  <c r="AE41" i="45"/>
  <c r="Y21" i="45"/>
  <c r="S21" i="45"/>
  <c r="AE51" i="45"/>
  <c r="AE11" i="45"/>
  <c r="Y11" i="45"/>
  <c r="Y51" i="45"/>
  <c r="AK31" i="45"/>
  <c r="AK41" i="45"/>
  <c r="M41" i="45"/>
  <c r="S31" i="45"/>
  <c r="T36" i="45"/>
  <c r="AG28" i="45"/>
  <c r="AM18" i="45"/>
  <c r="O28" i="45"/>
  <c r="U18" i="45"/>
  <c r="AA8" i="45"/>
  <c r="AA48" i="45"/>
  <c r="AG38" i="45"/>
  <c r="AM28" i="45"/>
  <c r="O38" i="45"/>
  <c r="U28" i="45"/>
  <c r="AA18" i="45"/>
  <c r="AG8" i="45"/>
  <c r="AG48" i="45"/>
  <c r="U38" i="45"/>
  <c r="O18" i="45"/>
  <c r="U48" i="45"/>
  <c r="AG18" i="45"/>
  <c r="O48" i="45"/>
  <c r="O8" i="45"/>
  <c r="AA28" i="45"/>
  <c r="AA38" i="45"/>
  <c r="U8" i="45"/>
  <c r="AM38" i="45"/>
  <c r="AM48" i="45"/>
  <c r="AM8" i="45"/>
  <c r="AB19" i="45"/>
  <c r="AH9" i="45"/>
  <c r="AH49" i="45"/>
  <c r="J19" i="45"/>
  <c r="P9" i="45"/>
  <c r="P49" i="45"/>
  <c r="V39" i="45"/>
  <c r="AB29" i="45"/>
  <c r="AH19" i="45"/>
  <c r="J29" i="45"/>
  <c r="P19" i="45"/>
  <c r="V9" i="45"/>
  <c r="AB39" i="45"/>
  <c r="P29" i="45"/>
  <c r="J9" i="45"/>
  <c r="J49" i="45"/>
  <c r="V19" i="45"/>
  <c r="AB9" i="45"/>
  <c r="V29" i="45"/>
  <c r="J39" i="45"/>
  <c r="V49" i="45"/>
  <c r="AB49" i="45"/>
  <c r="P39" i="45"/>
  <c r="AH29" i="45"/>
  <c r="AH39" i="45"/>
  <c r="AL17" i="45"/>
  <c r="L17" i="45"/>
  <c r="O27" i="45"/>
  <c r="N36" i="45"/>
  <c r="AL20" i="45"/>
  <c r="N30" i="45"/>
  <c r="T20" i="45"/>
  <c r="Z10" i="45"/>
  <c r="Z50" i="45"/>
  <c r="AF40" i="45"/>
  <c r="AL30" i="45"/>
  <c r="N40" i="45"/>
  <c r="T30" i="45"/>
  <c r="Z20" i="45"/>
  <c r="AF10" i="45"/>
  <c r="AL40" i="45"/>
  <c r="Z30" i="45"/>
  <c r="T10" i="45"/>
  <c r="T50" i="45"/>
  <c r="N10" i="45"/>
  <c r="T40" i="45"/>
  <c r="AF50" i="45"/>
  <c r="AF20" i="45"/>
  <c r="Z40" i="45"/>
  <c r="N20" i="45"/>
  <c r="AL50" i="45"/>
  <c r="AL10" i="45"/>
  <c r="AF30" i="45"/>
  <c r="N50" i="45"/>
  <c r="R45" i="45"/>
  <c r="X35" i="45"/>
  <c r="AD25" i="45"/>
  <c r="AJ15" i="45"/>
  <c r="AJ55" i="45"/>
  <c r="L25" i="45"/>
  <c r="R15" i="45"/>
  <c r="R55" i="45"/>
  <c r="X45" i="45"/>
  <c r="AD35" i="45"/>
  <c r="AJ25" i="45"/>
  <c r="R25" i="45"/>
  <c r="AJ35" i="45"/>
  <c r="AD15" i="45"/>
  <c r="AD55" i="45"/>
  <c r="L45" i="45"/>
  <c r="L55" i="45"/>
  <c r="L35" i="45"/>
  <c r="X55" i="45"/>
  <c r="R35" i="45"/>
  <c r="AD45" i="45"/>
  <c r="X15" i="45"/>
  <c r="X25" i="45"/>
  <c r="AJ45" i="45"/>
  <c r="L15" i="45"/>
  <c r="AF17" i="45"/>
  <c r="AJ47" i="45"/>
  <c r="AJ7" i="45"/>
  <c r="AM17" i="45"/>
  <c r="AL26" i="45"/>
  <c r="AL24" i="45"/>
  <c r="N34" i="45"/>
  <c r="T24" i="45"/>
  <c r="Z14" i="45"/>
  <c r="Z54" i="45"/>
  <c r="AF44" i="45"/>
  <c r="AL34" i="45"/>
  <c r="N44" i="45"/>
  <c r="T34" i="45"/>
  <c r="Z24" i="45"/>
  <c r="AF14" i="45"/>
  <c r="AL44" i="45"/>
  <c r="Z34" i="45"/>
  <c r="T14" i="45"/>
  <c r="T54" i="45"/>
  <c r="AF24" i="45"/>
  <c r="AF34" i="45"/>
  <c r="N14" i="45"/>
  <c r="N54" i="45"/>
  <c r="AF54" i="45"/>
  <c r="Z44" i="45"/>
  <c r="T44" i="45"/>
  <c r="N24" i="45"/>
  <c r="AL14" i="45"/>
  <c r="AL54" i="45"/>
  <c r="AF26" i="45"/>
  <c r="R18" i="45"/>
  <c r="X8" i="45"/>
  <c r="X48" i="45"/>
  <c r="AD38" i="45"/>
  <c r="AJ28" i="45"/>
  <c r="L38" i="45"/>
  <c r="R28" i="45"/>
  <c r="X18" i="45"/>
  <c r="AD8" i="45"/>
  <c r="AD48" i="45"/>
  <c r="AJ38" i="45"/>
  <c r="L8" i="45"/>
  <c r="R38" i="45"/>
  <c r="AJ8" i="45"/>
  <c r="AJ48" i="45"/>
  <c r="AD28" i="45"/>
  <c r="L28" i="45"/>
  <c r="X38" i="45"/>
  <c r="R48" i="45"/>
  <c r="X28" i="45"/>
  <c r="R8" i="45"/>
  <c r="L18" i="45"/>
  <c r="AJ18" i="45"/>
  <c r="L48" i="45"/>
  <c r="AD18" i="45"/>
  <c r="M30" i="45"/>
  <c r="S20" i="45"/>
  <c r="Y10" i="45"/>
  <c r="Y50" i="45"/>
  <c r="AE40" i="45"/>
  <c r="AK30" i="45"/>
  <c r="M40" i="45"/>
  <c r="S30" i="45"/>
  <c r="Y20" i="45"/>
  <c r="AE10" i="45"/>
  <c r="AE50" i="45"/>
  <c r="M10" i="45"/>
  <c r="M50" i="45"/>
  <c r="AE20" i="45"/>
  <c r="Y40" i="45"/>
  <c r="S50" i="45"/>
  <c r="S40" i="45"/>
  <c r="S10" i="45"/>
  <c r="Y30" i="45"/>
  <c r="M20" i="45"/>
  <c r="AK50" i="45"/>
  <c r="AK40" i="45"/>
  <c r="AK10" i="45"/>
  <c r="AE30" i="45"/>
  <c r="AK20" i="45"/>
  <c r="T17" i="45"/>
  <c r="X47" i="45"/>
  <c r="X7" i="45"/>
  <c r="AA17" i="45"/>
  <c r="Z26" i="45"/>
  <c r="T46" i="45"/>
  <c r="N17" i="45"/>
  <c r="R47" i="45"/>
  <c r="R7" i="45"/>
  <c r="U17" i="45"/>
  <c r="T26" i="45"/>
  <c r="M13" i="45"/>
  <c r="M53" i="45"/>
  <c r="S43" i="45"/>
  <c r="Y33" i="45"/>
  <c r="AE23" i="45"/>
  <c r="AK13" i="45"/>
  <c r="AK53" i="45"/>
  <c r="M23" i="45"/>
  <c r="S13" i="45"/>
  <c r="S53" i="45"/>
  <c r="Y43" i="45"/>
  <c r="AE33" i="45"/>
  <c r="M33" i="45"/>
  <c r="AE43" i="45"/>
  <c r="Y23" i="45"/>
  <c r="Y53" i="45"/>
  <c r="S23" i="45"/>
  <c r="S33" i="45"/>
  <c r="AE53" i="45"/>
  <c r="AE13" i="45"/>
  <c r="AK33" i="45"/>
  <c r="AK43" i="45"/>
  <c r="AK23" i="45"/>
  <c r="Y13" i="45"/>
  <c r="M43" i="45"/>
  <c r="AB25" i="45"/>
  <c r="AH15" i="45"/>
  <c r="AH55" i="45"/>
  <c r="J25" i="45"/>
  <c r="P15" i="45"/>
  <c r="P55" i="45"/>
  <c r="V45" i="45"/>
  <c r="AB35" i="45"/>
  <c r="AH25" i="45"/>
  <c r="J35" i="45"/>
  <c r="P25" i="45"/>
  <c r="V15" i="45"/>
  <c r="AB45" i="45"/>
  <c r="P35" i="45"/>
  <c r="J15" i="45"/>
  <c r="J55" i="45"/>
  <c r="J45" i="45"/>
  <c r="AB15" i="45"/>
  <c r="P45" i="45"/>
  <c r="V55" i="45"/>
  <c r="AB55" i="45"/>
  <c r="V25" i="45"/>
  <c r="V35" i="45"/>
  <c r="AH35" i="45"/>
  <c r="AH45" i="45"/>
  <c r="M32" i="45"/>
  <c r="S22" i="45"/>
  <c r="Y12" i="45"/>
  <c r="Y52" i="45"/>
  <c r="AE42" i="45"/>
  <c r="AK32" i="45"/>
  <c r="M42" i="45"/>
  <c r="S32" i="45"/>
  <c r="Y22" i="45"/>
  <c r="AE12" i="45"/>
  <c r="AE52" i="45"/>
  <c r="M12" i="45"/>
  <c r="M52" i="45"/>
  <c r="AE22" i="45"/>
  <c r="Y42" i="45"/>
  <c r="AK22" i="45"/>
  <c r="S12" i="45"/>
  <c r="S42" i="45"/>
  <c r="S52" i="45"/>
  <c r="M22" i="45"/>
  <c r="AK12" i="45"/>
  <c r="Y32" i="45"/>
  <c r="AK42" i="45"/>
  <c r="AK52" i="45"/>
  <c r="AE32" i="45"/>
  <c r="W12" i="45"/>
  <c r="W52" i="45"/>
  <c r="AC42" i="45"/>
  <c r="AI32" i="45"/>
  <c r="K42" i="45"/>
  <c r="Q32" i="45"/>
  <c r="W22" i="45"/>
  <c r="AC12" i="45"/>
  <c r="AC52" i="45"/>
  <c r="AI42" i="45"/>
  <c r="K12" i="45"/>
  <c r="K52" i="45"/>
  <c r="W32" i="45"/>
  <c r="K22" i="45"/>
  <c r="AI22" i="45"/>
  <c r="AC22" i="45"/>
  <c r="Q12" i="45"/>
  <c r="Q52" i="45"/>
  <c r="Q42" i="45"/>
  <c r="K32" i="45"/>
  <c r="AC32" i="45"/>
  <c r="W42" i="45"/>
  <c r="AI12" i="45"/>
  <c r="AI52" i="45"/>
  <c r="Q22" i="45"/>
  <c r="AL47" i="45"/>
  <c r="AL7" i="45"/>
  <c r="L47" i="45"/>
  <c r="L7" i="45"/>
  <c r="O17" i="45"/>
  <c r="N26" i="45"/>
  <c r="AM47" i="45"/>
  <c r="AM7" i="45"/>
  <c r="AL16" i="45"/>
  <c r="M9" i="45"/>
  <c r="M49" i="45"/>
  <c r="S39" i="45"/>
  <c r="Y29" i="45"/>
  <c r="AE19" i="45"/>
  <c r="AK9" i="45"/>
  <c r="AK49" i="45"/>
  <c r="M19" i="45"/>
  <c r="S9" i="45"/>
  <c r="S49" i="45"/>
  <c r="Y39" i="45"/>
  <c r="AE29" i="45"/>
  <c r="AK19" i="45"/>
  <c r="M29" i="45"/>
  <c r="AE39" i="45"/>
  <c r="Y19" i="45"/>
  <c r="AE9" i="45"/>
  <c r="AK29" i="45"/>
  <c r="AK39" i="45"/>
  <c r="Y9" i="45"/>
  <c r="S29" i="45"/>
  <c r="M39" i="45"/>
  <c r="AE49" i="45"/>
  <c r="Y49" i="45"/>
  <c r="S19" i="45"/>
  <c r="AG47" i="45"/>
  <c r="AG7" i="45"/>
  <c r="AF16" i="45"/>
  <c r="AG11" i="45"/>
  <c r="AG51" i="45"/>
  <c r="AM41" i="45"/>
  <c r="O11" i="45"/>
  <c r="O51" i="45"/>
  <c r="U41" i="45"/>
  <c r="AA31" i="45"/>
  <c r="AG21" i="45"/>
  <c r="AM11" i="45"/>
  <c r="AM51" i="45"/>
  <c r="O21" i="45"/>
  <c r="U11" i="45"/>
  <c r="U51" i="45"/>
  <c r="AG31" i="45"/>
  <c r="U21" i="45"/>
  <c r="O41" i="45"/>
  <c r="U31" i="45"/>
  <c r="AA11" i="45"/>
  <c r="AA41" i="45"/>
  <c r="AG41" i="45"/>
  <c r="AA51" i="45"/>
  <c r="O31" i="45"/>
  <c r="AA21" i="45"/>
  <c r="AM21" i="45"/>
  <c r="AM31" i="45"/>
  <c r="W35" i="45"/>
  <c r="AC25" i="45"/>
  <c r="AI15" i="45"/>
  <c r="AI55" i="45"/>
  <c r="K25" i="45"/>
  <c r="Q15" i="45"/>
  <c r="Q55" i="45"/>
  <c r="W45" i="45"/>
  <c r="AC35" i="45"/>
  <c r="AI25" i="45"/>
  <c r="K35" i="45"/>
  <c r="W15" i="45"/>
  <c r="W55" i="45"/>
  <c r="K45" i="45"/>
  <c r="AI45" i="45"/>
  <c r="K55" i="45"/>
  <c r="AC15" i="45"/>
  <c r="Q35" i="45"/>
  <c r="Q45" i="45"/>
  <c r="Q25" i="45"/>
  <c r="AC45" i="45"/>
  <c r="AC55" i="45"/>
  <c r="W25" i="45"/>
  <c r="AI35" i="45"/>
  <c r="K15" i="45"/>
  <c r="AA47" i="45"/>
  <c r="AA7" i="45"/>
  <c r="Z16" i="45"/>
  <c r="M28" i="45"/>
  <c r="S18" i="45"/>
  <c r="Y8" i="45"/>
  <c r="Y48" i="45"/>
  <c r="AE38" i="45"/>
  <c r="AK28" i="45"/>
  <c r="M38" i="45"/>
  <c r="S28" i="45"/>
  <c r="Y18" i="45"/>
  <c r="AE8" i="45"/>
  <c r="AE48" i="45"/>
  <c r="M8" i="45"/>
  <c r="M48" i="45"/>
  <c r="AE18" i="45"/>
  <c r="Y38" i="45"/>
  <c r="Y28" i="45"/>
  <c r="S8" i="45"/>
  <c r="AK48" i="45"/>
  <c r="AK38" i="45"/>
  <c r="M18" i="45"/>
  <c r="AE28" i="45"/>
  <c r="AK8" i="45"/>
  <c r="AK18" i="45"/>
  <c r="S48" i="45"/>
  <c r="S38" i="45"/>
  <c r="AB21" i="45"/>
  <c r="AH11" i="45"/>
  <c r="AH51" i="45"/>
  <c r="J21" i="45"/>
  <c r="P11" i="45"/>
  <c r="P51" i="45"/>
  <c r="V41" i="45"/>
  <c r="AB31" i="45"/>
  <c r="AH21" i="45"/>
  <c r="J31" i="45"/>
  <c r="P21" i="45"/>
  <c r="V11" i="45"/>
  <c r="AB41" i="45"/>
  <c r="P31" i="45"/>
  <c r="J11" i="45"/>
  <c r="J51" i="45"/>
  <c r="V31" i="45"/>
  <c r="AH41" i="45"/>
  <c r="AB51" i="45"/>
  <c r="V21" i="45"/>
  <c r="AH31" i="45"/>
  <c r="V51" i="45"/>
  <c r="P41" i="45"/>
  <c r="J41" i="45"/>
  <c r="AB11" i="45"/>
  <c r="N7" i="45"/>
  <c r="U47" i="45"/>
  <c r="U7" i="45"/>
  <c r="T16" i="45"/>
  <c r="AB38" i="45"/>
  <c r="AH28" i="45"/>
  <c r="J38" i="45"/>
  <c r="P28" i="45"/>
  <c r="V18" i="45"/>
  <c r="AB8" i="45"/>
  <c r="AB48" i="45"/>
  <c r="AH38" i="45"/>
  <c r="J8" i="45"/>
  <c r="J48" i="45"/>
  <c r="P38" i="45"/>
  <c r="AB18" i="45"/>
  <c r="P8" i="45"/>
  <c r="P48" i="45"/>
  <c r="J28" i="45"/>
  <c r="V38" i="45"/>
  <c r="V48" i="45"/>
  <c r="V28" i="45"/>
  <c r="AH48" i="45"/>
  <c r="AH18" i="45"/>
  <c r="J18" i="45"/>
  <c r="AB28" i="45"/>
  <c r="V8" i="45"/>
  <c r="AH8" i="45"/>
  <c r="P18" i="45"/>
  <c r="AL43" i="45"/>
  <c r="N13" i="45"/>
  <c r="N53" i="45"/>
  <c r="T43" i="45"/>
  <c r="Z33" i="45"/>
  <c r="AF23" i="45"/>
  <c r="AL13" i="45"/>
  <c r="AL53" i="45"/>
  <c r="N23" i="45"/>
  <c r="T13" i="45"/>
  <c r="T53" i="45"/>
  <c r="Z43" i="45"/>
  <c r="AL23" i="45"/>
  <c r="Z13" i="45"/>
  <c r="Z53" i="45"/>
  <c r="T33" i="45"/>
  <c r="T23" i="45"/>
  <c r="AF13" i="45"/>
  <c r="AF43" i="45"/>
  <c r="AF53" i="45"/>
  <c r="AF33" i="45"/>
  <c r="Z23" i="45"/>
  <c r="AL33" i="45"/>
  <c r="N33" i="45"/>
  <c r="N43" i="45"/>
  <c r="M34" i="45"/>
  <c r="S24" i="45"/>
  <c r="Y14" i="45"/>
  <c r="Y54" i="45"/>
  <c r="AE44" i="45"/>
  <c r="AK34" i="45"/>
  <c r="M44" i="45"/>
  <c r="S34" i="45"/>
  <c r="Y24" i="45"/>
  <c r="AE14" i="45"/>
  <c r="AE54" i="45"/>
  <c r="M14" i="45"/>
  <c r="M54" i="45"/>
  <c r="AE24" i="45"/>
  <c r="Y44" i="45"/>
  <c r="AE34" i="45"/>
  <c r="AK44" i="45"/>
  <c r="AK54" i="45"/>
  <c r="AK24" i="45"/>
  <c r="S14" i="45"/>
  <c r="M24" i="45"/>
  <c r="Y34" i="45"/>
  <c r="S44" i="45"/>
  <c r="S54" i="45"/>
  <c r="AK14" i="45"/>
  <c r="N47" i="45"/>
  <c r="AL39" i="45"/>
  <c r="N9" i="45"/>
  <c r="N49" i="45"/>
  <c r="T39" i="45"/>
  <c r="Z29" i="45"/>
  <c r="AF19" i="45"/>
  <c r="AL9" i="45"/>
  <c r="AL49" i="45"/>
  <c r="N19" i="45"/>
  <c r="T9" i="45"/>
  <c r="T49" i="45"/>
  <c r="Z39" i="45"/>
  <c r="AL19" i="45"/>
  <c r="Z9" i="45"/>
  <c r="Z49" i="45"/>
  <c r="T29" i="45"/>
  <c r="T19" i="45"/>
  <c r="AF9" i="45"/>
  <c r="Z19" i="45"/>
  <c r="AL29" i="45"/>
  <c r="AF49" i="45"/>
  <c r="AF39" i="45"/>
  <c r="N29" i="45"/>
  <c r="N39" i="45"/>
  <c r="AF29" i="45"/>
  <c r="AL41" i="45"/>
  <c r="N11" i="45"/>
  <c r="N51" i="45"/>
  <c r="T41" i="45"/>
  <c r="Z31" i="45"/>
  <c r="AF21" i="45"/>
  <c r="AL11" i="45"/>
  <c r="AL51" i="45"/>
  <c r="N21" i="45"/>
  <c r="T11" i="45"/>
  <c r="T51" i="45"/>
  <c r="Z41" i="45"/>
  <c r="AL21" i="45"/>
  <c r="Z11" i="45"/>
  <c r="Z51" i="45"/>
  <c r="T31" i="45"/>
  <c r="T21" i="45"/>
  <c r="AF41" i="45"/>
  <c r="AF51" i="45"/>
  <c r="AF11" i="45"/>
  <c r="AF31" i="45"/>
  <c r="Z21" i="45"/>
  <c r="AL31" i="45"/>
  <c r="N41" i="45"/>
  <c r="N31" i="45"/>
  <c r="AL37" i="45"/>
  <c r="L37" i="45"/>
  <c r="O47" i="45"/>
  <c r="O7" i="45"/>
  <c r="N16" i="45"/>
  <c r="W10" i="45"/>
  <c r="W50" i="45"/>
  <c r="AC40" i="45"/>
  <c r="AI30" i="45"/>
  <c r="K40" i="45"/>
  <c r="Q30" i="45"/>
  <c r="W20" i="45"/>
  <c r="AC10" i="45"/>
  <c r="AC50" i="45"/>
  <c r="AI40" i="45"/>
  <c r="K10" i="45"/>
  <c r="K50" i="45"/>
  <c r="W30" i="45"/>
  <c r="K20" i="45"/>
  <c r="AI20" i="45"/>
  <c r="Q50" i="45"/>
  <c r="Q10" i="45"/>
  <c r="K30" i="45"/>
  <c r="Q40" i="45"/>
  <c r="W40" i="45"/>
  <c r="AI50" i="45"/>
  <c r="AI10" i="45"/>
  <c r="AC30" i="45"/>
  <c r="Q20" i="45"/>
  <c r="AC20" i="45"/>
  <c r="R39" i="45"/>
  <c r="X29" i="45"/>
  <c r="AD19" i="45"/>
  <c r="AJ9" i="45"/>
  <c r="AJ49" i="45"/>
  <c r="L19" i="45"/>
  <c r="R9" i="45"/>
  <c r="R49" i="45"/>
  <c r="X39" i="45"/>
  <c r="AD29" i="45"/>
  <c r="AJ19" i="45"/>
  <c r="R19" i="45"/>
  <c r="AJ29" i="45"/>
  <c r="AD9" i="45"/>
  <c r="AD49" i="45"/>
  <c r="AJ39" i="45"/>
  <c r="X19" i="45"/>
  <c r="X9" i="45"/>
  <c r="L39" i="45"/>
  <c r="L49" i="45"/>
  <c r="L29" i="45"/>
  <c r="L9" i="45"/>
  <c r="R29" i="45"/>
  <c r="AD39" i="45"/>
  <c r="X49" i="45"/>
  <c r="R43" i="45"/>
  <c r="X33" i="45"/>
  <c r="AD23" i="45"/>
  <c r="AJ13" i="45"/>
  <c r="AJ53" i="45"/>
  <c r="L23" i="45"/>
  <c r="R13" i="45"/>
  <c r="R53" i="45"/>
  <c r="X43" i="45"/>
  <c r="AD33" i="45"/>
  <c r="AJ23" i="45"/>
  <c r="R23" i="45"/>
  <c r="AJ33" i="45"/>
  <c r="AD13" i="45"/>
  <c r="AD53" i="45"/>
  <c r="AD43" i="45"/>
  <c r="R33" i="45"/>
  <c r="L13" i="45"/>
  <c r="X13" i="45"/>
  <c r="L53" i="45"/>
  <c r="X23" i="45"/>
  <c r="AJ43" i="45"/>
  <c r="L43" i="45"/>
  <c r="X53" i="45"/>
  <c r="L33" i="45"/>
  <c r="AC27" i="45"/>
  <c r="AI17" i="45"/>
  <c r="AI27" i="45"/>
  <c r="K37" i="45"/>
  <c r="W27" i="45"/>
  <c r="Q37" i="45"/>
  <c r="W37" i="45"/>
  <c r="AC37" i="45"/>
  <c r="AI37" i="45"/>
  <c r="K7" i="45"/>
  <c r="K47" i="45"/>
  <c r="Q7" i="45"/>
  <c r="Q47" i="45"/>
  <c r="W7" i="45"/>
  <c r="W47" i="45"/>
  <c r="AC7" i="45"/>
  <c r="AC47" i="45"/>
  <c r="AI47" i="45"/>
  <c r="AI7" i="45"/>
  <c r="AC17" i="45"/>
  <c r="K17" i="45"/>
  <c r="W17" i="45"/>
  <c r="Q27" i="45"/>
  <c r="Q17" i="45"/>
  <c r="K27" i="45"/>
  <c r="AF37" i="45"/>
  <c r="AJ27" i="45"/>
  <c r="AM37" i="45"/>
  <c r="AL46" i="45"/>
  <c r="AL6" i="45"/>
  <c r="W33" i="45"/>
  <c r="AC23" i="45"/>
  <c r="AI13" i="45"/>
  <c r="AI53" i="45"/>
  <c r="K23" i="45"/>
  <c r="Q13" i="45"/>
  <c r="Q53" i="45"/>
  <c r="W43" i="45"/>
  <c r="AC33" i="45"/>
  <c r="AI23" i="45"/>
  <c r="K33" i="45"/>
  <c r="W13" i="45"/>
  <c r="W53" i="45"/>
  <c r="K43" i="45"/>
  <c r="AI43" i="45"/>
  <c r="AC13" i="45"/>
  <c r="Q33" i="45"/>
  <c r="Q43" i="45"/>
  <c r="AC53" i="45"/>
  <c r="Q23" i="45"/>
  <c r="AC43" i="45"/>
  <c r="K13" i="45"/>
  <c r="W23" i="45"/>
  <c r="AI33" i="45"/>
  <c r="K53" i="45"/>
  <c r="Z37" i="45"/>
  <c r="AD27" i="45"/>
  <c r="AG37" i="45"/>
  <c r="AF46" i="45"/>
  <c r="M6" i="45"/>
  <c r="S6" i="45"/>
  <c r="Y6" i="45"/>
  <c r="AE6" i="45"/>
  <c r="AK6" i="45"/>
  <c r="M16" i="45"/>
  <c r="S16" i="45"/>
  <c r="Y16" i="45"/>
  <c r="AE16" i="45"/>
  <c r="AK16" i="45"/>
  <c r="M26" i="45"/>
  <c r="S26" i="45"/>
  <c r="Y26" i="45"/>
  <c r="AE26" i="45"/>
  <c r="AK26" i="45"/>
  <c r="M36" i="45"/>
  <c r="S36" i="45"/>
  <c r="Y36" i="45"/>
  <c r="AE36" i="45"/>
  <c r="AK36" i="45"/>
  <c r="M46" i="45"/>
  <c r="S46" i="45"/>
  <c r="Y46" i="45"/>
  <c r="AE46" i="45"/>
  <c r="AK46" i="45"/>
  <c r="L6" i="45"/>
  <c r="R6" i="45"/>
  <c r="X6" i="45"/>
  <c r="AD6" i="45"/>
  <c r="AJ6" i="45"/>
  <c r="L16" i="45"/>
  <c r="R16" i="45"/>
  <c r="X16" i="45"/>
  <c r="AD16" i="45"/>
  <c r="AJ16" i="45"/>
  <c r="L26" i="45"/>
  <c r="R26" i="45"/>
  <c r="X26" i="45"/>
  <c r="AD26" i="45"/>
  <c r="AJ26" i="45"/>
  <c r="L36" i="45"/>
  <c r="R36" i="45"/>
  <c r="X36" i="45"/>
  <c r="AD36" i="45"/>
  <c r="AJ36" i="45"/>
  <c r="L46" i="45"/>
  <c r="R46" i="45"/>
  <c r="X46" i="45"/>
  <c r="AD46" i="45"/>
  <c r="AJ46" i="45"/>
  <c r="I63" i="39"/>
  <c r="D30" i="39"/>
  <c r="E30" i="39"/>
  <c r="H21" i="39"/>
  <c r="H20" i="39"/>
  <c r="W42" i="37"/>
  <c r="V42" i="37"/>
  <c r="W41" i="37"/>
  <c r="V41" i="37"/>
  <c r="W40" i="37"/>
  <c r="V40" i="37"/>
  <c r="W39" i="37"/>
  <c r="V39" i="37"/>
  <c r="W38" i="37"/>
  <c r="V38" i="37"/>
  <c r="W37" i="37"/>
  <c r="V37" i="37"/>
  <c r="W36" i="37"/>
  <c r="V36" i="37"/>
  <c r="W35" i="37"/>
  <c r="V35" i="37"/>
  <c r="W34" i="37"/>
  <c r="V34" i="37"/>
  <c r="W33" i="37"/>
  <c r="V33" i="37"/>
  <c r="W32" i="37"/>
  <c r="V32" i="37"/>
  <c r="W31" i="37"/>
  <c r="V31" i="37"/>
  <c r="W30" i="37"/>
  <c r="V30" i="37"/>
  <c r="V29" i="37"/>
  <c r="W29" i="37" s="1"/>
  <c r="V28" i="37"/>
  <c r="W28" i="37" s="1"/>
  <c r="V27" i="37"/>
  <c r="W27" i="37"/>
  <c r="V26" i="37"/>
  <c r="W26" i="37"/>
  <c r="T69" i="33"/>
  <c r="Q69" i="33"/>
  <c r="T68" i="33"/>
  <c r="Q68" i="33"/>
  <c r="T67" i="33"/>
  <c r="Q67" i="33"/>
  <c r="T66" i="33"/>
  <c r="Q66" i="33"/>
  <c r="T65" i="33"/>
  <c r="Q65" i="33"/>
  <c r="T64" i="33"/>
  <c r="Q64" i="33"/>
  <c r="H64" i="33"/>
  <c r="AB63" i="33"/>
  <c r="AA63" i="33"/>
  <c r="T63" i="33"/>
  <c r="Q63" i="33"/>
  <c r="AB62" i="33"/>
  <c r="AA62" i="33"/>
  <c r="T62" i="33"/>
  <c r="Q62" i="33"/>
  <c r="X63" i="33"/>
  <c r="AB61" i="33"/>
  <c r="AA61" i="33"/>
  <c r="T61" i="33"/>
  <c r="Q61" i="33"/>
  <c r="X62" i="33"/>
  <c r="AB60" i="33"/>
  <c r="AA60" i="33"/>
  <c r="T60" i="33"/>
  <c r="Q60" i="33"/>
  <c r="X61" i="33"/>
  <c r="AB59" i="33"/>
  <c r="AA59" i="33"/>
  <c r="T59" i="33"/>
  <c r="Q59" i="33"/>
  <c r="X60" i="33"/>
  <c r="AB58" i="33"/>
  <c r="AA58" i="33"/>
  <c r="T58" i="33"/>
  <c r="Q58" i="33"/>
  <c r="X59" i="33"/>
  <c r="H58" i="33"/>
  <c r="T57" i="33"/>
  <c r="Q57" i="33"/>
  <c r="T56" i="33"/>
  <c r="Q56" i="33"/>
  <c r="T55" i="33"/>
  <c r="Q55" i="33"/>
  <c r="T54" i="33"/>
  <c r="Q54" i="33"/>
  <c r="T53" i="33"/>
  <c r="Q53" i="33"/>
  <c r="T52" i="33"/>
  <c r="Q52" i="33"/>
  <c r="H52" i="33"/>
  <c r="I52" i="33"/>
  <c r="X51" i="33"/>
  <c r="T51" i="33"/>
  <c r="Q51" i="33"/>
  <c r="X50" i="33"/>
  <c r="T50" i="33"/>
  <c r="Q50" i="33"/>
  <c r="AB51" i="33"/>
  <c r="AA51" i="33"/>
  <c r="X49" i="33"/>
  <c r="T49" i="33"/>
  <c r="Q49" i="33"/>
  <c r="AB50" i="33"/>
  <c r="AA50" i="33"/>
  <c r="X48" i="33"/>
  <c r="T48" i="33"/>
  <c r="Q48" i="33"/>
  <c r="AB49" i="33"/>
  <c r="AA49" i="33"/>
  <c r="X47" i="33"/>
  <c r="T47" i="33"/>
  <c r="Q47" i="33"/>
  <c r="AB48" i="33"/>
  <c r="AA48" i="33"/>
  <c r="X46" i="33"/>
  <c r="T46" i="33"/>
  <c r="Q46" i="33"/>
  <c r="AB47" i="33"/>
  <c r="AA47" i="33"/>
  <c r="H46" i="33"/>
  <c r="T45" i="33"/>
  <c r="Q45" i="33"/>
  <c r="T44" i="33"/>
  <c r="Q44" i="33"/>
  <c r="T43" i="33"/>
  <c r="Q43" i="33"/>
  <c r="T42" i="33"/>
  <c r="Q42" i="33"/>
  <c r="T41" i="33"/>
  <c r="Q41" i="33"/>
  <c r="T40" i="33"/>
  <c r="Q40" i="33"/>
  <c r="I40" i="33"/>
  <c r="H40" i="33"/>
  <c r="X39" i="33"/>
  <c r="Z39" i="33"/>
  <c r="T39" i="33"/>
  <c r="Q39" i="33"/>
  <c r="X38" i="33"/>
  <c r="Z38" i="33"/>
  <c r="T38" i="33"/>
  <c r="Q38" i="33"/>
  <c r="AB39" i="33"/>
  <c r="AA39" i="33"/>
  <c r="T37" i="33"/>
  <c r="Q37" i="33"/>
  <c r="AB38" i="33"/>
  <c r="AA38" i="33"/>
  <c r="T36" i="33"/>
  <c r="Q36" i="33"/>
  <c r="X37" i="33"/>
  <c r="T35" i="33"/>
  <c r="Q35" i="33"/>
  <c r="X36" i="33"/>
  <c r="Z36" i="33"/>
  <c r="T34" i="33"/>
  <c r="Q34" i="33"/>
  <c r="AB34" i="33"/>
  <c r="AA34" i="33"/>
  <c r="H34" i="33"/>
  <c r="I34" i="33"/>
  <c r="T33" i="33"/>
  <c r="Q33" i="33"/>
  <c r="T32" i="33"/>
  <c r="Q32" i="33"/>
  <c r="T31" i="33"/>
  <c r="Q31" i="33"/>
  <c r="T30" i="33"/>
  <c r="Q30" i="33"/>
  <c r="T29" i="33"/>
  <c r="Q29" i="33"/>
  <c r="T28" i="33"/>
  <c r="Q28" i="33"/>
  <c r="I28" i="33"/>
  <c r="H28" i="33"/>
  <c r="AB27" i="33"/>
  <c r="AA27" i="33"/>
  <c r="Y27" i="33"/>
  <c r="X27" i="33"/>
  <c r="Z27" i="33"/>
  <c r="T27" i="33"/>
  <c r="Q27" i="33"/>
  <c r="AB26" i="33"/>
  <c r="AA26" i="33"/>
  <c r="X26" i="33"/>
  <c r="Z26" i="33"/>
  <c r="T26" i="33"/>
  <c r="Q26" i="33"/>
  <c r="AB25" i="33"/>
  <c r="AA25" i="33"/>
  <c r="T25" i="33"/>
  <c r="Q25" i="33"/>
  <c r="AB24" i="33"/>
  <c r="AA24" i="33"/>
  <c r="T24" i="33"/>
  <c r="Q24" i="33"/>
  <c r="X25" i="33"/>
  <c r="Z25" i="33"/>
  <c r="AB23" i="33"/>
  <c r="AA23" i="33"/>
  <c r="Y23" i="33"/>
  <c r="X23" i="33"/>
  <c r="Z23" i="33"/>
  <c r="T23" i="33"/>
  <c r="Q23" i="33"/>
  <c r="X24" i="33"/>
  <c r="AB22" i="33"/>
  <c r="AA22" i="33"/>
  <c r="X22" i="33"/>
  <c r="Z22" i="33"/>
  <c r="T22" i="33"/>
  <c r="Q22" i="33"/>
  <c r="H22" i="33"/>
  <c r="I22" i="33"/>
  <c r="T21" i="33"/>
  <c r="Q21" i="33"/>
  <c r="T20" i="33"/>
  <c r="Q20" i="33"/>
  <c r="X19" i="33"/>
  <c r="Z19" i="33"/>
  <c r="T19" i="33"/>
  <c r="Q19" i="33"/>
  <c r="X18" i="33"/>
  <c r="Z18" i="33"/>
  <c r="T18" i="33"/>
  <c r="Q18" i="33"/>
  <c r="AB19" i="33"/>
  <c r="AA19" i="33"/>
  <c r="X17" i="33"/>
  <c r="Z17" i="33"/>
  <c r="T17" i="33"/>
  <c r="Q17" i="33"/>
  <c r="AB18" i="33"/>
  <c r="AA18" i="33"/>
  <c r="X16" i="33"/>
  <c r="Z16" i="33"/>
  <c r="T16" i="33"/>
  <c r="Q16" i="33"/>
  <c r="AB17" i="33"/>
  <c r="AA17" i="33"/>
  <c r="H16" i="33"/>
  <c r="T15" i="33"/>
  <c r="Q15" i="33"/>
  <c r="T14" i="33"/>
  <c r="Q14" i="33"/>
  <c r="AB15" i="33"/>
  <c r="AA15" i="33"/>
  <c r="T13" i="33"/>
  <c r="Q13" i="33"/>
  <c r="T12" i="33"/>
  <c r="Q12" i="33"/>
  <c r="AB13" i="33"/>
  <c r="AA13" i="33"/>
  <c r="T11" i="33"/>
  <c r="Q11" i="33"/>
  <c r="T10" i="33"/>
  <c r="Q10" i="33"/>
  <c r="H10" i="33"/>
  <c r="I10" i="33"/>
  <c r="Z24" i="33"/>
  <c r="Y24" i="33"/>
  <c r="AC24" i="33"/>
  <c r="Z37" i="33"/>
  <c r="Y37" i="33"/>
  <c r="AB16" i="33"/>
  <c r="AA16" i="33"/>
  <c r="AB37" i="33"/>
  <c r="AA37" i="33"/>
  <c r="Y39" i="33"/>
  <c r="AC39" i="33"/>
  <c r="AB46" i="33"/>
  <c r="AA46" i="33"/>
  <c r="AB35" i="33"/>
  <c r="AA35" i="33"/>
  <c r="AB36" i="33"/>
  <c r="AA36" i="33"/>
  <c r="AC23" i="33"/>
  <c r="AC27" i="33"/>
  <c r="X34" i="33"/>
  <c r="Z34" i="33"/>
  <c r="X35" i="33"/>
  <c r="AB14" i="33"/>
  <c r="AA14" i="33"/>
  <c r="X58" i="33"/>
  <c r="Z58" i="33"/>
  <c r="AB53" i="33"/>
  <c r="AA53" i="33"/>
  <c r="X53" i="33"/>
  <c r="AB52" i="33"/>
  <c r="AA52" i="33"/>
  <c r="X52" i="33"/>
  <c r="I16" i="33"/>
  <c r="Y16" i="33"/>
  <c r="AC16" i="33"/>
  <c r="Y17" i="33"/>
  <c r="AC17" i="33"/>
  <c r="Y18" i="33"/>
  <c r="AC18" i="33"/>
  <c r="Y19" i="33"/>
  <c r="AC19" i="33"/>
  <c r="AB21" i="33"/>
  <c r="AA21" i="33"/>
  <c r="X21" i="33"/>
  <c r="Y22" i="33"/>
  <c r="AC22" i="33"/>
  <c r="Y26" i="33"/>
  <c r="AC26" i="33"/>
  <c r="AB29" i="33"/>
  <c r="AA29" i="33"/>
  <c r="X29" i="33"/>
  <c r="AB28" i="33"/>
  <c r="AA28" i="33"/>
  <c r="X28" i="33"/>
  <c r="AB31" i="33"/>
  <c r="AA31" i="33"/>
  <c r="X31" i="33"/>
  <c r="AB33" i="33"/>
  <c r="AA33" i="33"/>
  <c r="X33" i="33"/>
  <c r="Y36" i="33"/>
  <c r="AC36" i="33"/>
  <c r="Y38" i="33"/>
  <c r="AC38" i="33"/>
  <c r="AB45" i="33"/>
  <c r="AA45" i="33"/>
  <c r="X45" i="33"/>
  <c r="AB56" i="33"/>
  <c r="AA56" i="33"/>
  <c r="X56" i="33"/>
  <c r="AB66" i="33"/>
  <c r="AA66" i="33"/>
  <c r="X66" i="33"/>
  <c r="AB67" i="33"/>
  <c r="AA67" i="33"/>
  <c r="X67" i="33"/>
  <c r="X10" i="33"/>
  <c r="X13" i="33"/>
  <c r="X14" i="33"/>
  <c r="X15" i="33"/>
  <c r="AB20" i="33"/>
  <c r="AA20" i="33"/>
  <c r="X20" i="33"/>
  <c r="Y25" i="33"/>
  <c r="AC25" i="33"/>
  <c r="AB41" i="33"/>
  <c r="AA41" i="33"/>
  <c r="X41" i="33"/>
  <c r="AB40" i="33"/>
  <c r="AA40" i="33"/>
  <c r="X40" i="33"/>
  <c r="AB42" i="33"/>
  <c r="AA42" i="33"/>
  <c r="X42" i="33"/>
  <c r="AB43" i="33"/>
  <c r="AA43" i="33"/>
  <c r="X43" i="33"/>
  <c r="AB44" i="33"/>
  <c r="AA44" i="33"/>
  <c r="X44" i="33"/>
  <c r="AB55" i="33"/>
  <c r="AA55" i="33"/>
  <c r="X55" i="33"/>
  <c r="I58" i="33"/>
  <c r="Z59" i="33"/>
  <c r="Y59" i="33"/>
  <c r="AC59" i="33"/>
  <c r="Z60" i="33"/>
  <c r="Y60" i="33"/>
  <c r="AC60" i="33"/>
  <c r="Z61" i="33"/>
  <c r="Y61" i="33"/>
  <c r="AC61" i="33"/>
  <c r="Z62" i="33"/>
  <c r="Y62" i="33"/>
  <c r="AC62" i="33"/>
  <c r="Z63" i="33"/>
  <c r="Y63" i="33"/>
  <c r="AC63" i="33"/>
  <c r="AB65" i="33"/>
  <c r="AA65" i="33"/>
  <c r="X65" i="33"/>
  <c r="AB64" i="33"/>
  <c r="AA64" i="33"/>
  <c r="X64" i="33"/>
  <c r="AB69" i="33"/>
  <c r="AA69" i="33"/>
  <c r="X69" i="33"/>
  <c r="AB57" i="33"/>
  <c r="AA57" i="33"/>
  <c r="X57" i="33"/>
  <c r="AB30" i="33"/>
  <c r="AA30" i="33"/>
  <c r="X30" i="33"/>
  <c r="AB32" i="33"/>
  <c r="AA32" i="33"/>
  <c r="X32" i="33"/>
  <c r="I46" i="33"/>
  <c r="Z46" i="33"/>
  <c r="Y46" i="33"/>
  <c r="AC46" i="33"/>
  <c r="Z47" i="33"/>
  <c r="Y47" i="33"/>
  <c r="AC47" i="33"/>
  <c r="Z48" i="33"/>
  <c r="Y48" i="33"/>
  <c r="AC48" i="33"/>
  <c r="Z49" i="33"/>
  <c r="Y49" i="33"/>
  <c r="AC49" i="33"/>
  <c r="Z50" i="33"/>
  <c r="Y50" i="33"/>
  <c r="AC50" i="33"/>
  <c r="Z51" i="33"/>
  <c r="Y51" i="33"/>
  <c r="AC51" i="33"/>
  <c r="AB54" i="33"/>
  <c r="AA54" i="33"/>
  <c r="X54" i="33"/>
  <c r="AB68" i="33"/>
  <c r="AA68" i="33"/>
  <c r="X68" i="33"/>
  <c r="I64" i="33"/>
  <c r="AC37" i="33"/>
  <c r="Y34" i="33"/>
  <c r="AC34" i="33"/>
  <c r="Y58" i="33"/>
  <c r="AC58" i="33"/>
  <c r="Z35" i="33"/>
  <c r="Y35" i="33"/>
  <c r="AC35" i="33"/>
  <c r="Y68" i="33"/>
  <c r="AC68" i="33"/>
  <c r="Z68" i="33"/>
  <c r="Y30" i="33"/>
  <c r="AC30" i="33"/>
  <c r="Z30" i="33"/>
  <c r="Y69" i="33"/>
  <c r="AC69" i="33"/>
  <c r="Z69" i="33"/>
  <c r="Y65" i="33"/>
  <c r="AC65" i="33"/>
  <c r="Z65" i="33"/>
  <c r="Y55" i="33"/>
  <c r="AC55" i="33"/>
  <c r="Z55" i="33"/>
  <c r="Y43" i="33"/>
  <c r="AC43" i="33"/>
  <c r="Z43" i="33"/>
  <c r="Y40" i="33"/>
  <c r="AC40" i="33"/>
  <c r="Z40" i="33"/>
  <c r="Y14" i="33"/>
  <c r="AC14" i="33"/>
  <c r="Z14" i="33"/>
  <c r="Y66" i="33"/>
  <c r="AC66" i="33"/>
  <c r="Z66" i="33"/>
  <c r="Y45" i="33"/>
  <c r="AC45" i="33"/>
  <c r="Z45" i="33"/>
  <c r="Z31" i="33"/>
  <c r="Y31" i="33"/>
  <c r="AC31" i="33"/>
  <c r="Z29" i="33"/>
  <c r="Y29" i="33"/>
  <c r="AC29" i="33"/>
  <c r="Y20" i="33"/>
  <c r="AC20" i="33"/>
  <c r="Z20" i="33"/>
  <c r="Y13" i="33"/>
  <c r="AC13" i="33"/>
  <c r="Z13" i="33"/>
  <c r="Y10" i="33"/>
  <c r="Z10" i="33"/>
  <c r="Z21" i="33"/>
  <c r="Y21" i="33"/>
  <c r="AC21" i="33"/>
  <c r="Y52" i="33"/>
  <c r="AC52" i="33"/>
  <c r="Z52" i="33"/>
  <c r="Y54" i="33"/>
  <c r="AC54" i="33"/>
  <c r="Z54" i="33"/>
  <c r="Y32" i="33"/>
  <c r="AC32" i="33"/>
  <c r="Z32" i="33"/>
  <c r="Y57" i="33"/>
  <c r="AC57" i="33"/>
  <c r="Z57" i="33"/>
  <c r="Y64" i="33"/>
  <c r="AC64" i="33"/>
  <c r="Z64" i="33"/>
  <c r="Y44" i="33"/>
  <c r="AC44" i="33"/>
  <c r="Z44" i="33"/>
  <c r="Y42" i="33"/>
  <c r="AC42" i="33"/>
  <c r="Z42" i="33"/>
  <c r="Y41" i="33"/>
  <c r="AC41" i="33"/>
  <c r="Z41" i="33"/>
  <c r="Y67" i="33"/>
  <c r="AC67" i="33"/>
  <c r="Z67" i="33"/>
  <c r="Y56" i="33"/>
  <c r="AC56" i="33"/>
  <c r="Z56" i="33"/>
  <c r="Z33" i="33"/>
  <c r="Y33" i="33"/>
  <c r="AC33" i="33"/>
  <c r="Y28" i="33"/>
  <c r="AC28" i="33"/>
  <c r="Z28" i="33"/>
  <c r="Y15" i="33"/>
  <c r="AC15" i="33"/>
  <c r="Z15" i="33"/>
  <c r="Y53" i="33"/>
  <c r="AC53" i="33"/>
  <c r="Z53" i="33"/>
  <c r="X11" i="33"/>
  <c r="X12" i="33"/>
  <c r="Y12" i="33"/>
  <c r="Z12" i="33"/>
  <c r="Y11" i="33"/>
  <c r="Z11" i="33"/>
  <c r="F222" i="28"/>
  <c r="F221" i="28"/>
  <c r="F220" i="28"/>
  <c r="F219" i="28"/>
  <c r="F218" i="28"/>
  <c r="F217" i="28"/>
  <c r="F216" i="28"/>
  <c r="F215" i="28"/>
  <c r="F214" i="28"/>
  <c r="F213" i="28"/>
  <c r="F212" i="28"/>
  <c r="F211" i="28"/>
  <c r="Y60" i="24"/>
  <c r="Y59" i="24"/>
  <c r="Y58" i="24"/>
  <c r="Y57" i="24"/>
  <c r="Y56" i="24"/>
  <c r="Y55" i="24"/>
  <c r="Y54" i="24"/>
  <c r="Y53" i="24"/>
  <c r="Y52" i="24"/>
  <c r="Y51" i="24"/>
  <c r="Y50" i="24"/>
  <c r="Y49" i="24"/>
  <c r="Y48" i="24"/>
  <c r="Y47" i="24"/>
  <c r="Y46" i="24"/>
  <c r="Y45" i="24"/>
  <c r="Y44" i="24"/>
  <c r="Y43" i="24"/>
  <c r="Y42" i="24"/>
  <c r="Y41" i="24"/>
  <c r="Y40" i="24"/>
  <c r="Y39" i="24"/>
  <c r="Y38" i="24"/>
  <c r="Y37" i="24"/>
  <c r="Y36" i="24"/>
  <c r="Y35" i="24"/>
  <c r="Y34" i="24"/>
  <c r="Y33" i="24"/>
  <c r="Y32" i="24"/>
  <c r="Y31" i="24"/>
  <c r="M31" i="24"/>
  <c r="Y30" i="24"/>
  <c r="Y29" i="24"/>
  <c r="Y28" i="24"/>
  <c r="Y27" i="24"/>
  <c r="Y26" i="24"/>
  <c r="Y25" i="24"/>
  <c r="Y24" i="24"/>
  <c r="Y23" i="24"/>
  <c r="Y22" i="24"/>
  <c r="Y17" i="24"/>
  <c r="Y16" i="24"/>
  <c r="Y15" i="24"/>
  <c r="M15" i="24"/>
  <c r="Y9" i="24"/>
  <c r="Y8" i="24"/>
  <c r="Y7" i="24"/>
  <c r="Y6" i="24"/>
  <c r="Y5" i="24"/>
  <c r="H211" i="28"/>
  <c r="J6" i="44"/>
  <c r="P79" i="24"/>
  <c r="Q79" i="24" s="1"/>
  <c r="P61" i="24"/>
  <c r="Q61" i="24" s="1"/>
  <c r="K58" i="33"/>
  <c r="L58" i="33"/>
  <c r="K46" i="33"/>
  <c r="L46" i="33"/>
  <c r="K34" i="33"/>
  <c r="L34" i="33"/>
  <c r="K22" i="33"/>
  <c r="L22" i="33"/>
  <c r="K52" i="33"/>
  <c r="L52" i="33"/>
  <c r="K28" i="33"/>
  <c r="L28" i="33"/>
  <c r="K16" i="33"/>
  <c r="L16" i="33"/>
  <c r="K64" i="33"/>
  <c r="L64" i="33"/>
  <c r="K40" i="33"/>
  <c r="L40" i="33"/>
  <c r="K10" i="33"/>
  <c r="L10" i="33"/>
  <c r="P43" i="24"/>
  <c r="Q43" i="24" s="1"/>
  <c r="R43" i="24" s="1"/>
  <c r="P15" i="24"/>
  <c r="Q15" i="24" s="1"/>
  <c r="R15" i="24" s="1"/>
  <c r="P37" i="24"/>
  <c r="Q37" i="24" s="1"/>
  <c r="AJ12" i="44"/>
  <c r="AD14" i="44"/>
  <c r="L22" i="44"/>
  <c r="AD38" i="44"/>
  <c r="R6" i="44"/>
  <c r="R38" i="44"/>
  <c r="AJ22" i="44"/>
  <c r="AD6" i="44"/>
  <c r="X38" i="44"/>
  <c r="X6" i="44"/>
  <c r="R22" i="44"/>
  <c r="R14" i="44"/>
  <c r="L38" i="44"/>
  <c r="L6" i="44"/>
  <c r="AJ6" i="44"/>
  <c r="AJ30" i="44"/>
  <c r="AJ38" i="44"/>
  <c r="AD30" i="44"/>
  <c r="X22" i="44"/>
  <c r="R30" i="44"/>
  <c r="X14" i="44"/>
  <c r="L30" i="44"/>
  <c r="L14" i="44"/>
  <c r="AJ14" i="44"/>
  <c r="X30" i="44"/>
  <c r="AD22" i="44"/>
  <c r="N28" i="44"/>
  <c r="N44" i="44"/>
  <c r="T12" i="44"/>
  <c r="Z20" i="44"/>
  <c r="AF36" i="44"/>
  <c r="N36" i="44"/>
  <c r="Z36" i="44"/>
  <c r="AF20" i="44"/>
  <c r="N12" i="44"/>
  <c r="T28" i="44"/>
  <c r="T44" i="44"/>
  <c r="T36" i="44"/>
  <c r="Z12" i="44"/>
  <c r="AF12" i="44"/>
  <c r="AL12" i="44"/>
  <c r="Z28" i="44"/>
  <c r="Z44" i="44"/>
  <c r="AF28" i="44"/>
  <c r="AF44" i="44"/>
  <c r="AL28" i="44"/>
  <c r="AL44" i="44"/>
  <c r="N20" i="44"/>
  <c r="T20" i="44"/>
  <c r="AL36" i="44"/>
  <c r="AL20" i="44"/>
  <c r="J12" i="44"/>
  <c r="V12" i="44"/>
  <c r="V36" i="44"/>
  <c r="AB36" i="44"/>
  <c r="AH36" i="44"/>
  <c r="J44" i="44"/>
  <c r="P28" i="44"/>
  <c r="P44" i="44"/>
  <c r="AB12" i="44"/>
  <c r="AH12" i="44"/>
  <c r="J28" i="44"/>
  <c r="P12" i="44"/>
  <c r="P20" i="44"/>
  <c r="V28" i="44"/>
  <c r="V44" i="44"/>
  <c r="J36" i="44"/>
  <c r="P36" i="44"/>
  <c r="AB28" i="44"/>
  <c r="AB44" i="44"/>
  <c r="AH44" i="44"/>
  <c r="AH28" i="44"/>
  <c r="J20" i="44"/>
  <c r="AB20" i="44"/>
  <c r="V20" i="44"/>
  <c r="AH20" i="44"/>
  <c r="N8" i="44"/>
  <c r="T16" i="44"/>
  <c r="Z16" i="44"/>
  <c r="AF16" i="44"/>
  <c r="AL16" i="44"/>
  <c r="N24" i="44"/>
  <c r="T24" i="44"/>
  <c r="Z24" i="44"/>
  <c r="AF24" i="44"/>
  <c r="AL24" i="44"/>
  <c r="N32" i="44"/>
  <c r="T32" i="44"/>
  <c r="Z32" i="44"/>
  <c r="AF32" i="44"/>
  <c r="AL32" i="44"/>
  <c r="N40" i="44"/>
  <c r="T40" i="44"/>
  <c r="Z40" i="44"/>
  <c r="AF40" i="44"/>
  <c r="AL40" i="44"/>
  <c r="T8" i="44"/>
  <c r="Z8" i="44"/>
  <c r="AF8" i="44"/>
  <c r="AL8" i="44"/>
  <c r="N16" i="44"/>
  <c r="L10" i="44"/>
  <c r="L18" i="44"/>
  <c r="R18" i="44"/>
  <c r="X18" i="44"/>
  <c r="AD18" i="44"/>
  <c r="AJ18" i="44"/>
  <c r="L26" i="44"/>
  <c r="R26" i="44"/>
  <c r="X26" i="44"/>
  <c r="AD26" i="44"/>
  <c r="AJ26" i="44"/>
  <c r="L34" i="44"/>
  <c r="R34" i="44"/>
  <c r="X34" i="44"/>
  <c r="AD34" i="44"/>
  <c r="AJ34" i="44"/>
  <c r="L42" i="44"/>
  <c r="R42" i="44"/>
  <c r="X42" i="44"/>
  <c r="AD42" i="44"/>
  <c r="AJ42" i="44"/>
  <c r="R10" i="44"/>
  <c r="X10" i="44"/>
  <c r="AD10" i="44"/>
  <c r="AJ10" i="44"/>
  <c r="V6" i="44"/>
  <c r="AB6" i="44"/>
  <c r="AH6" i="44"/>
  <c r="J14" i="44"/>
  <c r="P14" i="44"/>
  <c r="V14" i="44"/>
  <c r="AB14" i="44"/>
  <c r="AH14" i="44"/>
  <c r="J22" i="44"/>
  <c r="P22" i="44"/>
  <c r="V22" i="44"/>
  <c r="AB22" i="44"/>
  <c r="AH22" i="44"/>
  <c r="J30" i="44"/>
  <c r="P30" i="44"/>
  <c r="V30" i="44"/>
  <c r="AB30" i="44"/>
  <c r="AH30" i="44"/>
  <c r="J38" i="44"/>
  <c r="P38" i="44"/>
  <c r="V38" i="44"/>
  <c r="AB38" i="44"/>
  <c r="AH38" i="44"/>
  <c r="P6" i="44"/>
  <c r="N10" i="44"/>
  <c r="N18" i="44"/>
  <c r="T18" i="44"/>
  <c r="Z18" i="44"/>
  <c r="AF18" i="44"/>
  <c r="AL18" i="44"/>
  <c r="N26" i="44"/>
  <c r="T26" i="44"/>
  <c r="Z26" i="44"/>
  <c r="AF26" i="44"/>
  <c r="AL26" i="44"/>
  <c r="N34" i="44"/>
  <c r="T34" i="44"/>
  <c r="Z34" i="44"/>
  <c r="AF34" i="44"/>
  <c r="AL34" i="44"/>
  <c r="N42" i="44"/>
  <c r="T42" i="44"/>
  <c r="Z42" i="44"/>
  <c r="AF42" i="44"/>
  <c r="AL42" i="44"/>
  <c r="T10" i="44"/>
  <c r="Z10" i="44"/>
  <c r="AF10" i="44"/>
  <c r="AL10" i="44"/>
  <c r="J10" i="44"/>
  <c r="J18" i="44"/>
  <c r="P18" i="44"/>
  <c r="V18" i="44"/>
  <c r="AB18" i="44"/>
  <c r="AH18" i="44"/>
  <c r="J26" i="44"/>
  <c r="P26" i="44"/>
  <c r="V26" i="44"/>
  <c r="AB26" i="44"/>
  <c r="AH26" i="44"/>
  <c r="J34" i="44"/>
  <c r="P34" i="44"/>
  <c r="V34" i="44"/>
  <c r="AB34" i="44"/>
  <c r="AH34" i="44"/>
  <c r="J42" i="44"/>
  <c r="P42" i="44"/>
  <c r="V42" i="44"/>
  <c r="AB42" i="44"/>
  <c r="AH42" i="44"/>
  <c r="P10" i="44"/>
  <c r="V10" i="44"/>
  <c r="AB10" i="44"/>
  <c r="AH10" i="44"/>
  <c r="L8" i="44"/>
  <c r="R16" i="44"/>
  <c r="X16" i="44"/>
  <c r="AD16" i="44"/>
  <c r="AJ16" i="44"/>
  <c r="L24" i="44"/>
  <c r="R24" i="44"/>
  <c r="X24" i="44"/>
  <c r="AD24" i="44"/>
  <c r="AJ24" i="44"/>
  <c r="L32" i="44"/>
  <c r="R32" i="44"/>
  <c r="X32" i="44"/>
  <c r="AD32" i="44"/>
  <c r="AJ32" i="44"/>
  <c r="L40" i="44"/>
  <c r="R40" i="44"/>
  <c r="X40" i="44"/>
  <c r="AD40" i="44"/>
  <c r="AJ40" i="44"/>
  <c r="R8" i="44"/>
  <c r="X8" i="44"/>
  <c r="AD8" i="44"/>
  <c r="AJ8" i="44"/>
  <c r="L16" i="44"/>
  <c r="P8" i="44"/>
  <c r="V8" i="44"/>
  <c r="AB8" i="44"/>
  <c r="AH8" i="44"/>
  <c r="J16" i="44"/>
  <c r="P16" i="44"/>
  <c r="V16" i="44"/>
  <c r="AB16" i="44"/>
  <c r="AH16" i="44"/>
  <c r="J24" i="44"/>
  <c r="P24" i="44"/>
  <c r="V24" i="44"/>
  <c r="AB24" i="44"/>
  <c r="AH24" i="44"/>
  <c r="J32" i="44"/>
  <c r="P32" i="44"/>
  <c r="V32" i="44"/>
  <c r="AB32" i="44"/>
  <c r="AH32" i="44"/>
  <c r="J40" i="44"/>
  <c r="P40" i="44"/>
  <c r="V40" i="44"/>
  <c r="AB40" i="44"/>
  <c r="AH40" i="44"/>
  <c r="J8" i="44"/>
  <c r="N6" i="44"/>
  <c r="Z6" i="44"/>
  <c r="AF6" i="44"/>
  <c r="AL6" i="44"/>
  <c r="N14" i="44"/>
  <c r="T14" i="44"/>
  <c r="Z14" i="44"/>
  <c r="AF14" i="44"/>
  <c r="AL14" i="44"/>
  <c r="N22" i="44"/>
  <c r="T22" i="44"/>
  <c r="Z22" i="44"/>
  <c r="AF22" i="44"/>
  <c r="AL22" i="44"/>
  <c r="N30" i="44"/>
  <c r="T30" i="44"/>
  <c r="Z30" i="44"/>
  <c r="AF30" i="44"/>
  <c r="AL30" i="44"/>
  <c r="N38" i="44"/>
  <c r="T38" i="44"/>
  <c r="Z38" i="44"/>
  <c r="AF38" i="44"/>
  <c r="AL38" i="44"/>
  <c r="T6" i="44"/>
  <c r="M64" i="33"/>
  <c r="N64" i="33"/>
  <c r="M22" i="33"/>
  <c r="N22" i="33"/>
  <c r="M16" i="33"/>
  <c r="N16" i="33"/>
  <c r="M34" i="33"/>
  <c r="N34" i="33"/>
  <c r="N10" i="33"/>
  <c r="M10" i="33"/>
  <c r="M28" i="33"/>
  <c r="N28" i="33"/>
  <c r="M46" i="33"/>
  <c r="N46" i="33"/>
  <c r="N40" i="33"/>
  <c r="M40" i="33"/>
  <c r="N52" i="33"/>
  <c r="M52" i="33"/>
  <c r="M58" i="33"/>
  <c r="N58" i="33"/>
  <c r="AJ28" i="44"/>
  <c r="AJ20" i="44"/>
  <c r="AJ44" i="44"/>
  <c r="AJ36" i="44"/>
  <c r="AD36" i="44"/>
  <c r="AD44" i="44"/>
  <c r="AD20" i="44"/>
  <c r="AD28" i="44"/>
  <c r="X12" i="44"/>
  <c r="AD12" i="44"/>
  <c r="X28" i="44"/>
  <c r="X20" i="44"/>
  <c r="X44" i="44"/>
  <c r="X36" i="44"/>
  <c r="L28" i="44"/>
  <c r="L20" i="44"/>
  <c r="L44" i="44"/>
  <c r="L36" i="44"/>
  <c r="R36" i="44"/>
  <c r="R44" i="44"/>
  <c r="R20" i="44"/>
  <c r="R28" i="44"/>
  <c r="L12" i="44"/>
  <c r="R12" i="44"/>
  <c r="P6" i="45"/>
  <c r="V6" i="45"/>
  <c r="AB6" i="45"/>
  <c r="AH6" i="45"/>
  <c r="J16" i="45"/>
  <c r="P16" i="45"/>
  <c r="V16" i="45"/>
  <c r="AB16" i="45"/>
  <c r="AH16" i="45"/>
  <c r="J26" i="45"/>
  <c r="P26" i="45"/>
  <c r="V26" i="45"/>
  <c r="AB26" i="45"/>
  <c r="AH26" i="45"/>
  <c r="J36" i="45"/>
  <c r="P36" i="45"/>
  <c r="V36" i="45"/>
  <c r="AB36" i="45"/>
  <c r="AH36" i="45"/>
  <c r="J46" i="45"/>
  <c r="P46" i="45"/>
  <c r="V46" i="45"/>
  <c r="AB46" i="45"/>
  <c r="AH46" i="45"/>
  <c r="J6" i="45"/>
  <c r="AB11" i="33"/>
  <c r="AB10" i="33"/>
  <c r="AA10" i="33"/>
  <c r="AC10" i="33"/>
  <c r="AA11" i="33"/>
  <c r="AC11" i="33"/>
  <c r="AB12" i="33"/>
  <c r="AA12" i="33"/>
  <c r="AC12" i="33"/>
  <c r="AK52" i="55" l="1"/>
  <c r="AL52" i="55" s="1"/>
  <c r="AN52" i="55" s="1"/>
  <c r="AK54" i="55"/>
  <c r="AL54" i="55" s="1"/>
  <c r="AN54" i="55" s="1"/>
  <c r="AK38" i="55"/>
  <c r="AL38" i="55" s="1"/>
  <c r="AN38" i="55" s="1"/>
  <c r="U22" i="54"/>
  <c r="U13" i="54"/>
  <c r="U8" i="54"/>
  <c r="AK28" i="55"/>
  <c r="AL28" i="55" s="1"/>
  <c r="AN28" i="55" s="1"/>
  <c r="T36" i="54"/>
  <c r="U36" i="54"/>
  <c r="T34" i="54"/>
  <c r="U34" i="54"/>
  <c r="T33" i="54"/>
  <c r="AI33" i="54" s="1"/>
  <c r="AH33" i="54" s="1"/>
  <c r="U33" i="54"/>
  <c r="T27" i="54"/>
  <c r="AI27" i="54" s="1"/>
  <c r="AH27" i="54" s="1"/>
  <c r="U27" i="54"/>
  <c r="T26" i="54"/>
  <c r="AI26" i="54" s="1"/>
  <c r="AH26" i="54" s="1"/>
  <c r="U26" i="54"/>
  <c r="T25" i="54"/>
  <c r="AI25" i="54" s="1"/>
  <c r="AH25" i="54" s="1"/>
  <c r="U25" i="54"/>
  <c r="U16" i="54"/>
  <c r="P16" i="54"/>
  <c r="AI12" i="54"/>
  <c r="AH12" i="54" s="1"/>
  <c r="AE12" i="54"/>
  <c r="T6" i="54"/>
  <c r="U6" i="54"/>
  <c r="U5" i="54"/>
  <c r="P5" i="54"/>
  <c r="T4" i="54"/>
  <c r="AI4" i="54" s="1"/>
  <c r="AI5" i="54" s="1"/>
  <c r="AH5" i="54" s="1"/>
  <c r="U4" i="54"/>
  <c r="AK7" i="55"/>
  <c r="AL7" i="55" s="1"/>
  <c r="AN7" i="55" s="1"/>
  <c r="AK11" i="55"/>
  <c r="AL11" i="55" s="1"/>
  <c r="AN11" i="55" s="1"/>
  <c r="AK15" i="55"/>
  <c r="AL15" i="55" s="1"/>
  <c r="AN15" i="55" s="1"/>
  <c r="AK19" i="55"/>
  <c r="AL19" i="55" s="1"/>
  <c r="AN19" i="55" s="1"/>
  <c r="AP19" i="55" s="1"/>
  <c r="AK23" i="55"/>
  <c r="AL23" i="55" s="1"/>
  <c r="AN23" i="55" s="1"/>
  <c r="AK31" i="55"/>
  <c r="AL31" i="55" s="1"/>
  <c r="AN31" i="55" s="1"/>
  <c r="AK33" i="55"/>
  <c r="AL33" i="55" s="1"/>
  <c r="AN33" i="55" s="1"/>
  <c r="AK41" i="55"/>
  <c r="AL41" i="55" s="1"/>
  <c r="AN41" i="55" s="1"/>
  <c r="AK45" i="55"/>
  <c r="AL45" i="55" s="1"/>
  <c r="AN45" i="55" s="1"/>
  <c r="AK47" i="55"/>
  <c r="AL47" i="55" s="1"/>
  <c r="AN47" i="55" s="1"/>
  <c r="AK59" i="55"/>
  <c r="AL59" i="55" s="1"/>
  <c r="AN59" i="55" s="1"/>
  <c r="AO59" i="55" s="1"/>
  <c r="AQ59" i="55" s="1"/>
  <c r="AR59" i="55" s="1"/>
  <c r="AV59" i="55" s="1"/>
  <c r="AP42" i="55"/>
  <c r="AO42" i="55"/>
  <c r="AQ42" i="55" s="1"/>
  <c r="AR42" i="55" s="1"/>
  <c r="AV42" i="55" s="1"/>
  <c r="AU30" i="55"/>
  <c r="AV30" i="55"/>
  <c r="AW30" i="55" s="1"/>
  <c r="AO48" i="55"/>
  <c r="AQ48" i="55" s="1"/>
  <c r="AR48" i="55" s="1"/>
  <c r="AV48" i="55" s="1"/>
  <c r="AK3" i="55"/>
  <c r="AL3" i="55" s="1"/>
  <c r="AN3" i="55" s="1"/>
  <c r="AK5" i="55"/>
  <c r="AL5" i="55" s="1"/>
  <c r="AN5" i="55" s="1"/>
  <c r="AO5" i="55" s="1"/>
  <c r="AQ5" i="55" s="1"/>
  <c r="AR5" i="55" s="1"/>
  <c r="AK9" i="55"/>
  <c r="AL9" i="55" s="1"/>
  <c r="AN9" i="55" s="1"/>
  <c r="AK13" i="55"/>
  <c r="AL13" i="55" s="1"/>
  <c r="AN13" i="55" s="1"/>
  <c r="AP13" i="55" s="1"/>
  <c r="AK17" i="55"/>
  <c r="AL17" i="55" s="1"/>
  <c r="AN17" i="55" s="1"/>
  <c r="AK21" i="55"/>
  <c r="AL21" i="55" s="1"/>
  <c r="AN21" i="55" s="1"/>
  <c r="AK25" i="55"/>
  <c r="AL25" i="55" s="1"/>
  <c r="AN25" i="55" s="1"/>
  <c r="AP25" i="55" s="1"/>
  <c r="AK27" i="55"/>
  <c r="AL27" i="55" s="1"/>
  <c r="AN27" i="55" s="1"/>
  <c r="AP27" i="55" s="1"/>
  <c r="AK29" i="55"/>
  <c r="AL29" i="55" s="1"/>
  <c r="AN29" i="55" s="1"/>
  <c r="AK35" i="55"/>
  <c r="AL35" i="55" s="1"/>
  <c r="AN35" i="55" s="1"/>
  <c r="AP35" i="55" s="1"/>
  <c r="AK37" i="55"/>
  <c r="AL37" i="55" s="1"/>
  <c r="AN37" i="55" s="1"/>
  <c r="AO37" i="55" s="1"/>
  <c r="AQ37" i="55" s="1"/>
  <c r="AR37" i="55" s="1"/>
  <c r="AK39" i="55"/>
  <c r="AL39" i="55" s="1"/>
  <c r="AN39" i="55" s="1"/>
  <c r="AO39" i="55" s="1"/>
  <c r="AQ39" i="55" s="1"/>
  <c r="AR39" i="55" s="1"/>
  <c r="AV39" i="55" s="1"/>
  <c r="AK43" i="55"/>
  <c r="AL43" i="55" s="1"/>
  <c r="AN43" i="55" s="1"/>
  <c r="AP43" i="55" s="1"/>
  <c r="AK49" i="55"/>
  <c r="AL49" i="55" s="1"/>
  <c r="AN49" i="55" s="1"/>
  <c r="AO49" i="55" s="1"/>
  <c r="AQ49" i="55" s="1"/>
  <c r="AR49" i="55" s="1"/>
  <c r="AK51" i="55"/>
  <c r="AL51" i="55" s="1"/>
  <c r="AN51" i="55" s="1"/>
  <c r="AO51" i="55" s="1"/>
  <c r="AQ51" i="55" s="1"/>
  <c r="AR51" i="55" s="1"/>
  <c r="AK53" i="55"/>
  <c r="AL53" i="55" s="1"/>
  <c r="AN53" i="55" s="1"/>
  <c r="AP53" i="55" s="1"/>
  <c r="AK55" i="55"/>
  <c r="AL55" i="55" s="1"/>
  <c r="AN55" i="55" s="1"/>
  <c r="AP55" i="55" s="1"/>
  <c r="AK57" i="55"/>
  <c r="AL57" i="55" s="1"/>
  <c r="AN57" i="55" s="1"/>
  <c r="AP57" i="55" s="1"/>
  <c r="AU36" i="55"/>
  <c r="AV36" i="55"/>
  <c r="AO40" i="55"/>
  <c r="AQ40" i="55" s="1"/>
  <c r="AR40" i="55" s="1"/>
  <c r="AP40" i="55"/>
  <c r="AV4" i="55"/>
  <c r="AU4" i="55"/>
  <c r="AP14" i="55"/>
  <c r="AO14" i="55"/>
  <c r="AQ14" i="55" s="1"/>
  <c r="AR14" i="55" s="1"/>
  <c r="AP22" i="55"/>
  <c r="AO22" i="55"/>
  <c r="AQ22" i="55" s="1"/>
  <c r="AR22" i="55" s="1"/>
  <c r="AP38" i="55"/>
  <c r="AO38" i="55"/>
  <c r="AQ38" i="55" s="1"/>
  <c r="AR38" i="55" s="1"/>
  <c r="AO50" i="55"/>
  <c r="AQ50" i="55" s="1"/>
  <c r="AR50" i="55" s="1"/>
  <c r="AP50" i="55"/>
  <c r="AP56" i="55"/>
  <c r="AO56" i="55"/>
  <c r="AQ56" i="55" s="1"/>
  <c r="AR56" i="55" s="1"/>
  <c r="AP6" i="55"/>
  <c r="AO6" i="55"/>
  <c r="AQ6" i="55" s="1"/>
  <c r="AR6" i="55" s="1"/>
  <c r="AP10" i="55"/>
  <c r="AO10" i="55"/>
  <c r="AQ10" i="55" s="1"/>
  <c r="AR10" i="55" s="1"/>
  <c r="AO20" i="55"/>
  <c r="AQ20" i="55" s="1"/>
  <c r="AR20" i="55" s="1"/>
  <c r="AP20" i="55"/>
  <c r="AO24" i="55"/>
  <c r="AQ24" i="55" s="1"/>
  <c r="AR24" i="55" s="1"/>
  <c r="AP24" i="55"/>
  <c r="AO54" i="55"/>
  <c r="AQ54" i="55" s="1"/>
  <c r="AR54" i="55" s="1"/>
  <c r="AP54" i="55"/>
  <c r="AO34" i="55"/>
  <c r="AQ34" i="55" s="1"/>
  <c r="AR34" i="55" s="1"/>
  <c r="AP34" i="55"/>
  <c r="AP58" i="55"/>
  <c r="AO58" i="55"/>
  <c r="AQ58" i="55" s="1"/>
  <c r="AR58" i="55" s="1"/>
  <c r="AP16" i="55"/>
  <c r="AO26" i="55"/>
  <c r="AQ26" i="55" s="1"/>
  <c r="AR26" i="55" s="1"/>
  <c r="AP26" i="55"/>
  <c r="AP44" i="55"/>
  <c r="AO44" i="55"/>
  <c r="AQ44" i="55" s="1"/>
  <c r="AR44" i="55" s="1"/>
  <c r="AP46" i="55"/>
  <c r="AO46" i="55"/>
  <c r="AQ46" i="55" s="1"/>
  <c r="AR46" i="55" s="1"/>
  <c r="AO18" i="55"/>
  <c r="AQ18" i="55" s="1"/>
  <c r="AR18" i="55" s="1"/>
  <c r="AP18" i="55"/>
  <c r="AO8" i="55"/>
  <c r="AQ8" i="55" s="1"/>
  <c r="AR8" i="55" s="1"/>
  <c r="AP8" i="55"/>
  <c r="AU16" i="55"/>
  <c r="AW16" i="55" s="1"/>
  <c r="AP52" i="55"/>
  <c r="AO52" i="55"/>
  <c r="AQ52" i="55" s="1"/>
  <c r="AR52" i="55" s="1"/>
  <c r="AO12" i="55"/>
  <c r="AQ12" i="55" s="1"/>
  <c r="AR12" i="55" s="1"/>
  <c r="AP12" i="55"/>
  <c r="AP30" i="55"/>
  <c r="AP4" i="55"/>
  <c r="AP36" i="55"/>
  <c r="AP32" i="55"/>
  <c r="AO32" i="55"/>
  <c r="AQ32" i="55" s="1"/>
  <c r="AR32" i="55" s="1"/>
  <c r="T31" i="54"/>
  <c r="AI31" i="54" s="1"/>
  <c r="AH31" i="54" s="1"/>
  <c r="U31" i="54"/>
  <c r="U32" i="54"/>
  <c r="T32" i="54"/>
  <c r="AI32" i="54"/>
  <c r="AH32" i="54" s="1"/>
  <c r="U14" i="54"/>
  <c r="T14" i="54"/>
  <c r="U9" i="54"/>
  <c r="AG4" i="54"/>
  <c r="AF4" i="54"/>
  <c r="U35" i="54"/>
  <c r="T35" i="54"/>
  <c r="AG10" i="54"/>
  <c r="AF10" i="54"/>
  <c r="T7" i="54"/>
  <c r="U7" i="54"/>
  <c r="U21" i="54"/>
  <c r="T21" i="54"/>
  <c r="T30" i="54"/>
  <c r="AI30" i="54" s="1"/>
  <c r="AH30" i="54" s="1"/>
  <c r="U30" i="54"/>
  <c r="U10" i="54"/>
  <c r="U20" i="54"/>
  <c r="P6" i="54"/>
  <c r="AI10" i="54"/>
  <c r="AH10" i="54" s="1"/>
  <c r="T28" i="54"/>
  <c r="AI28" i="54" s="1"/>
  <c r="AH28" i="54" s="1"/>
  <c r="AE5" i="54"/>
  <c r="T29" i="54"/>
  <c r="AI29" i="54" s="1"/>
  <c r="AH29" i="54" s="1"/>
  <c r="U15" i="54"/>
  <c r="P11" i="54"/>
  <c r="AE11" i="54" s="1"/>
  <c r="S219" i="24"/>
  <c r="AG121" i="24"/>
  <c r="AF121" i="24" s="1"/>
  <c r="V44" i="25"/>
  <c r="P12" i="25"/>
  <c r="AB44" i="25"/>
  <c r="S139" i="24"/>
  <c r="S98" i="24"/>
  <c r="T42" i="25"/>
  <c r="S250" i="24"/>
  <c r="S186" i="24"/>
  <c r="AC49" i="24"/>
  <c r="AE49" i="24" s="1"/>
  <c r="AC50" i="24" s="1"/>
  <c r="S198" i="24"/>
  <c r="N139" i="24"/>
  <c r="AC139" i="24" s="1"/>
  <c r="AC229" i="24"/>
  <c r="AE229" i="24" s="1"/>
  <c r="AC230" i="24" s="1"/>
  <c r="S259" i="24"/>
  <c r="S248" i="24"/>
  <c r="R248" i="24"/>
  <c r="R73" i="24"/>
  <c r="AG73" i="24" s="1"/>
  <c r="AG80" i="24" s="1"/>
  <c r="AD44" i="25"/>
  <c r="S137" i="24"/>
  <c r="R137" i="24"/>
  <c r="S80" i="24"/>
  <c r="R80" i="24"/>
  <c r="AG187" i="24"/>
  <c r="AF187" i="24" s="1"/>
  <c r="Z38" i="25"/>
  <c r="S112" i="24"/>
  <c r="S246" i="24"/>
  <c r="S230" i="24"/>
  <c r="S97" i="24"/>
  <c r="S200" i="24"/>
  <c r="P8" i="25"/>
  <c r="S208" i="24"/>
  <c r="R36" i="25"/>
  <c r="S224" i="24"/>
  <c r="AC127" i="24"/>
  <c r="AD127" i="24" s="1"/>
  <c r="S92" i="24"/>
  <c r="AH24" i="25"/>
  <c r="R25" i="24"/>
  <c r="AG25" i="24" s="1"/>
  <c r="T22" i="25"/>
  <c r="T14" i="25"/>
  <c r="R169" i="24"/>
  <c r="AG169" i="24" s="1"/>
  <c r="AF169" i="24" s="1"/>
  <c r="S169" i="24"/>
  <c r="S218" i="24"/>
  <c r="R218" i="24"/>
  <c r="R229" i="24"/>
  <c r="AG229" i="24" s="1"/>
  <c r="AF229" i="24" s="1"/>
  <c r="S229" i="24"/>
  <c r="S146" i="24"/>
  <c r="S238" i="24"/>
  <c r="AG151" i="24"/>
  <c r="AF151" i="24" s="1"/>
  <c r="S53" i="24"/>
  <c r="S96" i="24"/>
  <c r="AF12" i="25"/>
  <c r="S130" i="24"/>
  <c r="AJ12" i="25"/>
  <c r="S173" i="24"/>
  <c r="S228" i="24"/>
  <c r="AG175" i="24"/>
  <c r="AG182" i="24" s="1"/>
  <c r="AC223" i="24"/>
  <c r="AE223" i="24" s="1"/>
  <c r="AC224" i="24" s="1"/>
  <c r="S41" i="24"/>
  <c r="R34" i="25"/>
  <c r="S21" i="24"/>
  <c r="X44" i="25"/>
  <c r="S190" i="24"/>
  <c r="L36" i="25"/>
  <c r="T38" i="25"/>
  <c r="S126" i="24"/>
  <c r="AG181" i="24"/>
  <c r="AF181" i="24" s="1"/>
  <c r="S143" i="24"/>
  <c r="N219" i="24"/>
  <c r="AG235" i="24"/>
  <c r="AF235" i="24" s="1"/>
  <c r="S65" i="24"/>
  <c r="S193" i="24"/>
  <c r="R193" i="24"/>
  <c r="AG193" i="24" s="1"/>
  <c r="AF193" i="24" s="1"/>
  <c r="R206" i="24"/>
  <c r="S206" i="24"/>
  <c r="AG259" i="24"/>
  <c r="AF259" i="24" s="1"/>
  <c r="R158" i="24"/>
  <c r="S158" i="24"/>
  <c r="S157" i="24"/>
  <c r="R157" i="24"/>
  <c r="AG157" i="24" s="1"/>
  <c r="S47" i="24"/>
  <c r="R47" i="24"/>
  <c r="Z42" i="25"/>
  <c r="P16" i="25"/>
  <c r="V40" i="25"/>
  <c r="AF6" i="25"/>
  <c r="S107" i="24"/>
  <c r="AF36" i="25"/>
  <c r="S147" i="24"/>
  <c r="R44" i="25"/>
  <c r="J36" i="25"/>
  <c r="P20" i="25"/>
  <c r="S254" i="24"/>
  <c r="AC55" i="24"/>
  <c r="AE55" i="24" s="1"/>
  <c r="AC56" i="24" s="1"/>
  <c r="AC181" i="24"/>
  <c r="AD181" i="24" s="1"/>
  <c r="S110" i="24"/>
  <c r="J16" i="25"/>
  <c r="V28" i="25"/>
  <c r="AB36" i="25"/>
  <c r="J40" i="25"/>
  <c r="AB12" i="25"/>
  <c r="AF30" i="25"/>
  <c r="N259" i="24"/>
  <c r="AC259" i="24" s="1"/>
  <c r="AD259" i="24" s="1"/>
  <c r="S196" i="24"/>
  <c r="AC163" i="24"/>
  <c r="AE163" i="24" s="1"/>
  <c r="AC164" i="24" s="1"/>
  <c r="AE164" i="24" s="1"/>
  <c r="AC165" i="24" s="1"/>
  <c r="S149" i="24"/>
  <c r="AG67" i="24"/>
  <c r="AG74" i="24" s="1"/>
  <c r="S258" i="24"/>
  <c r="J32" i="25"/>
  <c r="AB8" i="25"/>
  <c r="P44" i="25"/>
  <c r="AG145" i="24"/>
  <c r="AF145" i="24" s="1"/>
  <c r="AH16" i="25"/>
  <c r="P36" i="25"/>
  <c r="X28" i="25"/>
  <c r="S220" i="24"/>
  <c r="N7" i="24"/>
  <c r="AC253" i="24"/>
  <c r="S48" i="24"/>
  <c r="J12" i="25"/>
  <c r="AB20" i="25"/>
  <c r="L28" i="25"/>
  <c r="S117" i="24"/>
  <c r="N126" i="24"/>
  <c r="N31" i="24"/>
  <c r="AC31" i="24" s="1"/>
  <c r="AE31" i="24" s="1"/>
  <c r="AC32" i="24" s="1"/>
  <c r="AD32" i="24" s="1"/>
  <c r="S161" i="24"/>
  <c r="J28" i="25"/>
  <c r="V16" i="25"/>
  <c r="S36" i="24"/>
  <c r="AH12" i="25"/>
  <c r="V36" i="25"/>
  <c r="R10" i="25"/>
  <c r="R20" i="25"/>
  <c r="S51" i="24"/>
  <c r="S57" i="24"/>
  <c r="S85" i="24"/>
  <c r="S128" i="24"/>
  <c r="AH44" i="25"/>
  <c r="V20" i="25"/>
  <c r="V6" i="25"/>
  <c r="L20" i="25"/>
  <c r="AC103" i="24"/>
  <c r="AD103" i="24" s="1"/>
  <c r="S160" i="24"/>
  <c r="N65" i="24"/>
  <c r="S134" i="24"/>
  <c r="S32" i="24"/>
  <c r="V24" i="25"/>
  <c r="S176" i="24"/>
  <c r="S12" i="24"/>
  <c r="J8" i="25"/>
  <c r="AJ26" i="25"/>
  <c r="J30" i="25"/>
  <c r="AH36" i="25"/>
  <c r="R18" i="25"/>
  <c r="P6" i="25"/>
  <c r="AB28" i="25"/>
  <c r="AD10" i="25"/>
  <c r="N6" i="24"/>
  <c r="S52" i="24"/>
  <c r="V8" i="25"/>
  <c r="V32" i="25"/>
  <c r="S72" i="24"/>
  <c r="AH8" i="25"/>
  <c r="AH32" i="25"/>
  <c r="AH28" i="25"/>
  <c r="AL14" i="25"/>
  <c r="AG139" i="24"/>
  <c r="AF139" i="24" s="1"/>
  <c r="J44" i="25"/>
  <c r="J20" i="25"/>
  <c r="N6" i="25"/>
  <c r="V12" i="25"/>
  <c r="P28" i="25"/>
  <c r="AL22" i="25"/>
  <c r="S78" i="24"/>
  <c r="AB24" i="25"/>
  <c r="AH20" i="25"/>
  <c r="AG43" i="24"/>
  <c r="AF43" i="24" s="1"/>
  <c r="S165" i="24"/>
  <c r="S136" i="24"/>
  <c r="S233" i="24"/>
  <c r="R233" i="24"/>
  <c r="AG218" i="24"/>
  <c r="AG219" i="24" s="1"/>
  <c r="S152" i="24"/>
  <c r="R152" i="24"/>
  <c r="R26" i="24"/>
  <c r="S26" i="24"/>
  <c r="S133" i="24"/>
  <c r="R133" i="24"/>
  <c r="AG133" i="24" s="1"/>
  <c r="AF133" i="24" s="1"/>
  <c r="R132" i="24"/>
  <c r="S132" i="24"/>
  <c r="R103" i="24"/>
  <c r="AG103" i="24" s="1"/>
  <c r="S103" i="24"/>
  <c r="AG247" i="24"/>
  <c r="R163" i="24"/>
  <c r="AG163" i="24" s="1"/>
  <c r="S163" i="24"/>
  <c r="S207" i="24"/>
  <c r="R207" i="24"/>
  <c r="S127" i="24"/>
  <c r="R127" i="24"/>
  <c r="AG127" i="24" s="1"/>
  <c r="AG134" i="24" s="1"/>
  <c r="R192" i="24"/>
  <c r="S192" i="24"/>
  <c r="L24" i="25"/>
  <c r="AD40" i="25"/>
  <c r="AD24" i="25"/>
  <c r="AJ8" i="25"/>
  <c r="L16" i="25"/>
  <c r="R113" i="24"/>
  <c r="S113" i="24"/>
  <c r="S178" i="24"/>
  <c r="R178" i="24"/>
  <c r="R140" i="24"/>
  <c r="S140" i="24"/>
  <c r="R199" i="24"/>
  <c r="AG199" i="24" s="1"/>
  <c r="S199" i="24"/>
  <c r="J14" i="52" a="1"/>
  <c r="J14" i="52" s="1"/>
  <c r="AB42" i="25"/>
  <c r="P18" i="25"/>
  <c r="J42" i="25"/>
  <c r="V34" i="25"/>
  <c r="P26" i="25"/>
  <c r="AB10" i="25"/>
  <c r="AH42" i="25"/>
  <c r="P10" i="25"/>
  <c r="J34" i="25"/>
  <c r="J10" i="25"/>
  <c r="P42" i="25"/>
  <c r="AH34" i="25"/>
  <c r="AH26" i="25"/>
  <c r="AB18" i="25"/>
  <c r="V42" i="25"/>
  <c r="J26" i="25"/>
  <c r="AB34" i="25"/>
  <c r="V10" i="25"/>
  <c r="AH18" i="25"/>
  <c r="AH10" i="25"/>
  <c r="V26" i="25"/>
  <c r="J18" i="25"/>
  <c r="P34" i="25"/>
  <c r="S257" i="24"/>
  <c r="R257" i="24"/>
  <c r="J22" i="52" a="1"/>
  <c r="J22" i="52" s="1"/>
  <c r="Z30" i="25"/>
  <c r="AJ28" i="25"/>
  <c r="AC199" i="24"/>
  <c r="AD199" i="24" s="1"/>
  <c r="S247" i="24"/>
  <c r="S56" i="24"/>
  <c r="S144" i="24"/>
  <c r="S64" i="24"/>
  <c r="R32" i="25"/>
  <c r="V30" i="25"/>
  <c r="Z26" i="25"/>
  <c r="AC187" i="24"/>
  <c r="AD187" i="24" s="1"/>
  <c r="L8" i="25"/>
  <c r="AH22" i="25"/>
  <c r="AL6" i="25"/>
  <c r="AJ24" i="25"/>
  <c r="AB38" i="25"/>
  <c r="AL30" i="25"/>
  <c r="Z14" i="25"/>
  <c r="AD28" i="25"/>
  <c r="S179" i="24"/>
  <c r="S63" i="24"/>
  <c r="N258" i="24"/>
  <c r="AC157" i="24"/>
  <c r="S68" i="24"/>
  <c r="S242" i="24"/>
  <c r="S37" i="24"/>
  <c r="AB22" i="25"/>
  <c r="R28" i="25"/>
  <c r="AC43" i="24"/>
  <c r="R41" i="24"/>
  <c r="S241" i="24"/>
  <c r="S172" i="24"/>
  <c r="S44" i="24"/>
  <c r="S81" i="24"/>
  <c r="N198" i="24"/>
  <c r="S184" i="24"/>
  <c r="S11" i="24"/>
  <c r="S118" i="24"/>
  <c r="S256" i="24"/>
  <c r="S24" i="24"/>
  <c r="X8" i="25"/>
  <c r="X10" i="25"/>
  <c r="AF14" i="25"/>
  <c r="T12" i="25"/>
  <c r="AD20" i="25"/>
  <c r="S135" i="24"/>
  <c r="N32" i="24"/>
  <c r="S226" i="24"/>
  <c r="R173" i="24"/>
  <c r="R72" i="24"/>
  <c r="L32" i="25"/>
  <c r="N38" i="25"/>
  <c r="T28" i="25"/>
  <c r="S62" i="24"/>
  <c r="S225" i="24"/>
  <c r="S86" i="24"/>
  <c r="S50" i="24"/>
  <c r="S70" i="24"/>
  <c r="T6" i="25"/>
  <c r="AD12" i="25"/>
  <c r="AG223" i="24"/>
  <c r="AC109" i="24"/>
  <c r="N25" i="24"/>
  <c r="AC25" i="24" s="1"/>
  <c r="S122" i="24"/>
  <c r="S194" i="24"/>
  <c r="S166" i="24"/>
  <c r="S60" i="24"/>
  <c r="AG253" i="24"/>
  <c r="AF253" i="24" s="1"/>
  <c r="R42" i="25"/>
  <c r="AF22" i="25"/>
  <c r="N12" i="25"/>
  <c r="L12" i="25"/>
  <c r="X12" i="25"/>
  <c r="R238" i="24"/>
  <c r="S213" i="24"/>
  <c r="S183" i="24"/>
  <c r="S30" i="24"/>
  <c r="S170" i="24"/>
  <c r="L26" i="25"/>
  <c r="S249" i="24"/>
  <c r="AD26" i="25"/>
  <c r="L40" i="25"/>
  <c r="X34" i="25"/>
  <c r="J38" i="25"/>
  <c r="AF28" i="25"/>
  <c r="AC169" i="24"/>
  <c r="AD169" i="24" s="1"/>
  <c r="S222" i="24"/>
  <c r="S88" i="24"/>
  <c r="R16" i="25"/>
  <c r="Z6" i="25"/>
  <c r="AD16" i="25"/>
  <c r="L42" i="25"/>
  <c r="P14" i="25"/>
  <c r="Z22" i="25"/>
  <c r="T20" i="25"/>
  <c r="AJ44" i="25"/>
  <c r="R12" i="25"/>
  <c r="S54" i="24"/>
  <c r="S223" i="24"/>
  <c r="N136" i="24"/>
  <c r="AG4" i="24"/>
  <c r="S153" i="24"/>
  <c r="AG16" i="24"/>
  <c r="AF16" i="24" s="1"/>
  <c r="S201" i="24"/>
  <c r="S42" i="24"/>
  <c r="S82" i="24"/>
  <c r="AD8" i="25"/>
  <c r="N14" i="25"/>
  <c r="S177" i="24"/>
  <c r="S168" i="24"/>
  <c r="S14" i="24"/>
  <c r="AJ40" i="25"/>
  <c r="AB30" i="25"/>
  <c r="P22" i="25"/>
  <c r="N22" i="25"/>
  <c r="AJ36" i="25"/>
  <c r="S188" i="24"/>
  <c r="S125" i="24"/>
  <c r="S13" i="24"/>
  <c r="AG122" i="24"/>
  <c r="AF122" i="24" s="1"/>
  <c r="Z20" i="25"/>
  <c r="AD32" i="25"/>
  <c r="AJ42" i="25"/>
  <c r="Z28" i="25"/>
  <c r="P30" i="25"/>
  <c r="S148" i="24"/>
  <c r="S260" i="24"/>
  <c r="S234" i="24"/>
  <c r="N30" i="25"/>
  <c r="AD36" i="25"/>
  <c r="R79" i="24"/>
  <c r="AG79" i="24" s="1"/>
  <c r="AF79" i="24" s="1"/>
  <c r="S90" i="24"/>
  <c r="S174" i="24"/>
  <c r="S212" i="24"/>
  <c r="S232" i="24"/>
  <c r="S29" i="24"/>
  <c r="S227" i="24"/>
  <c r="AF20" i="25"/>
  <c r="AL38" i="25"/>
  <c r="J14" i="25"/>
  <c r="L44" i="25"/>
  <c r="S138" i="24"/>
  <c r="R24" i="25"/>
  <c r="AH38" i="25"/>
  <c r="AD18" i="25"/>
  <c r="R8" i="25"/>
  <c r="AJ34" i="25"/>
  <c r="X36" i="25"/>
  <c r="AC37" i="24"/>
  <c r="AD37" i="24" s="1"/>
  <c r="AC97" i="24"/>
  <c r="AE97" i="24" s="1"/>
  <c r="AC98" i="24" s="1"/>
  <c r="R64" i="24"/>
  <c r="R24" i="24"/>
  <c r="R48" i="24"/>
  <c r="R110" i="24"/>
  <c r="S76" i="24"/>
  <c r="S187" i="24"/>
  <c r="N246" i="24"/>
  <c r="AC217" i="24"/>
  <c r="AD217" i="24" s="1"/>
  <c r="N216" i="24"/>
  <c r="S216" i="24"/>
  <c r="S215" i="24"/>
  <c r="N215" i="24"/>
  <c r="AJ6" i="25"/>
  <c r="AD14" i="25"/>
  <c r="L38" i="25"/>
  <c r="AJ30" i="25"/>
  <c r="R30" i="25"/>
  <c r="R14" i="25"/>
  <c r="AJ38" i="25"/>
  <c r="L22" i="25"/>
  <c r="X6" i="25"/>
  <c r="X38" i="25"/>
  <c r="L14" i="25"/>
  <c r="S15" i="24"/>
  <c r="X22" i="25"/>
  <c r="AJ14" i="25"/>
  <c r="R6" i="25"/>
  <c r="AD38" i="25"/>
  <c r="AD30" i="25"/>
  <c r="R22" i="25"/>
  <c r="R38" i="25"/>
  <c r="X14" i="25"/>
  <c r="AJ22" i="25"/>
  <c r="N15" i="24"/>
  <c r="AC15" i="24" s="1"/>
  <c r="L6" i="25"/>
  <c r="AD6" i="25"/>
  <c r="AD22" i="25"/>
  <c r="X30" i="25"/>
  <c r="AD14" i="26" a="1"/>
  <c r="AD14" i="26" s="1"/>
  <c r="S43" i="24"/>
  <c r="AL8" i="25"/>
  <c r="AL32" i="25"/>
  <c r="AF40" i="25"/>
  <c r="N24" i="25"/>
  <c r="T16" i="25"/>
  <c r="N8" i="25"/>
  <c r="N32" i="25"/>
  <c r="AL16" i="25"/>
  <c r="T8" i="25"/>
  <c r="T24" i="25"/>
  <c r="AL40" i="25"/>
  <c r="Z24" i="25"/>
  <c r="Z16" i="25"/>
  <c r="T32" i="25"/>
  <c r="AF32" i="25"/>
  <c r="AL24" i="25"/>
  <c r="AF24" i="25"/>
  <c r="Z8" i="25"/>
  <c r="N16" i="25"/>
  <c r="AF8" i="25"/>
  <c r="N40" i="25"/>
  <c r="Z32" i="25"/>
  <c r="AF16" i="25"/>
  <c r="T40" i="25"/>
  <c r="L30" i="25"/>
  <c r="Z40" i="25"/>
  <c r="R61" i="24"/>
  <c r="AG61" i="24" s="1"/>
  <c r="T10" i="25"/>
  <c r="T18" i="25"/>
  <c r="AL18" i="25"/>
  <c r="AL42" i="25"/>
  <c r="AF18" i="25"/>
  <c r="AL26" i="25"/>
  <c r="S61" i="24"/>
  <c r="N10" i="25"/>
  <c r="AF34" i="25"/>
  <c r="AF26" i="25"/>
  <c r="AF10" i="25"/>
  <c r="AF42" i="25"/>
  <c r="Z18" i="25"/>
  <c r="N42" i="25"/>
  <c r="AL10" i="25"/>
  <c r="T34" i="25"/>
  <c r="Z34" i="25"/>
  <c r="N34" i="25"/>
  <c r="N18" i="25"/>
  <c r="N26" i="25"/>
  <c r="AL34" i="25"/>
  <c r="AG15" i="24"/>
  <c r="Z44" i="25"/>
  <c r="T36" i="25"/>
  <c r="S79" i="24"/>
  <c r="AL28" i="25"/>
  <c r="Z12" i="25"/>
  <c r="T44" i="25"/>
  <c r="AL12" i="25"/>
  <c r="AL36" i="25"/>
  <c r="N36" i="25"/>
  <c r="AF44" i="25"/>
  <c r="N28" i="25"/>
  <c r="S46" i="24"/>
  <c r="J38" i="52" a="1"/>
  <c r="J38" i="52" s="1"/>
  <c r="AC91" i="24"/>
  <c r="L18" i="25"/>
  <c r="AJ16" i="25"/>
  <c r="X16" i="25"/>
  <c r="X24" i="25"/>
  <c r="R37" i="24"/>
  <c r="AG37" i="24" s="1"/>
  <c r="X32" i="25"/>
  <c r="AJ32" i="25"/>
  <c r="R40" i="25"/>
  <c r="X40" i="25"/>
  <c r="J30" i="52" a="1"/>
  <c r="J30" i="52" s="1"/>
  <c r="S38" i="24"/>
  <c r="R26" i="25"/>
  <c r="AD34" i="25"/>
  <c r="S154" i="24"/>
  <c r="N154" i="24"/>
  <c r="N100" i="24"/>
  <c r="S100" i="24"/>
  <c r="R55" i="24"/>
  <c r="AG55" i="24" s="1"/>
  <c r="AJ18" i="25"/>
  <c r="L34" i="25"/>
  <c r="AD42" i="25"/>
  <c r="X26" i="25"/>
  <c r="AJ10" i="25"/>
  <c r="S55" i="24"/>
  <c r="L10" i="25"/>
  <c r="X42" i="25"/>
  <c r="X18" i="25"/>
  <c r="N5" i="24"/>
  <c r="S5" i="24"/>
  <c r="S236" i="24"/>
  <c r="N236" i="24"/>
  <c r="R87" i="24"/>
  <c r="S87" i="24"/>
  <c r="S4" i="24"/>
  <c r="AH30" i="25"/>
  <c r="V14" i="25"/>
  <c r="J6" i="52" a="1"/>
  <c r="J6" i="52" s="1"/>
  <c r="J6" i="25"/>
  <c r="P38" i="25"/>
  <c r="N4" i="24"/>
  <c r="AC4" i="24" s="1"/>
  <c r="AB6" i="25"/>
  <c r="AH14" i="25"/>
  <c r="J22" i="25"/>
  <c r="V22" i="25"/>
  <c r="AH6" i="25"/>
  <c r="V38" i="25"/>
  <c r="N256" i="24"/>
  <c r="S162" i="24"/>
  <c r="R162" i="24"/>
  <c r="S150" i="24"/>
  <c r="R150" i="24"/>
  <c r="R10" i="24"/>
  <c r="S10" i="24"/>
  <c r="S171" i="24"/>
  <c r="N221" i="24"/>
  <c r="S221" i="24"/>
  <c r="S235" i="24"/>
  <c r="N235" i="24"/>
  <c r="AC235" i="24" s="1"/>
  <c r="R217" i="24"/>
  <c r="AG217" i="24" s="1"/>
  <c r="AF217" i="24" s="1"/>
  <c r="S217" i="24"/>
  <c r="S203" i="24"/>
  <c r="R203" i="24"/>
  <c r="R180" i="24"/>
  <c r="S180" i="24"/>
  <c r="S244" i="24"/>
  <c r="S101" i="24"/>
  <c r="R101" i="24"/>
  <c r="N58" i="24"/>
  <c r="S58" i="24"/>
  <c r="N79" i="24"/>
  <c r="AC79" i="24" s="1"/>
  <c r="AL44" i="25"/>
  <c r="AL20" i="25"/>
  <c r="N44" i="25"/>
  <c r="N20" i="25"/>
  <c r="Z36" i="25"/>
  <c r="N93" i="24"/>
  <c r="S93" i="24"/>
  <c r="S195" i="24"/>
  <c r="N195" i="24"/>
  <c r="R31" i="24"/>
  <c r="AG31" i="24" s="1"/>
  <c r="S31" i="24"/>
  <c r="AB16" i="25"/>
  <c r="AH40" i="25"/>
  <c r="P40" i="25"/>
  <c r="P24" i="25"/>
  <c r="S45" i="24"/>
  <c r="N45" i="24"/>
  <c r="N61" i="24"/>
  <c r="AC61" i="24" s="1"/>
  <c r="T26" i="25"/>
  <c r="AC193" i="24"/>
  <c r="S35" i="24"/>
  <c r="R35" i="24"/>
  <c r="S8" i="24"/>
  <c r="AC247" i="24"/>
  <c r="S164" i="24"/>
  <c r="N164" i="24"/>
  <c r="S124" i="24"/>
  <c r="S204" i="24"/>
  <c r="N204" i="24"/>
  <c r="R69" i="24"/>
  <c r="S69" i="24"/>
  <c r="N176" i="24"/>
  <c r="S66" i="24"/>
  <c r="N66" i="24"/>
  <c r="N121" i="24"/>
  <c r="AC121" i="24" s="1"/>
  <c r="S121" i="24"/>
  <c r="S25" i="24"/>
  <c r="T30" i="25"/>
  <c r="S175" i="24"/>
  <c r="N175" i="24"/>
  <c r="AC175" i="24" s="1"/>
  <c r="R102" i="24"/>
  <c r="S102" i="24"/>
  <c r="N40" i="24"/>
  <c r="S40" i="24"/>
  <c r="N99" i="24"/>
  <c r="S99" i="24"/>
  <c r="S255" i="24"/>
  <c r="N255" i="24"/>
  <c r="AC133" i="24"/>
  <c r="S181" i="24"/>
  <c r="S84" i="24"/>
  <c r="N39" i="24"/>
  <c r="S39" i="24"/>
  <c r="S77" i="24"/>
  <c r="N77" i="24"/>
  <c r="S214" i="24"/>
  <c r="N186" i="24"/>
  <c r="R240" i="24"/>
  <c r="S240" i="24"/>
  <c r="S123" i="24"/>
  <c r="R123" i="24"/>
  <c r="N226" i="24"/>
  <c r="S145" i="24"/>
  <c r="N145" i="24"/>
  <c r="AC145" i="24" s="1"/>
  <c r="N131" i="24"/>
  <c r="S131" i="24"/>
  <c r="S49" i="24"/>
  <c r="R49" i="24"/>
  <c r="V18" i="25"/>
  <c r="R18" i="24"/>
  <c r="S18" i="24"/>
  <c r="N185" i="24"/>
  <c r="S185" i="24"/>
  <c r="R28" i="24"/>
  <c r="S28" i="24"/>
  <c r="R189" i="24"/>
  <c r="S189" i="24"/>
  <c r="AC211" i="24"/>
  <c r="S59" i="24"/>
  <c r="S167" i="24"/>
  <c r="R167" i="24"/>
  <c r="J24" i="25"/>
  <c r="P32" i="25"/>
  <c r="AB40" i="25"/>
  <c r="AB26" i="25"/>
  <c r="Z10" i="25"/>
  <c r="AB32" i="25"/>
  <c r="AF38" i="25"/>
  <c r="R97" i="24"/>
  <c r="AG97" i="24" s="1"/>
  <c r="N74" i="24"/>
  <c r="S74" i="24"/>
  <c r="S83" i="24"/>
  <c r="N83" i="24"/>
  <c r="N251" i="24"/>
  <c r="S251" i="24"/>
  <c r="N224" i="24"/>
  <c r="S27" i="24"/>
  <c r="R27" i="24"/>
  <c r="R9" i="24"/>
  <c r="S9" i="24"/>
  <c r="N73" i="24"/>
  <c r="AC73" i="24" s="1"/>
  <c r="S73" i="24"/>
  <c r="X20" i="25"/>
  <c r="AJ20" i="25"/>
  <c r="N82" i="24"/>
  <c r="N196" i="24"/>
  <c r="S156" i="24"/>
  <c r="R75" i="24"/>
  <c r="S75" i="24"/>
  <c r="R237" i="24"/>
  <c r="S237" i="24"/>
  <c r="S253" i="24"/>
  <c r="S155" i="24"/>
  <c r="N155" i="24"/>
  <c r="S141" i="24"/>
  <c r="N141" i="24"/>
  <c r="AC115" i="24"/>
  <c r="AG241" i="24"/>
  <c r="AC241" i="24"/>
  <c r="R197" i="24"/>
  <c r="S197" i="24"/>
  <c r="S129" i="24"/>
  <c r="R129" i="24"/>
  <c r="S20" i="24"/>
  <c r="S19" i="24"/>
  <c r="S159" i="24"/>
  <c r="R159" i="24"/>
  <c r="S23" i="24"/>
  <c r="R23" i="24"/>
  <c r="S109" i="24"/>
  <c r="R109" i="24"/>
  <c r="AG109" i="24" s="1"/>
  <c r="S17" i="24"/>
  <c r="N17" i="24"/>
  <c r="S22" i="24"/>
  <c r="R22" i="24"/>
  <c r="R108" i="24"/>
  <c r="S108" i="24"/>
  <c r="S16" i="24"/>
  <c r="N16" i="24"/>
  <c r="S67" i="24"/>
  <c r="N67" i="24"/>
  <c r="AC67" i="24" s="1"/>
  <c r="N89" i="24"/>
  <c r="S89" i="24"/>
  <c r="S245" i="24"/>
  <c r="N245" i="24"/>
  <c r="N231" i="24"/>
  <c r="S231" i="24"/>
  <c r="S205" i="24"/>
  <c r="N205" i="24"/>
  <c r="AC205" i="24" s="1"/>
  <c r="N191" i="24"/>
  <c r="S191" i="24"/>
  <c r="S151" i="24"/>
  <c r="N151" i="24"/>
  <c r="AC151" i="24" s="1"/>
  <c r="N111" i="24"/>
  <c r="S111" i="24"/>
  <c r="AC85" i="24"/>
  <c r="R91" i="24"/>
  <c r="AG91" i="24" s="1"/>
  <c r="S91" i="24"/>
  <c r="S71" i="24"/>
  <c r="R71" i="24"/>
  <c r="R57" i="24"/>
  <c r="N21" i="24"/>
  <c r="R170" i="24"/>
  <c r="R88" i="24"/>
  <c r="S252" i="24"/>
  <c r="S142" i="24"/>
  <c r="R70" i="24"/>
  <c r="S182" i="24"/>
  <c r="S202" i="24"/>
  <c r="N242" i="24"/>
  <c r="N232" i="24"/>
  <c r="N222" i="24"/>
  <c r="N112" i="24"/>
  <c r="R168" i="24"/>
  <c r="R85" i="24"/>
  <c r="AG85" i="24" s="1"/>
  <c r="R250" i="24"/>
  <c r="S243" i="24"/>
  <c r="AG205" i="24"/>
  <c r="AF205" i="24" s="1"/>
  <c r="R128" i="24"/>
  <c r="AO21" i="55" l="1"/>
  <c r="AQ21" i="55" s="1"/>
  <c r="AR21" i="55" s="1"/>
  <c r="AP21" i="55"/>
  <c r="AO29" i="55"/>
  <c r="AQ29" i="55" s="1"/>
  <c r="AR29" i="55" s="1"/>
  <c r="AP29" i="55"/>
  <c r="AF12" i="54"/>
  <c r="AJ12" i="54" s="1"/>
  <c r="AG12" i="54"/>
  <c r="AE13" i="54" s="1"/>
  <c r="AI11" i="54"/>
  <c r="AH11" i="54" s="1"/>
  <c r="AH4" i="54"/>
  <c r="AJ4" i="54" s="1"/>
  <c r="AJ10" i="54"/>
  <c r="AO28" i="55"/>
  <c r="AQ28" i="55" s="1"/>
  <c r="AR28" i="55" s="1"/>
  <c r="AP28" i="55"/>
  <c r="AP7" i="55"/>
  <c r="AO7" i="55"/>
  <c r="AQ7" i="55" s="1"/>
  <c r="AR7" i="55" s="1"/>
  <c r="AV7" i="55" s="1"/>
  <c r="AP11" i="55"/>
  <c r="AO11" i="55"/>
  <c r="AQ11" i="55" s="1"/>
  <c r="AR11" i="55" s="1"/>
  <c r="AO15" i="55"/>
  <c r="AQ15" i="55" s="1"/>
  <c r="AR15" i="55" s="1"/>
  <c r="AP15" i="55"/>
  <c r="AP23" i="55"/>
  <c r="AO23" i="55"/>
  <c r="AQ23" i="55" s="1"/>
  <c r="AR23" i="55" s="1"/>
  <c r="AO31" i="55"/>
  <c r="AQ31" i="55" s="1"/>
  <c r="AR31" i="55" s="1"/>
  <c r="AP31" i="55"/>
  <c r="AO33" i="55"/>
  <c r="AQ33" i="55" s="1"/>
  <c r="AR33" i="55" s="1"/>
  <c r="AP33" i="55"/>
  <c r="AO41" i="55"/>
  <c r="AQ41" i="55" s="1"/>
  <c r="AR41" i="55" s="1"/>
  <c r="AP41" i="55"/>
  <c r="AP45" i="55"/>
  <c r="AO45" i="55"/>
  <c r="AQ45" i="55" s="1"/>
  <c r="AR45" i="55" s="1"/>
  <c r="AP47" i="55"/>
  <c r="AO47" i="55"/>
  <c r="AQ47" i="55" s="1"/>
  <c r="AR47" i="55" s="1"/>
  <c r="AO9" i="55"/>
  <c r="AQ9" i="55" s="1"/>
  <c r="AR9" i="55" s="1"/>
  <c r="AP9" i="55"/>
  <c r="AP17" i="55"/>
  <c r="AO17" i="55"/>
  <c r="AQ17" i="55" s="1"/>
  <c r="AR17" i="55" s="1"/>
  <c r="AW4" i="55"/>
  <c r="AU7" i="55"/>
  <c r="AW7" i="55" s="1"/>
  <c r="AO57" i="55"/>
  <c r="AQ57" i="55" s="1"/>
  <c r="AR57" i="55" s="1"/>
  <c r="AO55" i="55"/>
  <c r="AQ55" i="55" s="1"/>
  <c r="AR55" i="55" s="1"/>
  <c r="AP59" i="55"/>
  <c r="AU48" i="55"/>
  <c r="AW48" i="55" s="1"/>
  <c r="AO53" i="55"/>
  <c r="AQ53" i="55" s="1"/>
  <c r="AR53" i="55" s="1"/>
  <c r="AP51" i="55"/>
  <c r="AU59" i="55"/>
  <c r="AW59" i="55" s="1"/>
  <c r="AO19" i="55"/>
  <c r="AQ19" i="55" s="1"/>
  <c r="AR19" i="55" s="1"/>
  <c r="AU19" i="55" s="1"/>
  <c r="AP37" i="55"/>
  <c r="AO35" i="55"/>
  <c r="AQ35" i="55" s="1"/>
  <c r="AR35" i="55" s="1"/>
  <c r="AU35" i="55" s="1"/>
  <c r="AP39" i="55"/>
  <c r="AO25" i="55"/>
  <c r="AQ25" i="55" s="1"/>
  <c r="AR25" i="55" s="1"/>
  <c r="AV25" i="55" s="1"/>
  <c r="AO13" i="55"/>
  <c r="AQ13" i="55" s="1"/>
  <c r="AR13" i="55" s="1"/>
  <c r="AU13" i="55" s="1"/>
  <c r="AU42" i="55"/>
  <c r="AW42" i="55" s="1"/>
  <c r="AU39" i="55"/>
  <c r="AW39" i="55" s="1"/>
  <c r="AP5" i="55"/>
  <c r="AP49" i="55"/>
  <c r="AO43" i="55"/>
  <c r="AQ43" i="55" s="1"/>
  <c r="AR43" i="55" s="1"/>
  <c r="AV43" i="55" s="1"/>
  <c r="AO27" i="55"/>
  <c r="AQ27" i="55" s="1"/>
  <c r="AR27" i="55" s="1"/>
  <c r="AV27" i="55" s="1"/>
  <c r="AP3" i="55"/>
  <c r="AO3" i="55"/>
  <c r="AQ3" i="55" s="1"/>
  <c r="AR3" i="55" s="1"/>
  <c r="AV38" i="55"/>
  <c r="AU38" i="55"/>
  <c r="AV9" i="55"/>
  <c r="AU9" i="55"/>
  <c r="AU47" i="55"/>
  <c r="AV47" i="55"/>
  <c r="AV14" i="55"/>
  <c r="AU14" i="55"/>
  <c r="AW14" i="55" s="1"/>
  <c r="AU21" i="55"/>
  <c r="AV21" i="55"/>
  <c r="AV50" i="55"/>
  <c r="AU50" i="55"/>
  <c r="AU22" i="55"/>
  <c r="AV22" i="55"/>
  <c r="AU29" i="55"/>
  <c r="AV29" i="55"/>
  <c r="AV45" i="55"/>
  <c r="AU45" i="55"/>
  <c r="AV10" i="55"/>
  <c r="AU10" i="55"/>
  <c r="AU11" i="55"/>
  <c r="AV11" i="55"/>
  <c r="AU6" i="55"/>
  <c r="AV6" i="55"/>
  <c r="AV20" i="55"/>
  <c r="AU20" i="55"/>
  <c r="AW20" i="55" s="1"/>
  <c r="AV40" i="55"/>
  <c r="AU40" i="55"/>
  <c r="AV34" i="55"/>
  <c r="AU34" i="55"/>
  <c r="AV12" i="55"/>
  <c r="AU12" i="55"/>
  <c r="AU41" i="55"/>
  <c r="AV41" i="55"/>
  <c r="AV44" i="55"/>
  <c r="AU44" i="55"/>
  <c r="AV49" i="55"/>
  <c r="AU49" i="55"/>
  <c r="AU37" i="55"/>
  <c r="AV37" i="55"/>
  <c r="AV58" i="55"/>
  <c r="AU58" i="55"/>
  <c r="AU54" i="55"/>
  <c r="AV54" i="55"/>
  <c r="AV24" i="55"/>
  <c r="AU24" i="55"/>
  <c r="AV8" i="55"/>
  <c r="AU8" i="55"/>
  <c r="AU5" i="55"/>
  <c r="AV5" i="55"/>
  <c r="AV31" i="55"/>
  <c r="AU31" i="55"/>
  <c r="AW31" i="55" s="1"/>
  <c r="AV26" i="55"/>
  <c r="AU26" i="55"/>
  <c r="AW26" i="55" s="1"/>
  <c r="AW36" i="55"/>
  <c r="AV46" i="55"/>
  <c r="AU46" i="55"/>
  <c r="AW46" i="55" s="1"/>
  <c r="AU56" i="55"/>
  <c r="AV56" i="55"/>
  <c r="AV51" i="55"/>
  <c r="AU51" i="55"/>
  <c r="AU32" i="55"/>
  <c r="AV32" i="55"/>
  <c r="AV52" i="55"/>
  <c r="AU52" i="55"/>
  <c r="AV18" i="55"/>
  <c r="AU18" i="55"/>
  <c r="AW18" i="55" s="1"/>
  <c r="AV28" i="55"/>
  <c r="AU28" i="55"/>
  <c r="AW28" i="55" s="1"/>
  <c r="AV15" i="55"/>
  <c r="AU15" i="55"/>
  <c r="AG128" i="24"/>
  <c r="AF128" i="24" s="1"/>
  <c r="AF11" i="54"/>
  <c r="AJ11" i="54" s="1"/>
  <c r="AG11" i="54"/>
  <c r="AI6" i="54"/>
  <c r="AF5" i="54"/>
  <c r="AJ5" i="54" s="1"/>
  <c r="AG5" i="54"/>
  <c r="AE6" i="54" s="1"/>
  <c r="AG13" i="54"/>
  <c r="AE14" i="54" s="1"/>
  <c r="AF13" i="54"/>
  <c r="AD229" i="24"/>
  <c r="AH229" i="24" s="1"/>
  <c r="AG146" i="24"/>
  <c r="AG147" i="24" s="1"/>
  <c r="AF67" i="24"/>
  <c r="AE199" i="24"/>
  <c r="AC200" i="24" s="1"/>
  <c r="AD200" i="24" s="1"/>
  <c r="AD139" i="24"/>
  <c r="AH139" i="24" s="1"/>
  <c r="AE139" i="24"/>
  <c r="AC140" i="24" s="1"/>
  <c r="AD140" i="24" s="1"/>
  <c r="AE181" i="24"/>
  <c r="AC182" i="24" s="1"/>
  <c r="AD182" i="24" s="1"/>
  <c r="AE127" i="24"/>
  <c r="AC128" i="24" s="1"/>
  <c r="AD128" i="24" s="1"/>
  <c r="AD49" i="24"/>
  <c r="AG242" i="24"/>
  <c r="AG243" i="24" s="1"/>
  <c r="AF243" i="24" s="1"/>
  <c r="AG140" i="24"/>
  <c r="AF140" i="24" s="1"/>
  <c r="AF175" i="24"/>
  <c r="AH259" i="24"/>
  <c r="AG236" i="24"/>
  <c r="AG237" i="24" s="1"/>
  <c r="AG194" i="24"/>
  <c r="AF194" i="24" s="1"/>
  <c r="AD223" i="24"/>
  <c r="AF25" i="24"/>
  <c r="AG32" i="24"/>
  <c r="AF32" i="24" s="1"/>
  <c r="AC39" i="26" s="1"/>
  <c r="AD55" i="24"/>
  <c r="AG176" i="24"/>
  <c r="AF176" i="24" s="1"/>
  <c r="AH181" i="24"/>
  <c r="AG81" i="24"/>
  <c r="AG82" i="24" s="1"/>
  <c r="AF80" i="24"/>
  <c r="AG224" i="24"/>
  <c r="AF224" i="24" s="1"/>
  <c r="AG188" i="24"/>
  <c r="AG189" i="24" s="1"/>
  <c r="AF73" i="24"/>
  <c r="AE217" i="24"/>
  <c r="AC218" i="24" s="1"/>
  <c r="AE218" i="24" s="1"/>
  <c r="AC219" i="24" s="1"/>
  <c r="AH187" i="24"/>
  <c r="AD163" i="24"/>
  <c r="AE259" i="24"/>
  <c r="AC260" i="24" s="1"/>
  <c r="AE260" i="24" s="1"/>
  <c r="AG200" i="24"/>
  <c r="AF200" i="24" s="1"/>
  <c r="AG260" i="24"/>
  <c r="AF260" i="24" s="1"/>
  <c r="AG152" i="24"/>
  <c r="AF152" i="24" s="1"/>
  <c r="AG17" i="24"/>
  <c r="AF17" i="24" s="1"/>
  <c r="AG158" i="24"/>
  <c r="AE56" i="24"/>
  <c r="AC57" i="24" s="1"/>
  <c r="AE57" i="24" s="1"/>
  <c r="AC58" i="24" s="1"/>
  <c r="AD56" i="24"/>
  <c r="AF157" i="24"/>
  <c r="AG164" i="24"/>
  <c r="AG165" i="24" s="1"/>
  <c r="AF218" i="24"/>
  <c r="AD253" i="24"/>
  <c r="AH253" i="24" s="1"/>
  <c r="AE253" i="24"/>
  <c r="AC254" i="24" s="1"/>
  <c r="AD31" i="24"/>
  <c r="AE103" i="24"/>
  <c r="AC104" i="24" s="1"/>
  <c r="AE104" i="24" s="1"/>
  <c r="AC105" i="24" s="1"/>
  <c r="AG50" i="24"/>
  <c r="AF50" i="24" s="1"/>
  <c r="AD97" i="24"/>
  <c r="AE37" i="24"/>
  <c r="AC38" i="24" s="1"/>
  <c r="AD38" i="24" s="1"/>
  <c r="AH169" i="24"/>
  <c r="AE25" i="24"/>
  <c r="AC26" i="24" s="1"/>
  <c r="AD26" i="24" s="1"/>
  <c r="AD25" i="24"/>
  <c r="AF127" i="24"/>
  <c r="AH127" i="24" s="1"/>
  <c r="AF4" i="24"/>
  <c r="AG5" i="24"/>
  <c r="AF5" i="24" s="1"/>
  <c r="AG6" i="24"/>
  <c r="AD109" i="24"/>
  <c r="AE109" i="24"/>
  <c r="AC110" i="24" s="1"/>
  <c r="AG123" i="24"/>
  <c r="AG206" i="24"/>
  <c r="AF199" i="24"/>
  <c r="AH199" i="24" s="1"/>
  <c r="AD164" i="24"/>
  <c r="AE32" i="24"/>
  <c r="AC33" i="24" s="1"/>
  <c r="AE33" i="24" s="1"/>
  <c r="AC34" i="24" s="1"/>
  <c r="AG230" i="24"/>
  <c r="AF223" i="24"/>
  <c r="AD157" i="24"/>
  <c r="AE157" i="24"/>
  <c r="AC158" i="24" s="1"/>
  <c r="AF247" i="24"/>
  <c r="AG254" i="24"/>
  <c r="AE169" i="24"/>
  <c r="AC170" i="24" s="1"/>
  <c r="AE170" i="24" s="1"/>
  <c r="AC171" i="24" s="1"/>
  <c r="AG75" i="24"/>
  <c r="AF74" i="24"/>
  <c r="AD43" i="24"/>
  <c r="J51" i="26" s="1"/>
  <c r="AE43" i="24"/>
  <c r="AC44" i="24" s="1"/>
  <c r="AE187" i="24"/>
  <c r="AC188" i="24" s="1"/>
  <c r="AD188" i="24" s="1"/>
  <c r="AF85" i="24"/>
  <c r="AG92" i="24"/>
  <c r="AD79" i="24"/>
  <c r="AH79" i="24" s="1"/>
  <c r="AE79" i="24"/>
  <c r="AC80" i="24" s="1"/>
  <c r="AF241" i="24"/>
  <c r="AG248" i="24"/>
  <c r="AG18" i="24"/>
  <c r="AF18" i="24" s="1"/>
  <c r="AC18" i="24"/>
  <c r="AE165" i="24"/>
  <c r="AC166" i="24" s="1"/>
  <c r="AD165" i="24"/>
  <c r="AE133" i="24"/>
  <c r="AC134" i="24" s="1"/>
  <c r="AD133" i="24"/>
  <c r="AH133" i="24" s="1"/>
  <c r="AF55" i="24"/>
  <c r="AG62" i="24"/>
  <c r="AF15" i="24"/>
  <c r="AG26" i="24"/>
  <c r="AD175" i="24"/>
  <c r="AE175" i="24"/>
  <c r="AC176" i="24" s="1"/>
  <c r="AF31" i="24"/>
  <c r="AG38" i="24"/>
  <c r="AG49" i="24"/>
  <c r="AG86" i="24"/>
  <c r="AD121" i="24"/>
  <c r="AH121" i="24" s="1"/>
  <c r="AE121" i="24"/>
  <c r="AC122" i="24" s="1"/>
  <c r="AF91" i="24"/>
  <c r="AG98" i="24"/>
  <c r="AF109" i="24"/>
  <c r="AG116" i="24"/>
  <c r="AG220" i="24"/>
  <c r="AF219" i="24"/>
  <c r="AE67" i="24"/>
  <c r="AC68" i="24" s="1"/>
  <c r="AD67" i="24"/>
  <c r="AF182" i="24"/>
  <c r="AG183" i="24"/>
  <c r="AE50" i="24"/>
  <c r="AC51" i="24" s="1"/>
  <c r="AD50" i="24"/>
  <c r="AD15" i="24"/>
  <c r="AE15" i="24"/>
  <c r="AF97" i="24"/>
  <c r="AG104" i="24"/>
  <c r="AG44" i="24"/>
  <c r="AF37" i="24"/>
  <c r="AD241" i="24"/>
  <c r="AE241" i="24"/>
  <c r="AC242" i="24" s="1"/>
  <c r="AE73" i="24"/>
  <c r="AC74" i="24" s="1"/>
  <c r="AD73" i="24"/>
  <c r="AD230" i="24"/>
  <c r="AE230" i="24"/>
  <c r="AC231" i="24" s="1"/>
  <c r="AE85" i="24"/>
  <c r="AD85" i="24"/>
  <c r="AE247" i="24"/>
  <c r="AC248" i="24" s="1"/>
  <c r="AD247" i="24"/>
  <c r="AE61" i="24"/>
  <c r="AC62" i="24" s="1"/>
  <c r="AD61" i="24"/>
  <c r="AG9" i="24"/>
  <c r="AC9" i="24"/>
  <c r="AF103" i="24"/>
  <c r="AH103" i="24" s="1"/>
  <c r="AG110" i="24"/>
  <c r="AG212" i="24"/>
  <c r="AE211" i="24"/>
  <c r="AC212" i="24" s="1"/>
  <c r="AD211" i="24"/>
  <c r="AH211" i="24" s="1"/>
  <c r="AD151" i="24"/>
  <c r="AH151" i="24" s="1"/>
  <c r="AE151" i="24"/>
  <c r="AC152" i="24" s="1"/>
  <c r="AG170" i="24"/>
  <c r="AF163" i="24"/>
  <c r="AD235" i="24"/>
  <c r="AH235" i="24" s="1"/>
  <c r="AE235" i="24"/>
  <c r="AC236" i="24" s="1"/>
  <c r="AD115" i="24"/>
  <c r="AH115" i="24" s="1"/>
  <c r="AE115" i="24"/>
  <c r="AC116" i="24" s="1"/>
  <c r="AE224" i="24"/>
  <c r="AC225" i="24" s="1"/>
  <c r="AD224" i="24"/>
  <c r="AG68" i="24"/>
  <c r="AF61" i="24"/>
  <c r="AE205" i="24"/>
  <c r="AC206" i="24" s="1"/>
  <c r="AD205" i="24"/>
  <c r="AH205" i="24" s="1"/>
  <c r="AE145" i="24"/>
  <c r="AC146" i="24" s="1"/>
  <c r="AD145" i="24"/>
  <c r="AH145" i="24" s="1"/>
  <c r="AD193" i="24"/>
  <c r="AH193" i="24" s="1"/>
  <c r="AE193" i="24"/>
  <c r="AC194" i="24" s="1"/>
  <c r="AD4" i="24"/>
  <c r="AE4" i="24"/>
  <c r="AC5" i="24" s="1"/>
  <c r="AD91" i="24"/>
  <c r="AE91" i="24"/>
  <c r="AC92" i="24" s="1"/>
  <c r="AG135" i="24"/>
  <c r="AF134" i="24"/>
  <c r="AH217" i="24"/>
  <c r="AE98" i="24"/>
  <c r="AC99" i="24" s="1"/>
  <c r="AD98" i="24"/>
  <c r="AW34" i="55" l="1"/>
  <c r="AW44" i="55"/>
  <c r="AU53" i="55"/>
  <c r="AV53" i="55"/>
  <c r="AW53" i="55" s="1"/>
  <c r="AW10" i="55"/>
  <c r="AW58" i="55"/>
  <c r="AV23" i="55"/>
  <c r="AU23" i="55"/>
  <c r="AW23" i="55" s="1"/>
  <c r="AV33" i="55"/>
  <c r="AU33" i="55"/>
  <c r="AW33" i="55" s="1"/>
  <c r="AV17" i="55"/>
  <c r="AU17" i="55"/>
  <c r="AU57" i="55"/>
  <c r="AV57" i="55"/>
  <c r="AV55" i="55"/>
  <c r="AU55" i="55"/>
  <c r="AW55" i="55" s="1"/>
  <c r="AW24" i="55"/>
  <c r="AW40" i="55"/>
  <c r="AW49" i="55"/>
  <c r="AV13" i="55"/>
  <c r="AW13" i="55" s="1"/>
  <c r="AW9" i="55"/>
  <c r="AV19" i="55"/>
  <c r="AW19" i="55" s="1"/>
  <c r="AU25" i="55"/>
  <c r="AW25" i="55" s="1"/>
  <c r="AW52" i="55"/>
  <c r="AW8" i="55"/>
  <c r="AW51" i="55"/>
  <c r="AW17" i="55"/>
  <c r="AW12" i="55"/>
  <c r="AW45" i="55"/>
  <c r="AW38" i="55"/>
  <c r="AU27" i="55"/>
  <c r="AW27" i="55" s="1"/>
  <c r="AV35" i="55"/>
  <c r="AU43" i="55"/>
  <c r="AW43" i="55" s="1"/>
  <c r="AW37" i="55"/>
  <c r="AV3" i="55"/>
  <c r="AU3" i="55"/>
  <c r="AW22" i="55"/>
  <c r="AW15" i="55"/>
  <c r="AW50" i="55"/>
  <c r="AW29" i="55"/>
  <c r="AW6" i="55"/>
  <c r="AW54" i="55"/>
  <c r="AW5" i="55"/>
  <c r="AW21" i="55"/>
  <c r="AW32" i="55"/>
  <c r="AW41" i="55"/>
  <c r="AW11" i="55"/>
  <c r="AW47" i="55"/>
  <c r="AW35" i="55"/>
  <c r="AW56" i="55"/>
  <c r="AG129" i="24"/>
  <c r="AG130" i="24" s="1"/>
  <c r="AG14" i="54"/>
  <c r="AE15" i="54" s="1"/>
  <c r="AF14" i="54"/>
  <c r="AF6" i="54"/>
  <c r="AG6" i="54"/>
  <c r="AE7" i="54" s="1"/>
  <c r="AI7" i="54"/>
  <c r="AH6" i="54"/>
  <c r="AI13" i="54"/>
  <c r="AF146" i="24"/>
  <c r="AH182" i="24"/>
  <c r="AE200" i="24"/>
  <c r="AC201" i="24" s="1"/>
  <c r="AD201" i="24" s="1"/>
  <c r="AG244" i="24"/>
  <c r="AG245" i="24" s="1"/>
  <c r="AF242" i="24"/>
  <c r="AE182" i="24"/>
  <c r="AC183" i="24" s="1"/>
  <c r="AD183" i="24" s="1"/>
  <c r="K39" i="26"/>
  <c r="AE140" i="24"/>
  <c r="AC141" i="24" s="1"/>
  <c r="AD141" i="24" s="1"/>
  <c r="AE128" i="24"/>
  <c r="AC129" i="24" s="1"/>
  <c r="AE129" i="24" s="1"/>
  <c r="AC130" i="24" s="1"/>
  <c r="AF236" i="24"/>
  <c r="AH175" i="24"/>
  <c r="K49" i="26"/>
  <c r="Q9" i="26"/>
  <c r="AG177" i="24"/>
  <c r="AF177" i="24" s="1"/>
  <c r="AI29" i="26"/>
  <c r="AI19" i="26"/>
  <c r="Q49" i="26"/>
  <c r="W9" i="26"/>
  <c r="AC49" i="26"/>
  <c r="AC29" i="26"/>
  <c r="W49" i="26"/>
  <c r="AI9" i="26"/>
  <c r="AI49" i="26"/>
  <c r="AI39" i="26"/>
  <c r="Q19" i="26"/>
  <c r="AF81" i="24"/>
  <c r="AF164" i="24"/>
  <c r="AH164" i="24" s="1"/>
  <c r="W39" i="26"/>
  <c r="AG33" i="24"/>
  <c r="AF33" i="24" s="1"/>
  <c r="Q39" i="26"/>
  <c r="AH223" i="24"/>
  <c r="K19" i="26"/>
  <c r="AF188" i="24"/>
  <c r="AH188" i="24" s="1"/>
  <c r="AH140" i="24"/>
  <c r="AH73" i="24"/>
  <c r="AG225" i="24"/>
  <c r="AF225" i="24" s="1"/>
  <c r="AG195" i="24"/>
  <c r="AG196" i="24" s="1"/>
  <c r="AG141" i="24"/>
  <c r="AF141" i="24" s="1"/>
  <c r="W19" i="26"/>
  <c r="K9" i="26"/>
  <c r="AD57" i="24"/>
  <c r="AC19" i="26"/>
  <c r="K29" i="26"/>
  <c r="AD218" i="24"/>
  <c r="AH218" i="24" s="1"/>
  <c r="Q29" i="26"/>
  <c r="W29" i="26"/>
  <c r="AC9" i="26"/>
  <c r="AH32" i="24"/>
  <c r="AH8" i="26"/>
  <c r="AG153" i="24"/>
  <c r="AF153" i="24" s="1"/>
  <c r="AD260" i="24"/>
  <c r="AH260" i="24" s="1"/>
  <c r="AH163" i="24"/>
  <c r="AH25" i="24"/>
  <c r="J28" i="26"/>
  <c r="AB18" i="26"/>
  <c r="P38" i="26"/>
  <c r="AH38" i="26"/>
  <c r="AG22" i="24"/>
  <c r="AG23" i="24" s="1"/>
  <c r="AH200" i="24"/>
  <c r="AG201" i="24"/>
  <c r="AF201" i="24" s="1"/>
  <c r="AH157" i="24"/>
  <c r="AG51" i="24"/>
  <c r="AF51" i="24" s="1"/>
  <c r="AG159" i="24"/>
  <c r="AF158" i="24"/>
  <c r="V51" i="26"/>
  <c r="AH109" i="24"/>
  <c r="AB11" i="26"/>
  <c r="V41" i="26"/>
  <c r="J38" i="26"/>
  <c r="V48" i="26"/>
  <c r="AB48" i="26"/>
  <c r="AD170" i="24"/>
  <c r="AE38" i="24"/>
  <c r="AC39" i="24" s="1"/>
  <c r="AE39" i="24" s="1"/>
  <c r="AC40" i="24" s="1"/>
  <c r="AB28" i="26"/>
  <c r="J8" i="26"/>
  <c r="AH28" i="26"/>
  <c r="AE188" i="24"/>
  <c r="AC189" i="24" s="1"/>
  <c r="AE189" i="24" s="1"/>
  <c r="AC190" i="24" s="1"/>
  <c r="AD254" i="24"/>
  <c r="AE254" i="24"/>
  <c r="AC255" i="24" s="1"/>
  <c r="AE26" i="24"/>
  <c r="AC27" i="24" s="1"/>
  <c r="AD27" i="24" s="1"/>
  <c r="AH18" i="26"/>
  <c r="AH85" i="24"/>
  <c r="AB38" i="26"/>
  <c r="P18" i="26"/>
  <c r="J48" i="26"/>
  <c r="AH48" i="26"/>
  <c r="V8" i="26"/>
  <c r="V18" i="26"/>
  <c r="AH97" i="24"/>
  <c r="P28" i="26"/>
  <c r="AH247" i="24"/>
  <c r="AD33" i="24"/>
  <c r="J11" i="26"/>
  <c r="P48" i="26"/>
  <c r="AD104" i="24"/>
  <c r="P8" i="26"/>
  <c r="V28" i="26"/>
  <c r="V38" i="26"/>
  <c r="AB8" i="26"/>
  <c r="J18" i="26"/>
  <c r="J41" i="26"/>
  <c r="AF230" i="24"/>
  <c r="AH230" i="24" s="1"/>
  <c r="AG231" i="24"/>
  <c r="J21" i="26"/>
  <c r="AG207" i="24"/>
  <c r="AF206" i="24"/>
  <c r="AH43" i="24"/>
  <c r="J31" i="26"/>
  <c r="AH128" i="24"/>
  <c r="AG76" i="24"/>
  <c r="AF75" i="24"/>
  <c r="AD110" i="24"/>
  <c r="AE110" i="24"/>
  <c r="AC111" i="24" s="1"/>
  <c r="AF6" i="24"/>
  <c r="AG7" i="24"/>
  <c r="AH51" i="26"/>
  <c r="AD158" i="24"/>
  <c r="AE158" i="24"/>
  <c r="AC159" i="24" s="1"/>
  <c r="V31" i="26"/>
  <c r="AE44" i="24"/>
  <c r="AC45" i="24" s="1"/>
  <c r="AD44" i="24"/>
  <c r="AG124" i="24"/>
  <c r="AF123" i="24"/>
  <c r="V11" i="26"/>
  <c r="AB51" i="26"/>
  <c r="AH21" i="26"/>
  <c r="AB41" i="26"/>
  <c r="AH41" i="26"/>
  <c r="P21" i="26"/>
  <c r="AB31" i="26"/>
  <c r="P51" i="26"/>
  <c r="AH11" i="26"/>
  <c r="P31" i="26"/>
  <c r="AH31" i="26"/>
  <c r="P11" i="26"/>
  <c r="P41" i="26"/>
  <c r="V21" i="26"/>
  <c r="AG255" i="24"/>
  <c r="AF254" i="24"/>
  <c r="AB21" i="26"/>
  <c r="AF248" i="24"/>
  <c r="AG249" i="24"/>
  <c r="AF220" i="24"/>
  <c r="AG221" i="24"/>
  <c r="AG117" i="24"/>
  <c r="AF116" i="24"/>
  <c r="AG27" i="24"/>
  <c r="AF26" i="24"/>
  <c r="K8" i="26" s="1"/>
  <c r="AD51" i="24"/>
  <c r="AE51" i="24"/>
  <c r="AC52" i="24" s="1"/>
  <c r="AE206" i="24"/>
  <c r="AC207" i="24" s="1"/>
  <c r="AD206" i="24"/>
  <c r="AH44" i="26"/>
  <c r="V14" i="26"/>
  <c r="AH24" i="26"/>
  <c r="J24" i="26"/>
  <c r="P24" i="26"/>
  <c r="AH61" i="24"/>
  <c r="AB34" i="26"/>
  <c r="AB14" i="26"/>
  <c r="V44" i="26"/>
  <c r="J14" i="26"/>
  <c r="P44" i="26"/>
  <c r="AH14" i="26"/>
  <c r="AH34" i="26"/>
  <c r="V54" i="26"/>
  <c r="V34" i="26"/>
  <c r="P14" i="26"/>
  <c r="J54" i="26"/>
  <c r="P34" i="26"/>
  <c r="AB24" i="26"/>
  <c r="AH54" i="26"/>
  <c r="J34" i="26"/>
  <c r="P54" i="26"/>
  <c r="J44" i="26"/>
  <c r="AB54" i="26"/>
  <c r="AB44" i="26"/>
  <c r="V24" i="26"/>
  <c r="AD171" i="24"/>
  <c r="AE171" i="24"/>
  <c r="AC172" i="24" s="1"/>
  <c r="AD68" i="24"/>
  <c r="AE68" i="24"/>
  <c r="AC69" i="24" s="1"/>
  <c r="AF189" i="24"/>
  <c r="AG190" i="24"/>
  <c r="V10" i="26"/>
  <c r="AB40" i="26"/>
  <c r="P50" i="26"/>
  <c r="AB50" i="26"/>
  <c r="J40" i="26"/>
  <c r="AH37" i="24"/>
  <c r="AB10" i="26"/>
  <c r="P10" i="26"/>
  <c r="P40" i="26"/>
  <c r="J50" i="26"/>
  <c r="AH50" i="26"/>
  <c r="AH40" i="26"/>
  <c r="V20" i="26"/>
  <c r="AH20" i="26"/>
  <c r="P20" i="26"/>
  <c r="J10" i="26"/>
  <c r="AB20" i="26"/>
  <c r="V50" i="26"/>
  <c r="P30" i="26"/>
  <c r="J20" i="26"/>
  <c r="V30" i="26"/>
  <c r="AB30" i="26"/>
  <c r="AH30" i="26"/>
  <c r="V40" i="26"/>
  <c r="J30" i="26"/>
  <c r="AH10" i="26"/>
  <c r="AE9" i="24"/>
  <c r="AC10" i="24" s="1"/>
  <c r="AD9" i="24"/>
  <c r="AE236" i="24"/>
  <c r="AC237" i="24" s="1"/>
  <c r="AD236" i="24"/>
  <c r="AD18" i="24"/>
  <c r="AH18" i="24" s="1"/>
  <c r="AE18" i="24"/>
  <c r="AC19" i="24" s="1"/>
  <c r="AG111" i="24"/>
  <c r="AF110" i="24"/>
  <c r="AC86" i="24"/>
  <c r="AC87" i="24"/>
  <c r="AF44" i="24"/>
  <c r="AG45" i="24"/>
  <c r="AG149" i="24"/>
  <c r="AG148" i="24"/>
  <c r="AF148" i="24" s="1"/>
  <c r="AF147" i="24"/>
  <c r="AF170" i="24"/>
  <c r="AG171" i="24"/>
  <c r="AF135" i="24"/>
  <c r="AG136" i="24"/>
  <c r="AD219" i="24"/>
  <c r="AH219" i="24" s="1"/>
  <c r="AE219" i="24"/>
  <c r="AC220" i="24" s="1"/>
  <c r="AF104" i="24"/>
  <c r="AG105" i="24"/>
  <c r="AG88" i="24"/>
  <c r="AG87" i="24"/>
  <c r="AF87" i="24" s="1"/>
  <c r="AF86" i="24"/>
  <c r="AD146" i="24"/>
  <c r="AE146" i="24"/>
  <c r="AC147" i="24" s="1"/>
  <c r="AH35" i="26"/>
  <c r="J35" i="26"/>
  <c r="V45" i="26"/>
  <c r="AB35" i="26"/>
  <c r="J15" i="26"/>
  <c r="P55" i="26"/>
  <c r="AB25" i="26"/>
  <c r="V15" i="26"/>
  <c r="AB15" i="26"/>
  <c r="J55" i="26"/>
  <c r="AB45" i="26"/>
  <c r="V25" i="26"/>
  <c r="AH67" i="24"/>
  <c r="P35" i="26"/>
  <c r="AH45" i="26"/>
  <c r="AH15" i="26"/>
  <c r="J45" i="26"/>
  <c r="J25" i="26"/>
  <c r="AH25" i="26"/>
  <c r="P45" i="26"/>
  <c r="P25" i="26"/>
  <c r="AB55" i="26"/>
  <c r="P15" i="26"/>
  <c r="AH55" i="26"/>
  <c r="V35" i="26"/>
  <c r="V55" i="26"/>
  <c r="AE242" i="24"/>
  <c r="AC243" i="24" s="1"/>
  <c r="AD242" i="24"/>
  <c r="AE105" i="24"/>
  <c r="AC106" i="24" s="1"/>
  <c r="AD105" i="24"/>
  <c r="AF212" i="24"/>
  <c r="AG213" i="24"/>
  <c r="AG99" i="24"/>
  <c r="AF98" i="24"/>
  <c r="AH98" i="24" s="1"/>
  <c r="AD99" i="24"/>
  <c r="AE99" i="24"/>
  <c r="AC100" i="24" s="1"/>
  <c r="AD122" i="24"/>
  <c r="AH122" i="24" s="1"/>
  <c r="AE122" i="24"/>
  <c r="AC123" i="24" s="1"/>
  <c r="AD152" i="24"/>
  <c r="AH152" i="24" s="1"/>
  <c r="AE152" i="24"/>
  <c r="AC153" i="24" s="1"/>
  <c r="AF68" i="24"/>
  <c r="AG69" i="24"/>
  <c r="AE62" i="24"/>
  <c r="AC63" i="24" s="1"/>
  <c r="AD62" i="24"/>
  <c r="AH241" i="24"/>
  <c r="AE34" i="24"/>
  <c r="AC35" i="24" s="1"/>
  <c r="AD34" i="24"/>
  <c r="AD212" i="24"/>
  <c r="AE212" i="24"/>
  <c r="AC213" i="24" s="1"/>
  <c r="AC16" i="24"/>
  <c r="AC17" i="24"/>
  <c r="AG63" i="24"/>
  <c r="AF62" i="24"/>
  <c r="AD92" i="24"/>
  <c r="AE92" i="24"/>
  <c r="AC93" i="24" s="1"/>
  <c r="V17" i="26"/>
  <c r="V27" i="26"/>
  <c r="AB17" i="26"/>
  <c r="AB27" i="26"/>
  <c r="V37" i="26"/>
  <c r="AB7" i="26"/>
  <c r="AH7" i="26"/>
  <c r="J37" i="26"/>
  <c r="J47" i="26"/>
  <c r="AH27" i="26"/>
  <c r="P27" i="26"/>
  <c r="J27" i="26"/>
  <c r="P47" i="26"/>
  <c r="AB37" i="26"/>
  <c r="V47" i="26"/>
  <c r="J17" i="26"/>
  <c r="P37" i="26"/>
  <c r="AH47" i="26"/>
  <c r="P7" i="26"/>
  <c r="P17" i="26"/>
  <c r="V7" i="26"/>
  <c r="J7" i="26"/>
  <c r="AH17" i="26"/>
  <c r="AH37" i="26"/>
  <c r="AB47" i="26"/>
  <c r="AH15" i="24"/>
  <c r="AF38" i="24"/>
  <c r="Q20" i="26" s="1"/>
  <c r="AG39" i="24"/>
  <c r="J13" i="26"/>
  <c r="V53" i="26"/>
  <c r="P13" i="26"/>
  <c r="AH43" i="26"/>
  <c r="AH53" i="26"/>
  <c r="AH55" i="24"/>
  <c r="V13" i="26"/>
  <c r="V33" i="26"/>
  <c r="P33" i="26"/>
  <c r="AB13" i="26"/>
  <c r="J53" i="26"/>
  <c r="V43" i="26"/>
  <c r="P23" i="26"/>
  <c r="J23" i="26"/>
  <c r="P43" i="26"/>
  <c r="P53" i="26"/>
  <c r="AH33" i="26"/>
  <c r="AB43" i="26"/>
  <c r="J33" i="26"/>
  <c r="AH13" i="26"/>
  <c r="AB53" i="26"/>
  <c r="J43" i="26"/>
  <c r="AH23" i="26"/>
  <c r="AB33" i="26"/>
  <c r="AB23" i="26"/>
  <c r="V23" i="26"/>
  <c r="AE80" i="24"/>
  <c r="AC81" i="24" s="1"/>
  <c r="AD80" i="24"/>
  <c r="AH80" i="24" s="1"/>
  <c r="AD166" i="24"/>
  <c r="AE166" i="24"/>
  <c r="AC167" i="24" s="1"/>
  <c r="AF9" i="24"/>
  <c r="AG10" i="24"/>
  <c r="AE248" i="24"/>
  <c r="AC249" i="24" s="1"/>
  <c r="AD248" i="24"/>
  <c r="AF49" i="24"/>
  <c r="AG56" i="24"/>
  <c r="AH91" i="24"/>
  <c r="AH224" i="24"/>
  <c r="AD231" i="24"/>
  <c r="AE231" i="24"/>
  <c r="AC232" i="24" s="1"/>
  <c r="AH50" i="24"/>
  <c r="Q52" i="26"/>
  <c r="W42" i="26"/>
  <c r="Q22" i="26"/>
  <c r="AI12" i="26"/>
  <c r="AC12" i="26"/>
  <c r="Q32" i="26"/>
  <c r="AI22" i="26"/>
  <c r="W52" i="26"/>
  <c r="W22" i="26"/>
  <c r="AI32" i="26"/>
  <c r="K22" i="26"/>
  <c r="AC52" i="26"/>
  <c r="AI42" i="26"/>
  <c r="K12" i="26"/>
  <c r="Q42" i="26"/>
  <c r="W32" i="26"/>
  <c r="AC32" i="26"/>
  <c r="AI52" i="26"/>
  <c r="AC42" i="26"/>
  <c r="Q12" i="26"/>
  <c r="K42" i="26"/>
  <c r="K52" i="26"/>
  <c r="W12" i="26"/>
  <c r="K32" i="26"/>
  <c r="AC22" i="26"/>
  <c r="J29" i="26"/>
  <c r="AH19" i="26"/>
  <c r="J39" i="26"/>
  <c r="V49" i="26"/>
  <c r="J9" i="26"/>
  <c r="AB9" i="26"/>
  <c r="AH39" i="26"/>
  <c r="AH29" i="26"/>
  <c r="V9" i="26"/>
  <c r="AB49" i="26"/>
  <c r="V29" i="26"/>
  <c r="V19" i="26"/>
  <c r="AH31" i="24"/>
  <c r="AB19" i="26"/>
  <c r="P49" i="26"/>
  <c r="P29" i="26"/>
  <c r="AH49" i="26"/>
  <c r="V39" i="26"/>
  <c r="AB29" i="26"/>
  <c r="J49" i="26"/>
  <c r="P19" i="26"/>
  <c r="P39" i="26"/>
  <c r="AB39" i="26"/>
  <c r="P9" i="26"/>
  <c r="J19" i="26"/>
  <c r="AH9" i="26"/>
  <c r="AD225" i="24"/>
  <c r="AE225" i="24"/>
  <c r="AC226" i="24" s="1"/>
  <c r="AD134" i="24"/>
  <c r="AH134" i="24" s="1"/>
  <c r="AE134" i="24"/>
  <c r="AC135" i="24" s="1"/>
  <c r="AG238" i="24"/>
  <c r="AF237" i="24"/>
  <c r="AD58" i="24"/>
  <c r="AE58" i="24"/>
  <c r="AC59" i="24" s="1"/>
  <c r="AH4" i="24"/>
  <c r="AB36" i="26"/>
  <c r="J46" i="26"/>
  <c r="AH26" i="26"/>
  <c r="P16" i="26"/>
  <c r="AB16" i="26"/>
  <c r="AH6" i="26"/>
  <c r="P6" i="26"/>
  <c r="AB46" i="26"/>
  <c r="AH16" i="26"/>
  <c r="AB6" i="26"/>
  <c r="V16" i="26"/>
  <c r="V26" i="26"/>
  <c r="V36" i="26"/>
  <c r="AB26" i="26"/>
  <c r="V46" i="26"/>
  <c r="AH36" i="26"/>
  <c r="P26" i="26"/>
  <c r="P36" i="26"/>
  <c r="P46" i="26"/>
  <c r="J36" i="26"/>
  <c r="V6" i="26"/>
  <c r="J16" i="26"/>
  <c r="J6" i="26"/>
  <c r="J26" i="26"/>
  <c r="AH46" i="26"/>
  <c r="AE74" i="24"/>
  <c r="AC75" i="24" s="1"/>
  <c r="AD74" i="24"/>
  <c r="AH74" i="24" s="1"/>
  <c r="AG93" i="24"/>
  <c r="AF92" i="24"/>
  <c r="AE176" i="24"/>
  <c r="AC177" i="24" s="1"/>
  <c r="AD176" i="24"/>
  <c r="AH176" i="24" s="1"/>
  <c r="AD5" i="24"/>
  <c r="AE5" i="24"/>
  <c r="AC6" i="24" s="1"/>
  <c r="AF165" i="24"/>
  <c r="AH165" i="24" s="1"/>
  <c r="AG166" i="24"/>
  <c r="AF82" i="24"/>
  <c r="AG83" i="24"/>
  <c r="AD194" i="24"/>
  <c r="AH194" i="24" s="1"/>
  <c r="AE194" i="24"/>
  <c r="AC195" i="24" s="1"/>
  <c r="AD116" i="24"/>
  <c r="AE116" i="24"/>
  <c r="AC117" i="24" s="1"/>
  <c r="AG184" i="24"/>
  <c r="AF183" i="24"/>
  <c r="AW57" i="55" l="1"/>
  <c r="AW3" i="55"/>
  <c r="AF129" i="24"/>
  <c r="AH146" i="24"/>
  <c r="AH7" i="54"/>
  <c r="AI8" i="54"/>
  <c r="AG7" i="54"/>
  <c r="AE8" i="54" s="1"/>
  <c r="AF7" i="54"/>
  <c r="AJ7" i="54" s="1"/>
  <c r="AJ6" i="54"/>
  <c r="AI14" i="54"/>
  <c r="AH13" i="54"/>
  <c r="AJ13" i="54" s="1"/>
  <c r="AG15" i="54"/>
  <c r="AF15" i="54"/>
  <c r="AE201" i="24"/>
  <c r="AC202" i="24" s="1"/>
  <c r="AD202" i="24" s="1"/>
  <c r="AD129" i="24"/>
  <c r="AF244" i="24"/>
  <c r="AH242" i="24"/>
  <c r="AH183" i="24"/>
  <c r="AE141" i="24"/>
  <c r="AC142" i="24" s="1"/>
  <c r="AE142" i="24" s="1"/>
  <c r="AC143" i="24" s="1"/>
  <c r="AH236" i="24"/>
  <c r="AE183" i="24"/>
  <c r="AC184" i="24" s="1"/>
  <c r="AF195" i="24"/>
  <c r="AG178" i="24"/>
  <c r="AG179" i="24" s="1"/>
  <c r="AG226" i="24"/>
  <c r="AF226" i="24" s="1"/>
  <c r="AG34" i="24"/>
  <c r="AG35" i="24" s="1"/>
  <c r="AG36" i="24" s="1"/>
  <c r="AF36" i="24" s="1"/>
  <c r="AJ29" i="26"/>
  <c r="AD39" i="26"/>
  <c r="L49" i="26"/>
  <c r="AD39" i="24"/>
  <c r="AG142" i="24"/>
  <c r="AF142" i="24" s="1"/>
  <c r="AG154" i="24"/>
  <c r="AF154" i="24" s="1"/>
  <c r="AD19" i="26"/>
  <c r="R19" i="26"/>
  <c r="X29" i="26"/>
  <c r="AF22" i="24"/>
  <c r="X9" i="26"/>
  <c r="AJ39" i="26"/>
  <c r="AG52" i="24"/>
  <c r="AF52" i="24" s="1"/>
  <c r="L9" i="26"/>
  <c r="L19" i="26"/>
  <c r="AD29" i="26"/>
  <c r="AD49" i="26"/>
  <c r="AG202" i="24"/>
  <c r="AH201" i="24"/>
  <c r="AH104" i="24"/>
  <c r="AE27" i="24"/>
  <c r="AC28" i="24" s="1"/>
  <c r="AE28" i="24" s="1"/>
  <c r="AC29" i="24" s="1"/>
  <c r="Q38" i="26"/>
  <c r="AC8" i="26"/>
  <c r="Q48" i="26"/>
  <c r="AD9" i="26"/>
  <c r="Q8" i="26"/>
  <c r="X39" i="26"/>
  <c r="K18" i="26"/>
  <c r="X49" i="26"/>
  <c r="L29" i="26"/>
  <c r="AH110" i="24"/>
  <c r="W28" i="26"/>
  <c r="R29" i="26"/>
  <c r="R49" i="26"/>
  <c r="X19" i="26"/>
  <c r="AD189" i="24"/>
  <c r="AH189" i="24" s="1"/>
  <c r="AF159" i="24"/>
  <c r="AG160" i="24"/>
  <c r="AC38" i="26"/>
  <c r="AJ9" i="26"/>
  <c r="W8" i="26"/>
  <c r="R9" i="26"/>
  <c r="AH254" i="24"/>
  <c r="AH26" i="24"/>
  <c r="R39" i="26"/>
  <c r="AI38" i="26"/>
  <c r="AC28" i="26"/>
  <c r="AH33" i="24"/>
  <c r="AJ19" i="26"/>
  <c r="AH248" i="24"/>
  <c r="K28" i="26"/>
  <c r="AJ49" i="26"/>
  <c r="L39" i="26"/>
  <c r="AH158" i="24"/>
  <c r="AI48" i="26"/>
  <c r="K48" i="26"/>
  <c r="AD255" i="24"/>
  <c r="AE255" i="24"/>
  <c r="AC256" i="24" s="1"/>
  <c r="AI8" i="26"/>
  <c r="W48" i="26"/>
  <c r="Q18" i="26"/>
  <c r="W38" i="26"/>
  <c r="AI18" i="26"/>
  <c r="AH225" i="24"/>
  <c r="K38" i="26"/>
  <c r="AC18" i="26"/>
  <c r="AI28" i="26"/>
  <c r="Q28" i="26"/>
  <c r="W18" i="26"/>
  <c r="AC48" i="26"/>
  <c r="AH170" i="24"/>
  <c r="AG8" i="24"/>
  <c r="AF8" i="24" s="1"/>
  <c r="AG19" i="24"/>
  <c r="AF7" i="24"/>
  <c r="AH141" i="24"/>
  <c r="AD111" i="24"/>
  <c r="AE111" i="24"/>
  <c r="AC112" i="24" s="1"/>
  <c r="AF76" i="24"/>
  <c r="AG77" i="24"/>
  <c r="Q40" i="26"/>
  <c r="AH206" i="24"/>
  <c r="AG208" i="24"/>
  <c r="AF207" i="24"/>
  <c r="AG131" i="24"/>
  <c r="AF130" i="24"/>
  <c r="AE45" i="24"/>
  <c r="AC46" i="24" s="1"/>
  <c r="AD45" i="24"/>
  <c r="AG232" i="24"/>
  <c r="AF231" i="24"/>
  <c r="AH231" i="24" s="1"/>
  <c r="AF196" i="24"/>
  <c r="AG197" i="24"/>
  <c r="AG256" i="24"/>
  <c r="AF255" i="24"/>
  <c r="AE159" i="24"/>
  <c r="AC160" i="24" s="1"/>
  <c r="AD159" i="24"/>
  <c r="AG125" i="24"/>
  <c r="AF125" i="24" s="1"/>
  <c r="AG126" i="24"/>
  <c r="AF126" i="24" s="1"/>
  <c r="AF124" i="24"/>
  <c r="AD213" i="24"/>
  <c r="AE213" i="24"/>
  <c r="AC214" i="24" s="1"/>
  <c r="AG89" i="24"/>
  <c r="AF88" i="24"/>
  <c r="K50" i="26"/>
  <c r="AC40" i="26"/>
  <c r="AD172" i="24"/>
  <c r="AE172" i="24"/>
  <c r="AC173" i="24" s="1"/>
  <c r="AE6" i="24"/>
  <c r="AD6" i="24"/>
  <c r="AE59" i="24"/>
  <c r="AC60" i="24" s="1"/>
  <c r="AD59" i="24"/>
  <c r="AE232" i="24"/>
  <c r="AC233" i="24" s="1"/>
  <c r="AD232" i="24"/>
  <c r="AH212" i="24"/>
  <c r="AG106" i="24"/>
  <c r="AF105" i="24"/>
  <c r="AH105" i="24" s="1"/>
  <c r="AD190" i="24"/>
  <c r="AE190" i="24"/>
  <c r="AC191" i="24" s="1"/>
  <c r="W20" i="26"/>
  <c r="AI10" i="26"/>
  <c r="AH38" i="24"/>
  <c r="AD40" i="24"/>
  <c r="AE40" i="24"/>
  <c r="AC41" i="24" s="1"/>
  <c r="AF45" i="24"/>
  <c r="AG46" i="24"/>
  <c r="K30" i="26"/>
  <c r="AG24" i="24"/>
  <c r="AF24" i="24" s="1"/>
  <c r="AF23" i="24"/>
  <c r="AC41" i="26"/>
  <c r="W51" i="26"/>
  <c r="K11" i="26"/>
  <c r="AH44" i="24"/>
  <c r="AC21" i="26"/>
  <c r="AI21" i="26"/>
  <c r="W21" i="26"/>
  <c r="W31" i="26"/>
  <c r="AI31" i="26"/>
  <c r="K51" i="26"/>
  <c r="K41" i="26"/>
  <c r="AI41" i="26"/>
  <c r="Q31" i="26"/>
  <c r="AC31" i="26"/>
  <c r="Q21" i="26"/>
  <c r="K21" i="26"/>
  <c r="W11" i="26"/>
  <c r="Q51" i="26"/>
  <c r="AC11" i="26"/>
  <c r="W41" i="26"/>
  <c r="Q41" i="26"/>
  <c r="Q11" i="26"/>
  <c r="AI11" i="26"/>
  <c r="AI51" i="26"/>
  <c r="AC51" i="26"/>
  <c r="K31" i="26"/>
  <c r="AC20" i="26"/>
  <c r="AE35" i="24"/>
  <c r="AC36" i="24" s="1"/>
  <c r="AD35" i="24"/>
  <c r="AD87" i="24"/>
  <c r="AH87" i="24" s="1"/>
  <c r="AE87" i="24"/>
  <c r="AC88" i="24" s="1"/>
  <c r="AC30" i="26"/>
  <c r="AG118" i="24"/>
  <c r="AF117" i="24"/>
  <c r="AD226" i="24"/>
  <c r="AE226" i="24"/>
  <c r="AC227" i="24" s="1"/>
  <c r="W26" i="26"/>
  <c r="AC36" i="26"/>
  <c r="W36" i="26"/>
  <c r="AC6" i="26"/>
  <c r="AI16" i="26"/>
  <c r="K16" i="26"/>
  <c r="W6" i="26"/>
  <c r="Q36" i="26"/>
  <c r="K46" i="26"/>
  <c r="AI46" i="26"/>
  <c r="AC26" i="26"/>
  <c r="W16" i="26"/>
  <c r="Q26" i="26"/>
  <c r="AC16" i="26"/>
  <c r="Q16" i="26"/>
  <c r="AI26" i="26"/>
  <c r="AI6" i="26"/>
  <c r="AC46" i="26"/>
  <c r="K26" i="26"/>
  <c r="Q6" i="26"/>
  <c r="K6" i="26"/>
  <c r="K36" i="26"/>
  <c r="AH5" i="24"/>
  <c r="Q46" i="26"/>
  <c r="W46" i="26"/>
  <c r="AI36" i="26"/>
  <c r="AG239" i="24"/>
  <c r="AF238" i="24"/>
  <c r="AD135" i="24"/>
  <c r="AH135" i="24" s="1"/>
  <c r="AE135" i="24"/>
  <c r="AC136" i="24" s="1"/>
  <c r="AD130" i="24"/>
  <c r="AE130" i="24"/>
  <c r="AC131" i="24" s="1"/>
  <c r="AF56" i="24"/>
  <c r="AG57" i="24"/>
  <c r="J32" i="26"/>
  <c r="AB42" i="26"/>
  <c r="AH52" i="26"/>
  <c r="P12" i="26"/>
  <c r="AH22" i="26"/>
  <c r="AB32" i="26"/>
  <c r="J22" i="26"/>
  <c r="AH12" i="26"/>
  <c r="J52" i="26"/>
  <c r="AB12" i="26"/>
  <c r="AH42" i="26"/>
  <c r="J12" i="26"/>
  <c r="V52" i="26"/>
  <c r="AH49" i="24"/>
  <c r="P42" i="26"/>
  <c r="V42" i="26"/>
  <c r="V12" i="26"/>
  <c r="P22" i="26"/>
  <c r="V32" i="26"/>
  <c r="AB52" i="26"/>
  <c r="P52" i="26"/>
  <c r="AH32" i="26"/>
  <c r="J42" i="26"/>
  <c r="V22" i="26"/>
  <c r="P32" i="26"/>
  <c r="AB22" i="26"/>
  <c r="AG137" i="24"/>
  <c r="AF136" i="24"/>
  <c r="AI30" i="26"/>
  <c r="AD86" i="24"/>
  <c r="AH86" i="24" s="1"/>
  <c r="AE86" i="24"/>
  <c r="Q50" i="26"/>
  <c r="AF221" i="24"/>
  <c r="AG222" i="24"/>
  <c r="AF222" i="24" s="1"/>
  <c r="K44" i="26"/>
  <c r="W44" i="26"/>
  <c r="Q44" i="26"/>
  <c r="W14" i="26"/>
  <c r="AC44" i="26"/>
  <c r="AC34" i="26"/>
  <c r="AC24" i="26"/>
  <c r="AH62" i="24"/>
  <c r="AI14" i="26"/>
  <c r="W34" i="26"/>
  <c r="AC54" i="26"/>
  <c r="K34" i="26"/>
  <c r="Q14" i="26"/>
  <c r="Q24" i="26"/>
  <c r="K24" i="26"/>
  <c r="AI34" i="26"/>
  <c r="K14" i="26"/>
  <c r="AI44" i="26"/>
  <c r="Q54" i="26"/>
  <c r="Q34" i="26"/>
  <c r="AI54" i="26"/>
  <c r="W54" i="26"/>
  <c r="AC14" i="26"/>
  <c r="W24" i="26"/>
  <c r="K54" i="26"/>
  <c r="AI24" i="26"/>
  <c r="AG112" i="24"/>
  <c r="AF111" i="24"/>
  <c r="W10" i="26"/>
  <c r="AE207" i="24"/>
  <c r="AC208" i="24" s="1"/>
  <c r="AD207" i="24"/>
  <c r="AD220" i="24"/>
  <c r="AH220" i="24" s="1"/>
  <c r="AE220" i="24"/>
  <c r="AC221" i="24" s="1"/>
  <c r="AD63" i="24"/>
  <c r="AE63" i="24"/>
  <c r="AC64" i="24" s="1"/>
  <c r="AG214" i="24"/>
  <c r="AF213" i="24"/>
  <c r="AH116" i="24"/>
  <c r="AE249" i="24"/>
  <c r="AC250" i="24" s="1"/>
  <c r="AD249" i="24"/>
  <c r="AC50" i="26"/>
  <c r="AG95" i="24"/>
  <c r="AG94" i="24"/>
  <c r="AF94" i="24" s="1"/>
  <c r="AF93" i="24"/>
  <c r="AG172" i="24"/>
  <c r="AF171" i="24"/>
  <c r="AH171" i="24" s="1"/>
  <c r="AE237" i="24"/>
  <c r="AC238" i="24" s="1"/>
  <c r="AD237" i="24"/>
  <c r="AH237" i="24" s="1"/>
  <c r="W50" i="26"/>
  <c r="AD52" i="24"/>
  <c r="AE52" i="24"/>
  <c r="AC53" i="24" s="1"/>
  <c r="AD75" i="24"/>
  <c r="AH75" i="24" s="1"/>
  <c r="AE75" i="24"/>
  <c r="AC76" i="24" s="1"/>
  <c r="K20" i="26"/>
  <c r="AD177" i="24"/>
  <c r="AH177" i="24" s="1"/>
  <c r="AE177" i="24"/>
  <c r="AC178" i="24" s="1"/>
  <c r="W30" i="26"/>
  <c r="AG11" i="24"/>
  <c r="AF10" i="24"/>
  <c r="U26" i="26"/>
  <c r="AA26" i="26"/>
  <c r="U16" i="26"/>
  <c r="O36" i="26"/>
  <c r="AG6" i="26"/>
  <c r="AM36" i="26"/>
  <c r="AM16" i="26"/>
  <c r="U36" i="26"/>
  <c r="AA36" i="26"/>
  <c r="AG46" i="26"/>
  <c r="O46" i="26"/>
  <c r="AA46" i="26"/>
  <c r="U46" i="26"/>
  <c r="O16" i="26"/>
  <c r="AG26" i="26"/>
  <c r="U6" i="26"/>
  <c r="AM26" i="26"/>
  <c r="AM46" i="26"/>
  <c r="AH9" i="24"/>
  <c r="AG36" i="26"/>
  <c r="AA16" i="26"/>
  <c r="O26" i="26"/>
  <c r="AG16" i="26"/>
  <c r="AA6" i="26"/>
  <c r="O6" i="26"/>
  <c r="AM6" i="26"/>
  <c r="AI40" i="26"/>
  <c r="R22" i="26"/>
  <c r="L12" i="26"/>
  <c r="R12" i="26"/>
  <c r="AD42" i="26"/>
  <c r="X22" i="26"/>
  <c r="R52" i="26"/>
  <c r="X12" i="26"/>
  <c r="L42" i="26"/>
  <c r="R42" i="26"/>
  <c r="L22" i="26"/>
  <c r="AD52" i="26"/>
  <c r="L52" i="26"/>
  <c r="X52" i="26"/>
  <c r="X42" i="26"/>
  <c r="L32" i="26"/>
  <c r="AH51" i="24"/>
  <c r="AJ12" i="26"/>
  <c r="AJ22" i="26"/>
  <c r="AJ42" i="26"/>
  <c r="AJ52" i="26"/>
  <c r="AD12" i="26"/>
  <c r="R32" i="26"/>
  <c r="AD32" i="26"/>
  <c r="AD22" i="26"/>
  <c r="X32" i="26"/>
  <c r="AJ32" i="26"/>
  <c r="AG84" i="24"/>
  <c r="AF84" i="24" s="1"/>
  <c r="AF83" i="24"/>
  <c r="AD167" i="24"/>
  <c r="AE167" i="24"/>
  <c r="AC168" i="24" s="1"/>
  <c r="AH92" i="24"/>
  <c r="AE153" i="24"/>
  <c r="AC154" i="24" s="1"/>
  <c r="AD153" i="24"/>
  <c r="AH153" i="24" s="1"/>
  <c r="AD147" i="24"/>
  <c r="AH147" i="24" s="1"/>
  <c r="AE147" i="24"/>
  <c r="AC148" i="24" s="1"/>
  <c r="AG150" i="24"/>
  <c r="AF150" i="24" s="1"/>
  <c r="AF149" i="24"/>
  <c r="AD10" i="24"/>
  <c r="AE10" i="24"/>
  <c r="AC11" i="24" s="1"/>
  <c r="W40" i="26"/>
  <c r="AG100" i="24"/>
  <c r="AF99" i="24"/>
  <c r="AH99" i="24" s="1"/>
  <c r="AD243" i="24"/>
  <c r="AH243" i="24" s="1"/>
  <c r="AE243" i="24"/>
  <c r="AE19" i="24"/>
  <c r="AC20" i="24" s="1"/>
  <c r="AD19" i="24"/>
  <c r="AF69" i="24"/>
  <c r="AG70" i="24"/>
  <c r="AG246" i="24"/>
  <c r="AF246" i="24" s="1"/>
  <c r="AF245" i="24"/>
  <c r="AI20" i="26"/>
  <c r="Q10" i="26"/>
  <c r="AE117" i="24"/>
  <c r="AC118" i="24" s="1"/>
  <c r="AD117" i="24"/>
  <c r="AF190" i="24"/>
  <c r="AG191" i="24"/>
  <c r="Q30" i="26"/>
  <c r="AG64" i="24"/>
  <c r="AF63" i="24"/>
  <c r="AD123" i="24"/>
  <c r="AH123" i="24" s="1"/>
  <c r="AE123" i="24"/>
  <c r="AC124" i="24" s="1"/>
  <c r="AE81" i="24"/>
  <c r="AC82" i="24" s="1"/>
  <c r="AD81" i="24"/>
  <c r="AH81" i="24" s="1"/>
  <c r="AE17" i="24"/>
  <c r="AC22" i="24" s="1"/>
  <c r="AD17" i="24"/>
  <c r="K40" i="26"/>
  <c r="AI50" i="26"/>
  <c r="AE69" i="24"/>
  <c r="AC70" i="24" s="1"/>
  <c r="AD69" i="24"/>
  <c r="AG28" i="24"/>
  <c r="AF27" i="24"/>
  <c r="AD8" i="26" s="1"/>
  <c r="AF39" i="24"/>
  <c r="AG40" i="24"/>
  <c r="AG185" i="24"/>
  <c r="AF184" i="24"/>
  <c r="AE195" i="24"/>
  <c r="AC196" i="24" s="1"/>
  <c r="AD195" i="24"/>
  <c r="AE93" i="24"/>
  <c r="AC94" i="24" s="1"/>
  <c r="AD93" i="24"/>
  <c r="AE106" i="24"/>
  <c r="AC107" i="24" s="1"/>
  <c r="AD106" i="24"/>
  <c r="K10" i="26"/>
  <c r="AF249" i="24"/>
  <c r="AG250" i="24"/>
  <c r="AG167" i="24"/>
  <c r="AF166" i="24"/>
  <c r="AH166" i="24" s="1"/>
  <c r="AD16" i="24"/>
  <c r="AE16" i="24"/>
  <c r="AD100" i="24"/>
  <c r="AE100" i="24"/>
  <c r="AC101" i="24" s="1"/>
  <c r="AC10" i="26"/>
  <c r="AI15" i="26"/>
  <c r="AI45" i="26"/>
  <c r="W15" i="26"/>
  <c r="AC45" i="26"/>
  <c r="K25" i="26"/>
  <c r="K55" i="26"/>
  <c r="K45" i="26"/>
  <c r="W55" i="26"/>
  <c r="AH68" i="24"/>
  <c r="K35" i="26"/>
  <c r="Q35" i="26"/>
  <c r="AI25" i="26"/>
  <c r="Q25" i="26"/>
  <c r="W35" i="26"/>
  <c r="Q45" i="26"/>
  <c r="Q55" i="26"/>
  <c r="W45" i="26"/>
  <c r="AC55" i="26"/>
  <c r="AI55" i="26"/>
  <c r="AI35" i="26"/>
  <c r="K15" i="26"/>
  <c r="W25" i="26"/>
  <c r="AC15" i="26"/>
  <c r="AC25" i="26"/>
  <c r="AC35" i="26"/>
  <c r="Q15" i="26"/>
  <c r="AH129" i="24" l="1"/>
  <c r="AE16" i="54"/>
  <c r="AE17" i="54"/>
  <c r="AH14" i="54"/>
  <c r="AJ14" i="54" s="1"/>
  <c r="AI15" i="54"/>
  <c r="AG8" i="54"/>
  <c r="AE9" i="54" s="1"/>
  <c r="AF8" i="54"/>
  <c r="AJ8" i="54" s="1"/>
  <c r="AH8" i="54"/>
  <c r="AI9" i="54"/>
  <c r="AH9" i="54" s="1"/>
  <c r="AE202" i="24"/>
  <c r="AC203" i="24" s="1"/>
  <c r="AD203" i="24" s="1"/>
  <c r="AF178" i="24"/>
  <c r="AD142" i="24"/>
  <c r="AH142" i="24" s="1"/>
  <c r="AG227" i="24"/>
  <c r="AF227" i="24" s="1"/>
  <c r="AF35" i="24"/>
  <c r="AL29" i="26" s="1"/>
  <c r="AH195" i="24"/>
  <c r="AE184" i="24"/>
  <c r="AC185" i="24" s="1"/>
  <c r="AD184" i="24"/>
  <c r="AH184" i="24" s="1"/>
  <c r="AG143" i="24"/>
  <c r="AF143" i="24" s="1"/>
  <c r="AJ10" i="26"/>
  <c r="AF34" i="24"/>
  <c r="AK19" i="26" s="1"/>
  <c r="AG155" i="24"/>
  <c r="AG156" i="24" s="1"/>
  <c r="AF156" i="24" s="1"/>
  <c r="AD28" i="24"/>
  <c r="AG53" i="24"/>
  <c r="AG54" i="24" s="1"/>
  <c r="AF54" i="24" s="1"/>
  <c r="AH159" i="24"/>
  <c r="AF202" i="24"/>
  <c r="AH202" i="24" s="1"/>
  <c r="AG203" i="24"/>
  <c r="AH111" i="24"/>
  <c r="AF160" i="24"/>
  <c r="AG162" i="24"/>
  <c r="AF162" i="24" s="1"/>
  <c r="AG161" i="24"/>
  <c r="AF161" i="24" s="1"/>
  <c r="AH10" i="24"/>
  <c r="X18" i="26"/>
  <c r="AE256" i="24"/>
  <c r="AC257" i="24" s="1"/>
  <c r="AD256" i="24"/>
  <c r="AJ8" i="26"/>
  <c r="AD28" i="26"/>
  <c r="AJ38" i="26"/>
  <c r="R38" i="26"/>
  <c r="R8" i="26"/>
  <c r="AD18" i="26"/>
  <c r="AD38" i="26"/>
  <c r="L38" i="26"/>
  <c r="AH255" i="24"/>
  <c r="AG234" i="24"/>
  <c r="AF234" i="24" s="1"/>
  <c r="AF232" i="24"/>
  <c r="AH232" i="24" s="1"/>
  <c r="AG233" i="24"/>
  <c r="AF233" i="24" s="1"/>
  <c r="AD46" i="24"/>
  <c r="AE46" i="24"/>
  <c r="AC47" i="24" s="1"/>
  <c r="L50" i="26"/>
  <c r="R50" i="26"/>
  <c r="AF131" i="24"/>
  <c r="AG132" i="24"/>
  <c r="AF132" i="24" s="1"/>
  <c r="AF208" i="24"/>
  <c r="AG209" i="24"/>
  <c r="R10" i="26"/>
  <c r="AE160" i="24"/>
  <c r="AC161" i="24" s="1"/>
  <c r="AD160" i="24"/>
  <c r="AH130" i="24"/>
  <c r="R40" i="26"/>
  <c r="X30" i="26"/>
  <c r="L48" i="26"/>
  <c r="AH207" i="24"/>
  <c r="AH190" i="24"/>
  <c r="AG257" i="24"/>
  <c r="AF256" i="24"/>
  <c r="AF19" i="24"/>
  <c r="AH19" i="24" s="1"/>
  <c r="AG20" i="24"/>
  <c r="AG78" i="24"/>
  <c r="AF78" i="24" s="1"/>
  <c r="AF77" i="24"/>
  <c r="AE112" i="24"/>
  <c r="AC113" i="24" s="1"/>
  <c r="AD112" i="24"/>
  <c r="AH93" i="24"/>
  <c r="AF197" i="24"/>
  <c r="AG198" i="24"/>
  <c r="AF198" i="24" s="1"/>
  <c r="AD76" i="24"/>
  <c r="AH76" i="24" s="1"/>
  <c r="AE76" i="24"/>
  <c r="AC77" i="24" s="1"/>
  <c r="AD196" i="24"/>
  <c r="AH196" i="24" s="1"/>
  <c r="AE196" i="24"/>
  <c r="AC197" i="24" s="1"/>
  <c r="AE82" i="24"/>
  <c r="AC83" i="24" s="1"/>
  <c r="AD82" i="24"/>
  <c r="AH82" i="24" s="1"/>
  <c r="AJ48" i="26"/>
  <c r="AD48" i="26"/>
  <c r="AE11" i="24"/>
  <c r="AC12" i="24" s="1"/>
  <c r="AD11" i="24"/>
  <c r="AG47" i="24"/>
  <c r="AF46" i="24"/>
  <c r="R30" i="26"/>
  <c r="AF106" i="24"/>
  <c r="AH106" i="24" s="1"/>
  <c r="AG107" i="24"/>
  <c r="AD22" i="24"/>
  <c r="AE22" i="24"/>
  <c r="AC23" i="24" s="1"/>
  <c r="AE191" i="24"/>
  <c r="AC192" i="24" s="1"/>
  <c r="AD191" i="24"/>
  <c r="X41" i="26"/>
  <c r="X51" i="26"/>
  <c r="X21" i="26"/>
  <c r="L41" i="26"/>
  <c r="AD41" i="26"/>
  <c r="AJ41" i="26"/>
  <c r="AD21" i="26"/>
  <c r="AD11" i="26"/>
  <c r="AH45" i="24"/>
  <c r="L21" i="26"/>
  <c r="L31" i="26"/>
  <c r="R41" i="26"/>
  <c r="AJ21" i="26"/>
  <c r="AD31" i="26"/>
  <c r="AD51" i="26"/>
  <c r="R31" i="26"/>
  <c r="L11" i="26"/>
  <c r="R51" i="26"/>
  <c r="AJ31" i="26"/>
  <c r="R21" i="26"/>
  <c r="AJ51" i="26"/>
  <c r="X31" i="26"/>
  <c r="X11" i="26"/>
  <c r="AJ11" i="26"/>
  <c r="R11" i="26"/>
  <c r="L51" i="26"/>
  <c r="AD101" i="24"/>
  <c r="AE101" i="24"/>
  <c r="AC102" i="24" s="1"/>
  <c r="L8" i="26"/>
  <c r="X48" i="26"/>
  <c r="AE148" i="24"/>
  <c r="AD148" i="24"/>
  <c r="AH148" i="24" s="1"/>
  <c r="AE22" i="26"/>
  <c r="Y52" i="26"/>
  <c r="AK32" i="26"/>
  <c r="Y22" i="26"/>
  <c r="S22" i="26"/>
  <c r="S32" i="26"/>
  <c r="AE32" i="26"/>
  <c r="Y32" i="26"/>
  <c r="AE42" i="26"/>
  <c r="AK12" i="26"/>
  <c r="M32" i="26"/>
  <c r="S52" i="26"/>
  <c r="AK42" i="26"/>
  <c r="Y12" i="26"/>
  <c r="S42" i="26"/>
  <c r="Y42" i="26"/>
  <c r="AH52" i="24"/>
  <c r="AK52" i="26"/>
  <c r="M42" i="26"/>
  <c r="AK22" i="26"/>
  <c r="AE12" i="26"/>
  <c r="M12" i="26"/>
  <c r="S12" i="26"/>
  <c r="M52" i="26"/>
  <c r="AE52" i="26"/>
  <c r="M22" i="26"/>
  <c r="L44" i="26"/>
  <c r="L54" i="26"/>
  <c r="R54" i="26"/>
  <c r="AD44" i="26"/>
  <c r="AJ44" i="26"/>
  <c r="R44" i="26"/>
  <c r="L14" i="26"/>
  <c r="R24" i="26"/>
  <c r="AJ24" i="26"/>
  <c r="AD24" i="26"/>
  <c r="L34" i="26"/>
  <c r="X54" i="26"/>
  <c r="R34" i="26"/>
  <c r="X34" i="26"/>
  <c r="L24" i="26"/>
  <c r="AJ34" i="26"/>
  <c r="AJ54" i="26"/>
  <c r="AH63" i="24"/>
  <c r="AD54" i="26"/>
  <c r="AD34" i="26"/>
  <c r="X14" i="26"/>
  <c r="R14" i="26"/>
  <c r="AJ14" i="26"/>
  <c r="X24" i="26"/>
  <c r="X44" i="26"/>
  <c r="AG119" i="24"/>
  <c r="AF118" i="24"/>
  <c r="AD10" i="26"/>
  <c r="AE233" i="24"/>
  <c r="AC234" i="24" s="1"/>
  <c r="AD233" i="24"/>
  <c r="L40" i="26"/>
  <c r="AD227" i="24"/>
  <c r="AE227" i="24"/>
  <c r="AC228" i="24" s="1"/>
  <c r="AF64" i="24"/>
  <c r="AG65" i="24"/>
  <c r="X8" i="26"/>
  <c r="AD29" i="24"/>
  <c r="AE29" i="24"/>
  <c r="AC30" i="24" s="1"/>
  <c r="AD88" i="24"/>
  <c r="AH88" i="24" s="1"/>
  <c r="AE88" i="24"/>
  <c r="AD143" i="24"/>
  <c r="AE143" i="24"/>
  <c r="AC144" i="24" s="1"/>
  <c r="L30" i="26"/>
  <c r="AE60" i="24"/>
  <c r="AD60" i="24"/>
  <c r="AE94" i="24"/>
  <c r="AC95" i="24" s="1"/>
  <c r="AD94" i="24"/>
  <c r="AH94" i="24" s="1"/>
  <c r="AF137" i="24"/>
  <c r="AG138" i="24"/>
  <c r="AF138" i="24" s="1"/>
  <c r="AE41" i="24"/>
  <c r="AC42" i="24" s="1"/>
  <c r="AD41" i="24"/>
  <c r="AE124" i="24"/>
  <c r="AC125" i="24" s="1"/>
  <c r="AD124" i="24"/>
  <c r="AH124" i="24" s="1"/>
  <c r="AD30" i="26"/>
  <c r="L36" i="26"/>
  <c r="R46" i="26"/>
  <c r="X6" i="26"/>
  <c r="AJ16" i="26"/>
  <c r="X26" i="26"/>
  <c r="AD6" i="26"/>
  <c r="X46" i="26"/>
  <c r="L46" i="26"/>
  <c r="X36" i="26"/>
  <c r="AD16" i="26"/>
  <c r="AJ46" i="26"/>
  <c r="R36" i="26"/>
  <c r="R26" i="26"/>
  <c r="AJ26" i="26"/>
  <c r="AH6" i="24"/>
  <c r="AJ36" i="26"/>
  <c r="R6" i="26"/>
  <c r="AD26" i="26"/>
  <c r="AD36" i="26"/>
  <c r="R16" i="26"/>
  <c r="L6" i="26"/>
  <c r="AJ6" i="26"/>
  <c r="L26" i="26"/>
  <c r="L16" i="26"/>
  <c r="AD46" i="26"/>
  <c r="X16" i="26"/>
  <c r="R18" i="26"/>
  <c r="AF11" i="24"/>
  <c r="AG12" i="24"/>
  <c r="Q53" i="26"/>
  <c r="AC43" i="26"/>
  <c r="Q43" i="26"/>
  <c r="W23" i="26"/>
  <c r="AI53" i="26"/>
  <c r="AI23" i="26"/>
  <c r="AC13" i="26"/>
  <c r="W53" i="26"/>
  <c r="K33" i="26"/>
  <c r="Q23" i="26"/>
  <c r="K43" i="26"/>
  <c r="AC33" i="26"/>
  <c r="AC23" i="26"/>
  <c r="K23" i="26"/>
  <c r="Q33" i="26"/>
  <c r="AI43" i="26"/>
  <c r="AI13" i="26"/>
  <c r="W13" i="26"/>
  <c r="W33" i="26"/>
  <c r="K53" i="26"/>
  <c r="AC53" i="26"/>
  <c r="Q13" i="26"/>
  <c r="K13" i="26"/>
  <c r="AH56" i="24"/>
  <c r="W43" i="26"/>
  <c r="AI33" i="26"/>
  <c r="AD40" i="26"/>
  <c r="AJ30" i="26"/>
  <c r="AC8" i="24"/>
  <c r="AC7" i="24"/>
  <c r="AG186" i="24"/>
  <c r="AF186" i="24" s="1"/>
  <c r="AF185" i="24"/>
  <c r="AG215" i="24"/>
  <c r="AF214" i="24"/>
  <c r="AF40" i="24"/>
  <c r="S40" i="26" s="1"/>
  <c r="AG41" i="24"/>
  <c r="AF179" i="24"/>
  <c r="AG180" i="24"/>
  <c r="AF180" i="24" s="1"/>
  <c r="L28" i="26"/>
  <c r="X15" i="26"/>
  <c r="AJ45" i="26"/>
  <c r="AD15" i="26"/>
  <c r="AJ55" i="26"/>
  <c r="R35" i="26"/>
  <c r="AJ35" i="26"/>
  <c r="R45" i="26"/>
  <c r="AD25" i="26"/>
  <c r="R55" i="26"/>
  <c r="L35" i="26"/>
  <c r="L15" i="26"/>
  <c r="L25" i="26"/>
  <c r="R15" i="26"/>
  <c r="AH69" i="24"/>
  <c r="L45" i="26"/>
  <c r="R25" i="26"/>
  <c r="X35" i="26"/>
  <c r="AD35" i="26"/>
  <c r="AD55" i="26"/>
  <c r="AJ15" i="26"/>
  <c r="X55" i="26"/>
  <c r="AD45" i="26"/>
  <c r="AJ25" i="26"/>
  <c r="X25" i="26"/>
  <c r="L55" i="26"/>
  <c r="X45" i="26"/>
  <c r="R48" i="26"/>
  <c r="AE131" i="24"/>
  <c r="AC132" i="24" s="1"/>
  <c r="AD131" i="24"/>
  <c r="AE36" i="24"/>
  <c r="AD36" i="24"/>
  <c r="X20" i="26"/>
  <c r="AD50" i="26"/>
  <c r="AD173" i="24"/>
  <c r="AE173" i="24"/>
  <c r="AC174" i="24" s="1"/>
  <c r="AG168" i="24"/>
  <c r="AF168" i="24" s="1"/>
  <c r="AF167" i="24"/>
  <c r="AH167" i="24" s="1"/>
  <c r="AG71" i="24"/>
  <c r="AF70" i="24"/>
  <c r="AG251" i="24"/>
  <c r="AF250" i="24"/>
  <c r="AD70" i="24"/>
  <c r="AE70" i="24"/>
  <c r="AC71" i="24" s="1"/>
  <c r="R28" i="26"/>
  <c r="AE168" i="24"/>
  <c r="AD168" i="24"/>
  <c r="AD178" i="24"/>
  <c r="AE178" i="24"/>
  <c r="AC179" i="24" s="1"/>
  <c r="AJ50" i="26"/>
  <c r="AD20" i="26"/>
  <c r="AE221" i="24"/>
  <c r="AC222" i="24" s="1"/>
  <c r="AD221" i="24"/>
  <c r="AH221" i="24" s="1"/>
  <c r="L18" i="26"/>
  <c r="AF172" i="24"/>
  <c r="AH172" i="24" s="1"/>
  <c r="AG173" i="24"/>
  <c r="AD136" i="24"/>
  <c r="AH136" i="24" s="1"/>
  <c r="AE136" i="24"/>
  <c r="AC137" i="24" s="1"/>
  <c r="AJ20" i="26"/>
  <c r="R20" i="26"/>
  <c r="AE64" i="24"/>
  <c r="AC65" i="24" s="1"/>
  <c r="AD64" i="24"/>
  <c r="AD238" i="24"/>
  <c r="AH238" i="24" s="1"/>
  <c r="AE238" i="24"/>
  <c r="AC239" i="24" s="1"/>
  <c r="AE154" i="24"/>
  <c r="AC155" i="24" s="1"/>
  <c r="AD154" i="24"/>
  <c r="AH154" i="24" s="1"/>
  <c r="AF191" i="24"/>
  <c r="AG192" i="24"/>
  <c r="AF192" i="24" s="1"/>
  <c r="AJ18" i="26"/>
  <c r="AE20" i="24"/>
  <c r="AC21" i="24" s="1"/>
  <c r="AD20" i="24"/>
  <c r="X40" i="26"/>
  <c r="AJ40" i="26"/>
  <c r="AC245" i="24"/>
  <c r="AC244" i="24"/>
  <c r="X10" i="26"/>
  <c r="AH27" i="24"/>
  <c r="AG96" i="24"/>
  <c r="AF96" i="24" s="1"/>
  <c r="AF95" i="24"/>
  <c r="AF89" i="24"/>
  <c r="AG90" i="24"/>
  <c r="AF90" i="24" s="1"/>
  <c r="AH117" i="24"/>
  <c r="X38" i="26"/>
  <c r="AH39" i="24"/>
  <c r="AD53" i="24"/>
  <c r="AE53" i="24"/>
  <c r="AC54" i="24" s="1"/>
  <c r="Q27" i="26"/>
  <c r="AI17" i="26"/>
  <c r="Q37" i="26"/>
  <c r="K27" i="26"/>
  <c r="Q17" i="26"/>
  <c r="AI7" i="26"/>
  <c r="W7" i="26"/>
  <c r="K17" i="26"/>
  <c r="Q47" i="26"/>
  <c r="AC7" i="26"/>
  <c r="K47" i="26"/>
  <c r="AC17" i="26"/>
  <c r="AI27" i="26"/>
  <c r="K7" i="26"/>
  <c r="W47" i="26"/>
  <c r="K37" i="26"/>
  <c r="AC27" i="26"/>
  <c r="AC37" i="26"/>
  <c r="W17" i="26"/>
  <c r="AC47" i="26"/>
  <c r="AH16" i="24"/>
  <c r="AI47" i="26"/>
  <c r="W27" i="26"/>
  <c r="Q7" i="26"/>
  <c r="AI37" i="26"/>
  <c r="W37" i="26"/>
  <c r="AF28" i="24"/>
  <c r="AG29" i="24"/>
  <c r="L20" i="26"/>
  <c r="AD208" i="24"/>
  <c r="AE208" i="24"/>
  <c r="AC209" i="24" s="1"/>
  <c r="AE118" i="24"/>
  <c r="AC119" i="24" s="1"/>
  <c r="AD118" i="24"/>
  <c r="AJ28" i="26"/>
  <c r="AF100" i="24"/>
  <c r="AH100" i="24" s="1"/>
  <c r="AG101" i="24"/>
  <c r="AH249" i="24"/>
  <c r="X50" i="26"/>
  <c r="AD214" i="24"/>
  <c r="AE214" i="24"/>
  <c r="AC215" i="24" s="1"/>
  <c r="AH226" i="24"/>
  <c r="AG58" i="24"/>
  <c r="AF57" i="24"/>
  <c r="X28" i="26"/>
  <c r="AG240" i="24"/>
  <c r="AF240" i="24" s="1"/>
  <c r="AF239" i="24"/>
  <c r="L10" i="26"/>
  <c r="AE107" i="24"/>
  <c r="AC108" i="24" s="1"/>
  <c r="AD107" i="24"/>
  <c r="AJ7" i="26"/>
  <c r="L17" i="26"/>
  <c r="AD47" i="26"/>
  <c r="R47" i="26"/>
  <c r="L47" i="26"/>
  <c r="AJ27" i="26"/>
  <c r="R17" i="26"/>
  <c r="AD37" i="26"/>
  <c r="AJ37" i="26"/>
  <c r="X37" i="26"/>
  <c r="R7" i="26"/>
  <c r="X7" i="26"/>
  <c r="L7" i="26"/>
  <c r="X27" i="26"/>
  <c r="R37" i="26"/>
  <c r="L37" i="26"/>
  <c r="AJ47" i="26"/>
  <c r="AH17" i="24"/>
  <c r="L27" i="26"/>
  <c r="X47" i="26"/>
  <c r="AD7" i="26"/>
  <c r="AD27" i="26"/>
  <c r="R27" i="26"/>
  <c r="AJ17" i="26"/>
  <c r="AD17" i="26"/>
  <c r="X17" i="26"/>
  <c r="AE250" i="24"/>
  <c r="AC251" i="24" s="1"/>
  <c r="AD250" i="24"/>
  <c r="AG113" i="24"/>
  <c r="AF112" i="24"/>
  <c r="AH213" i="24"/>
  <c r="AE203" i="24" l="1"/>
  <c r="AC204" i="24" s="1"/>
  <c r="AD204" i="24" s="1"/>
  <c r="Z39" i="26"/>
  <c r="AH35" i="24"/>
  <c r="T29" i="26"/>
  <c r="T19" i="26"/>
  <c r="AF9" i="26"/>
  <c r="AF19" i="26"/>
  <c r="AG9" i="54"/>
  <c r="AF9" i="54"/>
  <c r="AJ9" i="54" s="1"/>
  <c r="AF17" i="54"/>
  <c r="AG17" i="54"/>
  <c r="AH15" i="54"/>
  <c r="AJ15" i="54" s="1"/>
  <c r="AI17" i="54"/>
  <c r="AI16" i="54"/>
  <c r="AH16" i="54" s="1"/>
  <c r="AG16" i="54"/>
  <c r="AF16" i="54"/>
  <c r="Z9" i="26"/>
  <c r="AL49" i="26"/>
  <c r="AL19" i="26"/>
  <c r="AF29" i="26"/>
  <c r="AL9" i="26"/>
  <c r="AG228" i="24"/>
  <c r="AF228" i="24" s="1"/>
  <c r="Z19" i="26"/>
  <c r="Z49" i="26"/>
  <c r="AH178" i="24"/>
  <c r="N29" i="26"/>
  <c r="N9" i="26"/>
  <c r="AF39" i="26"/>
  <c r="AF49" i="26"/>
  <c r="Z29" i="26"/>
  <c r="T49" i="26"/>
  <c r="AL39" i="26"/>
  <c r="T39" i="26"/>
  <c r="N49" i="26"/>
  <c r="N39" i="26"/>
  <c r="T9" i="26"/>
  <c r="N19" i="26"/>
  <c r="AG144" i="24"/>
  <c r="AF144" i="24" s="1"/>
  <c r="Y9" i="26"/>
  <c r="AF155" i="24"/>
  <c r="AE185" i="24"/>
  <c r="AC186" i="24" s="1"/>
  <c r="AD185" i="24"/>
  <c r="AH185" i="24" s="1"/>
  <c r="AK49" i="26"/>
  <c r="S49" i="26"/>
  <c r="S29" i="26"/>
  <c r="AK39" i="26"/>
  <c r="S39" i="26"/>
  <c r="M49" i="26"/>
  <c r="AK18" i="26"/>
  <c r="AE19" i="26"/>
  <c r="AE39" i="26"/>
  <c r="M39" i="26"/>
  <c r="M29" i="26"/>
  <c r="M9" i="26"/>
  <c r="S9" i="26"/>
  <c r="Y29" i="26"/>
  <c r="AK9" i="26"/>
  <c r="AF53" i="24"/>
  <c r="AL12" i="26" s="1"/>
  <c r="Y19" i="26"/>
  <c r="Y49" i="26"/>
  <c r="AK29" i="26"/>
  <c r="Y39" i="26"/>
  <c r="S19" i="26"/>
  <c r="AE9" i="26"/>
  <c r="AH34" i="24"/>
  <c r="AE49" i="26"/>
  <c r="M19" i="26"/>
  <c r="AE29" i="26"/>
  <c r="AH112" i="24"/>
  <c r="AH160" i="24"/>
  <c r="S10" i="26"/>
  <c r="AE20" i="26"/>
  <c r="AK20" i="26"/>
  <c r="AK40" i="26"/>
  <c r="AK30" i="26"/>
  <c r="AF203" i="24"/>
  <c r="AH203" i="24" s="1"/>
  <c r="AG204" i="24"/>
  <c r="AF204" i="24" s="1"/>
  <c r="AH256" i="24"/>
  <c r="AH233" i="24"/>
  <c r="AH118" i="24"/>
  <c r="AH227" i="24"/>
  <c r="AD257" i="24"/>
  <c r="AE257" i="24"/>
  <c r="AC258" i="24" s="1"/>
  <c r="AE161" i="24"/>
  <c r="AC162" i="24" s="1"/>
  <c r="AD161" i="24"/>
  <c r="AH161" i="24" s="1"/>
  <c r="AF209" i="24"/>
  <c r="AG210" i="24"/>
  <c r="AF210" i="24" s="1"/>
  <c r="AH250" i="24"/>
  <c r="AD113" i="24"/>
  <c r="AE113" i="24"/>
  <c r="AC114" i="24" s="1"/>
  <c r="AH131" i="24"/>
  <c r="AE47" i="24"/>
  <c r="AC48" i="24" s="1"/>
  <c r="AD47" i="24"/>
  <c r="M8" i="26"/>
  <c r="AH143" i="24"/>
  <c r="AF257" i="24"/>
  <c r="AG258" i="24"/>
  <c r="AF258" i="24" s="1"/>
  <c r="AK38" i="26"/>
  <c r="AF20" i="24"/>
  <c r="AH20" i="24" s="1"/>
  <c r="AG21" i="24"/>
  <c r="AF21" i="24" s="1"/>
  <c r="AH208" i="24"/>
  <c r="AE251" i="24"/>
  <c r="AC252" i="24" s="1"/>
  <c r="AD251" i="24"/>
  <c r="AG114" i="24"/>
  <c r="AF114" i="24" s="1"/>
  <c r="AF113" i="24"/>
  <c r="AF29" i="24"/>
  <c r="AL38" i="26" s="1"/>
  <c r="AG30" i="24"/>
  <c r="AF30" i="24" s="1"/>
  <c r="M55" i="26"/>
  <c r="M45" i="26"/>
  <c r="S25" i="26"/>
  <c r="Y25" i="26"/>
  <c r="Y55" i="26"/>
  <c r="Y35" i="26"/>
  <c r="M35" i="26"/>
  <c r="AK15" i="26"/>
  <c r="AE25" i="26"/>
  <c r="AE55" i="26"/>
  <c r="AE15" i="26"/>
  <c r="AK55" i="26"/>
  <c r="S15" i="26"/>
  <c r="AH70" i="24"/>
  <c r="AK35" i="26"/>
  <c r="M25" i="26"/>
  <c r="AK45" i="26"/>
  <c r="AE45" i="26"/>
  <c r="Y45" i="26"/>
  <c r="AK25" i="26"/>
  <c r="Y15" i="26"/>
  <c r="S35" i="26"/>
  <c r="S55" i="26"/>
  <c r="S45" i="26"/>
  <c r="M15" i="26"/>
  <c r="AE35" i="26"/>
  <c r="AE28" i="26"/>
  <c r="AK8" i="26"/>
  <c r="Y30" i="26"/>
  <c r="AE10" i="26"/>
  <c r="Y48" i="26"/>
  <c r="AC89" i="24"/>
  <c r="AC90" i="24"/>
  <c r="AD23" i="24"/>
  <c r="AE23" i="24"/>
  <c r="AC24" i="24" s="1"/>
  <c r="AC150" i="24"/>
  <c r="AC149" i="24"/>
  <c r="M40" i="26"/>
  <c r="Y17" i="26"/>
  <c r="Y37" i="26"/>
  <c r="AK47" i="26"/>
  <c r="AK17" i="26"/>
  <c r="M37" i="26"/>
  <c r="AK27" i="26"/>
  <c r="M17" i="26"/>
  <c r="AE37" i="26"/>
  <c r="AH22" i="24"/>
  <c r="AE47" i="26"/>
  <c r="S37" i="26"/>
  <c r="AK37" i="26"/>
  <c r="M47" i="26"/>
  <c r="Y7" i="26"/>
  <c r="AK7" i="26"/>
  <c r="AE27" i="26"/>
  <c r="Y27" i="26"/>
  <c r="S17" i="26"/>
  <c r="M7" i="26"/>
  <c r="S7" i="26"/>
  <c r="AE17" i="26"/>
  <c r="AE7" i="26"/>
  <c r="M27" i="26"/>
  <c r="S47" i="26"/>
  <c r="Y47" i="26"/>
  <c r="S27" i="26"/>
  <c r="AF107" i="24"/>
  <c r="AH107" i="24" s="1"/>
  <c r="AG108" i="24"/>
  <c r="AF108" i="24" s="1"/>
  <c r="M18" i="26"/>
  <c r="AD102" i="24"/>
  <c r="AE102" i="24"/>
  <c r="AK50" i="26"/>
  <c r="AG174" i="24"/>
  <c r="AF174" i="24" s="1"/>
  <c r="AF173" i="24"/>
  <c r="AH173" i="24" s="1"/>
  <c r="Y28" i="26"/>
  <c r="AD30" i="24"/>
  <c r="AE30" i="24"/>
  <c r="AE234" i="24"/>
  <c r="AD234" i="24"/>
  <c r="AH234" i="24" s="1"/>
  <c r="M30" i="26"/>
  <c r="M31" i="26"/>
  <c r="AK41" i="26"/>
  <c r="AE11" i="26"/>
  <c r="AK11" i="26"/>
  <c r="Y51" i="26"/>
  <c r="S41" i="26"/>
  <c r="AE31" i="26"/>
  <c r="AK51" i="26"/>
  <c r="S11" i="26"/>
  <c r="S21" i="26"/>
  <c r="AE21" i="26"/>
  <c r="Y21" i="26"/>
  <c r="M51" i="26"/>
  <c r="AE51" i="26"/>
  <c r="AE41" i="26"/>
  <c r="AK21" i="26"/>
  <c r="AK31" i="26"/>
  <c r="S51" i="26"/>
  <c r="S31" i="26"/>
  <c r="Y11" i="26"/>
  <c r="Y31" i="26"/>
  <c r="M11" i="26"/>
  <c r="M21" i="26"/>
  <c r="Y41" i="26"/>
  <c r="M41" i="26"/>
  <c r="AH46" i="24"/>
  <c r="AD137" i="24"/>
  <c r="AH137" i="24" s="1"/>
  <c r="AE137" i="24"/>
  <c r="AC138" i="24" s="1"/>
  <c r="AF71" i="24"/>
  <c r="AG72" i="24"/>
  <c r="AF72" i="24" s="1"/>
  <c r="M48" i="26"/>
  <c r="AE8" i="26"/>
  <c r="AG48" i="24"/>
  <c r="AF48" i="24" s="1"/>
  <c r="AF47" i="24"/>
  <c r="AE245" i="24"/>
  <c r="AC246" i="24" s="1"/>
  <c r="AD245" i="24"/>
  <c r="AH245" i="24" s="1"/>
  <c r="AD215" i="24"/>
  <c r="AE215" i="24"/>
  <c r="AC216" i="24" s="1"/>
  <c r="AH214" i="24"/>
  <c r="AD21" i="24"/>
  <c r="AE21" i="24"/>
  <c r="R43" i="26"/>
  <c r="AJ13" i="26"/>
  <c r="R53" i="26"/>
  <c r="AJ33" i="26"/>
  <c r="AJ53" i="26"/>
  <c r="L13" i="26"/>
  <c r="L33" i="26"/>
  <c r="AD53" i="26"/>
  <c r="AD13" i="26"/>
  <c r="AD33" i="26"/>
  <c r="AD43" i="26"/>
  <c r="X33" i="26"/>
  <c r="X13" i="26"/>
  <c r="AJ43" i="26"/>
  <c r="X43" i="26"/>
  <c r="R23" i="26"/>
  <c r="X53" i="26"/>
  <c r="L43" i="26"/>
  <c r="R13" i="26"/>
  <c r="AJ23" i="26"/>
  <c r="AD23" i="26"/>
  <c r="X23" i="26"/>
  <c r="AH57" i="24"/>
  <c r="L53" i="26"/>
  <c r="R33" i="26"/>
  <c r="L23" i="26"/>
  <c r="AE54" i="24"/>
  <c r="AD54" i="24"/>
  <c r="AE222" i="24"/>
  <c r="AD222" i="24"/>
  <c r="AH222" i="24" s="1"/>
  <c r="AF41" i="24"/>
  <c r="AF20" i="26" s="1"/>
  <c r="AG42" i="24"/>
  <c r="AF42" i="24" s="1"/>
  <c r="S18" i="26"/>
  <c r="Y18" i="26"/>
  <c r="AD125" i="24"/>
  <c r="AH125" i="24" s="1"/>
  <c r="AE125" i="24"/>
  <c r="AC126" i="24" s="1"/>
  <c r="AF65" i="24"/>
  <c r="AG66" i="24"/>
  <c r="AF66" i="24" s="1"/>
  <c r="AF119" i="24"/>
  <c r="AG120" i="24"/>
  <c r="AF120" i="24" s="1"/>
  <c r="Y50" i="26"/>
  <c r="M50" i="26"/>
  <c r="AH11" i="24"/>
  <c r="AF101" i="24"/>
  <c r="AH101" i="24" s="1"/>
  <c r="AG102" i="24"/>
  <c r="AF102" i="24" s="1"/>
  <c r="Y8" i="26"/>
  <c r="AE42" i="24"/>
  <c r="AD42" i="24"/>
  <c r="AE30" i="26"/>
  <c r="AE12" i="24"/>
  <c r="AC13" i="24" s="1"/>
  <c r="AD12" i="24"/>
  <c r="AD244" i="24"/>
  <c r="AH244" i="24" s="1"/>
  <c r="AE244" i="24"/>
  <c r="AD108" i="24"/>
  <c r="AE108" i="24"/>
  <c r="AF12" i="24"/>
  <c r="AG13" i="24"/>
  <c r="S48" i="26"/>
  <c r="AH40" i="24"/>
  <c r="AE18" i="26"/>
  <c r="AE228" i="24"/>
  <c r="AD228" i="24"/>
  <c r="AH191" i="24"/>
  <c r="AE50" i="26"/>
  <c r="AG216" i="24"/>
  <c r="AF216" i="24" s="1"/>
  <c r="AF215" i="24"/>
  <c r="AE192" i="24"/>
  <c r="AD192" i="24"/>
  <c r="AH192" i="24" s="1"/>
  <c r="AE40" i="26"/>
  <c r="M28" i="26"/>
  <c r="AH36" i="24"/>
  <c r="AM49" i="26"/>
  <c r="O49" i="26"/>
  <c r="AG39" i="26"/>
  <c r="AM39" i="26"/>
  <c r="AA49" i="26"/>
  <c r="U49" i="26"/>
  <c r="AM9" i="26"/>
  <c r="AG19" i="26"/>
  <c r="AA39" i="26"/>
  <c r="AA29" i="26"/>
  <c r="U19" i="26"/>
  <c r="AG9" i="26"/>
  <c r="O19" i="26"/>
  <c r="AM29" i="26"/>
  <c r="AG49" i="26"/>
  <c r="U29" i="26"/>
  <c r="AA19" i="26"/>
  <c r="AM19" i="26"/>
  <c r="AG29" i="26"/>
  <c r="O29" i="26"/>
  <c r="U9" i="26"/>
  <c r="O39" i="26"/>
  <c r="AA9" i="26"/>
  <c r="O9" i="26"/>
  <c r="U39" i="26"/>
  <c r="AD209" i="24"/>
  <c r="AE209" i="24"/>
  <c r="AC210" i="24" s="1"/>
  <c r="AE155" i="24"/>
  <c r="AC156" i="24" s="1"/>
  <c r="AD155" i="24"/>
  <c r="AD8" i="24"/>
  <c r="AE8" i="24"/>
  <c r="AK28" i="26"/>
  <c r="AK48" i="26"/>
  <c r="AE95" i="24"/>
  <c r="AC96" i="24" s="1"/>
  <c r="AD95" i="24"/>
  <c r="AH95" i="24" s="1"/>
  <c r="S20" i="26"/>
  <c r="Y10" i="26"/>
  <c r="AE83" i="24"/>
  <c r="AC84" i="24" s="1"/>
  <c r="AD83" i="24"/>
  <c r="AH83" i="24" s="1"/>
  <c r="AF58" i="24"/>
  <c r="AG60" i="24"/>
  <c r="AF60" i="24" s="1"/>
  <c r="AM33" i="26" s="1"/>
  <c r="AG59" i="24"/>
  <c r="AF59" i="24" s="1"/>
  <c r="AE174" i="24"/>
  <c r="AD174" i="24"/>
  <c r="AD179" i="24"/>
  <c r="AH179" i="24" s="1"/>
  <c r="AE179" i="24"/>
  <c r="AC180" i="24" s="1"/>
  <c r="AE38" i="26"/>
  <c r="S28" i="26"/>
  <c r="S50" i="26"/>
  <c r="M10" i="26"/>
  <c r="AE197" i="24"/>
  <c r="AC198" i="24" s="1"/>
  <c r="AD197" i="24"/>
  <c r="AH197" i="24" s="1"/>
  <c r="AE239" i="24"/>
  <c r="AC240" i="24" s="1"/>
  <c r="AD239" i="24"/>
  <c r="AH239" i="24" s="1"/>
  <c r="Y20" i="26"/>
  <c r="AK10" i="26"/>
  <c r="AH168" i="24"/>
  <c r="AE132" i="24"/>
  <c r="AD132" i="24"/>
  <c r="AH132" i="24" s="1"/>
  <c r="AE48" i="26"/>
  <c r="M38" i="26"/>
  <c r="AH64" i="24"/>
  <c r="S24" i="26"/>
  <c r="AE34" i="26"/>
  <c r="AK44" i="26"/>
  <c r="M54" i="26"/>
  <c r="Y34" i="26"/>
  <c r="M34" i="26"/>
  <c r="Y14" i="26"/>
  <c r="AE54" i="26"/>
  <c r="M24" i="26"/>
  <c r="AK54" i="26"/>
  <c r="S34" i="26"/>
  <c r="M44" i="26"/>
  <c r="S14" i="26"/>
  <c r="AE44" i="26"/>
  <c r="AK24" i="26"/>
  <c r="Y24" i="26"/>
  <c r="Y54" i="26"/>
  <c r="Y44" i="26"/>
  <c r="AE14" i="26"/>
  <c r="M14" i="26"/>
  <c r="AE24" i="26"/>
  <c r="S54" i="26"/>
  <c r="AK34" i="26"/>
  <c r="AK14" i="26"/>
  <c r="S44" i="26"/>
  <c r="S38" i="26"/>
  <c r="AH28" i="24"/>
  <c r="S30" i="26"/>
  <c r="M20" i="26"/>
  <c r="AE77" i="24"/>
  <c r="AC78" i="24" s="1"/>
  <c r="AD77" i="24"/>
  <c r="AH77" i="24" s="1"/>
  <c r="AF251" i="24"/>
  <c r="AG252" i="24"/>
  <c r="AF252" i="24" s="1"/>
  <c r="AE119" i="24"/>
  <c r="AC120" i="24" s="1"/>
  <c r="AD119" i="24"/>
  <c r="AD7" i="24"/>
  <c r="AE7" i="24"/>
  <c r="S8" i="26"/>
  <c r="AD65" i="24"/>
  <c r="AE65" i="24"/>
  <c r="AC66" i="24" s="1"/>
  <c r="AE71" i="24"/>
  <c r="AC72" i="24" s="1"/>
  <c r="AD71" i="24"/>
  <c r="Y38" i="26"/>
  <c r="AD144" i="24"/>
  <c r="AE144" i="24"/>
  <c r="Y40" i="26"/>
  <c r="AE204" i="24" l="1"/>
  <c r="AJ16" i="54"/>
  <c r="AH17" i="54"/>
  <c r="AJ17" i="54" s="1"/>
  <c r="AI18" i="54"/>
  <c r="AI19" i="54"/>
  <c r="AH19" i="54" s="1"/>
  <c r="AE19" i="54"/>
  <c r="AE18" i="54"/>
  <c r="AH228" i="24"/>
  <c r="AH155" i="24"/>
  <c r="AH144" i="24"/>
  <c r="AF42" i="26"/>
  <c r="T32" i="26"/>
  <c r="AD186" i="24"/>
  <c r="AH186" i="24" s="1"/>
  <c r="AE186" i="24"/>
  <c r="AL32" i="26"/>
  <c r="AL42" i="26"/>
  <c r="AL52" i="26"/>
  <c r="T52" i="26"/>
  <c r="T22" i="26"/>
  <c r="N52" i="26"/>
  <c r="AF22" i="26"/>
  <c r="Z42" i="26"/>
  <c r="AF12" i="26"/>
  <c r="N22" i="26"/>
  <c r="Z52" i="26"/>
  <c r="AH53" i="24"/>
  <c r="AL22" i="26"/>
  <c r="T42" i="26"/>
  <c r="N32" i="26"/>
  <c r="Z22" i="26"/>
  <c r="Z12" i="26"/>
  <c r="AF32" i="26"/>
  <c r="Z32" i="26"/>
  <c r="N12" i="26"/>
  <c r="N42" i="26"/>
  <c r="AF52" i="26"/>
  <c r="T12" i="26"/>
  <c r="AH204" i="24"/>
  <c r="T28" i="26"/>
  <c r="AH257" i="24"/>
  <c r="Z28" i="26"/>
  <c r="AL18" i="26"/>
  <c r="U43" i="26"/>
  <c r="Z18" i="26"/>
  <c r="Z48" i="26"/>
  <c r="AL48" i="26"/>
  <c r="U23" i="26"/>
  <c r="AA13" i="26"/>
  <c r="T48" i="26"/>
  <c r="Z38" i="26"/>
  <c r="AF28" i="26"/>
  <c r="AH60" i="24"/>
  <c r="AH209" i="24"/>
  <c r="N48" i="26"/>
  <c r="N28" i="26"/>
  <c r="AF18" i="26"/>
  <c r="AL50" i="26"/>
  <c r="AL28" i="26"/>
  <c r="AF38" i="26"/>
  <c r="AE258" i="24"/>
  <c r="AD258" i="24"/>
  <c r="AH258" i="24" s="1"/>
  <c r="AM43" i="26"/>
  <c r="AG23" i="26"/>
  <c r="O33" i="26"/>
  <c r="AG13" i="26"/>
  <c r="T18" i="26"/>
  <c r="AL8" i="26"/>
  <c r="AA43" i="26"/>
  <c r="N8" i="26"/>
  <c r="N10" i="26"/>
  <c r="AA53" i="26"/>
  <c r="AA33" i="26"/>
  <c r="AG53" i="26"/>
  <c r="N18" i="26"/>
  <c r="O13" i="26"/>
  <c r="AF30" i="26"/>
  <c r="AF10" i="26"/>
  <c r="T50" i="26"/>
  <c r="AL40" i="26"/>
  <c r="U13" i="26"/>
  <c r="Z20" i="26"/>
  <c r="AH12" i="24"/>
  <c r="AL20" i="26"/>
  <c r="T20" i="26"/>
  <c r="AD48" i="24"/>
  <c r="AA11" i="26" s="1"/>
  <c r="AE48" i="24"/>
  <c r="U33" i="26"/>
  <c r="Z10" i="26"/>
  <c r="AH21" i="24"/>
  <c r="N30" i="26"/>
  <c r="AL10" i="26"/>
  <c r="T8" i="26"/>
  <c r="AH113" i="24"/>
  <c r="AH102" i="24"/>
  <c r="O23" i="26"/>
  <c r="T30" i="26"/>
  <c r="AH29" i="24"/>
  <c r="AH41" i="24"/>
  <c r="AL30" i="26"/>
  <c r="U53" i="26"/>
  <c r="T40" i="26"/>
  <c r="AG43" i="26"/>
  <c r="N20" i="26"/>
  <c r="Z40" i="26"/>
  <c r="AF48" i="26"/>
  <c r="AD114" i="24"/>
  <c r="AH114" i="24" s="1"/>
  <c r="AE114" i="24"/>
  <c r="AA23" i="26"/>
  <c r="O43" i="26"/>
  <c r="AM53" i="26"/>
  <c r="O53" i="26"/>
  <c r="AM13" i="26"/>
  <c r="AM23" i="26"/>
  <c r="AG33" i="26"/>
  <c r="AF40" i="26"/>
  <c r="N38" i="26"/>
  <c r="AE162" i="24"/>
  <c r="AD162" i="24"/>
  <c r="AH162" i="24" s="1"/>
  <c r="AD240" i="24"/>
  <c r="AH240" i="24" s="1"/>
  <c r="AE240" i="24"/>
  <c r="O8" i="26"/>
  <c r="AG8" i="26"/>
  <c r="U38" i="26"/>
  <c r="AM28" i="26"/>
  <c r="U48" i="26"/>
  <c r="AA8" i="26"/>
  <c r="O18" i="26"/>
  <c r="AG28" i="26"/>
  <c r="O28" i="26"/>
  <c r="AH30" i="24"/>
  <c r="AG18" i="26"/>
  <c r="AG38" i="26"/>
  <c r="U28" i="26"/>
  <c r="AA28" i="26"/>
  <c r="AA18" i="26"/>
  <c r="O48" i="26"/>
  <c r="O38" i="26"/>
  <c r="AA38" i="26"/>
  <c r="AM8" i="26"/>
  <c r="AA48" i="26"/>
  <c r="AG48" i="26"/>
  <c r="U8" i="26"/>
  <c r="AM48" i="26"/>
  <c r="AM38" i="26"/>
  <c r="U18" i="26"/>
  <c r="AM18" i="26"/>
  <c r="Z17" i="26"/>
  <c r="T7" i="26"/>
  <c r="N17" i="26"/>
  <c r="AL37" i="26"/>
  <c r="Z27" i="26"/>
  <c r="T47" i="26"/>
  <c r="AL27" i="26"/>
  <c r="N27" i="26"/>
  <c r="AH23" i="24"/>
  <c r="N7" i="26"/>
  <c r="AF37" i="26"/>
  <c r="Z7" i="26"/>
  <c r="AL17" i="26"/>
  <c r="AL47" i="26"/>
  <c r="N47" i="26"/>
  <c r="Z47" i="26"/>
  <c r="Z37" i="26"/>
  <c r="N37" i="26"/>
  <c r="AF7" i="26"/>
  <c r="T17" i="26"/>
  <c r="T37" i="26"/>
  <c r="AF47" i="26"/>
  <c r="AF27" i="26"/>
  <c r="AF17" i="26"/>
  <c r="AL7" i="26"/>
  <c r="T27" i="26"/>
  <c r="AE198" i="24"/>
  <c r="AD198" i="24"/>
  <c r="AH198" i="24" s="1"/>
  <c r="AE89" i="24"/>
  <c r="AD89" i="24"/>
  <c r="AH89" i="24" s="1"/>
  <c r="Z45" i="26"/>
  <c r="AH71" i="24"/>
  <c r="AL25" i="26"/>
  <c r="AF35" i="26"/>
  <c r="AF45" i="26"/>
  <c r="Z25" i="26"/>
  <c r="AL55" i="26"/>
  <c r="N55" i="26"/>
  <c r="T25" i="26"/>
  <c r="AF25" i="26"/>
  <c r="Z35" i="26"/>
  <c r="T15" i="26"/>
  <c r="AL45" i="26"/>
  <c r="Z55" i="26"/>
  <c r="Z15" i="26"/>
  <c r="T45" i="26"/>
  <c r="AL15" i="26"/>
  <c r="N35" i="26"/>
  <c r="AF15" i="26"/>
  <c r="T55" i="26"/>
  <c r="N15" i="26"/>
  <c r="AF55" i="26"/>
  <c r="N45" i="26"/>
  <c r="N25" i="26"/>
  <c r="T35" i="26"/>
  <c r="AL35" i="26"/>
  <c r="AD13" i="24"/>
  <c r="AE13" i="24"/>
  <c r="AC14" i="24" s="1"/>
  <c r="AD84" i="24"/>
  <c r="AH84" i="24" s="1"/>
  <c r="AE84" i="24"/>
  <c r="AD138" i="24"/>
  <c r="AH138" i="24" s="1"/>
  <c r="AE138" i="24"/>
  <c r="AE90" i="24"/>
  <c r="AD90" i="24"/>
  <c r="AH90" i="24" s="1"/>
  <c r="AK46" i="26"/>
  <c r="M16" i="26"/>
  <c r="AE6" i="26"/>
  <c r="AE46" i="26"/>
  <c r="M6" i="26"/>
  <c r="S16" i="26"/>
  <c r="M36" i="26"/>
  <c r="Y36" i="26"/>
  <c r="AK26" i="26"/>
  <c r="AE36" i="26"/>
  <c r="AK36" i="26"/>
  <c r="S26" i="26"/>
  <c r="AE16" i="26"/>
  <c r="S36" i="26"/>
  <c r="Y26" i="26"/>
  <c r="Y16" i="26"/>
  <c r="AK16" i="26"/>
  <c r="S6" i="26"/>
  <c r="AH7" i="24"/>
  <c r="Y6" i="26"/>
  <c r="AK6" i="26"/>
  <c r="AE26" i="26"/>
  <c r="M26" i="26"/>
  <c r="Y46" i="26"/>
  <c r="S46" i="26"/>
  <c r="M46" i="26"/>
  <c r="AD126" i="24"/>
  <c r="AH126" i="24" s="1"/>
  <c r="AE126" i="24"/>
  <c r="AD120" i="24"/>
  <c r="AH120" i="24" s="1"/>
  <c r="AE120" i="24"/>
  <c r="AD66" i="24"/>
  <c r="AE66" i="24"/>
  <c r="AD72" i="24"/>
  <c r="AE72" i="24"/>
  <c r="O30" i="26"/>
  <c r="U20" i="26"/>
  <c r="AG50" i="26"/>
  <c r="AM10" i="26"/>
  <c r="O40" i="26"/>
  <c r="AM20" i="26"/>
  <c r="AG20" i="26"/>
  <c r="O20" i="26"/>
  <c r="AA50" i="26"/>
  <c r="AH42" i="24"/>
  <c r="U50" i="26"/>
  <c r="AA30" i="26"/>
  <c r="O10" i="26"/>
  <c r="U40" i="26"/>
  <c r="AM40" i="26"/>
  <c r="AG40" i="26"/>
  <c r="U30" i="26"/>
  <c r="AA20" i="26"/>
  <c r="AG10" i="26"/>
  <c r="AM50" i="26"/>
  <c r="AA10" i="26"/>
  <c r="AG30" i="26"/>
  <c r="U10" i="26"/>
  <c r="O50" i="26"/>
  <c r="AA40" i="26"/>
  <c r="AM30" i="26"/>
  <c r="AH119" i="24"/>
  <c r="N31" i="26"/>
  <c r="T41" i="26"/>
  <c r="T11" i="26"/>
  <c r="Z21" i="26"/>
  <c r="AF51" i="26"/>
  <c r="T21" i="26"/>
  <c r="AL31" i="26"/>
  <c r="N11" i="26"/>
  <c r="N21" i="26"/>
  <c r="Z51" i="26"/>
  <c r="Z41" i="26"/>
  <c r="AF21" i="26"/>
  <c r="AF11" i="26"/>
  <c r="AL51" i="26"/>
  <c r="N51" i="26"/>
  <c r="N41" i="26"/>
  <c r="AF41" i="26"/>
  <c r="Z31" i="26"/>
  <c r="AF31" i="26"/>
  <c r="AL11" i="26"/>
  <c r="T51" i="26"/>
  <c r="AL21" i="26"/>
  <c r="AH47" i="24"/>
  <c r="T31" i="26"/>
  <c r="AL41" i="26"/>
  <c r="Z11" i="26"/>
  <c r="T36" i="26"/>
  <c r="AL26" i="26"/>
  <c r="N36" i="26"/>
  <c r="AL6" i="26"/>
  <c r="Z6" i="26"/>
  <c r="AF6" i="26"/>
  <c r="Z36" i="26"/>
  <c r="N46" i="26"/>
  <c r="AL16" i="26"/>
  <c r="N16" i="26"/>
  <c r="T16" i="26"/>
  <c r="AL46" i="26"/>
  <c r="N26" i="26"/>
  <c r="AH8" i="24"/>
  <c r="AF16" i="26"/>
  <c r="AF46" i="26"/>
  <c r="Z16" i="26"/>
  <c r="T46" i="26"/>
  <c r="AL36" i="26"/>
  <c r="T26" i="26"/>
  <c r="AF36" i="26"/>
  <c r="Z26" i="26"/>
  <c r="N6" i="26"/>
  <c r="AF26" i="26"/>
  <c r="Z46" i="26"/>
  <c r="T6" i="26"/>
  <c r="AE246" i="24"/>
  <c r="AD246" i="24"/>
  <c r="AH246" i="24" s="1"/>
  <c r="AH215" i="24"/>
  <c r="AG14" i="24"/>
  <c r="AF14" i="24" s="1"/>
  <c r="AF13" i="24"/>
  <c r="AD149" i="24"/>
  <c r="AH149" i="24" s="1"/>
  <c r="AE149" i="24"/>
  <c r="AE96" i="24"/>
  <c r="AD96" i="24"/>
  <c r="AH96" i="24" s="1"/>
  <c r="Z54" i="26"/>
  <c r="T14" i="26"/>
  <c r="AL34" i="26"/>
  <c r="N34" i="26"/>
  <c r="AF34" i="26"/>
  <c r="Z24" i="26"/>
  <c r="N14" i="26"/>
  <c r="Z14" i="26"/>
  <c r="T54" i="26"/>
  <c r="Z44" i="26"/>
  <c r="AH65" i="24"/>
  <c r="N24" i="26"/>
  <c r="AF24" i="26"/>
  <c r="N54" i="26"/>
  <c r="AL44" i="26"/>
  <c r="N44" i="26"/>
  <c r="AF14" i="26"/>
  <c r="T24" i="26"/>
  <c r="T34" i="26"/>
  <c r="Z34" i="26"/>
  <c r="T44" i="26"/>
  <c r="AL24" i="26"/>
  <c r="AF54" i="26"/>
  <c r="AL14" i="26"/>
  <c r="AL54" i="26"/>
  <c r="AF44" i="26"/>
  <c r="AD156" i="24"/>
  <c r="AH156" i="24" s="1"/>
  <c r="AE156" i="24"/>
  <c r="AE180" i="24"/>
  <c r="AD180" i="24"/>
  <c r="AH180" i="24" s="1"/>
  <c r="AH174" i="24"/>
  <c r="AF50" i="26"/>
  <c r="N40" i="26"/>
  <c r="N50" i="26"/>
  <c r="Z30" i="26"/>
  <c r="T38" i="26"/>
  <c r="Z8" i="26"/>
  <c r="AE150" i="24"/>
  <c r="AD150" i="24"/>
  <c r="AH150" i="24" s="1"/>
  <c r="AH251" i="24"/>
  <c r="AD216" i="24"/>
  <c r="AH216" i="24" s="1"/>
  <c r="AE216" i="24"/>
  <c r="AD210" i="24"/>
  <c r="AH210" i="24" s="1"/>
  <c r="AE210" i="24"/>
  <c r="AE78" i="24"/>
  <c r="AD78" i="24"/>
  <c r="AH78" i="24" s="1"/>
  <c r="AL53" i="26"/>
  <c r="AF13" i="26"/>
  <c r="AL23" i="26"/>
  <c r="Z23" i="26"/>
  <c r="T33" i="26"/>
  <c r="AF23" i="26"/>
  <c r="Z33" i="26"/>
  <c r="N43" i="26"/>
  <c r="AH59" i="24"/>
  <c r="T13" i="26"/>
  <c r="Z53" i="26"/>
  <c r="N13" i="26"/>
  <c r="T23" i="26"/>
  <c r="AL13" i="26"/>
  <c r="Z13" i="26"/>
  <c r="AL33" i="26"/>
  <c r="AF53" i="26"/>
  <c r="AL43" i="26"/>
  <c r="T53" i="26"/>
  <c r="T43" i="26"/>
  <c r="AF33" i="26"/>
  <c r="AF43" i="26"/>
  <c r="Z43" i="26"/>
  <c r="N33" i="26"/>
  <c r="N53" i="26"/>
  <c r="N23" i="26"/>
  <c r="T10" i="26"/>
  <c r="AK43" i="26"/>
  <c r="AH58" i="24"/>
  <c r="M43" i="26"/>
  <c r="S33" i="26"/>
  <c r="S53" i="26"/>
  <c r="AK23" i="26"/>
  <c r="AK53" i="26"/>
  <c r="S43" i="26"/>
  <c r="M33" i="26"/>
  <c r="Y13" i="26"/>
  <c r="M53" i="26"/>
  <c r="Y43" i="26"/>
  <c r="AK13" i="26"/>
  <c r="AE43" i="26"/>
  <c r="S23" i="26"/>
  <c r="AE33" i="26"/>
  <c r="Y23" i="26"/>
  <c r="M23" i="26"/>
  <c r="S13" i="26"/>
  <c r="Y53" i="26"/>
  <c r="M13" i="26"/>
  <c r="AK33" i="26"/>
  <c r="AE53" i="26"/>
  <c r="AE23" i="26"/>
  <c r="Y33" i="26"/>
  <c r="AE13" i="26"/>
  <c r="AH108" i="24"/>
  <c r="Z50" i="26"/>
  <c r="AG52" i="26"/>
  <c r="AA32" i="26"/>
  <c r="O52" i="26"/>
  <c r="U32" i="26"/>
  <c r="AH54" i="24"/>
  <c r="AA22" i="26"/>
  <c r="U42" i="26"/>
  <c r="AG42" i="26"/>
  <c r="O12" i="26"/>
  <c r="O32" i="26"/>
  <c r="U22" i="26"/>
  <c r="AM42" i="26"/>
  <c r="O42" i="26"/>
  <c r="AM12" i="26"/>
  <c r="AA52" i="26"/>
  <c r="AM22" i="26"/>
  <c r="U52" i="26"/>
  <c r="O22" i="26"/>
  <c r="AM32" i="26"/>
  <c r="AA42" i="26"/>
  <c r="AA12" i="26"/>
  <c r="AG32" i="26"/>
  <c r="U12" i="26"/>
  <c r="AM52" i="26"/>
  <c r="AG12" i="26"/>
  <c r="AG22" i="26"/>
  <c r="AF8" i="26"/>
  <c r="AD24" i="24"/>
  <c r="AE24" i="24"/>
  <c r="AD252" i="24"/>
  <c r="AH252" i="24" s="1"/>
  <c r="AE252" i="24"/>
  <c r="AG18" i="54" l="1"/>
  <c r="AE20" i="54" s="1"/>
  <c r="AF18" i="54"/>
  <c r="AG19" i="54"/>
  <c r="AF19" i="54"/>
  <c r="AJ19" i="54" s="1"/>
  <c r="AH18" i="54"/>
  <c r="AI20" i="54"/>
  <c r="AM31" i="26"/>
  <c r="AA51" i="26"/>
  <c r="AG21" i="26"/>
  <c r="U21" i="26"/>
  <c r="AM51" i="26"/>
  <c r="AM11" i="26"/>
  <c r="AM41" i="26"/>
  <c r="O31" i="26"/>
  <c r="U11" i="26"/>
  <c r="U41" i="26"/>
  <c r="AA21" i="26"/>
  <c r="U31" i="26"/>
  <c r="AM21" i="26"/>
  <c r="AA41" i="26"/>
  <c r="U51" i="26"/>
  <c r="AH48" i="24"/>
  <c r="O51" i="26"/>
  <c r="AG41" i="26"/>
  <c r="O21" i="26"/>
  <c r="O41" i="26"/>
  <c r="AG51" i="26"/>
  <c r="O11" i="26"/>
  <c r="AG11" i="26"/>
  <c r="AA31" i="26"/>
  <c r="AG31" i="26"/>
  <c r="AE14" i="24"/>
  <c r="AD14" i="24"/>
  <c r="AH14" i="24" s="1"/>
  <c r="AM55" i="26"/>
  <c r="U35" i="26"/>
  <c r="AA55" i="26"/>
  <c r="O25" i="26"/>
  <c r="AM15" i="26"/>
  <c r="AH72" i="24"/>
  <c r="O35" i="26"/>
  <c r="AG45" i="26"/>
  <c r="AG35" i="26"/>
  <c r="AM35" i="26"/>
  <c r="AG25" i="26"/>
  <c r="AA35" i="26"/>
  <c r="AM45" i="26"/>
  <c r="U15" i="26"/>
  <c r="AA45" i="26"/>
  <c r="AM25" i="26"/>
  <c r="O45" i="26"/>
  <c r="AG55" i="26"/>
  <c r="AG15" i="26"/>
  <c r="U25" i="26"/>
  <c r="U55" i="26"/>
  <c r="O15" i="26"/>
  <c r="U45" i="26"/>
  <c r="AA25" i="26"/>
  <c r="AA15" i="26"/>
  <c r="O55" i="26"/>
  <c r="AH13" i="24"/>
  <c r="AA27" i="26"/>
  <c r="AG37" i="26"/>
  <c r="U47" i="26"/>
  <c r="AM37" i="26"/>
  <c r="O27" i="26"/>
  <c r="AM27" i="26"/>
  <c r="AM7" i="26"/>
  <c r="AM47" i="26"/>
  <c r="O37" i="26"/>
  <c r="AM17" i="26"/>
  <c r="AG17" i="26"/>
  <c r="U17" i="26"/>
  <c r="U27" i="26"/>
  <c r="O17" i="26"/>
  <c r="AA17" i="26"/>
  <c r="U7" i="26"/>
  <c r="O47" i="26"/>
  <c r="AH24" i="24"/>
  <c r="AG47" i="26"/>
  <c r="AA37" i="26"/>
  <c r="AA47" i="26"/>
  <c r="U37" i="26"/>
  <c r="AG7" i="26"/>
  <c r="AG27" i="26"/>
  <c r="O7" i="26"/>
  <c r="AA7" i="26"/>
  <c r="AA34" i="26"/>
  <c r="AM24" i="26"/>
  <c r="AA54" i="26"/>
  <c r="O34" i="26"/>
  <c r="U24" i="26"/>
  <c r="AG54" i="26"/>
  <c r="AM54" i="26"/>
  <c r="AM34" i="26"/>
  <c r="AG44" i="26"/>
  <c r="O44" i="26"/>
  <c r="U14" i="26"/>
  <c r="AH66" i="24"/>
  <c r="AA24" i="26"/>
  <c r="AG14" i="26"/>
  <c r="O14" i="26"/>
  <c r="U34" i="26"/>
  <c r="AG24" i="26"/>
  <c r="U54" i="26"/>
  <c r="AA14" i="26"/>
  <c r="U44" i="26"/>
  <c r="O54" i="26"/>
  <c r="O24" i="26"/>
  <c r="AM44" i="26"/>
  <c r="AG34" i="26"/>
  <c r="AM14" i="26"/>
  <c r="AA44" i="26"/>
  <c r="AF20" i="54" l="1"/>
  <c r="AG20" i="54"/>
  <c r="AH20" i="54"/>
  <c r="AI21" i="54"/>
  <c r="AH21" i="54" s="1"/>
  <c r="AI22" i="54"/>
  <c r="AJ18" i="54"/>
  <c r="AJ20" i="54" l="1"/>
  <c r="AE21" i="54"/>
  <c r="AE22" i="54"/>
  <c r="AI23" i="54"/>
  <c r="AH22" i="54"/>
  <c r="AG21" i="54" l="1"/>
  <c r="AF21" i="54"/>
  <c r="AJ21" i="54" s="1"/>
  <c r="AH23" i="54"/>
  <c r="AI24" i="54"/>
  <c r="AH24" i="54" s="1"/>
  <c r="AF22" i="54"/>
  <c r="AJ22" i="54" s="1"/>
  <c r="AG22" i="54"/>
  <c r="AE23" i="54" s="1"/>
  <c r="AG23" i="54" l="1"/>
  <c r="AE24" i="54" s="1"/>
  <c r="AF23" i="54"/>
  <c r="AJ23" i="54" s="1"/>
  <c r="AF24" i="54" l="1"/>
  <c r="AJ24" i="54" s="1"/>
  <c r="AG24" i="54"/>
  <c r="AE25" i="54" s="1"/>
  <c r="AF25" i="54" l="1"/>
  <c r="AJ25" i="54" s="1"/>
  <c r="AG25" i="54"/>
  <c r="AE26" i="54" s="1"/>
  <c r="AG26" i="54" l="1"/>
  <c r="AE27" i="54" s="1"/>
  <c r="AF26" i="54"/>
  <c r="AJ26" i="54" s="1"/>
  <c r="AF27" i="54" l="1"/>
  <c r="AJ27" i="54" s="1"/>
  <c r="AG27" i="54"/>
  <c r="AE28" i="54" s="1"/>
  <c r="AF28" i="54" l="1"/>
  <c r="AJ28" i="54" s="1"/>
  <c r="AG28" i="54"/>
  <c r="AE29" i="54" s="1"/>
  <c r="AF29" i="54" l="1"/>
  <c r="AJ29" i="54" s="1"/>
  <c r="AG29" i="54"/>
  <c r="AE30" i="54" s="1"/>
  <c r="AG30" i="54" l="1"/>
  <c r="AE31" i="54" s="1"/>
  <c r="AF30" i="54"/>
  <c r="AJ30" i="54" s="1"/>
  <c r="AG31" i="54" l="1"/>
  <c r="AE32" i="54" s="1"/>
  <c r="AF31" i="54"/>
  <c r="AJ31" i="54" s="1"/>
  <c r="AF32" i="54" l="1"/>
  <c r="AJ32" i="54" s="1"/>
  <c r="AG32" i="54"/>
  <c r="AE33" i="54" s="1"/>
  <c r="AF33" i="54" l="1"/>
  <c r="AJ33" i="54" s="1"/>
  <c r="AG33"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tc={887E5977-ECAA-4066-ACD7-AFBF733747BB}</author>
    <author>Linda Karina Petro Martínez</author>
    <author>tc={F926BDBA-7BF1-4689-8DD0-6C92D5DD8072}</author>
    <author>tc={35D983B1-1F9E-43A7-B8AB-AF934DC9E704}</author>
    <author>tc={33607E99-7B36-4D0D-BD47-A7505F276659}</author>
    <author>tc={5B093FC5-024E-4084-9434-8FBA1584F862}</author>
    <author>tc={E19FF87A-CFEA-4017-A20E-440CDBA953F5}</author>
    <author>tc={6FD684A4-4952-4AF5-A8BC-EF2D77F6932B}</author>
    <author>tc={DFA54B60-CF1B-4317-B5DE-6E8DD78E1A99}</author>
    <author>tc={A8B4FE71-30FD-4EA2-9B57-E92C3F57214C}</author>
    <author>tc={4F89A0E5-072F-49BB-AAB8-BC26F791511D}</author>
    <author>tc={F088896D-0C44-4674-9C34-55D159CE5BD9}</author>
    <author>tc={4F485098-4319-48C7-B40C-6AC0DA8EADD8}</author>
    <author>tc={1A0E9638-F6B2-4573-9DD9-535F2C3C933B}</author>
    <author>tc={E43E8AED-058F-4A87-97F0-B8CF22B181F3}</author>
    <author>tc={BE991FE1-64FD-4490-A6A1-77626124A3F0}</author>
    <author>tc={3024EAAD-A8C0-4F5A-92A9-B7409A0E24A5}</author>
    <author>tc={F2333197-B48F-4922-8AA0-56FDCCBA9E42}</author>
    <author>tc={61EAD860-0162-49B3-8779-263BB740D1B9}</author>
    <author>tc={BE09113F-C017-474D-8D25-498633FA2417}</author>
    <author>tc={C631655E-F00E-48DC-A4D6-AB2DFA3AE4DD}</author>
    <author>tc={0D7AD314-AC61-4E7A-91ED-CE2D4A0F1688}</author>
  </authors>
  <commentList>
    <comment ref="AN2" authorId="0" shapeId="0" xr:uid="{887E5977-ECAA-4066-ACD7-AFBF733747BB}">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Se relaciona el indicador de proceso. </t>
      </text>
    </comment>
    <comment ref="AT3" authorId="1" shapeId="0" xr:uid="{24F5F32C-9CA0-41BF-B49C-F6F0363368CD}">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AU3" authorId="1" shapeId="0" xr:uid="{561554ED-49F2-4B78-9B12-964F31C854D6}">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BI3" authorId="1" shapeId="0" xr:uid="{1E60DAD3-D057-4871-A7DF-3F06383D4F70}">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BJ3" authorId="1" shapeId="0" xr:uid="{7A0C0B2A-5FA6-4CCC-AA3C-37B42E86FDD7}">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BX3" authorId="1" shapeId="0" xr:uid="{F311708C-7B68-4545-A495-39C8CA7C9FC6}">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BY3" authorId="1" shapeId="0" xr:uid="{E3D3C8B4-E36C-446A-BFA8-0487406FB57B}">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M3" authorId="1" shapeId="0" xr:uid="{A222D9EE-6B94-44A4-B7F6-C433DBD12C36}">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CN3" authorId="1" shapeId="0" xr:uid="{7D107923-28B2-4E9D-BF24-3E8786DDE28F}">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C55" authorId="2" shapeId="0" xr:uid="{F926BDBA-7BF1-4689-8DD0-6C92D5DD8072}">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@Santiago Adolfo Cotes Ospino Estimado Santi buenos días, agradezco validar con el proceso la fecha en la cual se trabajará sobre la actualización de los riesgos de gestión en la vigencia 2026. Porfa para que quede registrada en el project del plan de trabajo del SIG en la sección de gestión de riesgos.</t>
      </text>
    </comment>
    <comment ref="CK58" authorId="3" shapeId="0" xr:uid="{35D983B1-1F9E-43A7-B8AB-AF934DC9E704}">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@Linda Karina Petro Martínez lo coloque así, échale un vistazo cuando puedas :D
Respuesta:
    @Santiago Adolfo Cotes Ospino Santi, gracias!! Le hice unos ajustes pero considero que no cambié la idea principal. </t>
      </text>
    </comment>
    <comment ref="AY88" authorId="4" shapeId="0" xr:uid="{33607E99-7B36-4D0D-BD47-A7505F27665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buen día, dado el comentario realizado de su parte como primera línea, por favor actualizar el formato de insumos para la actualización del riesgo y generar las mesas de trabajo aplicables para esta actividad. Mil gracias. </t>
      </text>
    </comment>
    <comment ref="CC88" authorId="5" shapeId="0" xr:uid="{5B093FC5-024E-4084-9434-8FBA1584F862}">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Respuesta:
    Por favor déjame saber cuando se programaría la mesa de trabajo y que información seria requerida 
Respuesta:
    De acuerdo, quedo atenta a la confirmación de la mesa de trabajo.</t>
      </text>
    </comment>
    <comment ref="CC89" authorId="6" shapeId="0" xr:uid="{E19FF87A-CFEA-4017-A20E-440CDBA953F5}">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Respuesta:
    Quedo atenta al agendamiento de la mesa de trabajo.</t>
      </text>
    </comment>
    <comment ref="AY90" authorId="7" shapeId="0" xr:uid="{6FD684A4-4952-4AF5-A8BC-EF2D77F6932B}">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buen día, dado el comentario realizado de su parte como primera línea, por favor actualizar el formato de insumos para la actualización del riesgo y generar las mesas de trabajo aplicables para esta actividad. Mil gracias. </t>
      </text>
    </comment>
    <comment ref="CC90" authorId="8" shapeId="0" xr:uid="{DFA54B60-CF1B-4317-B5DE-6E8DD78E1A9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t>
      </text>
    </comment>
    <comment ref="BY127" authorId="9" shapeId="0" xr:uid="{A8B4FE71-30FD-4EA2-9B57-E92C3F57214C}">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@Daisy Janneth Vasquez Acosta Estimada Dai buenos días, agradezco porfa la actualización de esta celda apenas se culmine la elaboración de la ficha de TNC en Isolución. Lo anterior, con el fin de realizar el respectivo monitoreo. </t>
      </text>
    </comment>
    <comment ref="AR134" authorId="10" shapeId="0" xr:uid="{4F89A0E5-072F-49BB-AAB8-BC26F791511D}">
      <text>
        <t>[Comentario encadenado]
Su versión de Excel le permite leer este comentario encadenado; sin embargo, las ediciones que se apliquen se quitarán si el archivo se abre en una versión más reciente de Excel. Más información: https://go.microsoft.com/fwlink/?linkid=870924
Comentario:
    @Liliana Pineda Aponte @Alejandra Villabon Aldana hola chicas, les escribo a las dos para que por favor me ayuden registrando el seguimiento de este riesgo ya que el control tiene que ver con el mantenimiento periódico de redes eléctricas e informáticas. Las incluyo a las dos porque no sé en este momento quien esta encargado en la OIDT de realizar estos temas, sí no les corresponden a ustedes, por favor lo pueden redireccionar a quien corresponda. ¡Mil gracias!
Respuesta:
    Cordial saludo estimada Daisy. Quisiera por favor me indiques si en la formulación del riesgo se está indicando las dificultades de acceso desde la lógica de asignación de permisos a recursos compartidos ( para lo cual se cumple con lo indicado en e procedimiento E-05-P-011 PROCEDIMIENTO CONTROL DE ACCESO A LOS SERVICIOS TECNOLÓGICOS Y SISTEMAS DE INFORMACIÓN DEL INM y el documento E-05-I-010 INSTRUCTIVO CONFIGURACIÒN DE RECURSOS COMPARTIDOS, o está relacionado con el soporte y mantenimiento de las redes y servicios de telecomunicaciones que habilitan los aplicativos disponibles. En función de ello se podría registrar el resultado de seguimiento a los controles que están directamente relacionados a estos temas para el proceso E-05.</t>
      </text>
    </comment>
    <comment ref="BU134" authorId="11" shapeId="0" xr:uid="{F088896D-0C44-4674-9C34-55D159CE5BD9}">
      <text>
        <t>[Comentario encadenado]
Su versión de Excel le permite leer este comentario encadenado; sin embargo, las ediciones que se apliquen se quitarán si el archivo se abre en una versión más reciente de Excel. Más información: https://go.microsoft.com/fwlink/?linkid=870924
Comentario:
    @Mónica Alejandra Gutierrez Cifuentes hola Mónica, espero que este muy bien. solicito amablemente tu colaboración  realizando el seguimiento a este riesgo y su control. agradezco mucho tu ayuda</t>
      </text>
    </comment>
    <comment ref="CC174" authorId="12" shapeId="0" xr:uid="{4F485098-4319-48C7-B40C-6AC0DA8EADD8}">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agradezco validar con todos los procesos de secretaría general, la fecha en la cual se trabajará sobre la actualización de los riesgos de gestión en la vigencia 2026. Porfa para que quede registrada en el project del plan de trabajo del SIG en la sección de gestión de riesgos.</t>
      </text>
    </comment>
    <comment ref="CC199" authorId="13" shapeId="0" xr:uid="{1A0E9638-F6B2-4573-9DD9-535F2C3C933B}">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Jei, haciendo seguimiento a la acción correctiva # 145, identifico que hace falta el análisis de causas y el plan de mejoramiento para tratar el mismo. Agradezco la gestión respectiva desde el proceso. Mil gracias. </t>
      </text>
    </comment>
    <comment ref="AY200" authorId="14" shapeId="0" xr:uid="{E43E8AED-058F-4A87-97F0-B8CF22B181F3}">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buen día, mismo comentario que realicé para el proceso de comercio exterior. Registrar en el formato de insumos para generar los espacios y cambiar lo necesario en este riesgo. </t>
      </text>
    </comment>
    <comment ref="CC212" authorId="15" shapeId="0" xr:uid="{BE991FE1-64FD-4490-A6A1-77626124A3F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Jei, haciendo seguimiento a la acción correctiva # 146, identifico que hace falta el análisis de causas y el plan de mejoramiento para tratar el mismo. Agradezco la gestión respectiva desde el proceso. Mil gracias. </t>
      </text>
    </comment>
    <comment ref="BG219" authorId="16" shapeId="0" xr:uid="{3024EAAD-A8C0-4F5A-92A9-B7409A0E24A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@Edgar Javier Pinilla Feria @Sebastian Gil Herrera Estimados buena tarde, no me es claro por qué se materializa el riesgo. Agradezco aclarar o brindar mayor información en el seguimiento. 
Respuesta:
    Hola Linda, lo mencionamos porque en este trimestre se identificó una falla en la cotización de un servicio de calibración en temperatura al ICA del 2024, que resultó en la ejecución de un servicio diferente al cotizado y cobrado a valor mas alto. Desde GSM identificamos el error en el segundo trimestre de 2025 y reportamos el TNC para que desde la SMF generaran el análisis y plan de acción correspondiente. Sin embargo, aun no sabemos si el TNC se cargó en Isolución y cual fue la acción que se generó al respecto. Gracias y quedo atento a tus comentarios.
Respuesta:
    @Edgar Javier Pinilla Feria Considero importante, dejar reflejado tu comentario sobre la celda del seguimiento. Dado lo anterior, copié y pegué la información para dejar mejor claridad sobre el caso ocurrido. Con relación a tu duda de la ficha del TNC, ya se encuentra cargada la acción en Isolución. 
Respuesta:
    Buen día, Ya se cuenta con personal técnico asignado al laboratorio, ya se  adelantó la ficha de TNC y el análisis de causas, está en revisión de @Claudia Patricia Peña Ardila </t>
      </text>
    </comment>
    <comment ref="BJ219" authorId="17" shapeId="0" xr:uid="{F2333197-B48F-4922-8AA0-56FDCCBA9E42}">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@Santiago Adolfo Cotes Ospino @Diana Jimena Camargo Hormaza estimados buen día, revisando el tema con Edgar y con Sebastián por una duda que yo tenia, ellos me informaron que la corrección 234 no es la que se relaciona con la situación presentada para el riesgo que se materializó. Por fa revisen el tema y actualicen la información y me avisan apenas este realizado.  
Respuesta:
    Lastimosamente en comunicación con el área de SMF, no se cuenta con profesionales en el cargo al que corresponde la asignación de la responsabilidad, se evalúan algunas alternativas con Diana, pues considero que, aunque no se encuentre una persona ahora mismo, esto no debería detener por más tiempo (ya se esperó un tiempo) para su registro, pues corremos el riesgo de perder la trazabilidad
Respuesta:
    @Santiago Adolfo Cotes Ospino @Diana Jimena Camargo Hormaza  Hola chicos, quisiera saber si para la actividad que de tratamiento a este riesgo materializado necesitan algún apoyo desde la OAP. Gracias. 
Respuesta:
    @Diana Jimena Camargo Hormaza me regalas por fa la información si esto ya quedo cargado?</t>
      </text>
    </comment>
    <comment ref="AY228" authorId="18" shapeId="0" xr:uid="{61EAD860-0162-49B3-8779-263BB740D1B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@Santiago Adolfo Cotes Ospino @Edgar Javier Pinilla Feria Por favor tener en cuenta el comentario realizado de mi parte. </t>
      </text>
    </comment>
    <comment ref="BH236" authorId="19" shapeId="0" xr:uid="{BE09113F-C017-474D-8D25-498633FA2417}">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@Leidy Liliana Rios Martinez Buen día, agradezco por favor terminar de diligenciar la información de las columnas BH, BI, BJ para todos los riesgos del proceso. 
Respuesta:
    @Linda Karina Petro Martínez 
Confirmo revisión de las columnas solicitadas para los riesgos del proceso de la OCI.</t>
      </text>
    </comment>
    <comment ref="AR243" authorId="20" shapeId="0" xr:uid="{C631655E-F00E-48DC-A4D6-AB2DFA3AE4DD}">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@Mónica Alejandra Gutierrez Cifuentes haciendo un barrido inicial como revisión, encuentro que falta por diligenciar información. Agradezco sea completada. Mil gracias. </t>
      </text>
    </comment>
    <comment ref="AY247" authorId="21" shapeId="0" xr:uid="{0D7AD314-AC61-4E7A-91ED-CE2D4A0F1688}">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@Mónica Alejandra Gutierrez Cifuentes Estimada buen día, me queda la inquietud,  ¿por qué se materializa el riesgo?</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tc={E6B6DB56-6478-49C6-A056-18A318F20E3A}</author>
    <author>Linda Karina Petro Martínez</author>
    <author>tc={4BC65B74-17CD-437D-AC5B-4D78DC6E49D5}</author>
  </authors>
  <commentList>
    <comment ref="AO2" authorId="0" shapeId="0" xr:uid="{E6B6DB56-6478-49C6-A056-18A318F20E3A}">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Se relaciona el indicador de proceso. </t>
      </text>
    </comment>
    <comment ref="AV3" authorId="1" shapeId="0" xr:uid="{817C299D-B4E1-4F05-A5F4-4B717A0DA12E}">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AW3" authorId="1" shapeId="0" xr:uid="{55A80AC7-8B4D-4F3A-A936-E671CCB2A97A}">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BL3" authorId="1" shapeId="0" xr:uid="{26EDE3A1-BAFC-4F6D-8D14-7F8D736DC23F}">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BM3" authorId="1" shapeId="0" xr:uid="{6F72843C-3D66-4E4E-87BE-B82283095660}">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B3" authorId="1" shapeId="0" xr:uid="{D977DE85-260B-43E0-B81E-E78DCC767512}">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CC3" authorId="1" shapeId="0" xr:uid="{37F9C57C-48C5-4390-971B-3E56B81441B8}">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R3" authorId="1" shapeId="0" xr:uid="{0D09FD64-BEAF-42CD-8486-536A018B12F7}">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CS3" authorId="1" shapeId="0" xr:uid="{6F553FEB-6518-483D-9B3C-E618243D7A02}">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D17" authorId="2" shapeId="0" xr:uid="{4BC65B74-17CD-437D-AC5B-4D78DC6E49D5}">
      <text>
        <t>[Comentario encadenado]
Su versión de Excel le permite leer este comentario encadenado; sin embargo, las ediciones que se apliquen se quitarán si el archivo se abre en una versión más reciente de Excel. Más información: https://go.microsoft.com/fwlink/?linkid=870924
Comentario:
    @Diana Jimena Camargo Hormaza  Hola Dianita, cuando reportes este riesgo puedes revisar si tienes algún soporte para la SMF, porque en la SMQB no hay soportes de la evidencia de la ejecución es decir no tenemos correo electrónico con solicitud de reserva presupuestal y prorroga del contrato.</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10" authorId="0" shapeId="0" xr:uid="{00000000-0006-0000-0700-000001000000}">
      <text>
        <r>
          <rPr>
            <sz val="9"/>
            <color indexed="81"/>
            <rFont val="Tahoma"/>
            <family val="2"/>
          </rPr>
          <t>Identificador del Riesgo</t>
        </r>
      </text>
    </comment>
    <comment ref="A15" authorId="0" shapeId="0" xr:uid="{00000000-0006-0000-0700-000002000000}">
      <text>
        <r>
          <rPr>
            <sz val="9"/>
            <color indexed="81"/>
            <rFont val="Tahoma"/>
            <family val="2"/>
          </rPr>
          <t>Aplica para los riesgos de seguridad digital</t>
        </r>
      </text>
    </comment>
    <comment ref="A16" authorId="0" shapeId="0" xr:uid="{00000000-0006-0000-0700-000003000000}">
      <text>
        <r>
          <rPr>
            <sz val="9"/>
            <color indexed="81"/>
            <rFont val="Tahoma"/>
            <family val="2"/>
          </rPr>
          <t>Fuentes</t>
        </r>
      </text>
    </comment>
    <comment ref="A17" authorId="0" shapeId="0" xr:uid="{00000000-0006-0000-0700-000004000000}">
      <text>
        <r>
          <rPr>
            <sz val="9"/>
            <color indexed="81"/>
            <rFont val="Tahoma"/>
            <family val="2"/>
          </rPr>
          <t>Fuentes</t>
        </r>
      </text>
    </comment>
    <comment ref="A18" authorId="0" shapeId="0" xr:uid="{00000000-0006-0000-0700-000005000000}">
      <text>
        <r>
          <rPr>
            <sz val="9"/>
            <color indexed="81"/>
            <rFont val="Tahoma"/>
            <family val="2"/>
          </rPr>
          <t>Aplica para los riesgos de seguridad digital</t>
        </r>
      </text>
    </comment>
    <comment ref="A26" authorId="0" shapeId="0" xr:uid="{00000000-0006-0000-0700-000006000000}">
      <text>
        <r>
          <rPr>
            <sz val="9"/>
            <color indexed="81"/>
            <rFont val="Tahoma"/>
            <family val="2"/>
          </rPr>
          <t>ERCA</t>
        </r>
      </text>
    </comment>
    <comment ref="A30" authorId="0" shapeId="0" xr:uid="{00000000-0006-0000-0700-000007000000}">
      <text>
        <r>
          <rPr>
            <sz val="9"/>
            <color indexed="81"/>
            <rFont val="Tahoma"/>
            <family val="2"/>
          </rPr>
          <t>A_responsable</t>
        </r>
      </text>
    </comment>
    <comment ref="A31" authorId="0" shapeId="0" xr:uid="{00000000-0006-0000-0700-000008000000}">
      <text>
        <r>
          <rPr>
            <sz val="9"/>
            <color indexed="81"/>
            <rFont val="Tahoma"/>
            <family val="2"/>
          </rPr>
          <t>S_responsable</t>
        </r>
      </text>
    </comment>
    <comment ref="A32" authorId="0" shapeId="0" xr:uid="{00000000-0006-0000-0700-000009000000}">
      <text>
        <r>
          <rPr>
            <sz val="9"/>
            <color indexed="81"/>
            <rFont val="Tahoma"/>
            <family val="2"/>
          </rPr>
          <t>Periodicidad</t>
        </r>
      </text>
    </comment>
    <comment ref="A33" authorId="0" shapeId="0" xr:uid="{00000000-0006-0000-0700-00000A000000}">
      <text>
        <r>
          <rPr>
            <sz val="9"/>
            <color indexed="81"/>
            <rFont val="Tahoma"/>
            <family val="2"/>
          </rPr>
          <t>Propósito</t>
        </r>
      </text>
    </comment>
    <comment ref="A34" authorId="0" shapeId="0" xr:uid="{00000000-0006-0000-0700-00000B000000}">
      <text>
        <r>
          <rPr>
            <sz val="9"/>
            <color indexed="81"/>
            <rFont val="Tahoma"/>
            <family val="2"/>
          </rPr>
          <t>Act_control</t>
        </r>
      </text>
    </comment>
    <comment ref="A35" authorId="0" shapeId="0" xr:uid="{00000000-0006-0000-0700-00000C000000}">
      <text>
        <r>
          <rPr>
            <sz val="9"/>
            <color indexed="81"/>
            <rFont val="Tahoma"/>
            <family val="2"/>
          </rPr>
          <t>Desviaciones</t>
        </r>
      </text>
    </comment>
    <comment ref="A36" authorId="0" shapeId="0" xr:uid="{00000000-0006-0000-0700-00000D000000}">
      <text>
        <r>
          <rPr>
            <sz val="9"/>
            <color indexed="81"/>
            <rFont val="Tahoma"/>
            <family val="2"/>
          </rPr>
          <t>Evidencia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author>
    <author>Linda Karina Petro Martínez</author>
    <author>tc={921A6755-F3C4-47D6-90A3-C69A5D2EE1B1}</author>
    <author>tc={18351A0B-0D6B-4F3E-87EE-4D72EF5819D0}</author>
    <author>tc={647BA320-4576-4C25-96F6-9AA67659C494}</author>
    <author>Edgar Javier Pinilla Feria</author>
    <author>tc={018905A8-517A-436A-8881-354A4E63BEB4}</author>
    <author>tc={D0DC3632-E1D7-4B61-92CE-4254D0CA1E7B}</author>
    <author>tc={3E556E12-A0B0-467E-99FF-F2EA4F5451FE}</author>
    <author>tc={D9AB41D7-893F-4AB9-9B97-15615EA8BBAE}</author>
    <author>tc={16D7F97D-75A1-428F-A332-913C900BEE13}</author>
    <author>tc={CFB7D049-9718-4538-8C7E-A1E95F1BD032}</author>
  </authors>
  <commentList>
    <comment ref="B2" authorId="0" shapeId="0" xr:uid="{9000AEF6-9D62-4505-96C7-BC2096AC3D24}">
      <text>
        <r>
          <rPr>
            <sz val="9"/>
            <color indexed="81"/>
            <rFont val="Tahoma"/>
            <family val="2"/>
          </rPr>
          <t>Identificador del Riesgo</t>
        </r>
      </text>
    </comment>
    <comment ref="C2" authorId="0" shapeId="0" xr:uid="{68BA4FFE-B3B9-42BF-9D59-622555145162}">
      <text>
        <r>
          <rPr>
            <sz val="9"/>
            <color indexed="81"/>
            <rFont val="Tahoma"/>
            <family val="2"/>
          </rPr>
          <t xml:space="preserve">Código que arroja Isolución al momento de identificar el riesgo. </t>
        </r>
      </text>
    </comment>
    <comment ref="J2" authorId="0" shapeId="0" xr:uid="{80669556-CE7C-4E00-84DA-3417D2698B97}">
      <text>
        <r>
          <rPr>
            <sz val="9"/>
            <color indexed="81"/>
            <rFont val="Tahoma"/>
            <family val="2"/>
          </rPr>
          <t>Aplica para los riesgos de seguridad digital</t>
        </r>
      </text>
    </comment>
    <comment ref="K2" authorId="0" shapeId="0" xr:uid="{3CA90CE4-D97F-4F12-8579-1FB2170C4C11}">
      <text>
        <r>
          <rPr>
            <sz val="9"/>
            <color indexed="81"/>
            <rFont val="Tahoma"/>
            <family val="2"/>
          </rPr>
          <t>Fuentes</t>
        </r>
      </text>
    </comment>
    <comment ref="L2" authorId="0" shapeId="0" xr:uid="{92D6BB4F-F093-4129-8600-A03009FCA479}">
      <text>
        <r>
          <rPr>
            <sz val="9"/>
            <color indexed="81"/>
            <rFont val="Tahoma"/>
            <family val="2"/>
          </rPr>
          <t>Fuentes</t>
        </r>
      </text>
    </comment>
    <comment ref="M2" authorId="0" shapeId="0" xr:uid="{E758EB42-C569-4425-9AD5-4A6F09608E7A}">
      <text>
        <r>
          <rPr>
            <sz val="9"/>
            <color indexed="81"/>
            <rFont val="Tahoma"/>
            <family val="2"/>
          </rPr>
          <t>Aplica para los riesgos de seguridad digital</t>
        </r>
      </text>
    </comment>
    <comment ref="S2" authorId="0" shapeId="0" xr:uid="{53C71944-0980-43E4-8EA4-0D7387C1EB06}">
      <text>
        <r>
          <rPr>
            <sz val="9"/>
            <color indexed="81"/>
            <rFont val="Tahoma"/>
            <family val="2"/>
          </rPr>
          <t>ERCA</t>
        </r>
      </text>
    </comment>
    <comment ref="W2" authorId="0" shapeId="0" xr:uid="{5973CAD8-831C-4853-92BD-430A0F40A349}">
      <text>
        <r>
          <rPr>
            <sz val="9"/>
            <color indexed="81"/>
            <rFont val="Tahoma"/>
            <family val="2"/>
          </rPr>
          <t>A_responsable</t>
        </r>
      </text>
    </comment>
    <comment ref="X2" authorId="0" shapeId="0" xr:uid="{B73D5695-16C9-4B4E-9B61-7B9278C0022B}">
      <text>
        <r>
          <rPr>
            <sz val="9"/>
            <color indexed="81"/>
            <rFont val="Tahoma"/>
            <family val="2"/>
          </rPr>
          <t>S_responsable</t>
        </r>
      </text>
    </comment>
    <comment ref="Y2" authorId="0" shapeId="0" xr:uid="{5BD41BEB-694F-4E41-A105-0B3D31789D74}">
      <text>
        <r>
          <rPr>
            <sz val="9"/>
            <color indexed="81"/>
            <rFont val="Tahoma"/>
            <family val="2"/>
          </rPr>
          <t>Periodicidad</t>
        </r>
      </text>
    </comment>
    <comment ref="Z2" authorId="0" shapeId="0" xr:uid="{13B68034-293E-40F0-AC92-1FEDFFAB4566}">
      <text>
        <r>
          <rPr>
            <sz val="9"/>
            <color indexed="81"/>
            <rFont val="Tahoma"/>
            <family val="2"/>
          </rPr>
          <t>Propósito</t>
        </r>
      </text>
    </comment>
    <comment ref="AA2" authorId="0" shapeId="0" xr:uid="{EE04A739-23D1-42E1-89B1-DE56AF8A16C6}">
      <text>
        <r>
          <rPr>
            <sz val="9"/>
            <color indexed="81"/>
            <rFont val="Tahoma"/>
            <family val="2"/>
          </rPr>
          <t>Act_control</t>
        </r>
      </text>
    </comment>
    <comment ref="AB2" authorId="0" shapeId="0" xr:uid="{7ECBB9F5-EBD8-4AB5-BF97-0BA6385376DD}">
      <text>
        <r>
          <rPr>
            <sz val="9"/>
            <color indexed="81"/>
            <rFont val="Tahoma"/>
            <family val="2"/>
          </rPr>
          <t>Desviaciones</t>
        </r>
      </text>
    </comment>
    <comment ref="AC2" authorId="0" shapeId="0" xr:uid="{B677CE75-88DC-4705-A046-F3BE4D3BB429}">
      <text>
        <r>
          <rPr>
            <sz val="9"/>
            <color indexed="81"/>
            <rFont val="Tahoma"/>
            <family val="2"/>
          </rPr>
          <t>Evidencia</t>
        </r>
      </text>
    </comment>
    <comment ref="AR2" authorId="0" shapeId="0" xr:uid="{4115E20A-7199-4E8A-A613-1E3D93A3AE71}">
      <text>
        <r>
          <rPr>
            <sz val="9"/>
            <color indexed="81"/>
            <rFont val="Tahoma"/>
            <family val="2"/>
          </rPr>
          <t>Promediar los controles de un mismo riesgo</t>
        </r>
      </text>
    </comment>
    <comment ref="BH2" authorId="1" shapeId="0" xr:uid="{AF8759F4-B52A-4A0D-B98A-D3AAD7A50A1D}">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BI2" authorId="1" shapeId="0" xr:uid="{BC405000-A12D-4D04-8FF1-95A01C3341B9}">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BX2" authorId="1" shapeId="0" xr:uid="{68087B87-4169-43E3-8868-3A24CAC88788}">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BY2" authorId="1" shapeId="0" xr:uid="{4FBB4BEC-F15D-4327-B72C-12B6C2E0AAD8}">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N2" authorId="1" shapeId="0" xr:uid="{41774424-BCB6-455D-A953-103757EE3D6B}">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CO2" authorId="1" shapeId="0" xr:uid="{600CE107-7DD4-4332-9BDB-0AC72B8C1B86}">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DD2" authorId="1" shapeId="0" xr:uid="{24C2C330-B127-4F94-AD64-D6D38E713272}">
      <text>
        <r>
          <rPr>
            <b/>
            <sz val="9"/>
            <color indexed="81"/>
            <rFont val="Tahoma"/>
            <family val="2"/>
          </rPr>
          <t>Linda Karina Petro Martínez:</t>
        </r>
        <r>
          <rPr>
            <sz val="9"/>
            <color indexed="81"/>
            <rFont val="Tahoma"/>
            <family val="2"/>
          </rPr>
          <t xml:space="preserve">
Seleccione la fuente por la cual se materializó el riesgo. 
Si el riesgo no se materializó, por favor seleccione no aplica </t>
        </r>
      </text>
    </comment>
    <comment ref="DE2" authorId="1" shapeId="0" xr:uid="{D5DF8B9B-C1C9-4A0B-816C-4C1F3885A9D6}">
      <text>
        <r>
          <rPr>
            <b/>
            <sz val="9"/>
            <color indexed="81"/>
            <rFont val="Tahoma"/>
            <family val="2"/>
          </rPr>
          <t>Linda Karina Petro Martínez:</t>
        </r>
        <r>
          <rPr>
            <sz val="9"/>
            <color indexed="81"/>
            <rFont val="Tahoma"/>
            <family val="2"/>
          </rPr>
          <t xml:space="preserve">
Registre el # de la acción de Isolución y/o # del plan de mejoramiento del aplicativo SISPEM</t>
        </r>
      </text>
    </comment>
    <comment ref="CP10" authorId="2" shapeId="0" xr:uid="{921A6755-F3C4-47D6-90A3-C69A5D2EE1B1}">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@Juan Andres Bernal Fino </t>
      </text>
    </comment>
    <comment ref="CT10" authorId="3" shapeId="0" xr:uid="{18351A0B-0D6B-4F3E-87EE-4D72EF5819D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@Juan Andres Bernal Fino @Santiago Adolfo Cotes Ospino Estimados buen día, espero estén bien, agradezco porfa cargar los registros de evidencia de ejecución de los controles para este riesgo. </t>
      </text>
    </comment>
    <comment ref="CP11" authorId="4" shapeId="0" xr:uid="{647BA320-4576-4C25-96F6-9AA67659C494}">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@Juan Andres Bernal Fino </t>
      </text>
    </comment>
    <comment ref="BJ12" authorId="5" shapeId="0" xr:uid="{8C9C06AF-8BBC-4C29-93BB-D0BE43E51B40}">
      <text>
        <r>
          <rPr>
            <sz val="11"/>
            <color theme="1"/>
            <rFont val="Arial"/>
            <family val="2"/>
          </rPr>
          <t>El repositorio de las programaciones es el aplicativo SASM para los servicios de calibración. Se presenta una programación a manera de ejemplo en: https://metrologiainm.sharepoint.com/:f:/s/OAP/EhUozm5smFJPpOJhPUzd35gBt-i7d8qMmEmkmbpHdd1mMA?e=ieDEVK</t>
        </r>
      </text>
    </comment>
    <comment ref="CL12" authorId="6" shapeId="0" xr:uid="{018905A8-517A-436A-8881-354A4E63BEB4}">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@Sebastian Gil Herrera  @Santiago Adolfo Cotes Ospino Estimados buenos días, espero estén bien. Agradezco su colaboración con el diligenciamiento de las celdas relacionadas con el seguimiento a tercer trimestre. Recuerden por favor que hay que cargar evidencia de ejecución de controles en la carpeta Evidencias riesgos de corrupción 
Respuesta:
    Diligenciado, Cargado y actualizado</t>
      </text>
    </comment>
    <comment ref="BJ13" authorId="5" shapeId="0" xr:uid="{EAAA628D-D58D-448A-A77B-19B9F54C5D72}">
      <text>
        <r>
          <rPr>
            <sz val="11"/>
            <color theme="1"/>
            <rFont val="Arial"/>
            <family val="2"/>
          </rPr>
          <t>El repositorio de las programaciones es el aplicativo SASM para los servicios de calibración. Se presenta una programación a manera de ejemplo en: https://metrologiainm.sharepoint.com/:f:/s/OAP/EhUozm5smFJPpOJhPUzd35gBt-i7d8qMmEmkmbpHdd1mMA?e=ieDEVK</t>
        </r>
      </text>
    </comment>
    <comment ref="BJ14" authorId="5" shapeId="0" xr:uid="{5F84FAC9-9800-4373-B742-C7E0EE209CD7}">
      <text>
        <r>
          <rPr>
            <sz val="11"/>
            <color theme="1"/>
            <rFont val="Arial"/>
            <family val="2"/>
          </rPr>
          <t>El repositorio de las cotizaciones, recibos oficiales de caja y ordenes de servicio es el aplicativo SASM para los servicios de calibración. Se presenta a manera de ejemplo una cotización, el ROC asociado al pago parcial y la orden de servicio en https://metrologiainm.sharepoint.com/:f:/s/OAP/EhUozm5smFJPpOJhPUzd35gBt-i7d8qMmEmkmbpHdd1mMA?e=ieDEVK</t>
        </r>
      </text>
    </comment>
    <comment ref="BJ15" authorId="5" shapeId="0" xr:uid="{E2449AE2-6DBE-432A-AD0D-99256678EFE2}">
      <text>
        <r>
          <rPr>
            <sz val="11"/>
            <color theme="1"/>
            <rFont val="Arial"/>
            <family val="2"/>
          </rPr>
          <t>Se presenta a manera de ejemplo, un ROC de un pago de servicio, la cotización y orden de servicio asociada y el acta de conciliación financiera donde se ratificó el ingreso recibido por pago de prestación de servicios, en: https://metrologiainm.sharepoint.com/:f:/s/OAP/EhUozm5smFJPpOJhPUzd35gBt-i7d8qMmEmkmbpHdd1mMA?e=ieDEVK</t>
        </r>
      </text>
    </comment>
    <comment ref="BJ16" authorId="5" shapeId="0" xr:uid="{DBE9C844-E1C3-4151-8C6B-30D5DB4FDFA5}">
      <text>
        <r>
          <rPr>
            <sz val="11"/>
            <color theme="1"/>
            <rFont val="Arial"/>
            <family val="2"/>
          </rPr>
          <t>Se presenta copia de las actas de conciliación de los meses diciembre 2024, enero y febrero de 2025, en: https://metrologiainm.sharepoint.com/:f:/s/OAP/EhUozm5smFJPpOJhPUzd35gBt-i7d8qMmEmkmbpHdd1mMA?e=ieDEVK</t>
        </r>
      </text>
    </comment>
    <comment ref="D24" authorId="7" shapeId="0" xr:uid="{D0DC3632-E1D7-4B61-92CE-4254D0CA1E7B}">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@Linda Karina Petro Martínez aquí hay que ajustar el riesgo, cambiando producción por medición de MR, quedo atenta a que me confirmes como debemos proceder
Respuesta:
    Hola @Daisy Janneth Vasquez Acosta los seguimientos trimestrales se harán directamente sobre las matrices que hayan tenido la más reciente actualización. Con relación a los ajustes que se identifican en los seguimientos, se realizarán sobre la versión en borrador que queda casi de inmediato en la carpeta “3. Matriz de borrador”, en esta carpeta esta la matriz en borrador para poder editar lo que se necesite. Dado lo anterior y los cambios que has identificado en este primer seguimiento trimestral, por favor y de momento, trabaja en el siguiente enlace:  Matriz de riesgos borrador.xlsx ajusta lo que se necesario y cuando este lista la matriz, me la compartes  yo le doy un check y luego la subdirectora me envía el visto bueno con esos cambios para ser presentados en CIGD. </t>
      </text>
    </comment>
    <comment ref="T33" authorId="8" shapeId="0" xr:uid="{3E556E12-A0B0-467E-99FF-F2EA4F5451FE}">
      <text>
        <t>[Comentario encadenado]
Su versión de Excel le permite leer este comentario encadenado; sin embargo, las ediciones que se apliquen se quitarán si el archivo se abre en una versión más reciente de Excel. Más información: https://go.microsoft.com/fwlink/?linkid=870924
Comentario:
    @Linda Karina Petro Martínez Podemos revisar este control por favor, me informan que actualmente los coordinadores pueden realizar la solicitud de acceso a las carpetas compartidas.
Respuesta:
    Mi Dai, porfa revísenlo en la SMQB y la SMF y los cambios los realizan en el siguiente enlace Matriz de riesgos borrador.xlsx . @Mónica Alejandra Gutierrez Cifuentes agradezco porfa tu apoyo para Daisy y Diana en el cambio de este control. 
Respuesta:
    Trabajar sobre matriz de borrador bajo los acuerdos que se suscriben en reunión del 02-05-2025. Compromiso: Mesa de trabajo para analizar implementación de documento de referencia y realizar los ajustes en la matriz de borrador según resultados de mesa de trabajo. Para el seguimiento del presente trimestre complementar registro indicando que se modificará riesgo con los dos controles identificados, dado que se identifica necesidad tras seguimiento de primera línea.
Respuesta:
    Mónica, confirmo que ya quedó ajustado el seguimiento en la columna BF de acuerdo con lo conversado en nuestra reunión con Linda. Gracias
Respuesta:
    Se realizó la reunión el 6 de mayo y se concluye que no es necesario realizar cambio del control dado que desde la OIDT se solicita aprobación del subdirector para dar acceso a las carpetas compartidas. El personal de la OIDT está trabajando en poder generar un informe más específico desde GLPI al cual tenga acceso el personal de apoyo de calidad.</t>
      </text>
    </comment>
    <comment ref="T34" authorId="9" shapeId="0" xr:uid="{D9AB41D7-893F-4AB9-9B97-15615EA8BBAE}">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@Linda Karina Petro Martínez dejo tachado el texto que se requiere modificar en este control, dado que la revisión de la necesidad de producción lo realiza la subdirectora, no la MTTC, porfa me puedes indicar que debemos hacer para llevar a cabo este ajuste?
De acuerdo con el procedimiento M-03-P-001 en el numeral 7.2 "El responsable de la producción envía por correo electrónico, el formato M-03-F-009 al Subdirector(a) de Metrología Química y Biología. Posteriormente, el(la) subdirector(a) junto con el (los) grupo(s) relacionado(s), deciden la viabilidad de la producción, para lo cual se hace uso de la hoja "Evaluación" que se encuentra en este mismo formato".
Respuesta:
    @Daisy Janneth Vasquez Acosta Dado el comentario relacionado con el uso de la matriz de trabajo Matriz de riesgos borrador.xlsx  para ajustar lo que sea necesario, porfa deja el texto tachado sobre esa matriz que te comento y deja tal cual como esta a hoy redactado el control. 
Esta matriz no se puede editar. (En teoría yo había dejado bloqueadas las celdas)
Gracias mil chinita. </t>
      </text>
    </comment>
    <comment ref="BZ34" authorId="10" shapeId="0" xr:uid="{16D7F97D-75A1-428F-A332-913C900BEE13}">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@Linda Karina Petro Martínez El archivo no me permite agregar vinculo ala carpeta donde está la evidencia, agradezco tu ayuda
Respuesta:
    Hola Dai, ¿Qué error te aparece? ... es que estas celdas no están bloqueadas, no debería aparecer error alguno. 
Respuesta:
    No me deja incluir el link, esta deshabilitada la opción de incluir el link
</t>
      </text>
    </comment>
    <comment ref="CT56" authorId="11" shapeId="0" xr:uid="{CFB7D049-9718-4538-8C7E-A1E95F1BD032}">
      <text>
        <t>[Comentario encadenado]
Su versión de Excel le permite leer este comentario encadenado; sin embargo, las ediciones que se apliquen se quitarán si el archivo se abre en una versión más reciente de Excel. Más información: https://go.microsoft.com/fwlink/?linkid=870924
[Tasks]
Hay una tarea anclada a este comentario que no se puede ver en el cliente.
Comentario:
    @Jeimi Medina Walteros Estimada buen día, agradezco chinita bella, tengan presente con el profesional de gestión financiera, el registro del seguimiento a este control para el último trimestre del 2025. Lo anterior, dado que no hubo registro de seguimiento del tercer trimestre. Mil gracias :)</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R1" authorId="0" shapeId="0" xr:uid="{00000000-0006-0000-0900-000001000000}">
      <text>
        <r>
          <rPr>
            <sz val="9"/>
            <color indexed="81"/>
            <rFont val="Tahoma"/>
            <family val="2"/>
          </rPr>
          <t>Si esta respuesta es afirmativa el impacto es catastrófico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C1" authorId="0" shapeId="0" xr:uid="{00000000-0006-0000-0C00-000001000000}">
      <text>
        <r>
          <rPr>
            <sz val="9"/>
            <color indexed="81"/>
            <rFont val="Tahoma"/>
            <family val="2"/>
          </rPr>
          <t>N_Impacto</t>
        </r>
      </text>
    </comment>
    <comment ref="H1" authorId="0" shapeId="0" xr:uid="{00000000-0006-0000-0C00-000002000000}">
      <text>
        <r>
          <rPr>
            <sz val="9"/>
            <color indexed="81"/>
            <rFont val="Tahoma"/>
            <family val="2"/>
          </rPr>
          <t>Eje X</t>
        </r>
      </text>
    </comment>
    <comment ref="A8" authorId="0" shapeId="0" xr:uid="{00000000-0006-0000-0C00-000003000000}">
      <text>
        <r>
          <rPr>
            <sz val="9"/>
            <color indexed="81"/>
            <rFont val="Tahoma"/>
            <family val="2"/>
          </rPr>
          <t>C_Externo</t>
        </r>
      </text>
    </comment>
    <comment ref="G10" authorId="0" shapeId="0" xr:uid="{00000000-0006-0000-0C00-000004000000}">
      <text>
        <r>
          <rPr>
            <sz val="9"/>
            <color indexed="81"/>
            <rFont val="Tahoma"/>
            <family val="2"/>
          </rPr>
          <t>N_Probabilidad</t>
        </r>
      </text>
    </comment>
    <comment ref="H10" authorId="0" shapeId="0" xr:uid="{00000000-0006-0000-0C00-000005000000}">
      <text>
        <r>
          <rPr>
            <sz val="9"/>
            <color indexed="81"/>
            <rFont val="Tahoma"/>
            <family val="2"/>
          </rPr>
          <t>Eje Y</t>
        </r>
      </text>
    </comment>
    <comment ref="A18" authorId="0" shapeId="0" xr:uid="{00000000-0006-0000-0C00-000006000000}">
      <text>
        <r>
          <rPr>
            <sz val="9"/>
            <color indexed="81"/>
            <rFont val="Tahoma"/>
            <family val="2"/>
          </rPr>
          <t>C_Interno</t>
        </r>
      </text>
    </comment>
    <comment ref="D26" authorId="0" shapeId="0" xr:uid="{00000000-0006-0000-0C00-000007000000}">
      <text>
        <r>
          <rPr>
            <sz val="9"/>
            <color indexed="81"/>
            <rFont val="Tahoma"/>
            <family val="2"/>
          </rPr>
          <t>Si esta respuesta es afirmativa el impacto es catastrófico</t>
        </r>
      </text>
    </comment>
    <comment ref="A28" authorId="0" shapeId="0" xr:uid="{00000000-0006-0000-0C00-000008000000}">
      <text>
        <r>
          <rPr>
            <sz val="9"/>
            <color indexed="81"/>
            <rFont val="Tahoma"/>
            <family val="2"/>
          </rPr>
          <t>C_Proceso</t>
        </r>
      </text>
    </comment>
    <comment ref="C32" authorId="0" shapeId="0" xr:uid="{00000000-0006-0000-0C00-000009000000}">
      <text>
        <r>
          <rPr>
            <sz val="9"/>
            <color indexed="81"/>
            <rFont val="Tahoma"/>
            <family val="2"/>
          </rPr>
          <t>P_ejecución</t>
        </r>
      </text>
    </comment>
    <comment ref="A39" authorId="0" shapeId="0" xr:uid="{00000000-0006-0000-0C00-00000A000000}">
      <text>
        <r>
          <rPr>
            <sz val="9"/>
            <color indexed="81"/>
            <rFont val="Tahoma"/>
            <family val="2"/>
          </rPr>
          <t>Tipología</t>
        </r>
      </text>
    </comment>
    <comment ref="A53" authorId="0" shapeId="0" xr:uid="{00000000-0006-0000-0C00-00000B000000}">
      <text>
        <r>
          <rPr>
            <sz val="9"/>
            <color indexed="81"/>
            <rFont val="Tahoma"/>
            <family val="2"/>
          </rPr>
          <t>T_Proceso</t>
        </r>
      </text>
    </comment>
    <comment ref="A60" authorId="0" shapeId="0" xr:uid="{00000000-0006-0000-0C00-00000C000000}">
      <text>
        <r>
          <rPr>
            <sz val="9"/>
            <color indexed="81"/>
            <rFont val="Tahoma"/>
            <family val="2"/>
          </rPr>
          <t>RespuestaC</t>
        </r>
      </text>
    </comment>
    <comment ref="A64" authorId="0" shapeId="0" xr:uid="{00000000-0006-0000-0C00-00000D000000}">
      <text>
        <r>
          <rPr>
            <sz val="9"/>
            <color indexed="81"/>
            <rFont val="Tahoma"/>
            <family val="2"/>
          </rPr>
          <t>A_responsable</t>
        </r>
      </text>
    </comment>
    <comment ref="A68" authorId="0" shapeId="0" xr:uid="{00000000-0006-0000-0C00-00000E000000}">
      <text>
        <r>
          <rPr>
            <sz val="9"/>
            <color indexed="81"/>
            <rFont val="Tahoma"/>
            <family val="2"/>
          </rPr>
          <t>S_responsable</t>
        </r>
      </text>
    </comment>
    <comment ref="A72" authorId="0" shapeId="0" xr:uid="{00000000-0006-0000-0C00-00000F000000}">
      <text>
        <r>
          <rPr>
            <sz val="9"/>
            <color indexed="81"/>
            <rFont val="Tahoma"/>
            <family val="2"/>
          </rPr>
          <t>Periodicidad</t>
        </r>
      </text>
    </comment>
    <comment ref="A76" authorId="0" shapeId="0" xr:uid="{00000000-0006-0000-0C00-000010000000}">
      <text>
        <r>
          <rPr>
            <sz val="9"/>
            <color indexed="81"/>
            <rFont val="Tahoma"/>
            <family val="2"/>
          </rPr>
          <t>Propósito</t>
        </r>
      </text>
    </comment>
    <comment ref="A81" authorId="0" shapeId="0" xr:uid="{00000000-0006-0000-0C00-000011000000}">
      <text>
        <r>
          <rPr>
            <sz val="9"/>
            <color indexed="81"/>
            <rFont val="Tahoma"/>
            <family val="2"/>
          </rPr>
          <t>Act_control</t>
        </r>
      </text>
    </comment>
    <comment ref="A85" authorId="0" shapeId="0" xr:uid="{00000000-0006-0000-0C00-000012000000}">
      <text>
        <r>
          <rPr>
            <sz val="9"/>
            <color indexed="81"/>
            <rFont val="Tahoma"/>
            <family val="2"/>
          </rPr>
          <t>Desviaciones</t>
        </r>
      </text>
    </comment>
    <comment ref="A89" authorId="0" shapeId="0" xr:uid="{00000000-0006-0000-0C00-000013000000}">
      <text>
        <r>
          <rPr>
            <sz val="9"/>
            <color indexed="81"/>
            <rFont val="Tahoma"/>
            <family val="2"/>
          </rPr>
          <t>Evidencia</t>
        </r>
      </text>
    </comment>
    <comment ref="A94" authorId="0" shapeId="0" xr:uid="{00000000-0006-0000-0C00-000014000000}">
      <text>
        <r>
          <rPr>
            <sz val="9"/>
            <color indexed="81"/>
            <rFont val="Tahoma"/>
            <family val="2"/>
          </rPr>
          <t>T_Control</t>
        </r>
      </text>
    </comment>
    <comment ref="A98" authorId="0" shapeId="0" xr:uid="{00000000-0006-0000-0C00-000015000000}">
      <text>
        <r>
          <rPr>
            <sz val="9"/>
            <color indexed="81"/>
            <rFont val="Tahoma"/>
            <family val="2"/>
          </rPr>
          <t>Tratamiento_R</t>
        </r>
      </text>
    </comment>
    <comment ref="A104" authorId="0" shapeId="0" xr:uid="{00000000-0006-0000-0C00-000016000000}">
      <text>
        <r>
          <rPr>
            <sz val="9"/>
            <color indexed="81"/>
            <rFont val="Tahoma"/>
            <family val="2"/>
          </rPr>
          <t>Nivel_R</t>
        </r>
      </text>
    </comment>
    <comment ref="A110" authorId="0" shapeId="0" xr:uid="{00000000-0006-0000-0C00-000017000000}">
      <text>
        <r>
          <rPr>
            <sz val="9"/>
            <color indexed="81"/>
            <rFont val="Tahoma"/>
            <family val="2"/>
          </rPr>
          <t>Influencia_C</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H27" authorId="0" shapeId="0" xr:uid="{00000000-0006-0000-0D00-000001000000}">
      <text>
        <r>
          <rPr>
            <sz val="9"/>
            <color indexed="81"/>
            <rFont val="Tahoma"/>
            <family val="2"/>
          </rPr>
          <t>Tipología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<sst xmlns="http://schemas.openxmlformats.org/spreadsheetml/2006/main" count="27876" uniqueCount="3407">
  <si>
    <t>Matriz de Calor Inherente</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</si>
  <si>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</si>
  <si>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</si>
  <si>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</si>
  <si>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</si>
  <si>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</si>
  <si>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</si>
  <si>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</si>
  <si>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</si>
  <si>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</si>
  <si>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</si>
  <si>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</si>
  <si>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</si>
  <si>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</si>
  <si>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</si>
  <si>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</si>
  <si>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</si>
  <si>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</si>
  <si>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CONTROL DE CAMBIOS</t>
  </si>
  <si>
    <t>FECHA Y RESPONSABLE DE LA SOLICITUD DE CAMBIO</t>
  </si>
  <si>
    <t>CAMBIOS REALIZADOS</t>
  </si>
  <si>
    <t>CIGD Y FECHA DE APROBACIÓN</t>
  </si>
  <si>
    <t>13/11/2025 Liliana Pineda Aponte</t>
  </si>
  <si>
    <r>
      <rPr>
        <b/>
        <sz val="11"/>
        <color rgb="FF7030A0"/>
        <rFont val="Arial"/>
      </rPr>
      <t xml:space="preserve">Matriz de riesgos de seguridad de la información: 
</t>
    </r>
    <r>
      <rPr>
        <sz val="11"/>
        <color rgb="FF000000"/>
        <rFont val="Arial"/>
      </rPr>
      <t xml:space="preserve">
Actualización de los controles de los siguientes riesgos:
SI-4,SI-6,SI-7,SI-9,SI-12,SI-25 Gestión de tecnología
SI-10 y SI-26, Gestión administrativa
SI-24 OAP
Se agregan indicadores de gestión para los siguientes riesgos: SI-3, SI-4, SI-5, SI-6, SI-7, SI-8, SI-9, SI-10, SI-11, SI-12, SI-13, SI-23 y SI-24
Remover el riesgo SI-22 del proceso de  Administración del Sistema Integrado de Gestión. Este quedaría cubierto con el riesgo SI-09 del proceso de Gestión de tecnología</t>
    </r>
  </si>
  <si>
    <t>CIGD # 13 del 2025-11-28</t>
  </si>
  <si>
    <t>Vistos buenos a través de correo electrónico por parte de los lideres de proceso: 
OIDT 2025-09-18
SSMRC 2025-09-18</t>
  </si>
  <si>
    <r>
      <t xml:space="preserve">Matriz de riesgos de corrupción: 
</t>
    </r>
    <r>
      <rPr>
        <b/>
        <sz val="11"/>
        <color theme="1"/>
        <rFont val="Arial"/>
        <family val="2"/>
      </rPr>
      <t xml:space="preserve">Proceso E-05 Gestión de tecnologías de la información.
</t>
    </r>
    <r>
      <rPr>
        <sz val="11"/>
        <color rgb="FF000000"/>
        <rFont val="Arial"/>
      </rPr>
      <t xml:space="preserve">Se agregan dos riesgos E05-RC01 y E05-RC02. 
</t>
    </r>
    <r>
      <rPr>
        <b/>
        <sz val="11"/>
        <color rgb="FF000000"/>
        <rFont val="Arial"/>
      </rPr>
      <t>Proceso de ensayos de aptitud:</t>
    </r>
    <r>
      <rPr>
        <sz val="11"/>
        <color rgb="FF000000"/>
        <rFont val="Arial"/>
      </rPr>
      <t xml:space="preserve">  
Se actualizan controles (énfasis en los ítems de evidencia y documentado) de los riesgos M05-RC01 y el M05-RC02 teniendo en cuenta las actividades actuales del proceso
</t>
    </r>
    <r>
      <rPr>
        <b/>
        <sz val="11"/>
        <color rgb="FF000000"/>
        <rFont val="Arial"/>
      </rPr>
      <t>Proceso de asistencia técnica:</t>
    </r>
    <r>
      <rPr>
        <sz val="11"/>
        <color rgb="FF000000"/>
        <rFont val="Arial"/>
      </rPr>
      <t xml:space="preserve"> 
Se actualiza el control (énfasis en los ítems de responsable, evidencia y desviaciones a las observaciones) del riesgo M04-RC01 teniendo en cuenta las actividades actuales del proceso</t>
    </r>
  </si>
  <si>
    <t>CIGD # 11 del 2025-10-29</t>
  </si>
  <si>
    <t>Visto bueno en reuniones realizadas entre la jefe de la OAP y los profesionales del proceso de direccionamiento estratégico y planeación antes del CIGD # 5 del  2025-06-18.</t>
  </si>
  <si>
    <r>
      <rPr>
        <b/>
        <sz val="11"/>
        <color rgb="FF7030A0"/>
        <rFont val="Arial"/>
      </rPr>
      <t xml:space="preserve">Matriz riesgos de gestión:
</t>
    </r>
    <r>
      <rPr>
        <b/>
        <sz val="11"/>
        <color rgb="FF000000"/>
        <rFont val="Arial"/>
      </rPr>
      <t xml:space="preserve">Proceso E-01 Direccionamiento estratégico y planeación.
</t>
    </r>
    <r>
      <rPr>
        <sz val="11"/>
        <color rgb="FF000000"/>
        <rFont val="Arial"/>
      </rPr>
      <t>El riesgo E01-R5 se actualiza en su totalidad, se realiza replanteamiento general en las etapas de identificación y valoración. 
Los riesgos E01-R6, E01-R7 se eliminan dado que al ampliar el alcance en la identificación y valoración del E01-R5, se cubren las actividades planteadas en estos riesgos inactivos.  
Se crea el riesgo E01-R9, que indica "Posibilidad de afectación económica por la inadecuada adopción de lineamientos establecidos por el MHCP para la elaboración del anteproyecto de presupuesto"</t>
    </r>
  </si>
  <si>
    <t>CIGD # 5 del 2025-06-18</t>
  </si>
  <si>
    <t xml:space="preserve">Gestión del cambio PEI-SIG
Vistos buenos a través de correo electrónico por parte de los lideres de proceso: 
- SMF: 2025-03-17
- SMQB: 2025-03-12
- SG: 2025-03-21 aprobación de los riesgos del Sistema de gestión ambiental. 
- SG: 2025-03-17 aprobación de los riesgos del Sistema de seguridad en el trabajo. </t>
  </si>
  <si>
    <r>
      <rPr>
        <b/>
        <sz val="11"/>
        <color rgb="FF7030A0"/>
        <rFont val="Arial"/>
      </rPr>
      <t>Matriz Riesgos fiscales:</t>
    </r>
    <r>
      <rPr>
        <sz val="11"/>
        <color rgb="FF7030A0"/>
        <rFont val="Arial"/>
      </rPr>
      <t xml:space="preserve"> 
</t>
    </r>
    <r>
      <rPr>
        <b/>
        <sz val="11"/>
        <color rgb="FF000000"/>
        <rFont val="Arial"/>
      </rPr>
      <t>Proceso M-08 Gestión de patrones nacionales y sistemas de medición.</t>
    </r>
    <r>
      <rPr>
        <sz val="11"/>
        <color rgb="FF000000"/>
        <rFont val="Arial"/>
      </rPr>
      <t xml:space="preserve"> Luego de la revisión y análisis de los riesgos de gestión para el proceso, se toma la decisión de identificarlos y tratarlos como riesgos fiscales debido al impacto económico que generan. Es decir, que se crean los riesgos fiscales # 3 y 4 (M08-RF1 y M08-RF2) para la administración general de la matriz de riesgos del INM.  
</t>
    </r>
    <r>
      <rPr>
        <b/>
        <sz val="11"/>
        <color rgb="FF7030A0"/>
        <rFont val="Arial"/>
      </rPr>
      <t xml:space="preserve">Matriz Riesgos de gestión: 
</t>
    </r>
    <r>
      <rPr>
        <b/>
        <sz val="11"/>
        <color rgb="FF000000"/>
        <rFont val="Arial"/>
      </rPr>
      <t xml:space="preserve">Secretaría general
</t>
    </r>
    <r>
      <rPr>
        <sz val="11"/>
        <color rgb="FF000000"/>
        <rFont val="Arial"/>
      </rPr>
      <t xml:space="preserve">- Sistema de Gestión de Seguridad y Salud en el trabajo: Se elimina el riesgo A04-R5 (94), dado que se compila en el riesgo A04-R4 (93). Se compila el riesgo acorde con el valor presente de la gestión del sistema.
- Sistema de Gestión ambiental: 
El riesgo A05-R3 se modifica de acuerdo con el contexto actual de la gestión del sistema ambiental del INM, añadiendo dos controles adicionales.
El riesgo A05-R4 se modifica de acuerdo con el contexto actual de la gestión del sistema ambiental del INM.
Para ambos riesgos, se agregan acciones para abordar riesgos. 
</t>
    </r>
    <r>
      <rPr>
        <b/>
        <sz val="11"/>
        <color rgb="FF000000"/>
        <rFont val="Arial"/>
      </rPr>
      <t>Proceso M-08 Gestión de patrones nacionales y sistemas de medición.</t>
    </r>
    <r>
      <rPr>
        <sz val="11"/>
        <color rgb="FF000000"/>
        <rFont val="Arial"/>
      </rPr>
      <t xml:space="preserve"> 
- Dada la creación de los riesgos fiscales # 3 y 4, se eliminan los riesgos M08-R1 (41), M08-R4 (44), M08-R5 (45)
- Se modifica control 3 del M08-R2. Se agrega cargo relacionado con la ejecución del control "personal de apoyo de la subdirección de metrología física". 
</t>
    </r>
    <r>
      <rPr>
        <b/>
        <sz val="11"/>
        <color rgb="FF000000"/>
        <rFont val="Arial"/>
      </rPr>
      <t xml:space="preserve">Proceso M-01 Servicios de calibración y medición
</t>
    </r>
    <r>
      <rPr>
        <sz val="11"/>
        <color rgb="FF000000"/>
        <rFont val="Arial"/>
      </rPr>
      <t xml:space="preserve">- Se elimina el riesgo M01-R9 (39) dado que se da tratamiento a través del riesgo de corrupción M01-RC01
</t>
    </r>
    <r>
      <rPr>
        <b/>
        <sz val="11"/>
        <color rgb="FF7030A0"/>
        <rFont val="Arial"/>
      </rPr>
      <t>Matriz riesgos de corrupción</t>
    </r>
    <r>
      <rPr>
        <sz val="11"/>
        <color rgb="FF000000"/>
        <rFont val="Arial"/>
      </rPr>
      <t xml:space="preserve">: 
</t>
    </r>
    <r>
      <rPr>
        <b/>
        <sz val="11"/>
        <color rgb="FF000000"/>
        <rFont val="Arial"/>
      </rPr>
      <t xml:space="preserve">Proceso M-01 Servicios de calibración y medición
</t>
    </r>
    <r>
      <rPr>
        <sz val="11"/>
        <color rgb="FF000000"/>
        <rFont val="Arial"/>
      </rPr>
      <t>Se agregan los controles 3 y 4 al riesgo de corrupción M01-RC01</t>
    </r>
  </si>
  <si>
    <t>CIGD # 3 del 2025-03-26</t>
  </si>
  <si>
    <t>Diciembre del 2024
Plan de gestión del cambio PEI- SIG</t>
  </si>
  <si>
    <r>
      <rPr>
        <b/>
        <sz val="11"/>
        <color rgb="FF7030A0"/>
        <rFont val="Arial"/>
      </rPr>
      <t>Riesgos de corrupción:</t>
    </r>
    <r>
      <rPr>
        <b/>
        <sz val="11"/>
        <color rgb="FF000000"/>
        <rFont val="Arial"/>
      </rPr>
      <t xml:space="preserve"> 
</t>
    </r>
    <r>
      <rPr>
        <sz val="11"/>
        <color rgb="FF000000"/>
        <rFont val="Arial"/>
      </rPr>
      <t xml:space="preserve">Se cambian los códigos identificadores de los riesgos.  
Para todos los riesgos se etablecen acciones para abordar riesgos.
</t>
    </r>
    <r>
      <rPr>
        <b/>
        <sz val="11"/>
        <color rgb="FF000000"/>
        <rFont val="Arial"/>
      </rPr>
      <t>- Gestión financiera:</t>
    </r>
    <r>
      <rPr>
        <sz val="11"/>
        <color rgb="FF000000"/>
        <rFont val="Arial"/>
      </rPr>
      <t xml:space="preserve"> El riesgo que antes era el A01-RC02 pasa ser el A01-RC01 y el A01-RC03 pasa a ser el A01-RC02. 
</t>
    </r>
    <r>
      <rPr>
        <b/>
        <sz val="11"/>
        <color rgb="FF000000"/>
        <rFont val="Arial"/>
      </rPr>
      <t>- Contratación y Adquisición de Bienes y Servicios</t>
    </r>
    <r>
      <rPr>
        <sz val="11"/>
        <color rgb="FF000000"/>
        <rFont val="Arial"/>
      </rPr>
      <t xml:space="preserve">: Para los riesgos A07-RC01 y A07-RC02 se agregan controles adicionales.
</t>
    </r>
    <r>
      <rPr>
        <b/>
        <sz val="11"/>
        <color rgb="FF000000"/>
        <rFont val="Arial"/>
      </rPr>
      <t>- Capacitación en metrología</t>
    </r>
    <r>
      <rPr>
        <sz val="11"/>
        <color rgb="FF000000"/>
        <rFont val="Arial"/>
      </rPr>
      <t xml:space="preserve">: Se adiciona nuevo riesgo para el proceso M02-RC01
</t>
    </r>
    <r>
      <rPr>
        <b/>
        <sz val="11"/>
        <color rgb="FF000000"/>
        <rFont val="Arial"/>
      </rPr>
      <t>- Gestión de servicios metrológicos:</t>
    </r>
    <r>
      <rPr>
        <sz val="11"/>
        <color rgb="FF000000"/>
        <rFont val="Arial"/>
      </rPr>
      <t xml:space="preserve"> Se agregan nuevos controles para el riesgo A08-RC02 y el segundo control para el riesgo A08-RC01. 
</t>
    </r>
    <r>
      <rPr>
        <b/>
        <sz val="11"/>
        <color rgb="FF000000"/>
        <rFont val="Arial"/>
      </rPr>
      <t>- Gestión administrativa:</t>
    </r>
    <r>
      <rPr>
        <sz val="11"/>
        <color rgb="FF000000"/>
        <rFont val="Arial"/>
      </rPr>
      <t xml:space="preserve"> Se adiciona nuevos riesgos para el proceso, A05-RC02 y A05-RC03
</t>
    </r>
    <r>
      <rPr>
        <b/>
        <sz val="11"/>
        <color rgb="FF000000"/>
        <rFont val="Arial"/>
      </rPr>
      <t>- Gestión documental:</t>
    </r>
    <r>
      <rPr>
        <sz val="11"/>
        <color rgb="FF000000"/>
        <rFont val="Arial"/>
      </rPr>
      <t xml:space="preserve"> Se adiciona nuevo riesgo para el proceso A03-RC01
</t>
    </r>
    <r>
      <rPr>
        <b/>
        <sz val="11"/>
        <color rgb="FF000000"/>
        <rFont val="Arial"/>
      </rPr>
      <t xml:space="preserve">- Servicios de calibración y medición metrológica: 
</t>
    </r>
    <r>
      <rPr>
        <sz val="11"/>
        <color rgb="FF000000"/>
        <rFont val="Arial"/>
      </rPr>
      <t xml:space="preserve">M01-RC01: Se modifica la descripción del riesgo, dando alcance a materiales de referencia, adicionalmente se identifican nuevos aspectos en las etapas de identificación y valoración (factores internos, externos, controles, entre otros)
M01-RC02: Se modifica el control 1 y se incluyen los controles 2 y 3
M01-RC04: Se adiciona nuevo riesgo
</t>
    </r>
    <r>
      <rPr>
        <b/>
        <sz val="11"/>
        <color rgb="FF000000"/>
        <rFont val="Arial"/>
      </rPr>
      <t>- Producción de Materiales de Referencia y Desarrollo de Métodos Analíticos</t>
    </r>
    <r>
      <rPr>
        <sz val="11"/>
        <color rgb="FF000000"/>
        <rFont val="Arial"/>
      </rPr>
      <t xml:space="preserve">: Se elimina el riesgo M03-RC01 dado que pasa a ser tratado como riesgo fiscal para el proceso de gestión de patrones nacionales y sistemas de medición. Dada esta actualización del 2025, el riesgo M03-RC02 pasa a ser el riesgo M03-RC01.
Se agrega un nuevo riesgo que pasa a ser el M03-RC02.
</t>
    </r>
    <r>
      <rPr>
        <b/>
        <sz val="11"/>
        <color rgb="FF000000"/>
        <rFont val="Arial"/>
      </rPr>
      <t>- Gestión de talento humano</t>
    </r>
    <r>
      <rPr>
        <sz val="11"/>
        <color rgb="FF000000"/>
        <rFont val="Arial"/>
      </rPr>
      <t xml:space="preserve">: Se agrega el control #2
</t>
    </r>
    <r>
      <rPr>
        <b/>
        <sz val="11"/>
        <color rgb="FF000000"/>
        <rFont val="Arial"/>
      </rPr>
      <t xml:space="preserve">- Evaluación, acompañamiento y asesoría al Sistema de Control Interno: </t>
    </r>
    <r>
      <rPr>
        <sz val="11"/>
        <color rgb="FF000000"/>
        <rFont val="Arial"/>
      </rPr>
      <t xml:space="preserve">Se identifica un nuevo riesgo para el proceso C01-RC01 
</t>
    </r>
    <r>
      <rPr>
        <b/>
        <sz val="11"/>
        <color rgb="FF000000"/>
        <rFont val="Arial"/>
      </rPr>
      <t>- Ensayos de aptitud</t>
    </r>
    <r>
      <rPr>
        <sz val="11"/>
        <color rgb="FF000000"/>
        <rFont val="Arial"/>
      </rPr>
      <t xml:space="preserve">: Se hacen ajustes de redacción en los controles, asociados a la realidad de las actividades del proceso.  
</t>
    </r>
    <r>
      <rPr>
        <b/>
        <sz val="11"/>
        <color rgb="FF000000"/>
        <rFont val="Arial"/>
      </rPr>
      <t xml:space="preserve">- Asistencia técnica: </t>
    </r>
    <r>
      <rPr>
        <sz val="11"/>
        <color rgb="FF000000"/>
        <rFont val="Arial"/>
      </rPr>
      <t xml:space="preserve">Se ajusta el control y se agrega acción para abordar el riesgo.
</t>
    </r>
    <r>
      <rPr>
        <b/>
        <sz val="11"/>
        <color rgb="FF000000"/>
        <rFont val="Arial"/>
      </rPr>
      <t>- Servicio al ciudadano:</t>
    </r>
    <r>
      <rPr>
        <sz val="11"/>
        <color rgb="FF000000"/>
        <rFont val="Arial"/>
      </rPr>
      <t xml:space="preserve"> Se adiciona nuevo riesgo
</t>
    </r>
    <r>
      <rPr>
        <b/>
        <sz val="11"/>
        <color rgb="FF7030A0"/>
        <rFont val="Arial"/>
      </rPr>
      <t xml:space="preserve">Riesgos fiscales: 
</t>
    </r>
    <r>
      <rPr>
        <sz val="11"/>
        <color rgb="FF000000"/>
        <rFont val="Arial"/>
      </rPr>
      <t xml:space="preserve">Se agregan los riesgos para los procesos Gestión financiera (A01-RF01) y Contratación y adquisición de bienes y servicios (A07-RF01)
</t>
    </r>
  </si>
  <si>
    <t>CIGD # 2 del 2025-01-29</t>
  </si>
  <si>
    <t xml:space="preserve">2024-04-02: Correo electrónico enviado por parte de Liliana Pineda Aponte para la OAP (Linda Karina Petro). </t>
  </si>
  <si>
    <t xml:space="preserve">Riesgos de proceso: Se solicita por parte de la OIDT, la inclusión de los riesgos de proceso 06-1 (99), 05-17 (121) y 05-20 (124) para ser administrados desde la OIDT como tipología de riesgos de seguridad de la información. Dado lo anterior, los riesgos anteriormente mencionados pasan a ser administrados por parte de la OIDT como segunda línea para los riesgos de seguridad de la información. </t>
  </si>
  <si>
    <t xml:space="preserve">Presentado en el CIGD # 6 del 2024-04-22 (sesión 1), no hubo necesidad de solicitar aprobación dado que los riesgos de seguridad de la información ya habia sido aprobados previamente. </t>
  </si>
  <si>
    <t xml:space="preserve">2024-01-20: Cambio propuesto por parte de Linda Karina Petro como segunda línea para la vigencia 2024. </t>
  </si>
  <si>
    <t xml:space="preserve">Riesgos de corrupción: Se hace una revisión general de los riesgos de corrupción y por el momento, no se generan cambios sobre dichos riesgos. No se generan cambios dado que por la gestión del cambio SIG-PEI, se realizará revisión nuevamente de los riesgos para aplicar los cambios o actualizaciones que correspondan. 
Se realiza la aprobación de los riesgos de corrupción dando cumplimiento a los lineamientos establecidos en el DAFP en la revisión y aprobación de los riesgos de corrupción antes del 31 de enero de cada vigencia. </t>
  </si>
  <si>
    <t>CIGD # 01 del 2024-01-25</t>
  </si>
  <si>
    <t>Correo enviado por Jose Alvaro Bermudez Aguila, Sec. General INM, el día 2023-03-27</t>
  </si>
  <si>
    <t xml:space="preserve">Riesgos de proceso: Se incluye el riesgo A04-R05 para el proceso de talento humano. </t>
  </si>
  <si>
    <t>CIGD # 10 del 2023-07-18</t>
  </si>
  <si>
    <t>Cambios: Correo enviado por Isabel Cristina Gonzalez el 2023-04-21</t>
  </si>
  <si>
    <t>Riesgos de proceso
Cambio 1:
Se incluye el riesgo M01-R10 para el proceso de servicios de calibración y medición metrológica. 
Cambio 2: 
- Se ajusta el cargo responsable de ejecutar el control # 2 del riesgo M01-R1</t>
  </si>
  <si>
    <t xml:space="preserve">CIGD # 6 del 2023-04-25 </t>
  </si>
  <si>
    <t xml:space="preserve">Cambio 1: Correo enviado por Isabel Cristina González el 2023-01-26
Cambio 2: Correo enviado por Isabel Cristina González el 2023-01-26
Cambios 3 y 4: Identificado por Linda Karina Petro Profesional Universitario 2044-09 de la Oficina Asesora de Planeación. </t>
  </si>
  <si>
    <t>Riesgos de corrupción
Cambio 1:
Se incluye el riesgo M01-RC03 para el proceso de servicios de calibración y medición metrológica. 
Cambio 2: 
- Se realizan ajustes sobre los riesgos M01-RC01, M01-RC02 en cuanto a sus controles y actividades de control. 
Cambio 3: 
Se cambia la redacción de todos los riesgos, ajustándolo a lo establecido en el numeral 2.2 Identificación de riesgos EJEMPLO 2.2.1 Técnicas para la redacción de riesgos y en el Formato de descripción del riesgo de corrupción (página 31); de la guía para la administración del riesgo y el diseño de controles en entidades públicas riesgos de gestión, de corrupción y seguridad digital V4 (Octubre 2018)
Cambio 4: Se actualizan las referencias cruzadas de algunos procedimientos o documentos del SIG mencionados en los controles para algunos riesgos de los procesos A-08 y A-07</t>
  </si>
  <si>
    <t>CIGD # 2 del 2023-01-26</t>
  </si>
  <si>
    <t xml:space="preserve">Cambio 1: Correo enviado por Jeimi Medina Walteros el 2022-12-28
Cambios 2 y 3: Correo enviado por Martha Ximena Martínez el 2022-12-19
Cambio 4: Correo enviado por Jeimi Medina Walteros el 2022-12-28
Cambio 5: Correo enviado por Adriana del Pilar Dominguez el 2022-12-27
</t>
  </si>
  <si>
    <t xml:space="preserve">Riesgos de corrupción
Cambio 1:
- Se elimina el riesgo A01-RC02 del proceso Gestión Financiera, dado que la actividad relacionada con el arqueo de títulos valores no se realiza en el instituto.
- Se actualiza la fecha de ejecución del plan de acción para el riesgo A01-RC02. 
Cambio 2: 
- Se cambia el riesgo A04-RC01 de manera general en cuanto a la descripción y plan de acción para la vigencia 2023. 
Riesgos de procesos
Se realizó modificación de:
- Plan de acción para los riesgos A04-R1 y  A04-R3 para la vigencia 2023. (Cambio 3)
- Redacción en el control 1 del riesgo A06-R1. Para el riesgo A06-R2, se agrega el control 2 con su respectiva evaluación y acciones para abordar para ambos riesgos mencionados. (Cambio 4)
- Redacción del primer control para los riesgos A02-R1 y A02-R2. Asi mismo se actualizaron los planes de acción para la vigencia 2023. (Cambio 5)
JUSTIFICACIÓN: 
Se realizan los cambios en la matriz de riesgos para la vigencia 2023 dada la revisión de los mismos por parte de los procesos en el último bimestre del año 2022. </t>
  </si>
  <si>
    <t xml:space="preserve">CIGD # 25 del 2022-12-30 </t>
  </si>
  <si>
    <t>Se realiza el cambio dada la oportunidad de mejora #125</t>
  </si>
  <si>
    <t>Riesgos de procesos
Se cambia la tipología del riesgo M03-R4, pasando de "imparcialidad" a tipo de riesgo "Operativo"</t>
  </si>
  <si>
    <t xml:space="preserve">CIGD extraordinario #21 del 2022-11-30 </t>
  </si>
  <si>
    <t xml:space="preserve">Se realiza la inclusión de los riesgos dado que se gestionan las Oportunidad de mejora No. 191 para dar cumplimiento al criterio 43 de la dimensión 7 control interno de MIPG y la Oportunidad de Mejora 67. </t>
  </si>
  <si>
    <t>Riesgos de procesos
Se realizó inclusión de: 
- 1 riesgo (E01-R8) para el proceso de direccionamiento estratégico y planeación
- 1 riesgo (A02-R2) para el proceso de defensa judicial y extrajudicial 
- 1 riesgo (A07-R4) para el proceso de contratación y adquisición de bienes y servicios
- 1 riesgo (A04-R4) para el proceso de gestión del talento humano</t>
  </si>
  <si>
    <t>CIGD #17 del 2022-09-29</t>
  </si>
  <si>
    <t>2022-07-19 Gerardo Porras Rueda, Subdirector de Servicios Metrológicos y Relación con el Ciudadano (Reunión de manera presencial programada a las 10:00 h)
2022-06-28 Luis G Mieles B, Jefe Oficina Informática Desarrollo Tecnológico (asunto: Re: MATRIZ DE RIESGOS DE TI)</t>
  </si>
  <si>
    <t xml:space="preserve">Riesgos de procesos
Se realizó modificación de:
- 4 riesgos (M06-R1, M06-R2, M06-R3, M06-R4) para el proceso de red Colombiana de Metrología. 
- Análisis de riesgo inherente del A06-R2.
Se realizó inclusión de: 
- 16 riesgos (E05-R1, E05-R2, E05-R3, E05-R4, E05-R5, E05-R6, E05-R7, E05-R8, E05-R9, E05-R10, E05-R11, E05-R12, E05-R13, E05-R14, E05-R15 y E05-R16) para el proceso de Gestión de las Tecnologías de la Información. De los 16 riesgos aprobados, 14 riesgos son de proceso y 2 de seguridad de la información (E05-R04 y E05-R07). 
</t>
  </si>
  <si>
    <t>CIGD #13 del 2022-07-29</t>
  </si>
  <si>
    <t>2022-05-13 Gerardo Porras Rueda, Subdirector de Servicios Metrológicos y Relación con el Ciudadano (asunto: Re: Riesgos para revisión)
2022-05-05: Linda Karina Eulegelo, Profesional Universitario 11 (asunto: Re: Seguimiento riesgos - Primer cuatrimestre 2022 (Mayo 4))
2022-05-19: Juan Alberto Lopez Piraneque, Profesional Especializado (asunto: MATRIZ RIESGO ANTICORRUPCION)</t>
  </si>
  <si>
    <t xml:space="preserve">Riesgos de procesos
Se realizó modificación de:
- 9 riesgos (M05-R1, M05-R2, M05-R3, M05-R4, M05-R5, M05-R6, M05-R7, M05-R8 y M05-R9) para el proceso de ensayos de aptitud. 
- 3 riesgos (M04-R1, M04-R2, M04-R3) para el proceso de asistencia técnica. 
- 3 riesgos (M07-R1, M07-R2, M07-R3) para el proceso de Investigación, Desarrollo e Innovación.
Se realizó inclusión de: 
- 2 riesgos (A05-R3, A05-R4) para el proceso de servicios administrativos (Sistema de gestión ambiental)
Riesgos de corrupción
Se realizó inclusión de: 
- 1 riesgo (M04-RC01) para el proceso de asistencia técnica. 
-  Control #2 del riesgo M05-RC01 para el proceso de ensayos de aptitud. 
Se realizó modificación de:
- Control del #2 del riesgo A01-RC03 para el proceso de gestión financiera. </t>
  </si>
  <si>
    <t>CIGD #9 del 2022-05-25</t>
  </si>
  <si>
    <t>2022-04-22 Xavier Alhim Gómez Sarmiento, Subdirector SMF-INM (asunto: Inclusión del riesgo M8R7 y ajuste con adición de control al riesgo M8R6, para aprobación CIGD)</t>
  </si>
  <si>
    <t xml:space="preserve">Riesgos de procesos
Se realizó inclusión del riesgo M08-R7 y control #4 para el riesgo M08-R6 para el proceso de Gestión de patrones nacionales y sistemas de medición. </t>
  </si>
  <si>
    <t>CIGD #7 del 2022-04-29</t>
  </si>
  <si>
    <t>Instrucciones diligenciamiento - Mapa de Riesgos de gestión</t>
  </si>
  <si>
    <r>
      <rPr>
        <sz val="11"/>
        <color rgb="FF000000"/>
        <rFont val="Verdana"/>
      </rP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1"/>
        <color rgb="FFE36C09"/>
        <rFont val="Verdana"/>
      </rPr>
      <t>Guía para la Administración del Riesgo y el diseño de controles V6</t>
    </r>
    <r>
      <rPr>
        <sz val="11"/>
        <color rgb="FF000000"/>
        <rFont val="Verdana"/>
      </rPr>
      <t>. El formato cuenta con celdas parametrizadas y permite contar con los respectivos mapas de calor para riesgo inherente y riesgo residual.</t>
    </r>
  </si>
  <si>
    <t>Orientaciones Generales</t>
  </si>
  <si>
    <r>
      <rPr>
        <sz val="11"/>
        <color rgb="FF000000"/>
        <rFont val="Verdana"/>
      </rPr>
      <t xml:space="preserve">Antes de iniciar con el diligenciamiento de la información en la matriz, se requiere haber avanzado en el análisis del </t>
    </r>
    <r>
      <rPr>
        <b/>
        <sz val="11"/>
        <color rgb="FF000000"/>
        <rFont val="Verdana"/>
      </rPr>
      <t>proceso, su objetivo, alcance, actividades clave</t>
    </r>
    <r>
      <rPr>
        <sz val="11"/>
        <color rgb="FF000000"/>
        <rFont val="Verdana"/>
      </rPr>
      <t xml:space="preserve">, considere los lineamientos establecidos en el </t>
    </r>
    <r>
      <rPr>
        <b/>
        <sz val="11"/>
        <color rgb="FFE36C09"/>
        <rFont val="Verdana"/>
      </rPr>
      <t>Paso 2: identificación del riesgo</t>
    </r>
    <r>
      <rPr>
        <sz val="11"/>
        <color rgb="FF000000"/>
        <rFont val="Verdana"/>
      </rPr>
      <t xml:space="preserve">, donde se explica ampliamente las bases para adelanter este análisis.
Así mismo, considere en el </t>
    </r>
    <r>
      <rPr>
        <b/>
        <sz val="11"/>
        <color rgb="FFE36C09"/>
        <rFont val="Verdana"/>
      </rPr>
      <t>Paso 3: valoración del riesgo</t>
    </r>
    <r>
      <rPr>
        <sz val="11"/>
        <color rgb="FF000000"/>
        <rFont val="Verdana"/>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rgb="FFE36C09"/>
        <rFont val="Verdana"/>
      </rPr>
      <t>NOTA:</t>
    </r>
    <r>
      <rPr>
        <sz val="11"/>
        <color rgb="FF000000"/>
        <rFont val="Verdana"/>
      </rPr>
      <t xml:space="preserve"> Si lo considera pertinente, es posible agregar hojas de trabajo adicionales al presente formato que permitan incluir la traza de estos análisis.</t>
    </r>
  </si>
  <si>
    <r>
      <t xml:space="preserve">El archivo contiene las siguientes hojas:
-   </t>
    </r>
    <r>
      <rPr>
        <b/>
        <sz val="11"/>
        <color theme="1"/>
        <rFont val="Verdana"/>
        <family val="2"/>
      </rPr>
      <t>Hoja Inst. riesgos procesos.</t>
    </r>
    <r>
      <rPr>
        <sz val="11"/>
        <color theme="1"/>
        <rFont val="Verdana"/>
        <family val="2"/>
      </rPr>
      <t xml:space="preserve">
 -  </t>
    </r>
    <r>
      <rPr>
        <b/>
        <sz val="11"/>
        <color theme="1"/>
        <rFont val="Verdana"/>
        <family val="2"/>
      </rPr>
      <t xml:space="preserve">Hoja Matriz de procesos: </t>
    </r>
    <r>
      <rPr>
        <sz val="11"/>
        <color theme="1"/>
        <rFont val="Verdana"/>
        <family val="2"/>
      </rPr>
      <t>Encontrará la totalidad de la estructura para la identificación y valoración de los riesgos por proceso, acorde con el nivel de desagregación que la entidad considere necesaria.</t>
    </r>
  </si>
  <si>
    <t>Columna</t>
  </si>
  <si>
    <t>Descripción - Lineamientos para el diligenciamiento</t>
  </si>
  <si>
    <t>Referencia</t>
  </si>
  <si>
    <t xml:space="preserve">Permite definir un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</si>
  <si>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Proceso</t>
  </si>
  <si>
    <t>Seleccione el nombre del proceso al cual se le identificarán y valorarán los riesgos.</t>
  </si>
  <si>
    <t>Objetivo</t>
  </si>
  <si>
    <t>Se toma como referencia el objetivo del proceso.</t>
  </si>
  <si>
    <t>Alcance</t>
  </si>
  <si>
    <t>Se toma como referencia el alcance del proceso.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</si>
  <si>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</si>
  <si>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</si>
  <si>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</si>
  <si>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</si>
  <si>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</si>
  <si>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</si>
  <si>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la guía, inicia con </t>
    </r>
    <r>
      <rPr>
        <b/>
        <sz val="9"/>
        <color rgb="FFE36C09"/>
        <rFont val="Verdana"/>
        <family val="2"/>
      </rPr>
      <t>POSIBILIDAD DE + Impacto para la entidad (Qué) + Causa Inmediata (Cómo) + Causa Raíz (Por qué)</t>
    </r>
  </si>
  <si>
    <t>Clasificación del Riesgo</t>
  </si>
  <si>
    <t>Utilice la lista de despligue que se encuentra parametrizada, le aparecerán las opciones: i)Daños Activos Físicos, ii)Ejecución y Administración de procesos, iii)Fallas tecnológicas, iv)Fraude Externo, v)Fraude Interno, vi)Relaciones laborales, vii)Usuarios, productos y prácticas organizacionales.</t>
  </si>
  <si>
    <t>Tipo de riesgo</t>
  </si>
  <si>
    <t>Utilice la lista de despligue que se encuentra parametrizada, le aparecerán las opciones:  Estratégico, operativo, financiero, tecnológico, cumplimiento, confidencialidad, imparcialidad, fraude, fiscal.</t>
  </si>
  <si>
    <t>Frecuencia con la cual se lleva a cabo la actividad</t>
  </si>
  <si>
    <t>Defina el # de veces que se ejecuta la actividad durante el año, (Recuerde la probabilidad de ocurrencia del riesgo se define como el No. de veces que se pasa por el punto de riesgo en el periodo de 1 año). La matriz automáticamente hará el cálculo para el nivel de probabilidad inherente (Columnas M,N)</t>
  </si>
  <si>
    <t>Criterios de Impacto</t>
  </si>
  <si>
    <t>Utilice la lista de despligue que se encuentra parametrizada, le aparecerán las opciones de la tabla de Impacto en la Hoja 6 del presente documento. La matriz automáticamente hará el cálculo para el nivel de impacto inherente (Columnas Q,R)</t>
  </si>
  <si>
    <t>Zona de Riesgo Inherente</t>
  </si>
  <si>
    <t xml:space="preserve">Teniendo en cuenta que ingresó la información de PROBABILIDAD e IMPACTO, la matriz automáticamente hará el cálculo para la zona de riesgo inherente. </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</si>
  <si>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</si>
  <si>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rgb="FFE36C09"/>
        <rFont val="Verdana"/>
        <family val="2"/>
      </rPr>
      <t>Responsable de ejecutar el control + Acción + Complemento</t>
    </r>
  </si>
  <si>
    <t>Afectación</t>
  </si>
  <si>
    <t xml:space="preserve">Esta casilla no se diligencia, depende de la selección en la columna W. </t>
  </si>
  <si>
    <r>
      <t xml:space="preserve">ATRIBUTOS EFICIENCIA
</t>
    </r>
    <r>
      <rPr>
        <sz val="9"/>
        <color theme="1"/>
        <rFont val="Verdana"/>
        <family val="2"/>
      </rPr>
      <t>Tipo</t>
    </r>
  </si>
  <si>
    <t>Utilice la lista de despligue que se encuentra parametrizada, le aparecerán las opciones: i)Preventivo, ii)Detectivo, iii)Correctivo.</t>
  </si>
  <si>
    <r>
      <t xml:space="preserve">ATRIBUTOS EFICIENCIA
</t>
    </r>
    <r>
      <rPr>
        <sz val="9"/>
        <color theme="1"/>
        <rFont val="Verdana"/>
        <family val="2"/>
      </rPr>
      <t>Implementación</t>
    </r>
  </si>
  <si>
    <t>Utilice la lista de despligue que se encuentra parametrizada, le aparecerán las opciones: i)Automático, ii)Manual.</t>
  </si>
  <si>
    <r>
      <t xml:space="preserve">ATRIBUTOS EFICIENCIA
</t>
    </r>
    <r>
      <rPr>
        <sz val="9"/>
        <color theme="1"/>
        <rFont val="Verdana"/>
        <family val="2"/>
      </rPr>
      <t>Calificación</t>
    </r>
  </si>
  <si>
    <t xml:space="preserve">La matriz automáticamente hará el cálculo para el control analizado. </t>
  </si>
  <si>
    <r>
      <t xml:space="preserve">ATRIBUTOS INFORMATIVOS
</t>
    </r>
    <r>
      <rPr>
        <sz val="9"/>
        <color theme="1"/>
        <rFont val="Verdana"/>
        <family val="2"/>
      </rPr>
      <t>Documentación</t>
    </r>
  </si>
  <si>
    <t>Utilice la lista de despligue que se encuentra parametrizada, le aparecerán las opciones: i)Documentado, ii)Sin documentar.</t>
  </si>
  <si>
    <r>
      <t xml:space="preserve">ATRIBUTOS INFORMATIVOS
</t>
    </r>
    <r>
      <rPr>
        <sz val="9"/>
        <color theme="1"/>
        <rFont val="Verdana"/>
        <family val="2"/>
      </rPr>
      <t>Frecuencia</t>
    </r>
  </si>
  <si>
    <t>Utilice la lista de despligue que se encuentra parametrizada, le aparecerán las opciones: i)Continua, ii)Aleatoria.</t>
  </si>
  <si>
    <r>
      <t xml:space="preserve">ATRIBUTOS INFORMATIVOS
</t>
    </r>
    <r>
      <rPr>
        <sz val="9"/>
        <color theme="1"/>
        <rFont val="Verdana"/>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</si>
  <si>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</si>
  <si>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</si>
  <si>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rgb="FFE36C09"/>
        <rFont val="Verdana"/>
        <family val="2"/>
      </rPr>
      <t xml:space="preserve"> nivel de riesgo inherente</t>
    </r>
    <r>
      <rPr>
        <sz val="9"/>
        <color theme="1"/>
        <rFont val="Verdana"/>
        <family val="2"/>
      </rPr>
      <t>.</t>
    </r>
  </si>
  <si>
    <t>Tratamiento</t>
  </si>
  <si>
    <t>Utilice la lista de despligue que se encuentra parametrizada, le aparecerán las opciones: i)Aceptar, ii)Evitar, iii)Reducir (compartir), iv)Reducir (mitigar).</t>
  </si>
  <si>
    <r>
      <t xml:space="preserve">Plan de Acción (acciones para abordar riesgos)
</t>
    </r>
    <r>
      <rPr>
        <sz val="9"/>
        <color theme="1"/>
        <rFont val="Verdana"/>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</si>
  <si>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</si>
  <si>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Indicador clave de riesgo</t>
  </si>
  <si>
    <t xml:space="preserve">Se formulan los indicadores clave de riesgo (KRI por sus siglas en ingles) que permitan monitorear el cumplimiento (eficacia) e impacto (efectividad) de las actividades de control, siempre y cuando conduzcan a la toma de decisiones (Por riesgo identificado en los procesos).	</t>
  </si>
  <si>
    <t>Seguimientos (primera segunda y tercera línea de defensa)</t>
  </si>
  <si>
    <t xml:space="preserve">Por último, se registra el seguimiento de las tres líneas de defensa del INM.
Para la primera línea de defensa (columnas AP-AS, BC-BF, BP-BS y CC-CF) y la segunda línea de defensa (columnas AU-AW, BH-BJ, BU-BW y CH-CJ), el seguimiento se realiza trimestralmente para cada riesgo. Este seguimiento se basa en las preguntas que se encuentran en cada celda, las cuales sirven como guía para el análisis de los riesgos y sus respectivos controles. Se registra la fecha de seguimiento, el nombre de quien lo realiza, una descripción del cumplimiento de la ejecución del control, evidencia y/o observaciones, y si el riesgo se materializa o no.
En cuanto a la tercera línea de defensa, el seguimiento se lleva a cabo de acuerdo con el plan de auditoría de control interno. Este segumiento se registra seguido de los seguimientos de primera y segunda línea de defensa. </t>
  </si>
  <si>
    <r>
      <t xml:space="preserve"> -</t>
    </r>
    <r>
      <rPr>
        <sz val="11"/>
        <color theme="1"/>
        <rFont val="Verdana"/>
        <family val="2"/>
      </rPr>
      <t xml:space="preserve"> </t>
    </r>
    <r>
      <rPr>
        <b/>
        <sz val="11"/>
        <color theme="1"/>
        <rFont val="Verdana"/>
        <family val="2"/>
      </rPr>
      <t xml:space="preserve"> Hoja Matriz de Calor Inherente: </t>
    </r>
    <r>
      <rPr>
        <sz val="11"/>
        <color theme="1"/>
        <rFont val="Verdana"/>
        <family val="2"/>
      </rPr>
      <t xml:space="preserve"> En esta hoja, en la medida en que ese diligencia el Mapa Final, se verán reflejados los riesgos en su zona correspondiente. Esta hoja no se diligencia, se genera de manera automática.</t>
    </r>
  </si>
  <si>
    <r>
      <t xml:space="preserve"> -</t>
    </r>
    <r>
      <rPr>
        <sz val="11"/>
        <color theme="1"/>
        <rFont val="Verdana"/>
        <family val="2"/>
      </rPr>
      <t xml:space="preserve"> </t>
    </r>
    <r>
      <rPr>
        <b/>
        <sz val="11"/>
        <color theme="1"/>
        <rFont val="Verdana"/>
        <family val="2"/>
      </rPr>
      <t xml:space="preserve"> Hoja Matriz de Calor Residual: </t>
    </r>
    <r>
      <rPr>
        <sz val="11"/>
        <color theme="1"/>
        <rFont val="Verdana"/>
        <family val="2"/>
      </rPr>
      <t>En esta hoja, en la medida en que ese diligencia el Mapa Final, se verán reflejados los riesgos en su zona correspondiente. Esta hoja no se diligencia, se genera de manera automática.</t>
    </r>
  </si>
  <si>
    <r>
      <t xml:space="preserve"> -</t>
    </r>
    <r>
      <rPr>
        <sz val="11"/>
        <color theme="1"/>
        <rFont val="Verdana"/>
        <family val="2"/>
      </rPr>
      <t xml:space="preserve"> </t>
    </r>
    <r>
      <rPr>
        <b/>
        <sz val="11"/>
        <color theme="1"/>
        <rFont val="Verdana"/>
        <family val="2"/>
      </rPr>
      <t xml:space="preserve"> Hoja Tabla de probabilidad: </t>
    </r>
    <r>
      <rPr>
        <sz val="11"/>
        <color theme="1"/>
        <rFont val="Verdana"/>
        <family val="2"/>
      </rPr>
      <t>Tabla referente para todos los cálculos (no se diligencia)</t>
    </r>
  </si>
  <si>
    <r>
      <t xml:space="preserve"> -</t>
    </r>
    <r>
      <rPr>
        <sz val="11"/>
        <color theme="1"/>
        <rFont val="Verdana"/>
        <family val="2"/>
      </rPr>
      <t xml:space="preserve"> </t>
    </r>
    <r>
      <rPr>
        <b/>
        <sz val="11"/>
        <color theme="1"/>
        <rFont val="Verdana"/>
        <family val="2"/>
      </rPr>
      <t xml:space="preserve"> Hoja Tabla de Impacto: </t>
    </r>
    <r>
      <rPr>
        <sz val="11"/>
        <color theme="1"/>
        <rFont val="Verdana"/>
        <family val="2"/>
      </rPr>
      <t>Tabla referente para todos los cálculos (no se diligencia)</t>
    </r>
  </si>
  <si>
    <r>
      <t xml:space="preserve"> -</t>
    </r>
    <r>
      <rPr>
        <sz val="11"/>
        <color theme="1"/>
        <rFont val="Verdana"/>
        <family val="2"/>
      </rPr>
      <t xml:space="preserve"> </t>
    </r>
    <r>
      <rPr>
        <b/>
        <sz val="11"/>
        <color theme="1"/>
        <rFont val="Verdana"/>
        <family val="2"/>
      </rPr>
      <t xml:space="preserve"> Hoja Tabla de Valoración de Controles: </t>
    </r>
    <r>
      <rPr>
        <sz val="11"/>
        <color theme="1"/>
        <rFont val="Verdana"/>
        <family val="2"/>
      </rPr>
      <t>Tabla referente para todos los cálculos (no se diligencia)</t>
    </r>
  </si>
  <si>
    <t>Identificación del riesgo</t>
  </si>
  <si>
    <t>Análisis del riesgo inherente</t>
  </si>
  <si>
    <t>Evaluación del riesgo - Valoración de los controles</t>
  </si>
  <si>
    <t>Evaluación del riesgo - Nivel del riesgo residual</t>
  </si>
  <si>
    <t>Plan de Acción (acciones para abordar riesgos)</t>
  </si>
  <si>
    <t>SEGUIMIENTO PRIMER TRIMESTRE - PRIMERA LÍNEA DE DEFENSA (Líderes de proceso)</t>
  </si>
  <si>
    <t>SEGUIMIENTO PRIMER TRIMESTRE - SEGUNDA LÍNEA DE DEFENSA (Oficina asesora de planeación)</t>
  </si>
  <si>
    <t>SEGUIMIENTO PRIMER TRIMESTRE - TERCERA LÍNEA DE DEFENSA (Oficina de control interno)</t>
  </si>
  <si>
    <t>SEGUIMIENTO SEGUNDO TRIMESTRE - PRIMERA LÍNEA DE DEFENSA (Líderes de proceso)</t>
  </si>
  <si>
    <t>SEGUIMIENTO SEGUNDO TRIMESTRE - SEGUNDA LÍNEA DE DEFENSA (Oficina asesora de planeación)</t>
  </si>
  <si>
    <t>SEGUIMIENTO SEGUNDO TRIMESTRE - TERCERA LÍNEA DE DEFENSA (Oficina de control interno)</t>
  </si>
  <si>
    <t>SEGUIMIENTO TERCER TRIMESTRE - PRIMERA LÍNEA DE DEFENSA (Líderes de proceso)</t>
  </si>
  <si>
    <t>SEGUIMIENTO TERCER TRIMESTRE - SEGUNDA LÍNEA DE DEFENSA (Oficina asesora de planeación)</t>
  </si>
  <si>
    <t>SEGUIMIENTO TERCER TRIMESTRE - TERCERA LÍNEA DE DEFENSA (Oficina de control interno)</t>
  </si>
  <si>
    <t>SEGUIMIENTO ÚLTIMO TRIMESTRE - PRIMERA LÍNEA DE DEFENSA (Líderes de proceso)</t>
  </si>
  <si>
    <t>SEGUIMIENTO ÚLTIMO TRIMESTRE - SEGUNDA LÍNEA DE DEFENSA (Oficina asesora de planeación)</t>
  </si>
  <si>
    <t>SEGUIMIENTO ÚLTIMO TRIMESTRE - TERCERA LÍNEA DE DEFENSA (Oficina de control interno)</t>
  </si>
  <si>
    <t>Código</t>
  </si>
  <si>
    <r>
      <t xml:space="preserve">Impacto  
¿Qué?:
</t>
    </r>
    <r>
      <rPr>
        <sz val="11"/>
        <color theme="1"/>
        <rFont val="Verdana"/>
        <family val="2"/>
      </rPr>
      <t xml:space="preserve">Las consecuencias que puede ocasionar al INM materialización del riesgo. </t>
    </r>
  </si>
  <si>
    <r>
      <t xml:space="preserve">Descripción del Riesgo: 
</t>
    </r>
    <r>
      <rPr>
        <sz val="11"/>
        <color theme="1"/>
        <rFont val="Verdana"/>
        <family val="2"/>
      </rPr>
      <t>Posibilidad de afectación (impacto) sobre los objetivos del INM, debido a eventos potenciales.</t>
    </r>
  </si>
  <si>
    <r>
      <t xml:space="preserve">Causa inmediata ¿Cómo?:
</t>
    </r>
    <r>
      <rPr>
        <sz val="11"/>
        <color rgb="FF000000"/>
        <rFont val="Verdana"/>
        <family val="2"/>
      </rPr>
      <t>Circunstancias bajo las cuales se presenta el riesgo, pero no
constituyen la causa principal o base para que se presente el riesgo.</t>
    </r>
  </si>
  <si>
    <r>
      <t xml:space="preserve">Causa raíz 
¿Por qué?: 
</t>
    </r>
    <r>
      <rPr>
        <sz val="11"/>
        <color theme="1"/>
        <rFont val="Verdana"/>
        <family val="2"/>
      </rPr>
      <t>Causa principal o básica,
corresponde a las razones por la cual se puede presentar el riesgo</t>
    </r>
    <r>
      <rPr>
        <b/>
        <sz val="11"/>
        <color theme="1"/>
        <rFont val="Verdana"/>
        <family val="2"/>
      </rPr>
      <t>.</t>
    </r>
  </si>
  <si>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</si>
  <si>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</si>
  <si>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</si>
  <si>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</si>
  <si>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</si>
  <si>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</si>
  <si>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</si>
  <si>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</si>
  <si>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</si>
  <si>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</si>
  <si>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</si>
  <si>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</si>
  <si>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Descripción de la acción</t>
  </si>
  <si>
    <t>Soporte</t>
  </si>
  <si>
    <t>Responsable</t>
  </si>
  <si>
    <t>Fecha Implementación</t>
  </si>
  <si>
    <t xml:space="preserve">Referencia </t>
  </si>
  <si>
    <t>Objetivo del proceso</t>
  </si>
  <si>
    <t>Alcance del proceso</t>
  </si>
  <si>
    <t>Tipo</t>
  </si>
  <si>
    <t>Implementación</t>
  </si>
  <si>
    <t>Calificación</t>
  </si>
  <si>
    <t>Documentación</t>
  </si>
  <si>
    <t>Frecuencia</t>
  </si>
  <si>
    <t>Evidencia</t>
  </si>
  <si>
    <t>Fecha de
seguimiento
(AAAA-MM-DD)</t>
  </si>
  <si>
    <t>Responsable del
seguimiento</t>
  </si>
  <si>
    <t>Descripción del cumplimiento de ejecución del control, evidencia y/o observaciones</t>
  </si>
  <si>
    <t>¿El riesgo se materializó?</t>
  </si>
  <si>
    <t>Fuente (generó la materialización)</t>
  </si>
  <si>
    <t>Número de acción en Isolución o número del PM de SISPEM</t>
  </si>
  <si>
    <t>E01-R1</t>
  </si>
  <si>
    <t>(E-01)
Direccionamiento Estratégico y Planeación</t>
  </si>
  <si>
    <t>Reputacional</t>
  </si>
  <si>
    <t>Posibilidad de afectación reputacional por reporte de información no veraz debido a debilidades en el seguimiento a los proyectos de inversión públicos</t>
  </si>
  <si>
    <t>Reporte de información no veraz</t>
  </si>
  <si>
    <t>Debilidades en el seguimiento a los proyectos de inversión públicos</t>
  </si>
  <si>
    <t>Ejecución y Administración de procesos</t>
  </si>
  <si>
    <t>Estratégico</t>
  </si>
  <si>
    <t>El riesgo afecta la imagen de la entidad con algunos usuarios de relevancia frente al logro de los objetivos</t>
  </si>
  <si>
    <t>Menor</t>
  </si>
  <si>
    <t xml:space="preserve">El Profesional de la OAP con el rol de Control Técnico en Proyectos de Inversión Públicos, valida que la información reportada por los Gerentes de proyecto en el SPI del avance en las metas establecidas, sea veraz y coherente. </t>
  </si>
  <si>
    <t>Preventivo</t>
  </si>
  <si>
    <t>Manual</t>
  </si>
  <si>
    <t>Sin Documentar</t>
  </si>
  <si>
    <t>Continua</t>
  </si>
  <si>
    <t>Con Registro</t>
  </si>
  <si>
    <t>Reducir (mitigar)</t>
  </si>
  <si>
    <t>Luis Hernando Vargas Alfonso</t>
  </si>
  <si>
    <t>En el primer seguimiento trimestral de los avances de los proyectos en el plicativo PIIP, se evidenció que la SMF y OIDT deben verificar la focalización reportada en las políticas transversales, la SSMRC no realizó el reporte de avance correspondiente al mes de febrero, al indagar cual fue la situación presentada, manifistan por parte de la subdirección que el nuevo enlace pesupuestal aún se encuentra en la curva de prendizaje, la SMQB no evidencia el informe ejectuivo de segguimiento correspondiente el mes de febreo. Se solcita subsanar las anteriores nodedades tan pronto el DNP habilite todos los periodos. En relación al resto de proyectos no existió novedad. Se envía correo a todos los impicados para que tomen las medidas correspondientes.</t>
  </si>
  <si>
    <t xml:space="preserve">NO. Por favor diligencie las siguientes dos columnas indicando que No aplica </t>
  </si>
  <si>
    <t>No aplica</t>
  </si>
  <si>
    <t xml:space="preserve">Linda Karina Petro </t>
  </si>
  <si>
    <t>Revisado, se registran las novedades</t>
  </si>
  <si>
    <t xml:space="preserve">¿Se identificó alguna no conformidad por auditoría interna y/o auditoría externa?
¿Se identificó algún trabajo (salida) no conforme?
¿Hubo alguna PQRSD?
¿Hubo algún resultado en nivel aceptable o crítico en la medición de los indicadores de gestión de los procesos?
¿Se tiene evidencia del control ejecutado para los riesgos de nivel: alto o catastrófico?
¿Se presentaron observaciones, comentarios o hallazgos en las supervisiones de calidad y de PMR que ameriten que se materialice el riesgo?
¿Se identificó algún hallazgo para su proceso desde la auditoría de control interno?
¿Se identificó algún hallazgo con presunta incidencia fiscal identificados por el ente de control fiscal? 
¿Se presentó algún fallo con responsabilidad fiscal en firme relacionados con hechos de la entidad?  
¿Se presentó algún resultado desfavorable distinto a los mencionados anteriormente por lo cual se genere la materialización del riesgo dado este control implementado?
</t>
  </si>
  <si>
    <t>Luis Hernando Vargas</t>
  </si>
  <si>
    <t>Para el periodo Q2 se materializó el riesgo, dado que la SSMRC no realizó el reporte de avance del proyecto correspondiente al mes de abril en el aplicativo PIIP, es importante destacar, que en el mes de febrero se generó la misma situación la cual fue informada a la subdirección. El restante de proyectos se les recomienda a nivel general tener presente el periodo de entrega de evidencias</t>
  </si>
  <si>
    <t>SI. Por favor diligencie las siguientes dos columnas</t>
  </si>
  <si>
    <t>12. Autogestión (puede involucrar mejoras a los procesos). </t>
  </si>
  <si>
    <t>Acción correctiva 143</t>
  </si>
  <si>
    <t>Linda Karina Petro</t>
  </si>
  <si>
    <t>Se realizará seguimiento sobre las actividades que se establezcan en el plan de mejoramiento para dar tratamiento a esta acción correctiva por fuente autogestión, para validar que sean eficaces y eviten asi, nuevamente la materialización del riesgo</t>
  </si>
  <si>
    <t>Se realiza el seguimiento correspondiente al tercer trimestre 2025 a los 6 proyectos de inversión en el aplicativo PIIP, se evidencia que se realizó el reporte de avance a cada uno de los proyectos, se dieron algunas recomedaciones de manera general y se invita a ir realizando los ajustes necesarios con miras al cierre del periodo 2025</t>
  </si>
  <si>
    <t>Linda Karina Petro Martínez</t>
  </si>
  <si>
    <t>Luego de revisar la información registrada por el proceso, no se identifican novedades ni comentarios adicionales.
En relación con el riesgo materializado en el segundo trimestre, la SSMRC y la OAP han culminado el cargue del seguimiento con las actividades propuestas en la acción correctiva 143. Posteriormente, la OAP realizó la evaluación de eficacia y procedió con el cierre de dicha acción a través de Isolución.</t>
  </si>
  <si>
    <t>E01-R2</t>
  </si>
  <si>
    <t>Posibilidad de afectación reputacional por solicitud de CDP discordante con el plan anual de adquisiciones debido a que los proyectos de inversión no planifican todo lo que van a contratar en la vigencia.</t>
  </si>
  <si>
    <t>Solicitud de CDP discordante con el plan anual de adquisiciones</t>
  </si>
  <si>
    <t>No incluir en el plan anual de adquisiciones todo lo que se piensa contratar en la vigencia.</t>
  </si>
  <si>
    <t xml:space="preserve">El  Profesional de la OAP encargado de la revisión de CDP, valida la información reportada en la solicitud por el gerente del proyecto y lo contrasta con el plan anual de adquisiciones de la entidad, para que no se presente ninguna novedad  y así poder dar  continuidad  con los tramites correspondientes. </t>
  </si>
  <si>
    <t>Aleatoria</t>
  </si>
  <si>
    <t>Lorena Cubillos Barreto</t>
  </si>
  <si>
    <t>Para el periodo Q1 de 2025 entre los meses de Enero a Marzo no se materializó el riesgo relacionado con la afectación reputacional por las solicitudes de CDP discordantes con el plan anual de adquisiciones</t>
  </si>
  <si>
    <t>Revisado, sin novedad alguna.</t>
  </si>
  <si>
    <t>Lorena Cubillos</t>
  </si>
  <si>
    <t xml:space="preserve">Para el periodo Q2 no se materializo el riesgo asociado a la afectación reputacional por las solicitudes de CDP discordantes con el plan anual de adquisiciones discordante con el plan anual de adquisiciones </t>
  </si>
  <si>
    <t>Revisado, sin novedad o comentario alguno</t>
  </si>
  <si>
    <t xml:space="preserve">Para el periodo Q3 no se materializo el riesgo asociado a la afectación reputacional por las solicitudes de CDP discordantes con el plan anual de adquisiciones discordante con el plan anual de adquisiciones </t>
  </si>
  <si>
    <t>Luego de revisar la información registrada por el proceso, no se identifican novedades ni comentarios adicionales.</t>
  </si>
  <si>
    <t>E01-R3</t>
  </si>
  <si>
    <t xml:space="preserve">Posibilidad de afectación reputacional por reporte y análisis de información no veraz debido a que la información recopilada de las bases de datos no son corroboradas con las áreas </t>
  </si>
  <si>
    <t>Reporte y análisis de información no veraz</t>
  </si>
  <si>
    <t>Bases de datos no contrastadas con la información de las áreas</t>
  </si>
  <si>
    <t xml:space="preserve">     El riesgo afecta la imagen de la entidad internamente, de conocimiento general, nivel interno, de junta directiva y accionistas y/o de proveedores</t>
  </si>
  <si>
    <t xml:space="preserve">El Profesional de la OAP encargado de los informes estadísticos, valida la información reportada por la SSMRC y lo contrasta con la información de las áreas, para que esta sea coherente , veraz y así poder realizar el respectivo análisis, si se encuentran inconsistencias se registran en las observaciones del informe estadístico que se radica al área correspondiente. </t>
  </si>
  <si>
    <t>Correctivo</t>
  </si>
  <si>
    <t>Para el periodo Q1 de 2025 este riesgo no se mide debido a que el informe estadístico no se realizo por directrices de la Dirección General. La elaboración de este informe no genera ningún impacto en el proceso</t>
  </si>
  <si>
    <t>Para el periodo Q2 este riesgo no se mide debido a que el informe estadístico no se realizo por directrices de la Dirección General. La elaboración de este informe no genera ningún impacto en el proceso</t>
  </si>
  <si>
    <t>Para el periodo Q3 este riesgo no se mide debido a que el informe estadístico no se realizo por directrices de la Dirección General. La elaboración de este informe no genera ningún impacto en el proceso</t>
  </si>
  <si>
    <t>E01-R4</t>
  </si>
  <si>
    <t>Posibilidad de afectación reputacional por reporte de las tasas fuera de los tiempos establecidos debido a que la información para el cálculo de las tasas se recibe después del tiempo límite establecido en el instructivo</t>
  </si>
  <si>
    <t>Reporte de las tasas fuera de los tiempos establecidos</t>
  </si>
  <si>
    <t>La información para el cálculo de las tasas se recibe después del tiempo límite establecido en el instructivo.</t>
  </si>
  <si>
    <t xml:space="preserve">     El riesgo afecta la imagen de la entidad con algunos usuarios de relevancia frente al logro de los objetivos</t>
  </si>
  <si>
    <t>El Profesional de la OAP encargado de la realización del calculo de las tasas, solicita la información 30 días antes de la fecha establecida en el instructivo , para tener las tasas de los servicios aprobadas en los tiempos establecidos y así poder realizar la resolución de tasas.</t>
  </si>
  <si>
    <t>Sin Registro</t>
  </si>
  <si>
    <t>Esta actividad se realiza a apartir del mes de octubre, por lo tanto para el periodo Q1 de 2025 no se identifica la materialización del riesgo.</t>
  </si>
  <si>
    <t>La actividad relacionada con la elaboración del estudio de las tasas se realiza a apartir del mes de octubre, por lo tanto para el periodo Q2 no se identifica la materialización del riesgo.</t>
  </si>
  <si>
    <t>La actividad relacionada con la elaboración del estudio de las tasas se realiza a apartir del mes de octubre, por lo tanto para el periodo Q3 no se identifica la materialización del riesgo.</t>
  </si>
  <si>
    <t>E01-R5</t>
  </si>
  <si>
    <t>Posibilidad de afectación reputacional por la falta de formulación, ejecución, seguimiento y evaluación de los planes y acciones estratégicas del INM debido al incumplimiento de los requisitos documentados (internos y externos) para la planeación estratégica .</t>
  </si>
  <si>
    <t>* Incumplimiento de los requisitos documentados para la planeación estratégica (interno y externo).
- Falta de análisis por parte de la OAP de los lineamientos gubernamentales relacionados a la planeación estratégica.
- Falta de adopción de la metodología de planeación por parte del personal para formular actividades en el plan de acción y las iniciativas de la estrategia.
- Carencia de capacidades para la formulación, ejecución, seguimiento y evaluación de la planeación estratégica.
- Factores externos que afecten los recursos del INM y así, la ejecución de la planeación estratégica.</t>
  </si>
  <si>
    <t>Incumplimiento de los requisitos documentados (internos y externos) para la planeación estratégica.</t>
  </si>
  <si>
    <t xml:space="preserve">Control 1: Formular planes y acciones estrategicas en el INM.
Responsable: 	Líder del plan o acciones estratégicas.
Cómo se realiza la actividad: Los líderes de procesos del INM, en la formulación de la planeación estratégica los cuales, establecen las actividades y metas del plan de acción teniendo en cuenta lo establecido en el numeral 6.1 del procedimiento E-01-P-002 FORMULACIÓN, SEGUIMIENTO Y EVALUACIÓN DEL PLAN DE ACCIÓN ANUAL.
Propósito: Estructurar coherentemente al cumplimiento de los objetivos de la planeación estratégica. 
Periodicidad: Una vez al año.
Qué pasa con las observaciones o desviaciones: En caso de presentar falencias metodológicas en la formulación se solicitará al OAP asesoría metodológica. De igual manera, si en la revisión de la información metodologícamente algún ajustes en el plan, se realizan las observaciones correspondientes y se informa al proceso involucrado para el cambio respectivo.
Evidencia de la ejecución del control: E-01-F-008 FORMULACIÓN Y SEGUIMIENTO AL PLAN DE ACCIÓN.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</si>
  <si>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Documentado</t>
  </si>
  <si>
    <t xml:space="preserve">Actualización del procedmiento E-01-P-002 FORMULACIÓN, SEGUIMIENTO Y EVALUACIÓN DEL PLAN DE ACCIÓN ANUAL en su versión 5, en el numeral 7.4. </t>
  </si>
  <si>
    <t>E-01-P-002 FORMULACIÓN, SEGUIMIENTO Y EVALUACIÓN DEL PLAN DE ACCIÓN ANUAL, versión 5, disponible en Isolución</t>
  </si>
  <si>
    <t>Luis Angel Alberto Maestre Gutierrez</t>
  </si>
  <si>
    <t>*Realizar seguimiento al cumplimiento de las actividades de la planeación estratégica insitucional (PES,PEI,ID)
- Realizar seguimiento al cumplimiento de las actividades asociadas a los CONPES
- Avance de cumplimiento al Programa de Transparencia y Ética Pública permitiendo alcanzar las metas</t>
  </si>
  <si>
    <t>Para el periodo Q1 de 2025 entre los meses de Enero a Marzo no se materializó el riesgo relacionado con la formulación y publicación del plan de acción, ya que se realizó la tarea en términos definidos en la ley en la elaboración y publicación en consulta pública del plan acción anual de la entidad.</t>
  </si>
  <si>
    <t>Luego del ejercicio de planeación estratégica realizado en el primer trimestre de este año, se realiza la formulación y la publicación del plan de acción para el 2025 en los términos establecidos por ley. 
El plan de acción del INM se encuentra publicado en la página web del instituto: https://inm.gov.co/planeacion/plan-de-accion/</t>
  </si>
  <si>
    <t xml:space="preserve">En el periodo Q2 de la vigencia 2025 entre los meses de abril a junio no se materializó el riesgo relacionado con la posibilidad de afectación reputacional por la falta de formulación, ejecución, seguimiento y evaluación de los planes y acciones estratégicas del INM debido al incumplimiento de los requisitos documentados (internos y externos) para la planeación estratégica, lo anterior dado que se realizaron los controles mes a mes relacionados al riesgo.
</t>
  </si>
  <si>
    <t xml:space="preserve">En el periodo Q3 de la vigencia 2025 entre los meses de Julio a septiembre no se materializó el riesgo relacionado con la posibilidad de afectación reputacional por la falta de formulación, ejecución, seguimiento y evaluación de los planes y acciones estratégicas del INM debido al incumplimiento de los requisitos documentados (internos y externos) para la planeación estratégica, lo anterior dado que se realizaron los controles mes a mes relacionados al riesgo.
</t>
  </si>
  <si>
    <t xml:space="preserve">Control 2: Aprobar planes y acciones estrategicas del INM.
Responsable: 	Comité Institucional de Gestión y Desempeño (CIGD). 
Cómo se realiza la actividad: El Profesional especializado de la OAP presenta el plan de acción formulado ante el CIGD para la revisión y aprobación de este comité. 
Propósito: Asegurar la alineación estratégica de las actividades planteadas con los objetivos estratégicos. 
Periodicidad:  Una vez al año.
Qué pasa con las observaciones o desviaciones: Si el CIGD no aprueba el plan de acción, se ajustan los comentarios respectivos y se presenta nuevamente ante este comité. 
Evidencia de la ejecución del control: Acta Comité Institucional de Gestión y Desempeño (CIGD)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</si>
  <si>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Detectivo</t>
  </si>
  <si>
    <t>Luego de revisar la información registrada por el proceso, no se identifican novedades ni comentarios adicionales.
Vale la pena aclarar que el seguimiento de primera y segunda línea para el primer trimestre no se encuentra registrado dado que este riesgo fue actualizado para seguimiento de segundo trimestre, es decir, en el CIGD # 5 del 2025-06-18</t>
  </si>
  <si>
    <t xml:space="preserve">Control 3: Hacer seguimiento y modificaciones a planes y acciones estratégicas del INM. 
Responsable: 	Profesional especializado de la OAP
Cómo se realiza la actividad: Profesional especializado de la OAP realiza el  seguimiento mensual y trimestral a través del análisis de las evidencias enviadas por las áreas, verificando que sean coherentes y pertinentes con las actividades y entregables previamente establecidos en el plan de acción, teniendo en cuenta el numeral 6.2.2 del procedimiento E-01-P-002 FORMULACIÓN, SEGUIMIENTO Y EVALUACIÓN DEL PLAN DE ACCIÓN ANUAL.
Por otra parte, las áreas pueden solicitar a la OAP, modificaciones al plan de acción anual de manera trimestral como lo indica el numeral  6.3.1. del procedimiento E-01-P-002 FORMULACIÓN, SEGUIMIENTO Y EVALUACIÓN DEL PLAN DE ACCIÓN ANUAL
Propósito: Verificar la coherencia y pertinencia de la información.
Periodicidad: Trimestral.
Qué pasa con las observaciones o desviaciones: Si el profesional especializado de la OAP, encuentra incongruencias con las evidencias del seguimiento y de las modificaciones solicitadas,  envia correo electrónico informando al proceso como lo indica  el numeral 6.2.2. del procedimiento E-01-P-002 FORMULACIÓN, SEGUIMIENTO Y EVALUACIÓN DEL PLAN DE ACCIÓN ANUAL.
Evidencia de la ejecución del control: E-01-F-008 FORMULACIÓN Y SEGUIMIENTO AL PLAN DE ACCIÓN, E-01-F-011 SOLICITUD DE MODIFICACIÓN PLANEACIÓN ESTRATÉGICA, correo electrónico.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</si>
  <si>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 xml:space="preserve">Control 4: Aprobar el seguimiento y solicitudes de modificación a planes y acciones estratégicas del INM. 
Responsable: 	Comité Institucional de Gestión y Desempeño (CIGD). 
Cómo se realiza la actividad:  El profesional especializado de la OAP presenta el seguimiento y  solicitudes de modificaciónes para la aprobación ante el CIGD.
Propósito: Aprobar el seguimiento y  modificaciones a la planeación estratégica y acciones del INM. 
Periodicidad: Trimestral
Qué pasa con las observaciones o desviaciones:  Si se aprueba el seguimiento y los cambios solicitados por las áreas, se procede a realizar los cambios en el plan de acción.
 Si no se aprueban, se realizan los ajustes respectivos y se presenta nuevamente ante el CIGD.
Evidencia de la ejecución del control:  Presentación ejecutiva del seguimiento y las modificaciones en el  formato E-01-F-011 SOLICITUD DE MODIFICACIÓN PLANEACIÓN ESTRATÉGICA.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</si>
  <si>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 xml:space="preserve">Control 5: Revisar el cumplimiento de los planes y acciones estratégicas del INM. 
Responsable:	Profesional especializado de la OAP. 
Cómo se realiza la actividad: 	El profesional especializado de la OAP realiza y presenta ante el CIGD, el informe anual de seguimiento y evaluación del cumplimiento del PAA. Este informe se elabora como lo indica el numeral 6.4.1 en el procedimiento E-01-P-002 FORMULACIÓN, SEGUIMIENTO Y EVALUACIÓN DEL PLAN DE ACCIÓN ANUAL
Propósito: Evaluar la eficacia de las evidencias de la planeación estratégica y acciones del INM.. 
Periodicidad: Anual
Qué pasa con las observaciones o desviaciones: En el caso en que el profesional encuentra incongruencias con las evidencias durante la evaluación, puede programar mesas de trabajo con las áreas responsables cuando sea necesario, con la finalidad de un mejor entendimiento de estas incongruencias o mejoras a realizar.
Evidencia de la ejecución del control:  E-02-F-011 Modelo de Informe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</si>
  <si>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 xml:space="preserve">Control 6: Evaluar el cumplimiento de los planes y acciones estratégicas del INM. 
Responsable: Comité Institucional de Gestión y Desempeño (CIGD). 
Cómo se realiza la actividad: El profesional especializado de la OAP presenta el informe anual de seguimiento y evaluación del cumplimiento del PAA como lo indica el numeral 6.4.1 en el procedimiento E-01-P-002 FORMULACIÓN, SEGUIMIENTO Y EVALUACIÓN DEL PLAN DE ACCIÓN ANUAL
Propósito: Evaluar la eficacia de las evidencias de la planeación estratégica y acciones del INM.. 
Periodicidad: Anual
Qué pasa con las observaciones o desviaciones: Si se aprueba la evaluación de la planeación estratégica y acciones del INM el comité se da por enterado del cierre de la vigencia. 
 Si no se aprueban, se realizan los ajustes respectivos y se tienen en cuenta para la siguiente vigencia.
Evidencia de la ejecución del control:  E-02-F-011 Modelo de Informe
Documentado: 
E-01-P-006 - FORMULACIÓN, SEGUIMIENTO Y EVALUACIÓN DEL PLAN ESTRATÉGICO INSTITUCIONAL, PEI
E-01-P-005 - PARTICIPACIÓN Y SEGUIMIENTO CONPES
E-01-P-012 - FORMULACIÓN, SEGUIMIENTO Y EVALUACIÓN DE LOS PLANES Y/O PROGRAMAS INSTITUCIONALES
E-01-P-011 -  FORMULACIÓN, SEGUIMIENTO Y EVALUACIÓN DEL PROGRAMA DE TRANSPARENCIA Y ÉTICA PÚBLICA
E-01-P-002 FORMULACIÓN, SEGUIMIENTO Y EVALUACIÓN DEL PLAN DE ACCIÓN ANUAL
</t>
  </si>
  <si>
    <t>E01-R8</t>
  </si>
  <si>
    <t>Económico y Reputacional</t>
  </si>
  <si>
    <t>Posibilidad de afectación reputacional y económica por quejas de clientes internos o externos dado por fallas en la prestación del servicio por parte del INM debido a los posibles defectos de la toma de decisiones sin objetividad o imparcialidad por parte de la alta dirección.</t>
  </si>
  <si>
    <t xml:space="preserve">Presiones indebidas comerciales o financieras
Falta de lectura de la información enviada previa al CIGD por parte de los miembros. 
Falta de control de los votos en la aprobación o no de los temas presentados. </t>
  </si>
  <si>
    <t>Toma de decisiones sin objetividad o imparcialidad.</t>
  </si>
  <si>
    <t>Usuarios, productos y prácticas organizacionales</t>
  </si>
  <si>
    <t xml:space="preserve">     El riesgo afecta la imagen de de la entidad con efecto publicitario sostenido a nivel de sector administrativo, nivel departamental o municipal</t>
  </si>
  <si>
    <t>El jefe de la OAP o a quien designe, durante el comité, pone a consideración de cada integrante con voz y voto del CIGD, la aprobación o desaprobación del tema presentado en dicha reunión. 
Registro: Acta del CIGD.</t>
  </si>
  <si>
    <t>A corte del registro del seguimiento a este riesgo, no se ha presentado materialización del riesgo dado que no se identifica alguna fuente por la cual se puede generar materialización asociado a este control. (ejemplo, no se han llevado a cabo auditorías internas/externas, o presentado quejas). Adicionalmente, el control se ejecuta de manera satisfactoria para cada CIGD.</t>
  </si>
  <si>
    <t xml:space="preserve">No se realiza revisión por parte de segunda línea dado que no es adecuado ser juez y parte en los seguimientos a los riesgos siendo primera y segunda línea. </t>
  </si>
  <si>
    <t>Nubia Milena Rodríguez</t>
  </si>
  <si>
    <r>
      <rPr>
        <b/>
        <sz val="10"/>
        <color rgb="FF000000"/>
        <rFont val="Verdana"/>
        <family val="2"/>
      </rPr>
      <t xml:space="preserve">1. ¿Se identificó alguna no conformidad por auditoría interna y/o auditoría externa?
</t>
    </r>
    <r>
      <rPr>
        <sz val="10"/>
        <color rgb="FF000000"/>
        <rFont val="Verdana"/>
        <family val="2"/>
      </rPr>
      <t xml:space="preserve">Sí.  En la evaluación por pares, se identificó una no conformidad  (ID 178, ene/2024), asociada a la disponibilidad del servicio de calibración de fuerza, documentada en el sistema.
</t>
    </r>
    <r>
      <rPr>
        <b/>
        <sz val="10"/>
        <color rgb="FF000000"/>
        <rFont val="Verdana"/>
        <family val="2"/>
      </rPr>
      <t xml:space="preserve">2. ¿Se identificó algún trabajo (salida) no conforme?
</t>
    </r>
    <r>
      <rPr>
        <sz val="10"/>
        <color rgb="FF000000"/>
        <rFont val="Verdana"/>
        <family val="2"/>
      </rPr>
      <t>Sí. El servicio de calibración de fuerza (0.1 kN a 1.9 kN) fue ofertado en la página web como disponible, aunque</t>
    </r>
    <r>
      <rPr>
        <u/>
        <sz val="10"/>
        <color rgb="FF000000"/>
        <rFont val="Verdana"/>
        <family val="2"/>
      </rPr>
      <t xml:space="preserve"> operativamente no lo estaba,</t>
    </r>
    <r>
      <rPr>
        <sz val="10"/>
        <color rgb="FF000000"/>
        <rFont val="Verdana"/>
        <family val="2"/>
      </rPr>
      <t xml:space="preserve"> lo que constituye una salida no conforme frente a la oferta de servicios publicada.
</t>
    </r>
    <r>
      <rPr>
        <b/>
        <sz val="10"/>
        <color rgb="FF000000"/>
        <rFont val="Verdana"/>
        <family val="2"/>
      </rPr>
      <t xml:space="preserve">3. ¿Hubo alguna PQRSD?
</t>
    </r>
    <r>
      <rPr>
        <sz val="10"/>
        <color rgb="FF000000"/>
        <rFont val="Verdana"/>
        <family val="2"/>
      </rPr>
      <t xml:space="preserve">Sí. Se registró al menos una queja formal de cliente (ID 1-2025-0631-1) por la inconsistencia entre lo ofertado y la capacidad real del servicio.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No se reporta en la información disponible un resultado en nivel crítico o fuera de rango en los indicadores de gestión de procesos.
</t>
    </r>
    <r>
      <rPr>
        <b/>
        <sz val="10"/>
        <color rgb="FF000000"/>
        <rFont val="Verdana"/>
        <family val="2"/>
      </rPr>
      <t xml:space="preserve">5. ¿Se tiene evidencia del control ejecutado para los riesgos de nivel: alto o catastrófico?
</t>
    </r>
    <r>
      <rPr>
        <sz val="10"/>
        <color rgb="FF000000"/>
        <rFont val="Verdana"/>
        <family val="2"/>
      </rPr>
      <t xml:space="preserve">No. Aunque el laboratorio definió una acción correctiva (retirar el servicio no disponible del sitio web), no se implementó, por lo que no hay evidencia de control efectivo frente a este riesgo.  Situación que también fue presentada en revisión por la dirección.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se mencionan observaciones ni hallazgos en supervisiones de calidad o PMR asociados al caso descrito.
</t>
    </r>
    <r>
      <rPr>
        <b/>
        <sz val="10"/>
        <color rgb="FF000000"/>
        <rFont val="Verdana"/>
        <family val="2"/>
      </rPr>
      <t xml:space="preserve">7. ¿Se identificó algún hallazgo para su proceso desde la auditoría de control interno?
</t>
    </r>
    <r>
      <rPr>
        <sz val="10"/>
        <color rgb="FF000000"/>
        <rFont val="Verdana"/>
        <family val="2"/>
      </rPr>
      <t xml:space="preserve">No se reporta ningún hallazgo específico de auditoría de control interno sobre este proceso.
</t>
    </r>
    <r>
      <rPr>
        <b/>
        <sz val="10"/>
        <color rgb="FF000000"/>
        <rFont val="Verdana"/>
        <family val="2"/>
      </rPr>
      <t xml:space="preserve">8. ¿Se identificó algún hallazgo con presunta incidencia fiscal identificado por el ente de control fiscal?
</t>
    </r>
    <r>
      <rPr>
        <sz val="10"/>
        <color rgb="FF000000"/>
        <rFont val="Verdana"/>
        <family val="2"/>
      </rPr>
      <t xml:space="preserve">No. No se evidencia hallazgo con incidencia fiscal asociado a este caso.
</t>
    </r>
    <r>
      <rPr>
        <b/>
        <sz val="10"/>
        <color rgb="FF000000"/>
        <rFont val="Verdana"/>
        <family val="2"/>
      </rPr>
      <t xml:space="preserve">9. ¿Se presentó algún fallo con responsabilidad fiscal en firme relacionado con hechos de la entidad?
</t>
    </r>
    <r>
      <rPr>
        <sz val="10"/>
        <color rgb="FF000000"/>
        <rFont val="Verdana"/>
        <family val="2"/>
      </rPr>
      <t xml:space="preserve">No. No se registra fallo en firme de responsabilidad fiscal.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Sí. El principal resultado desfavorable identificado es la pérdida de confiabilidad de la información publicada en el portal del INM y el deterioro de la percepción de los usuarios por la falta de coherencia entre la oferta de servicios y la capacidad real del laboratorio.
</t>
    </r>
  </si>
  <si>
    <t>Para este tercer trimestre, no se han registrado NC relacionadas con la toma de decisiones sin objetividad o imparcialidad.</t>
  </si>
  <si>
    <t>El subdirector, jefe de área o a quien este designe, presenta ante el CIGD el seguimiento de las propuestas relevantes de cambios, proyectos, mejoras, que hayan sido aprobados en CIGD previos teniendo en cuenta lo estipulado en el procedimiento de gestión del cambio. 
Registro: Acta del CIGD.</t>
  </si>
  <si>
    <t>El subdirector, jefe de área o a quien este designe, presenta ante el CIGD las propuestas de cambio teniendo en cuenta lo estipulado en el procedimiento de gestión del cambio. 
Registro: Acta del CIGD.</t>
  </si>
  <si>
    <t>E01-R9</t>
  </si>
  <si>
    <t>Posibilidad de afectación económica por la inadecuada adopción de lineamientos establecidos por el MHCP para la elaboración del anteproyecto de presupuesto</t>
  </si>
  <si>
    <t xml:space="preserve">
Inadecuados lineamientos adoptados en la elaboración del anteproyecto de presupuesto
Falta de personal competente para realizar la elaboración del Anteproyecto de presupuesto
Desarticulación de las áreas involucradas para realizar la elaboración del Anteproyecto de presupuesto
Falta de conocimiento sobre el proceso de elaboración y cargue en el aplicativo SIIF</t>
  </si>
  <si>
    <t>Inadecuados lineamientos adoptados en la elaboración del anteproyecto de presupuesto</t>
  </si>
  <si>
    <r>
      <rPr>
        <b/>
        <sz val="11"/>
        <rFont val="Arial Narrow"/>
        <family val="2"/>
      </rPr>
      <t>Control 1</t>
    </r>
    <r>
      <rPr>
        <sz val="11"/>
        <rFont val="Arial Narrow"/>
        <family val="2"/>
      </rPr>
      <t xml:space="preserve">: Registrar la información en los formulario del MHCP
</t>
    </r>
    <r>
      <rPr>
        <b/>
        <sz val="11"/>
        <rFont val="Arial Narrow"/>
        <family val="2"/>
      </rPr>
      <t>Responsable:</t>
    </r>
    <r>
      <rPr>
        <sz val="11"/>
        <rFont val="Arial Narrow"/>
        <family val="2"/>
      </rPr>
      <t xml:space="preserve"> 	Profesional apoyo presupuesto de cada área 
</t>
    </r>
    <r>
      <rPr>
        <b/>
        <sz val="11"/>
        <rFont val="Arial Narrow"/>
        <family val="2"/>
      </rPr>
      <t>Cómo se realiza la actividad</t>
    </r>
    <r>
      <rPr>
        <sz val="11"/>
        <rFont val="Arial Narrow"/>
        <family val="2"/>
      </rPr>
      <t xml:space="preserve">: El profesional procede a registrar la información de las necesidades presupuestales de cada area en los respectivos formatos del MHCP.
</t>
    </r>
    <r>
      <rPr>
        <b/>
        <sz val="11"/>
        <rFont val="Arial Narrow"/>
        <family val="2"/>
      </rPr>
      <t>Propósito:</t>
    </r>
    <r>
      <rPr>
        <sz val="11"/>
        <rFont val="Arial Narrow"/>
        <family val="2"/>
      </rPr>
      <t xml:space="preserve">  Registrar la información del área en los formularios establecidos
</t>
    </r>
    <r>
      <rPr>
        <b/>
        <sz val="11"/>
        <rFont val="Arial Narrow"/>
        <family val="2"/>
      </rPr>
      <t>Periodicidad:</t>
    </r>
    <r>
      <rPr>
        <sz val="11"/>
        <rFont val="Arial Narrow"/>
        <family val="2"/>
      </rPr>
      <t xml:space="preserve">  Anual
</t>
    </r>
    <r>
      <rPr>
        <b/>
        <sz val="11"/>
        <rFont val="Arial Narrow"/>
        <family val="2"/>
      </rPr>
      <t>Qué pasa con las observaciones o desviaciones</t>
    </r>
    <r>
      <rPr>
        <sz val="11"/>
        <rFont val="Arial Narrow"/>
        <family val="2"/>
      </rPr>
      <t xml:space="preserve">:  Se solicita acompañamiento al MHCP o a la OAP cuando aplique
</t>
    </r>
    <r>
      <rPr>
        <b/>
        <sz val="11"/>
        <rFont val="Arial Narrow"/>
        <family val="2"/>
      </rPr>
      <t xml:space="preserve">Evidencia de la ejecución del control: </t>
    </r>
    <r>
      <rPr>
        <sz val="11"/>
        <rFont val="Arial Narrow"/>
        <family val="2"/>
      </rPr>
      <t xml:space="preserve">Registros de los formularios establecidos
</t>
    </r>
    <r>
      <rPr>
        <b/>
        <sz val="11"/>
        <rFont val="Arial Narrow"/>
        <family val="2"/>
      </rPr>
      <t>Documentado</t>
    </r>
    <r>
      <rPr>
        <sz val="11"/>
        <rFont val="Arial Narrow"/>
        <family val="2"/>
      </rPr>
      <t>: E-01-P-003 	ELABORACIÓN DEL ANTEPROYECTO PRESUPUESTAL</t>
    </r>
  </si>
  <si>
    <t xml:space="preserve">No se establece acción para abordar el riesgo dado que la Zona de Riesgo Final queda en nivel bajo, es decir, se evidencia en su último control (#4) . 
Criterio: Lineamiento establecido en el procedimiento E-02-P-009 Gestión de los riesgos. </t>
  </si>
  <si>
    <t>Seguimientos a la ejecución presupuestal en los gastos de inversion, funcionamiento e ingresos</t>
  </si>
  <si>
    <t>El profesional registra la información de necesidades presupuestales para la próxima vigencia en los formatos establecidos por el MHCP, teniendo en cuenta los parámetros comunicados por dicha entidad. No se presentan novedades</t>
  </si>
  <si>
    <t>Luego de revisar la información registrada por el proceso y teniendo en cuenta lo conversado con el profesional especializado 14 de la OAP, no se identifican novedades ni comentarios adicionales. La actividad de ejecutar el anteproyecto de presupuesto se realiza una vez al año y se ejecutó en el primer semestre del 2025. 
Vale la pena aclarar que el seguimiento de primera y segunda línea para el primer trimestre no se encuentra registrado dado que este riesgo fue creado para seguimiento de segundo trimestre, es decir, en el CIGD # 5 del 2025-06-18</t>
  </si>
  <si>
    <r>
      <rPr>
        <b/>
        <sz val="11"/>
        <rFont val="Arial Narrow"/>
        <family val="2"/>
      </rPr>
      <t>Control 2</t>
    </r>
    <r>
      <rPr>
        <sz val="11"/>
        <rFont val="Arial Narrow"/>
        <family val="2"/>
      </rPr>
      <t xml:space="preserve">: Aprobación CIGD
</t>
    </r>
    <r>
      <rPr>
        <b/>
        <sz val="11"/>
        <rFont val="Arial Narrow"/>
        <family val="2"/>
      </rPr>
      <t>Responsable:</t>
    </r>
    <r>
      <rPr>
        <sz val="11"/>
        <rFont val="Arial Narrow"/>
        <family val="2"/>
      </rPr>
      <t xml:space="preserve"> 	Miembros CIGD - Jefe OAP
</t>
    </r>
    <r>
      <rPr>
        <b/>
        <sz val="11"/>
        <rFont val="Arial Narrow"/>
        <family val="2"/>
      </rPr>
      <t>Cómo se realiza la actividad</t>
    </r>
    <r>
      <rPr>
        <sz val="11"/>
        <rFont val="Arial Narrow"/>
        <family val="2"/>
      </rPr>
      <t xml:space="preserve">: El jefe de la OAP hace la presentación de la distribución presupuestal para la siguiente vigencia
</t>
    </r>
    <r>
      <rPr>
        <b/>
        <sz val="11"/>
        <rFont val="Arial Narrow"/>
        <family val="2"/>
      </rPr>
      <t>Propósito:</t>
    </r>
    <r>
      <rPr>
        <sz val="11"/>
        <rFont val="Arial Narrow"/>
        <family val="2"/>
      </rPr>
      <t xml:space="preserve">  Aprobar los valores presupuestales que se solitan para la siguiente vigencia
</t>
    </r>
    <r>
      <rPr>
        <b/>
        <sz val="11"/>
        <rFont val="Arial Narrow"/>
        <family val="2"/>
      </rPr>
      <t>Periodicidad:</t>
    </r>
    <r>
      <rPr>
        <sz val="11"/>
        <rFont val="Arial Narrow"/>
        <family val="2"/>
      </rPr>
      <t xml:space="preserve">  Anual
</t>
    </r>
    <r>
      <rPr>
        <b/>
        <sz val="11"/>
        <rFont val="Arial Narrow"/>
        <family val="2"/>
      </rPr>
      <t>Qué pasa con las observaciones o desviaciones</t>
    </r>
    <r>
      <rPr>
        <sz val="11"/>
        <rFont val="Arial Narrow"/>
        <family val="2"/>
      </rPr>
      <t xml:space="preserve">:  Se envía al área involucrada para realizar el respectivo ajuste
</t>
    </r>
    <r>
      <rPr>
        <b/>
        <sz val="11"/>
        <rFont val="Arial Narrow"/>
        <family val="2"/>
      </rPr>
      <t xml:space="preserve">Evidencia de la ejecución del control: </t>
    </r>
    <r>
      <rPr>
        <sz val="11"/>
        <rFont val="Arial Narrow"/>
        <family val="2"/>
      </rPr>
      <t xml:space="preserve">Acta CIGD
</t>
    </r>
    <r>
      <rPr>
        <b/>
        <sz val="11"/>
        <rFont val="Arial Narrow"/>
        <family val="2"/>
      </rPr>
      <t>Documentado</t>
    </r>
    <r>
      <rPr>
        <sz val="11"/>
        <rFont val="Arial Narrow"/>
        <family val="2"/>
      </rPr>
      <t>: E-01-P-003 	ELABORACIÓN DEL ANTEPROYECTO PRESUPUESTAL</t>
    </r>
  </si>
  <si>
    <t>La jefe de la OAP presenta ante los miembros del CIGD la propuesta de anteproyecto, la cual es aprobada y queda como constancia en el acta del CIGD No 3 de 2025</t>
  </si>
  <si>
    <r>
      <rPr>
        <b/>
        <sz val="11"/>
        <rFont val="Arial Narrow"/>
        <family val="2"/>
      </rPr>
      <t>Control 3</t>
    </r>
    <r>
      <rPr>
        <sz val="11"/>
        <rFont val="Arial Narrow"/>
        <family val="2"/>
      </rPr>
      <t xml:space="preserve">: Verificar la calidad y pertinencia de la información registrada
</t>
    </r>
    <r>
      <rPr>
        <b/>
        <sz val="11"/>
        <rFont val="Arial Narrow"/>
        <family val="2"/>
      </rPr>
      <t>Responsable:</t>
    </r>
    <r>
      <rPr>
        <sz val="11"/>
        <rFont val="Arial Narrow"/>
        <family val="2"/>
      </rPr>
      <t xml:space="preserve"> Profesional Especializado de la Oficina Asesora de Planeación.
</t>
    </r>
    <r>
      <rPr>
        <b/>
        <sz val="11"/>
        <rFont val="Arial Narrow"/>
        <family val="2"/>
      </rPr>
      <t>Cómo se realiza la actividad</t>
    </r>
    <r>
      <rPr>
        <sz val="11"/>
        <rFont val="Arial Narrow"/>
        <family val="2"/>
      </rPr>
      <t xml:space="preserve">: Una vez registrada y recibida la información de cada área, el profesional de la OAP procede a realizar la respectiva verificación de los datos a través de los formularios establecidos.
</t>
    </r>
    <r>
      <rPr>
        <b/>
        <sz val="11"/>
        <rFont val="Arial Narrow"/>
        <family val="2"/>
      </rPr>
      <t>Propósito:</t>
    </r>
    <r>
      <rPr>
        <sz val="11"/>
        <rFont val="Arial Narrow"/>
        <family val="2"/>
      </rPr>
      <t xml:space="preserve">  Verificar la información registrada por cada área
</t>
    </r>
    <r>
      <rPr>
        <b/>
        <sz val="11"/>
        <rFont val="Arial Narrow"/>
        <family val="2"/>
      </rPr>
      <t>Periodicidad:</t>
    </r>
    <r>
      <rPr>
        <sz val="11"/>
        <rFont val="Arial Narrow"/>
        <family val="2"/>
      </rPr>
      <t xml:space="preserve">  Anual
</t>
    </r>
    <r>
      <rPr>
        <b/>
        <sz val="11"/>
        <rFont val="Arial Narrow"/>
        <family val="2"/>
      </rPr>
      <t>Qué pasa con las observaciones o desviaciones</t>
    </r>
    <r>
      <rPr>
        <sz val="11"/>
        <rFont val="Arial Narrow"/>
        <family val="2"/>
      </rPr>
      <t xml:space="preserve">: Si se encuentran novedades se devuelve al proceso involucrado
</t>
    </r>
    <r>
      <rPr>
        <b/>
        <sz val="11"/>
        <rFont val="Arial Narrow"/>
        <family val="2"/>
      </rPr>
      <t xml:space="preserve">Evidencia de la ejecución del control: </t>
    </r>
    <r>
      <rPr>
        <sz val="11"/>
        <rFont val="Arial Narrow"/>
        <family val="2"/>
      </rPr>
      <t xml:space="preserve">Registros de los formulario establecidos
</t>
    </r>
    <r>
      <rPr>
        <b/>
        <sz val="11"/>
        <rFont val="Arial Narrow"/>
        <family val="2"/>
      </rPr>
      <t>Documentado</t>
    </r>
    <r>
      <rPr>
        <sz val="11"/>
        <rFont val="Arial Narrow"/>
        <family val="2"/>
      </rPr>
      <t>:E-01-P-003 	ELABORACIÓN DEL ANTEPROYECTO PRESUPUESTAL</t>
    </r>
  </si>
  <si>
    <t xml:space="preserve">El profesional especializado de la OAP verifica la calidad y pertinencia de la información registrada en los documentos establecidos por el MHCP, sin presntarse novedad </t>
  </si>
  <si>
    <r>
      <rPr>
        <b/>
        <sz val="11"/>
        <rFont val="Arial Narrow"/>
        <family val="2"/>
      </rPr>
      <t>Control 4</t>
    </r>
    <r>
      <rPr>
        <sz val="11"/>
        <rFont val="Arial Narrow"/>
        <family val="2"/>
      </rPr>
      <t xml:space="preserve">: Verificar la calidad y pertinencia de la información registrada en el aplicativo SIIF
</t>
    </r>
    <r>
      <rPr>
        <b/>
        <sz val="11"/>
        <rFont val="Arial Narrow"/>
        <family val="2"/>
      </rPr>
      <t>Responsable:</t>
    </r>
    <r>
      <rPr>
        <sz val="11"/>
        <rFont val="Arial Narrow"/>
        <family val="2"/>
      </rPr>
      <t xml:space="preserve"> Jefe de la Oficina Asesora de Planeación
</t>
    </r>
    <r>
      <rPr>
        <b/>
        <sz val="11"/>
        <rFont val="Arial Narrow"/>
        <family val="2"/>
      </rPr>
      <t>Cómo se realiza la actividad</t>
    </r>
    <r>
      <rPr>
        <sz val="11"/>
        <rFont val="Arial Narrow"/>
        <family val="2"/>
      </rPr>
      <t xml:space="preserve">: Una vez registrada la información de cada área en el aplicativo SIIF por parte del profesional de la OAP, el Jefe de la OAP procede a realizar la respectiva verificación de los datos y aprobación en el aplicativo.
</t>
    </r>
    <r>
      <rPr>
        <b/>
        <sz val="11"/>
        <rFont val="Arial Narrow"/>
        <family val="2"/>
      </rPr>
      <t>Propósito:</t>
    </r>
    <r>
      <rPr>
        <sz val="11"/>
        <rFont val="Arial Narrow"/>
        <family val="2"/>
      </rPr>
      <t xml:space="preserve">  Verificar la información registrada por profesional en el SIIF
</t>
    </r>
    <r>
      <rPr>
        <b/>
        <sz val="11"/>
        <rFont val="Arial Narrow"/>
        <family val="2"/>
      </rPr>
      <t>Periodicidad:</t>
    </r>
    <r>
      <rPr>
        <sz val="11"/>
        <rFont val="Arial Narrow"/>
        <family val="2"/>
      </rPr>
      <t xml:space="preserve">  Anual
</t>
    </r>
    <r>
      <rPr>
        <b/>
        <sz val="11"/>
        <rFont val="Arial Narrow"/>
        <family val="2"/>
      </rPr>
      <t>Qué pasa con las observaciones o desviaciones</t>
    </r>
    <r>
      <rPr>
        <sz val="11"/>
        <rFont val="Arial Narrow"/>
        <family val="2"/>
      </rPr>
      <t xml:space="preserve">: Si se encuentran novedades se devuelve al proceso involucrado
</t>
    </r>
    <r>
      <rPr>
        <b/>
        <sz val="11"/>
        <rFont val="Arial Narrow"/>
        <family val="2"/>
      </rPr>
      <t xml:space="preserve">Evidencia de la ejecución del control: </t>
    </r>
    <r>
      <rPr>
        <sz val="11"/>
        <rFont val="Arial Narrow"/>
        <family val="2"/>
      </rPr>
      <t xml:space="preserve">Reporte del aplicativo SIIF
</t>
    </r>
    <r>
      <rPr>
        <b/>
        <sz val="11"/>
        <rFont val="Arial Narrow"/>
        <family val="2"/>
      </rPr>
      <t>Documentado</t>
    </r>
    <r>
      <rPr>
        <sz val="11"/>
        <rFont val="Arial Narrow"/>
        <family val="2"/>
      </rPr>
      <t>:E-01-P-003 	ELABORACIÓN DEL ANTEPROYECTO PRESUPUESTAL</t>
    </r>
  </si>
  <si>
    <t>Laura Lorena Rivera Roa</t>
  </si>
  <si>
    <t>La jefe de la OAP, verifica la calidad y pertinencia de la información diligenciada en el aplicativo SIIF por parte del profesional especializadfo de la OAP, aprobando el diligenciamiento</t>
  </si>
  <si>
    <t>E02-R1</t>
  </si>
  <si>
    <t>(E-02)
Administración del Sistema Integrado de Gestión</t>
  </si>
  <si>
    <t>Posibilidad de afectación reputacional por el uso de documentos no oficiales (versiones obsoletas), cambio de normas o requisitos y otros documentos de referencia y por el desconocimiento del SIG por parte del personal de INM.</t>
  </si>
  <si>
    <t>1. Uso de documentos no oficiales (versiones obsoletas)
2. Cambio de normas o requisitos</t>
  </si>
  <si>
    <t>Desconocimiento del SIG</t>
  </si>
  <si>
    <t>Operativo</t>
  </si>
  <si>
    <t>El responsable del proceso que elabora o actualiza un documento, garantiza que su personal conoce cuales son los documentos que se encuentran vigentes para el desarrollo de sus actividades a través de la solicitud a la OAP, del respectivo acceso a Isolución bien sea para la consulta o actualización de los documentos de su proceso. (Registro: Correo electrónico del jefe de proceso para el personal de la OAP)</t>
  </si>
  <si>
    <t>Milena Rodríguez Roberto</t>
  </si>
  <si>
    <r>
      <rPr>
        <b/>
        <sz val="9"/>
        <color rgb="FF000000"/>
        <rFont val="Verdana"/>
        <family val="2"/>
      </rPr>
      <t>Para el trimestre del 2025-01-01 al 2025-03-30.
1. Hallazgos por Auditoría Interna y/o Externa:</t>
    </r>
    <r>
      <rPr>
        <sz val="9"/>
        <color rgb="FF000000"/>
        <rFont val="Verdana"/>
        <family val="2"/>
      </rPr>
      <t xml:space="preserve"> No se identificaron hallazgos relacionados con el uso de documentos no oficiales, versiones obsoletas o desconocimiento del SIG en auditorías internas o externas recientes.
</t>
    </r>
    <r>
      <rPr>
        <b/>
        <sz val="9"/>
        <color rgb="FF000000"/>
        <rFont val="Verdana"/>
        <family val="2"/>
      </rPr>
      <t>2. Trabajos No Conformes:</t>
    </r>
    <r>
      <rPr>
        <sz val="9"/>
        <color rgb="FF000000"/>
        <rFont val="Verdana"/>
        <family val="2"/>
      </rPr>
      <t xml:space="preserve"> No se registraron trabajos no conformes asociadas a este riesgo en el período evaluado.
</t>
    </r>
    <r>
      <rPr>
        <b/>
        <sz val="9"/>
        <color rgb="FF000000"/>
        <rFont val="Verdana"/>
        <family val="2"/>
      </rPr>
      <t xml:space="preserve">3. PQRSD (Peticiones, Quejas, Reclamos, Sugerencias y Denuncias): </t>
    </r>
    <r>
      <rPr>
        <sz val="9"/>
        <color rgb="FF000000"/>
        <rFont val="Verdana"/>
        <family val="2"/>
      </rPr>
      <t xml:space="preserve">No se presentaron PQRSD relacionadas con el uso de documentos desactualizados o desconocimiento del SIG.
</t>
    </r>
    <r>
      <rPr>
        <b/>
        <sz val="9"/>
        <color rgb="FF000000"/>
        <rFont val="Verdana"/>
        <family val="2"/>
      </rPr>
      <t>4. Resultados en la Medición de Indicadores de Gestión:</t>
    </r>
    <r>
      <rPr>
        <sz val="9"/>
        <color rgb="FF000000"/>
        <rFont val="Verdana"/>
        <family val="2"/>
      </rPr>
      <t xml:space="preserve"> Todos los indicadores relacionados con la gestión documental, cumplimiento normativo y capacitación del personal en el SIG se encuentran en niveles aceptables.
</t>
    </r>
    <r>
      <rPr>
        <b/>
        <sz val="9"/>
        <color rgb="FF000000"/>
        <rFont val="Verdana"/>
        <family val="2"/>
      </rPr>
      <t>5. Evidencia del Control Ejecutado para Riesgos Alto/Catastrófico:</t>
    </r>
    <r>
      <rPr>
        <sz val="9"/>
        <color rgb="FF000000"/>
        <rFont val="Verdana"/>
        <family val="2"/>
      </rPr>
      <t xml:space="preserve"> Sí cuenta con evidencia de controles efectivos, tales como:
o	Actualizaciones periódicas de documentos normativos.
o	Capacitaciones documentadas al personal sobre el uso del SIG.
o	Revisiones de cumplimiento en la matriz de requisitos legales de manera semestral.
</t>
    </r>
    <r>
      <rPr>
        <b/>
        <sz val="9"/>
        <color rgb="FF000000"/>
        <rFont val="Verdana"/>
        <family val="2"/>
      </rPr>
      <t xml:space="preserve">6. Observaciones en Supervisiones de Calidad y PMR
</t>
    </r>
    <r>
      <rPr>
        <sz val="9"/>
        <color rgb="FF000000"/>
        <rFont val="Verdana"/>
        <family val="2"/>
      </rPr>
      <t xml:space="preserve">•	No aplica
</t>
    </r>
    <r>
      <rPr>
        <b/>
        <sz val="9"/>
        <color rgb="FF000000"/>
        <rFont val="Verdana"/>
        <family val="2"/>
      </rPr>
      <t xml:space="preserve">7. Hallazgos desde la Auditoría de Control Interno
</t>
    </r>
    <r>
      <rPr>
        <sz val="9"/>
        <color rgb="FF000000"/>
        <rFont val="Verdana"/>
        <family val="2"/>
      </rPr>
      <t xml:space="preserve">•	No se identificaron hallazgos en auditorías de control interno asociados a este riesgo.
</t>
    </r>
    <r>
      <rPr>
        <b/>
        <sz val="9"/>
        <color rgb="FF000000"/>
        <rFont val="Verdana"/>
        <family val="2"/>
      </rPr>
      <t xml:space="preserve">8. Hallazgos con Presunta Incidencia Fiscal por Ente de Control
</t>
    </r>
    <r>
      <rPr>
        <sz val="9"/>
        <color rgb="FF000000"/>
        <rFont val="Verdana"/>
        <family val="2"/>
      </rPr>
      <t xml:space="preserve">•	No hay reportes de hallazgos fiscales relacionados con el uso de documentos obsoletos o incumplimiento normativo.
</t>
    </r>
    <r>
      <rPr>
        <b/>
        <sz val="9"/>
        <color rgb="FF000000"/>
        <rFont val="Verdana"/>
        <family val="2"/>
      </rPr>
      <t xml:space="preserve">9. Fallo con Responsabilidad Fiscal en Firme
</t>
    </r>
    <r>
      <rPr>
        <sz val="9"/>
        <color rgb="FF000000"/>
        <rFont val="Verdana"/>
        <family val="2"/>
      </rPr>
      <t xml:space="preserve">•	No existen fallos en firme que involucren responsabilidad fiscal por este riesgo.
En resumen, el riesgo no se ha materializado por las causas relacionadas en el período evaluado, lo que sugiere que los controles implementados son efectivos.
</t>
    </r>
  </si>
  <si>
    <t xml:space="preserve">Se materializa el riesgo. Es necesario hacer revisión del mismo para replantear causas inmediatas y actualizar controles asociados. 
Queda pendiente haerle monitoreo a la materialización a través de la acción correctiva que se establezca para dar tratamiento a la no conformidad. </t>
  </si>
  <si>
    <r>
      <rPr>
        <b/>
        <sz val="10"/>
        <color rgb="FF000000"/>
        <rFont val="Verdana"/>
        <family val="2"/>
      </rPr>
      <t>Para el trimestre del 2025-04-01 al 2025-06-30
Control 1:</t>
    </r>
    <r>
      <rPr>
        <sz val="10"/>
        <color rgb="FF000000"/>
        <rFont val="Verdana"/>
        <family val="2"/>
      </rPr>
      <t xml:space="preserve"> El responsable del proceso que elabora o actualiza un documento, garantiza que el personal conoce cuáles son los documentos vigentes a través de la solicitud de OAP y el acceso a ISOLUCION.
</t>
    </r>
    <r>
      <rPr>
        <sz val="10"/>
        <color rgb="FF0070C0"/>
        <rFont val="Verdana"/>
        <family val="2"/>
      </rPr>
      <t xml:space="preserve">El control es ejecutado por el responsable del proceso y la solicitud se realiza a la OAP a través de GLPI 
</t>
    </r>
    <r>
      <rPr>
        <b/>
        <sz val="10"/>
        <color rgb="FF000000"/>
        <rFont val="Verdana"/>
        <family val="2"/>
      </rPr>
      <t>1. ¿Se identificó alguna no conformidad por auditoría interna o externa?
Sí</t>
    </r>
    <r>
      <rPr>
        <sz val="10"/>
        <color rgb="FF000000"/>
        <rFont val="Verdana"/>
        <family val="2"/>
      </rPr>
      <t xml:space="preserve">, relacionada con la falta de acciones posteriores a la evaluación del cumplimiento de requisitos legales.
</t>
    </r>
    <r>
      <rPr>
        <b/>
        <sz val="10"/>
        <color rgb="FF000000"/>
        <rFont val="Verdana"/>
        <family val="2"/>
      </rPr>
      <t>2. ¿Se identificó trabajo no conforme?
No.
3. ¿Hubo alguna PQRSD?
No.
4. ¿Resultados críticos en indicadores de gestión?
Sí,</t>
    </r>
    <r>
      <rPr>
        <sz val="10"/>
        <color rgb="FF000000"/>
        <rFont val="Verdana"/>
        <family val="2"/>
      </rPr>
      <t xml:space="preserve"> en la evaluación de datos e información del seguimiento a la medición.
</t>
    </r>
    <r>
      <rPr>
        <b/>
        <sz val="10"/>
        <color rgb="FF000000"/>
        <rFont val="Verdana"/>
        <family val="2"/>
      </rPr>
      <t>5. ¿Evidencia del control ejecutado?
Sí,</t>
    </r>
    <r>
      <rPr>
        <sz val="10"/>
        <color rgb="FF000000"/>
        <rFont val="Verdana"/>
        <family val="2"/>
      </rPr>
      <t xml:space="preserve"> a través del acceso y consulta en ISOLUCION por parte de los responsables del proceso.
</t>
    </r>
    <r>
      <rPr>
        <b/>
        <sz val="10"/>
        <color rgb="FF000000"/>
        <rFont val="Verdana"/>
        <family val="2"/>
      </rPr>
      <t xml:space="preserve">6. ¿Observaciones en supervisiones de calidad o PMR?
No aplica.
7. ¿Hallazgos de auditoría de control interno?
</t>
    </r>
    <r>
      <rPr>
        <sz val="10"/>
        <color rgb="FF000000"/>
        <rFont val="Verdana"/>
        <family val="2"/>
      </rPr>
      <t xml:space="preserve">No se ha realizado auditoría interna en el trimestre.
</t>
    </r>
    <r>
      <rPr>
        <b/>
        <sz val="10"/>
        <color rgb="FF000000"/>
        <rFont val="Verdana"/>
        <family val="2"/>
      </rPr>
      <t>8. ¿Presunta incidencia fiscal?
No.
9. ¿Fallo con responsabilidad fiscal?
No</t>
    </r>
    <r>
      <rPr>
        <sz val="10"/>
        <color rgb="FF000000"/>
        <rFont val="Verdana"/>
        <family val="2"/>
      </rPr>
      <t xml:space="preserve">.
</t>
    </r>
    <r>
      <rPr>
        <b/>
        <sz val="10"/>
        <color rgb="FF000000"/>
        <rFont val="Verdana"/>
        <family val="2"/>
      </rPr>
      <t>10. ¿Resultado desfavorable que materialice el riesgo?
Sí.</t>
    </r>
    <r>
      <rPr>
        <sz val="10"/>
        <color rgb="FF000000"/>
        <rFont val="Verdana"/>
        <family val="2"/>
      </rPr>
      <t xml:space="preserve"> El incumplimiento del seguimiento y reporte de acciones frente a requisitos legales afecta la certeza del control.</t>
    </r>
  </si>
  <si>
    <t>2. Auditoría interna</t>
  </si>
  <si>
    <t>Acción Correctiva 147</t>
  </si>
  <si>
    <t xml:space="preserve">Con relación a la no conformidad identificada en la auditoría combinada SG-SST, SG Ambiental e ISO 9001 llevada a cabo en junio, y dado que aún está pendiente el cargue del informe de auditoría en Isolución, las actividades que se establezcan en el plan de mejoramiento para dar tratamiento a esta no conformidad, serán revisadas para validar que sean eficaces y eviten asi, nuevamente la materialización del riesgo. 
Esta revisión se realizará teniendo en cuenta lo establecido en el procedimiento E-02-P-003 Acciones correctivas y de mejora. </t>
  </si>
  <si>
    <r>
      <rPr>
        <b/>
        <sz val="9"/>
        <color rgb="FF000000"/>
        <rFont val="Verdana"/>
      </rPr>
      <t>Para el trimestre del 2025-07-01 al 2025-09-30
Control 1:</t>
    </r>
    <r>
      <rPr>
        <sz val="9"/>
        <color rgb="FF000000"/>
        <rFont val="Verdana"/>
      </rPr>
      <t xml:space="preserve"> El responsable del proceso que elabora o actualiza un documento, garantiza que el personal conoce cuáles son los documentos vigentes a través de la solicitud de OAP y el acceso a ISOLUCION.
</t>
    </r>
    <r>
      <rPr>
        <b/>
        <sz val="9"/>
        <color rgb="FF0070C0"/>
        <rFont val="Verdana"/>
      </rPr>
      <t xml:space="preserve">El control es ejecutado por el responsable del proceso y la solicitud se realiza a la OAP a través de GLPI, para que su personal conozca los documentos vigentes. 
</t>
    </r>
    <r>
      <rPr>
        <b/>
        <sz val="9"/>
        <color rgb="FF000000"/>
        <rFont val="Verdana"/>
      </rPr>
      <t xml:space="preserve">1. ¿Se identificó alguna no conformidad por auditoría interna o externa?
No </t>
    </r>
    <r>
      <rPr>
        <sz val="9"/>
        <color rgb="FF000000"/>
        <rFont val="Verdana"/>
      </rPr>
      <t xml:space="preserve">se identificaron hallazgos relacionados con el uso de documentos no oficiales, versiones obsoletas o desconocimiento del SIG en auditorías internas o externas recientes.
</t>
    </r>
    <r>
      <rPr>
        <b/>
        <sz val="9"/>
        <color rgb="FF000000"/>
        <rFont val="Verdana"/>
      </rPr>
      <t>2. ¿Se identificó trabajo no conforme?
No.
3. ¿Hubo alguna PQRSD?
No.
4. ¿Resultados críticos en indicadores de gestión?
No.
5. ¿Evidencia del control ejecutado?
Sí,</t>
    </r>
    <r>
      <rPr>
        <sz val="9"/>
        <color rgb="FF000000"/>
        <rFont val="Verdana"/>
      </rPr>
      <t xml:space="preserve"> a través del acceso y consulta en ISOLUCION por parte de los responsables del proceso.
</t>
    </r>
    <r>
      <rPr>
        <b/>
        <sz val="9"/>
        <color rgb="FF000000"/>
        <rFont val="Verdana"/>
      </rPr>
      <t xml:space="preserve">6. ¿Observaciones en supervisiones de calidad o PMR?
No aplica.
7. ¿Hallazgos de auditoría de control interno?
</t>
    </r>
    <r>
      <rPr>
        <sz val="9"/>
        <color rgb="FF000000"/>
        <rFont val="Verdana"/>
      </rPr>
      <t xml:space="preserve">No se ha realizado auditoría interna en el trimestre.
</t>
    </r>
    <r>
      <rPr>
        <b/>
        <sz val="9"/>
        <color rgb="FF000000"/>
        <rFont val="Verdana"/>
      </rPr>
      <t>8. ¿Presunta incidencia fiscal?
No.
9. ¿Fallo con responsabilidad fiscal?
No</t>
    </r>
    <r>
      <rPr>
        <sz val="9"/>
        <color rgb="FF000000"/>
        <rFont val="Verdana"/>
      </rPr>
      <t xml:space="preserve">.
</t>
    </r>
    <r>
      <rPr>
        <b/>
        <sz val="9"/>
        <color rgb="FF000000"/>
        <rFont val="Verdana"/>
      </rPr>
      <t>10. ¿Resultado desfavorable que materialice el riesgo?
No</t>
    </r>
  </si>
  <si>
    <t xml:space="preserve">Revisado, sin novedad o comentario alguno. Con relación a las acciones correctivas establecidas para el riesgo materializado, se encuentran en proceso de ejecución. Para este caso, algunas de las actividades se realizan de manera conjunta entre procesos y especificamente, la acción correctiva # 147 se encuentra para cierre a diciembre del 2026. </t>
  </si>
  <si>
    <t>El responsable del proceso, actualiza el listado maestro de documentos del proceso a través de Isolución al momento en que se crea o se crea una versión del documento (Registro: documento disponible desde listado maestro de documentos).</t>
  </si>
  <si>
    <r>
      <rPr>
        <b/>
        <sz val="10"/>
        <color rgb="FF000000"/>
        <rFont val="Verdana"/>
        <family val="2"/>
      </rPr>
      <t>Para el trimestre del 2025-04-01 al 2025-06-30
Control 2.</t>
    </r>
    <r>
      <rPr>
        <sz val="10"/>
        <color rgb="FF000000"/>
        <rFont val="Verdana"/>
        <family val="2"/>
      </rPr>
      <t xml:space="preserve">: El responsable del proceso actualiza el listado maestro de documentos del proceso a través de ISOLUCION al crear o actualizar versiones.
</t>
    </r>
    <r>
      <rPr>
        <sz val="10"/>
        <color rgb="FF0070C0"/>
        <rFont val="Verdana"/>
        <family val="2"/>
      </rPr>
      <t>El control es ejecutado por el responsable del proceso cuando semestralmente debe actualizar el listado maestro de documento del proceso a través de ISOLUCION</t>
    </r>
    <r>
      <rPr>
        <sz val="10"/>
        <color rgb="FF000000"/>
        <rFont val="Verdana"/>
        <family val="2"/>
      </rPr>
      <t xml:space="preserve"> 
</t>
    </r>
    <r>
      <rPr>
        <b/>
        <sz val="10"/>
        <color rgb="FF000000"/>
        <rFont val="Verdana"/>
        <family val="2"/>
      </rPr>
      <t xml:space="preserve">1. ¿Se identificó alguna no conformidad por auditoría interna o externa?
Sí, </t>
    </r>
    <r>
      <rPr>
        <sz val="10"/>
        <color rgb="FF000000"/>
        <rFont val="Verdana"/>
        <family val="2"/>
      </rPr>
      <t xml:space="preserve">sobre falta de evidencia de acciones frente al no cumplimiento legal.
</t>
    </r>
    <r>
      <rPr>
        <b/>
        <sz val="10"/>
        <color rgb="FF000000"/>
        <rFont val="Verdana"/>
        <family val="2"/>
      </rPr>
      <t xml:space="preserve">2. ¿Trabajo no conforme?
No.
3. ¿PQRSD?
</t>
    </r>
    <r>
      <rPr>
        <sz val="10"/>
        <color rgb="FF000000"/>
        <rFont val="Verdana"/>
        <family val="2"/>
      </rPr>
      <t xml:space="preserve">No.
</t>
    </r>
    <r>
      <rPr>
        <b/>
        <sz val="10"/>
        <color rgb="FF000000"/>
        <rFont val="Verdana"/>
        <family val="2"/>
      </rPr>
      <t>4. ¿Resultados críticos en indicadores?
Sí,</t>
    </r>
    <r>
      <rPr>
        <sz val="10"/>
        <color rgb="FF000000"/>
        <rFont val="Verdana"/>
        <family val="2"/>
      </rPr>
      <t xml:space="preserve"> por deficiencia en el análisis y toma de acciones tras la evaluación de requisitos legales.
</t>
    </r>
    <r>
      <rPr>
        <b/>
        <sz val="10"/>
        <color rgb="FF000000"/>
        <rFont val="Verdana"/>
        <family val="2"/>
      </rPr>
      <t xml:space="preserve">5. ¿Evidencia del control ejecutado?
Sí, </t>
    </r>
    <r>
      <rPr>
        <sz val="10"/>
        <color rgb="FF000000"/>
        <rFont val="Verdana"/>
        <family val="2"/>
      </rPr>
      <t xml:space="preserve">en ISOLUCION con la actualización del listado maestro.
</t>
    </r>
    <r>
      <rPr>
        <b/>
        <sz val="10"/>
        <color rgb="FF000000"/>
        <rFont val="Verdana"/>
        <family val="2"/>
      </rPr>
      <t>6. ¿Observaciones o hallazgos en supervisiones de calidad o PM</t>
    </r>
    <r>
      <rPr>
        <sz val="10"/>
        <color rgb="FF000000"/>
        <rFont val="Verdana"/>
        <family val="2"/>
      </rPr>
      <t xml:space="preserve">R?
No aplica.
</t>
    </r>
    <r>
      <rPr>
        <b/>
        <sz val="10"/>
        <color rgb="FF000000"/>
        <rFont val="Verdana"/>
        <family val="2"/>
      </rPr>
      <t xml:space="preserve">7. ¿Hallazgos por auditoría de control interno?
</t>
    </r>
    <r>
      <rPr>
        <sz val="10"/>
        <color rgb="FF000000"/>
        <rFont val="Verdana"/>
        <family val="2"/>
      </rPr>
      <t xml:space="preserve">No realizada en el trimestre.
</t>
    </r>
    <r>
      <rPr>
        <b/>
        <sz val="10"/>
        <color rgb="FF000000"/>
        <rFont val="Verdana"/>
        <family val="2"/>
      </rPr>
      <t>8. ¿Presunta incidencia fiscal o fallos con responsabilidad fiscal?
No.
9.¿Resultado desfavorable que materialice el riesgo?
Sí.</t>
    </r>
    <r>
      <rPr>
        <sz val="10"/>
        <color rgb="FF000000"/>
        <rFont val="Verdana"/>
        <family val="2"/>
      </rPr>
      <t xml:space="preserve"> La ausencia de reporte de acciones implementadas en ISOLUCION evidencia fallas en el control  documental.
</t>
    </r>
  </si>
  <si>
    <r>
      <rPr>
        <b/>
        <sz val="9"/>
        <color rgb="FF000000"/>
        <rFont val="Verdana"/>
        <family val="2"/>
      </rPr>
      <t xml:space="preserve">Para el trimestre del 2025-07-01 al 2025-09-30
Control 2. </t>
    </r>
    <r>
      <rPr>
        <sz val="9"/>
        <color rgb="FF000000"/>
        <rFont val="Verdana"/>
        <family val="2"/>
      </rPr>
      <t xml:space="preserve">El responsable del proceso, actualiza el listado maestro de documentos del proceso a través de Isolución al momento en que se crea o se crea una versión del documento (Registro: documento disponible desde listado maestro de documentos).
</t>
    </r>
    <r>
      <rPr>
        <b/>
        <sz val="9"/>
        <color rgb="FF0070C0"/>
        <rFont val="Verdana"/>
        <family val="2"/>
      </rPr>
      <t xml:space="preserve">El control es ejecutado por el responsable del proceso cuando semestralmente debe actualizar el listado maestro de documento del proceso a través de ISOLUCION 
</t>
    </r>
    <r>
      <rPr>
        <b/>
        <sz val="9"/>
        <color rgb="FF000000"/>
        <rFont val="Verdana"/>
        <family val="2"/>
      </rPr>
      <t>1. Hallazgos por Auditoría Interna y/o Externa:</t>
    </r>
    <r>
      <rPr>
        <sz val="9"/>
        <color rgb="FF000000"/>
        <rFont val="Verdana"/>
        <family val="2"/>
      </rPr>
      <t xml:space="preserve"> 
No se identificaron hallazgos relacionados con el uso de documentos no oficiales, versiones obsoletas o desconocimiento del SIG en auditorías internas o externas recientes.
</t>
    </r>
    <r>
      <rPr>
        <b/>
        <sz val="9"/>
        <color rgb="FF000000"/>
        <rFont val="Verdana"/>
        <family val="2"/>
      </rPr>
      <t>2. Trabajos No Conformes:</t>
    </r>
    <r>
      <rPr>
        <sz val="9"/>
        <color rgb="FF000000"/>
        <rFont val="Verdana"/>
        <family val="2"/>
      </rPr>
      <t xml:space="preserve"> 
No se registraron trabajos no conformes asociadas a este riesgo en el período evaluado.
</t>
    </r>
    <r>
      <rPr>
        <b/>
        <sz val="9"/>
        <color rgb="FF000000"/>
        <rFont val="Verdana"/>
        <family val="2"/>
      </rPr>
      <t xml:space="preserve">3. PQRSD (Peticiones, Quejas, Reclamos, Sugerencias y Denuncias): 
</t>
    </r>
    <r>
      <rPr>
        <sz val="9"/>
        <color rgb="FF000000"/>
        <rFont val="Verdana"/>
        <family val="2"/>
      </rPr>
      <t xml:space="preserve">No se presentaron PQRSD relacionadas con el uso de documentos desactualizados o desconocimiento del SIG.
</t>
    </r>
    <r>
      <rPr>
        <b/>
        <sz val="9"/>
        <color rgb="FF000000"/>
        <rFont val="Verdana"/>
        <family val="2"/>
      </rPr>
      <t>4. Resultados en la Medición de Indicadores de Gestión:</t>
    </r>
    <r>
      <rPr>
        <sz val="9"/>
        <color rgb="FF000000"/>
        <rFont val="Verdana"/>
        <family val="2"/>
      </rPr>
      <t xml:space="preserve"> 
Todos los indicadores relacionados con la gestión documental, cumplimiento normativo y capacitación del personal en el SIG se encuentran en niveles aceptables.
</t>
    </r>
    <r>
      <rPr>
        <b/>
        <sz val="9"/>
        <color rgb="FF000000"/>
        <rFont val="Verdana"/>
        <family val="2"/>
      </rPr>
      <t>5. Evidencia del Control Ejecutado para Riesgos Alto/Catastrófico:</t>
    </r>
    <r>
      <rPr>
        <sz val="9"/>
        <color rgb="FF000000"/>
        <rFont val="Verdana"/>
        <family val="2"/>
      </rPr>
      <t xml:space="preserve"> 
Sí cuenta con evidencia de controles efectivos, tales como:
o	Actualizaciones periódicas de documentos normativos.
o	Capacitaciones documentadas al personal sobre el uso del SIG.
o	Revisiones de cumplimiento en la matriz de requisitos legales de manera semestral.
</t>
    </r>
    <r>
      <rPr>
        <b/>
        <sz val="9"/>
        <color rgb="FF000000"/>
        <rFont val="Verdana"/>
        <family val="2"/>
      </rPr>
      <t xml:space="preserve">6. Observaciones en Supervisiones de Calidad y PMR
</t>
    </r>
    <r>
      <rPr>
        <sz val="9"/>
        <color rgb="FF000000"/>
        <rFont val="Verdana"/>
        <family val="2"/>
      </rPr>
      <t xml:space="preserve">No aplica
</t>
    </r>
    <r>
      <rPr>
        <b/>
        <sz val="9"/>
        <color rgb="FF000000"/>
        <rFont val="Verdana"/>
        <family val="2"/>
      </rPr>
      <t xml:space="preserve">7. Hallazgos desde la Auditoría de Control Interno
</t>
    </r>
    <r>
      <rPr>
        <sz val="9"/>
        <color rgb="FF000000"/>
        <rFont val="Verdana"/>
        <family val="2"/>
      </rPr>
      <t xml:space="preserve">No se identificaron hallazgos en auditorías de control interno asociados a este riesgo.
</t>
    </r>
    <r>
      <rPr>
        <b/>
        <sz val="9"/>
        <color rgb="FF000000"/>
        <rFont val="Verdana"/>
        <family val="2"/>
      </rPr>
      <t xml:space="preserve">8. Hallazgos con Presunta Incidencia Fiscal por Ente de Control
</t>
    </r>
    <r>
      <rPr>
        <sz val="9"/>
        <color rgb="FF000000"/>
        <rFont val="Verdana"/>
        <family val="2"/>
      </rPr>
      <t xml:space="preserve">No hay reportes de hallazgos fiscales relacionados con el uso de documentos obsoletos o incumplimiento normativo.
</t>
    </r>
    <r>
      <rPr>
        <b/>
        <sz val="9"/>
        <color rgb="FF000000"/>
        <rFont val="Verdana"/>
        <family val="2"/>
      </rPr>
      <t xml:space="preserve">9. Fallo con Responsabilidad Fiscal en Firme
</t>
    </r>
    <r>
      <rPr>
        <sz val="9"/>
        <color rgb="FF000000"/>
        <rFont val="Verdana"/>
        <family val="2"/>
      </rPr>
      <t>No existen fallos en firme que involucren responsabilidad fiscal por este riesgo.
En resumen, el riesgo no se ha materializado por las causas relacionadas en el período evaluado, lo que sugiere que los controles implementados son efectivos.</t>
    </r>
  </si>
  <si>
    <t>El profesional designado en la OAP verifica que desde los procesos se hayan revisado y actualizado los requisitos legales o documentos externos aplicables al proceso, a través del envío de correo electrónico al personal de apoyo de calidad de cada proceso (Registro: Correo electrónico o matriz de seguimiento a requisitos legales/Docs. externos)</t>
  </si>
  <si>
    <r>
      <rPr>
        <b/>
        <sz val="9"/>
        <color rgb="FF000000"/>
        <rFont val="Verdana"/>
        <family val="2"/>
      </rPr>
      <t xml:space="preserve">Para el trimestre del 2025-01-01 al 2025-03-30.
1. Hallazgos por Auditoría Interna y/o Externa
</t>
    </r>
    <r>
      <rPr>
        <sz val="9"/>
        <color rgb="FF000000"/>
        <rFont val="Verdana"/>
        <family val="2"/>
      </rPr>
      <t xml:space="preserve">Sí, se identificaron hallazgos en la auditoría del laboratorio de Corriente Contina y Corriente Alterna) realizada del 25 al 28 de marzo, relacionados con: la identificación de tres documentos el “uso de documentos desactualizados” del CIPM MRA en tres documentos del SIG.  
Versiones obsoletas de documentos referenciados (CIPM MRA-P-11 v1.3, CIPM MRA-G-13 v1.3, CIPM MRA-P-13 v1.1).
Falta de inclusión de documentos clave (CIPM MRA-G-12, CIPM MRA-P-12) en la matriz de requisitos legales.
Omisión de la clasificación de servicios actualizada en electricidad y magnetismo.
</t>
    </r>
    <r>
      <rPr>
        <b/>
        <sz val="9"/>
        <color rgb="FF000000"/>
        <rFont val="Verdana"/>
        <family val="2"/>
      </rPr>
      <t xml:space="preserve">2. Trabajos (Salidas) No Conformes
</t>
    </r>
    <r>
      <rPr>
        <sz val="9"/>
        <color rgb="FF000000"/>
        <rFont val="Verdana"/>
        <family val="2"/>
      </rPr>
      <t xml:space="preserve">No, se identifican
</t>
    </r>
    <r>
      <rPr>
        <b/>
        <sz val="9"/>
        <color rgb="FF000000"/>
        <rFont val="Verdana"/>
        <family val="2"/>
      </rPr>
      <t xml:space="preserve">3. PQRSD (Peticiones, Quejas, Reclamos, Sugerencias y Denuncias)
</t>
    </r>
    <r>
      <rPr>
        <sz val="9"/>
        <color rgb="FF000000"/>
        <rFont val="Verdana"/>
        <family val="2"/>
      </rPr>
      <t xml:space="preserve">No se menciona en la información proporcionada, por lo que se asume que no hubo PQRSD relacionadas con este riesgo.
</t>
    </r>
    <r>
      <rPr>
        <b/>
        <sz val="9"/>
        <color rgb="FF000000"/>
        <rFont val="Verdana"/>
        <family val="2"/>
      </rPr>
      <t xml:space="preserve">4. Resultados en la Medición de Indicadores de Gestión
</t>
    </r>
    <r>
      <rPr>
        <sz val="9"/>
        <color rgb="FF000000"/>
        <rFont val="Verdana"/>
        <family val="2"/>
      </rPr>
      <t xml:space="preserve">No se especifica, pero dado que se encontraron documentos desactualizados y omisiones, podría inferirse que algún indicador de gestión (ej. cumplimiento normativo, actualización documental) podría estar en nivel no aceptable.
</t>
    </r>
    <r>
      <rPr>
        <b/>
        <sz val="9"/>
        <color rgb="FF000000"/>
        <rFont val="Verdana"/>
        <family val="2"/>
      </rPr>
      <t xml:space="preserve">5. Evidencia del Control Ejecutado para Riesgos Alto/Catastrófico
</t>
    </r>
    <r>
      <rPr>
        <sz val="9"/>
        <color rgb="FF000000"/>
        <rFont val="Verdana"/>
        <family val="2"/>
      </rPr>
      <t xml:space="preserve">Sí, pero insuficiente, ya que:
•	Se detectaron falencias en detectar la actualización documental y referencias obsoletas.
•	No se evidencia que los controles hayan sido efectivos para evitar el uso de versiones obsoletas.
</t>
    </r>
    <r>
      <rPr>
        <b/>
        <sz val="9"/>
        <color rgb="FF000000"/>
        <rFont val="Verdana"/>
        <family val="2"/>
      </rPr>
      <t xml:space="preserve">6. Observaciones en Supervisiones de Calidad y PMR
</t>
    </r>
    <r>
      <rPr>
        <sz val="9"/>
        <color rgb="FF000000"/>
        <rFont val="Verdana"/>
        <family val="2"/>
      </rPr>
      <t xml:space="preserve">No aplica
</t>
    </r>
    <r>
      <rPr>
        <b/>
        <sz val="9"/>
        <color rgb="FF000000"/>
        <rFont val="Verdana"/>
        <family val="2"/>
      </rPr>
      <t xml:space="preserve">7. Hallazgos desde la Auditoría de Control Interno
</t>
    </r>
    <r>
      <rPr>
        <sz val="9"/>
        <color rgb="FF000000"/>
        <rFont val="Verdana"/>
        <family val="2"/>
      </rPr>
      <t xml:space="preserve">No aplica
</t>
    </r>
    <r>
      <rPr>
        <b/>
        <sz val="9"/>
        <color rgb="FF000000"/>
        <rFont val="Verdana"/>
        <family val="2"/>
      </rPr>
      <t xml:space="preserve">8. Hallazgos con Presunta Incidencia Fiscal por Ente de Control
</t>
    </r>
    <r>
      <rPr>
        <sz val="9"/>
        <color rgb="FF000000"/>
        <rFont val="Verdana"/>
        <family val="2"/>
      </rPr>
      <t xml:space="preserve">No se menciona en la información proporcionada, por lo que se asume que no hay hallazgos fiscales asociados.
</t>
    </r>
    <r>
      <rPr>
        <b/>
        <sz val="9"/>
        <color rgb="FF000000"/>
        <rFont val="Verdana"/>
        <family val="2"/>
      </rPr>
      <t xml:space="preserve">9. Fallo con Responsabilidad Fiscal en Firme
</t>
    </r>
    <r>
      <rPr>
        <sz val="9"/>
        <color rgb="FF000000"/>
        <rFont val="Verdana"/>
        <family val="2"/>
      </rPr>
      <t xml:space="preserve">No se menciona, por lo que se asume que no hay fallos en firme relacionados.
</t>
    </r>
    <r>
      <rPr>
        <b/>
        <sz val="9"/>
        <color rgb="FF000000"/>
        <rFont val="Verdana"/>
        <family val="2"/>
      </rPr>
      <t xml:space="preserve">10. ¿Se presentó algún resultado desfavorable adicional?
</t>
    </r>
    <r>
      <rPr>
        <sz val="9"/>
        <color rgb="FF000000"/>
        <rFont val="Verdana"/>
        <family val="2"/>
      </rPr>
      <t>No se mencionan otros resultados desfavorables, pero el riesgo reputacional sigue latente debido a:
•	Falta de actualización documental continua.
•	Posible uso de lineamientos incorrectos en procesos.</t>
    </r>
  </si>
  <si>
    <t>Acción Correctiva AUD 360</t>
  </si>
  <si>
    <t xml:space="preserve">Se materializa el riesgo. Es necesario hacer revisión del mismo para replantear causas inmediatas y actualizar controles asociados. 
Queda pendiente hacerle monitoreo a la materialización a través de la acción correctiva que se establezca para dar tratamiento a la no conformidad. </t>
  </si>
  <si>
    <r>
      <rPr>
        <b/>
        <sz val="10"/>
        <color rgb="FF000000"/>
        <rFont val="Verdana"/>
        <family val="2"/>
      </rPr>
      <t xml:space="preserve">Para el trimestre del 2025-04-01 al 2025-06-30
Control 3.  </t>
    </r>
    <r>
      <rPr>
        <sz val="10"/>
        <color rgb="FF000000"/>
        <rFont val="Verdana"/>
        <family val="2"/>
      </rPr>
      <t xml:space="preserve">El profesional de OAP verifica que los procesos revisen y actualicen los requisitos legales o documentos externos aplicables mediante comunicación semestral.
</t>
    </r>
    <r>
      <rPr>
        <sz val="10"/>
        <color rgb="FF0070C0"/>
        <rFont val="Verdana"/>
        <family val="2"/>
      </rPr>
      <t xml:space="preserve">El control fue ejecutado por parte de la OAP; sin embargo, la herramienta utilizada para la evaluación y el seguimiento de los requisitos legales presenta limitaciones que dificultan su uso y efectividad. En particular, no facilita la trazabilidad ni la identificación clara del cumplimiento de los requisitos, lo cual puede generar dificultades para la revisión de segunda línea y para verificar si se está dando seguimiento adecuado a los requisitos reportados como no conformes. Asimismo, no permite evidenciar de manera sencilla el cumplimiento global de los requisitos desde la perspectiva de los indicadores establecidos.
</t>
    </r>
    <r>
      <rPr>
        <b/>
        <sz val="10"/>
        <color rgb="FF000000"/>
        <rFont val="Verdana"/>
        <family val="2"/>
      </rPr>
      <t>1. ¿Se identificó alguna no conformidad?
Sí</t>
    </r>
    <r>
      <rPr>
        <sz val="10"/>
        <color rgb="FF000000"/>
        <rFont val="Verdana"/>
        <family val="2"/>
      </rPr>
      <t xml:space="preserve">, respecto al uso de la matriz de seguimiento sin reporte de acciones específicas o planes definidos.
</t>
    </r>
    <r>
      <rPr>
        <b/>
        <sz val="10"/>
        <color rgb="FF000000"/>
        <rFont val="Verdana"/>
        <family val="2"/>
      </rPr>
      <t>2. ¿Trabajo no conforme?
No.
3. ¿PQRSD?
No.
4. ¿Resultados críticos en indicadores?
Sí,</t>
    </r>
    <r>
      <rPr>
        <sz val="10"/>
        <color rgb="FF000000"/>
        <rFont val="Verdana"/>
        <family val="2"/>
      </rPr>
      <t xml:space="preserve"> el análisis no siempre se traduce en acciones correctivas claras.
</t>
    </r>
    <r>
      <rPr>
        <b/>
        <sz val="10"/>
        <color rgb="FF000000"/>
        <rFont val="Verdana"/>
        <family val="2"/>
      </rPr>
      <t>5. ¿Evidencia del control ejecutado?
Sí,</t>
    </r>
    <r>
      <rPr>
        <sz val="10"/>
        <color rgb="FF000000"/>
        <rFont val="Verdana"/>
        <family val="2"/>
      </rPr>
      <t xml:space="preserve"> mediante correo de verificación semestral y seguimiento en la matriz E-02-F-043.
</t>
    </r>
    <r>
      <rPr>
        <b/>
        <sz val="10"/>
        <color rgb="FF000000"/>
        <rFont val="Verdana"/>
        <family val="2"/>
      </rPr>
      <t xml:space="preserve">6. ¿Observaciones en supervisiones o hallazgos?
</t>
    </r>
    <r>
      <rPr>
        <sz val="10"/>
        <color rgb="FF000000"/>
        <rFont val="Verdana"/>
        <family val="2"/>
      </rPr>
      <t xml:space="preserve">No aplica.
</t>
    </r>
    <r>
      <rPr>
        <b/>
        <sz val="10"/>
        <color rgb="FF000000"/>
        <rFont val="Verdana"/>
        <family val="2"/>
      </rPr>
      <t xml:space="preserve">7. ¿Auditoría de control interno al proceso?
</t>
    </r>
    <r>
      <rPr>
        <sz val="10"/>
        <color rgb="FF000000"/>
        <rFont val="Verdana"/>
        <family val="2"/>
      </rPr>
      <t xml:space="preserve">No realizada.
</t>
    </r>
    <r>
      <rPr>
        <b/>
        <sz val="10"/>
        <color rgb="FF000000"/>
        <rFont val="Verdana"/>
        <family val="2"/>
      </rPr>
      <t xml:space="preserve">8. ¿Incidencias fiscales o fallos con responsabilidad?
No.
9. ¿Resultado desfavorable que evidencie materialización del riesgo?
Sí, </t>
    </r>
    <r>
      <rPr>
        <sz val="10"/>
        <color rgb="FF000000"/>
        <rFont val="Verdana"/>
        <family val="2"/>
      </rPr>
      <t>por la falta de acciones claras frente a requisitos no cumplidos, lo que puede derivar en impactos reputacionales y de cumplimiento normativo.</t>
    </r>
  </si>
  <si>
    <r>
      <rPr>
        <b/>
        <sz val="9"/>
        <color rgb="FF000000"/>
        <rFont val="Verdana"/>
        <family val="2"/>
      </rPr>
      <t>Para el trimestre del 2025-07-01 al 2025-09-30
Control 3.</t>
    </r>
    <r>
      <rPr>
        <sz val="9"/>
        <color rgb="FF000000"/>
        <rFont val="Verdana"/>
        <family val="2"/>
      </rPr>
      <t xml:space="preserve">El profesional designado en la OAP verifica que desde los procesos se hayan revisado y actualizado los requisitos legales o documentos externos aplicables al proceso, a través del envío de correo electrónico al personal de apoyo de calidad de cada proceso (Registro: Correo electrónico o matriz de seguimiento a requisitos legales/Docs. externos) 
</t>
    </r>
    <r>
      <rPr>
        <b/>
        <sz val="9"/>
        <color rgb="FF0070C0"/>
        <rFont val="Verdana"/>
        <family val="2"/>
      </rPr>
      <t xml:space="preserve">El control se esta ejecutando sistémicamente; sin embargo, la herramienta actualmente utilizada para la evaluación y seguimiento de los requisitos legales presenta limitaciones que afectan la eficacia de la gestión. Estas restricciones dificultan la trazabilidad, la identificación precisa del cumplimiento, el seguimiento de los incumplimientos y la evaluación integral del desempeño.
Esta NC identificada durante el presente trimestre está siendo debidamente priorizada, y se han asignado los recursos necesarios para implementar acciones correctivas que permitan superar esta situación y fortalecer el proceso.
</t>
    </r>
    <r>
      <rPr>
        <sz val="9"/>
        <color rgb="FF0070C0"/>
        <rFont val="Verdana"/>
        <family val="2"/>
      </rPr>
      <t xml:space="preserve">
</t>
    </r>
    <r>
      <rPr>
        <b/>
        <sz val="9"/>
        <color rgb="FF000000"/>
        <rFont val="Verdana"/>
        <family val="2"/>
      </rPr>
      <t xml:space="preserve">1. Hallazgos por Auditoría Interna y/o Externa
</t>
    </r>
    <r>
      <rPr>
        <sz val="9"/>
        <color rgb="FF000000"/>
        <rFont val="Verdana"/>
        <family val="2"/>
      </rPr>
      <t xml:space="preserve">Sí, se identificaron hallazgos en la auditoría del laboratorio de Corriente Contina y Corriente Alterna) realizada del 25 al 28 de marzo, relacionados con: la identificación de tres documentos el “uso de documentos desactualizados” del CIPM MRA en tres documentos del SIG.  
Versiones obsoletas de documentos referenciados (CIPM MRA-P-11 v1.3, CIPM MRA-G-13 v1.3, CIPM MRA-P-13 v1.1).
Falta de inclusión de documentos clave (CIPM MRA-G-12, CIPM MRA-P-12) en la matriz de requisitos legales.
Omisión de la clasificación de servicios actualizada en electricidad y magnetismo.
</t>
    </r>
    <r>
      <rPr>
        <b/>
        <sz val="9"/>
        <color rgb="FF000000"/>
        <rFont val="Verdana"/>
        <family val="2"/>
      </rPr>
      <t xml:space="preserve">2. Trabajos (Salidas) No Conformes
</t>
    </r>
    <r>
      <rPr>
        <sz val="9"/>
        <color rgb="FF000000"/>
        <rFont val="Verdana"/>
        <family val="2"/>
      </rPr>
      <t xml:space="preserve">No, se identifican
</t>
    </r>
    <r>
      <rPr>
        <b/>
        <sz val="9"/>
        <color rgb="FF000000"/>
        <rFont val="Verdana"/>
        <family val="2"/>
      </rPr>
      <t xml:space="preserve">3. PQRSD (Peticiones, Quejas, Reclamos, Sugerencias y Denuncias)
</t>
    </r>
    <r>
      <rPr>
        <sz val="9"/>
        <color rgb="FF000000"/>
        <rFont val="Verdana"/>
        <family val="2"/>
      </rPr>
      <t xml:space="preserve">No se menciona en la información proporcionada, por lo que se asume que no hubo PQRSD relacionadas con este riesgo.
</t>
    </r>
    <r>
      <rPr>
        <b/>
        <sz val="9"/>
        <color rgb="FF000000"/>
        <rFont val="Verdana"/>
        <family val="2"/>
      </rPr>
      <t xml:space="preserve">4. Resultados en la Medición de Indicadores de Gestión
</t>
    </r>
    <r>
      <rPr>
        <sz val="9"/>
        <color rgb="FF000000"/>
        <rFont val="Verdana"/>
        <family val="2"/>
      </rPr>
      <t xml:space="preserve">No se especifica, pero dado que se encontraron documentos desactualizados y omisiones, podría inferirse que algún indicador de gestión (ej. cumplimiento normativo, actualización documental) podría estar en nivel no aceptable.
</t>
    </r>
    <r>
      <rPr>
        <b/>
        <sz val="9"/>
        <color rgb="FF000000"/>
        <rFont val="Verdana"/>
        <family val="2"/>
      </rPr>
      <t xml:space="preserve">5. Evidencia del Control Ejecutado para Riesgos Alto/Catastrófico
</t>
    </r>
    <r>
      <rPr>
        <sz val="9"/>
        <color rgb="FF000000"/>
        <rFont val="Verdana"/>
        <family val="2"/>
      </rPr>
      <t xml:space="preserve">Sí, pero insuficiente, ya que:
•	Se detectaron falencias en detectar la actualización documental y referencias obsoletas.
•	No se evidencia que los controles hayan sido efectivos para evitar el uso de versiones obsoletas.
</t>
    </r>
    <r>
      <rPr>
        <b/>
        <sz val="9"/>
        <color rgb="FF000000"/>
        <rFont val="Verdana"/>
        <family val="2"/>
      </rPr>
      <t xml:space="preserve">6. Observaciones en Supervisiones de Calidad y PMR
</t>
    </r>
    <r>
      <rPr>
        <sz val="9"/>
        <color rgb="FF000000"/>
        <rFont val="Verdana"/>
        <family val="2"/>
      </rPr>
      <t xml:space="preserve">No aplica
</t>
    </r>
    <r>
      <rPr>
        <b/>
        <sz val="9"/>
        <color rgb="FF000000"/>
        <rFont val="Verdana"/>
        <family val="2"/>
      </rPr>
      <t xml:space="preserve">7. Hallazgos desde la Auditoría de Control Interno
</t>
    </r>
    <r>
      <rPr>
        <sz val="9"/>
        <color rgb="FF000000"/>
        <rFont val="Verdana"/>
        <family val="2"/>
      </rPr>
      <t xml:space="preserve">No aplica
</t>
    </r>
    <r>
      <rPr>
        <b/>
        <sz val="9"/>
        <color rgb="FF000000"/>
        <rFont val="Verdana"/>
        <family val="2"/>
      </rPr>
      <t xml:space="preserve">8. Hallazgos con Presunta Incidencia Fiscal por Ente de Control
</t>
    </r>
    <r>
      <rPr>
        <sz val="9"/>
        <color rgb="FF000000"/>
        <rFont val="Verdana"/>
        <family val="2"/>
      </rPr>
      <t xml:space="preserve">No se menciona en la información proporcionada, por lo que se asume que no hay hallazgos fiscales asociados.
</t>
    </r>
    <r>
      <rPr>
        <b/>
        <sz val="9"/>
        <color rgb="FF000000"/>
        <rFont val="Verdana"/>
        <family val="2"/>
      </rPr>
      <t xml:space="preserve">9. Fallo con Responsabilidad Fiscal en Firme
</t>
    </r>
    <r>
      <rPr>
        <sz val="9"/>
        <color rgb="FF000000"/>
        <rFont val="Verdana"/>
        <family val="2"/>
      </rPr>
      <t xml:space="preserve">No se menciona, por lo que se asume que no hay fallos en firme relacionados.
</t>
    </r>
    <r>
      <rPr>
        <b/>
        <sz val="9"/>
        <color rgb="FF000000"/>
        <rFont val="Verdana"/>
        <family val="2"/>
      </rPr>
      <t xml:space="preserve">10. ¿Se presentó algún resultado desfavorable adicional?
</t>
    </r>
    <r>
      <rPr>
        <sz val="9"/>
        <color rgb="FF000000"/>
        <rFont val="Verdana"/>
        <family val="2"/>
      </rPr>
      <t>No se mencionan otros resultados desfavorables, pero el riesgo reputacional sigue latente debido a:
•	Falta de actualización documental continua.
•	Posible uso de lineamientos incorrectos en procesos.</t>
    </r>
  </si>
  <si>
    <t>E02-R2</t>
  </si>
  <si>
    <t xml:space="preserve">Posibilidad de afectación reputacional dada la pérdida de reconocimiento internacional por la ineficiencia en el cierre de acciones tomadas para la mejora en el instituto, por el desconocimiento de las acciones de cada uno de los planes de mejoramiento de los procesos debido a la falta lineamientos o recursos asignados por parte de la dirección para el cierre de los mismos y también porque al momento en que se genera un hallazgo transversal, se analizan y se generan acciones conjuntas sin los responsables de las áreas directamente involucradas en dicho hallazgo.  </t>
  </si>
  <si>
    <t>1. Desconocimiento del estado de las acciones de cada uno de los planes de mejoramiento de los procesos</t>
  </si>
  <si>
    <t>1. Falta de lineamientos o recursos asignados por parte de la Dirección para el cierre de hallazgos críticos del INM.
2. Al momento en que se genera un hallazgo transversal, se analizan y se generan acciones conjuntas sin los responsables de las áreas directamente involucradas en dicho hallazgo</t>
  </si>
  <si>
    <t>El profesional designado de la OAP consolida la información de las acciones tomadas por los responsables de los procesos, a través del seguimiento trimestral a estas acciones (Registro: E-02-F-015 Acciones correctivas y de mejora).</t>
  </si>
  <si>
    <r>
      <rPr>
        <b/>
        <sz val="9"/>
        <color rgb="FF000000"/>
        <rFont val="Verdana"/>
        <family val="2"/>
      </rPr>
      <t>Para el trimestre del 2025-01-01 al 2025-03-30
1. Hallazgos por Auditoría Interna y/o Externa:</t>
    </r>
    <r>
      <rPr>
        <sz val="9"/>
        <color rgb="FF000000"/>
        <rFont val="Verdana"/>
        <family val="2"/>
      </rPr>
      <t xml:space="preserve"> No se identificaron hallazgos relacionados con:
o	Ineficiencia en el cierre de acciones de mejora que perjudiquen el reconocimiento internacional .
o	Falta de lineamientos o recursos asignados para planes de mejoramiento.
o	Deficiencias en el análisis de hallazgos transversales sin participación de áreas responsables.
</t>
    </r>
    <r>
      <rPr>
        <b/>
        <sz val="9"/>
        <color rgb="FF000000"/>
        <rFont val="Verdana"/>
        <family val="2"/>
      </rPr>
      <t>2. Trabajos No Conformes:</t>
    </r>
    <r>
      <rPr>
        <sz val="9"/>
        <color rgb="FF000000"/>
        <rFont val="Verdana"/>
        <family val="2"/>
      </rPr>
      <t xml:space="preserve"> No se registraron trabajos no conformes asociadas a:
o	Retrasos o incumplimiento en planes de mejoramiento que afectaran el reconocimiento internacional.
o	Acciones de mejora no implementadas o inefectivas que afectaran el reconocimiento internacional.
</t>
    </r>
    <r>
      <rPr>
        <b/>
        <sz val="9"/>
        <color rgb="FF000000"/>
        <rFont val="Verdana"/>
        <family val="2"/>
      </rPr>
      <t xml:space="preserve">3. PQRSD (Peticiones, Quejas, Reclamos, Sugerencias y Denuncias): </t>
    </r>
    <r>
      <rPr>
        <sz val="9"/>
        <color rgb="FF000000"/>
        <rFont val="Verdana"/>
        <family val="2"/>
      </rPr>
      <t xml:space="preserve">No se presentaron PQRSD vinculadas.
</t>
    </r>
    <r>
      <rPr>
        <b/>
        <sz val="9"/>
        <color rgb="FF000000"/>
        <rFont val="Verdana"/>
        <family val="2"/>
      </rPr>
      <t xml:space="preserve">4. Resultados en la Medición de Indicadores de Gestión: </t>
    </r>
    <r>
      <rPr>
        <sz val="9"/>
        <color rgb="FF000000"/>
        <rFont val="Verdana"/>
        <family val="2"/>
      </rPr>
      <t xml:space="preserve">No hay indicadores críticos que reflejen riesgos materializados.
</t>
    </r>
    <r>
      <rPr>
        <b/>
        <sz val="9"/>
        <color rgb="FF000000"/>
        <rFont val="Verdana"/>
        <family val="2"/>
      </rPr>
      <t xml:space="preserve">5. Evidencia del Control Ejecutado para Riesgos Alto/Catastrófico: Se cuenta con evidencia de controles preventivos, como:
</t>
    </r>
    <r>
      <rPr>
        <sz val="9"/>
        <color rgb="FF000000"/>
        <rFont val="Verdana"/>
        <family val="2"/>
      </rPr>
      <t xml:space="preserve">o	Asignación documentada de responsables para cierre de acciones de mejora.
o	Revisiones periódicas del avance de planes de mejoramiento.
o	Lineamientos establecidos para el análisis conjunto de hallazgos transversales (con participación de áreas involucradas).
</t>
    </r>
    <r>
      <rPr>
        <b/>
        <sz val="9"/>
        <color rgb="FF000000"/>
        <rFont val="Verdana"/>
        <family val="2"/>
      </rPr>
      <t>6. Observaciones en Supervisiones de Calidad y PMR:</t>
    </r>
    <r>
      <rPr>
        <sz val="9"/>
        <color rgb="FF000000"/>
        <rFont val="Verdana"/>
        <family val="2"/>
      </rPr>
      <t xml:space="preserve"> No aplica 
</t>
    </r>
    <r>
      <rPr>
        <b/>
        <sz val="9"/>
        <color rgb="FF000000"/>
        <rFont val="Verdana"/>
        <family val="2"/>
      </rPr>
      <t>7. Hallazgos desde la Auditoría de Control Interno:</t>
    </r>
    <r>
      <rPr>
        <sz val="9"/>
        <color rgb="FF000000"/>
        <rFont val="Verdana"/>
        <family val="2"/>
      </rPr>
      <t xml:space="preserve"> No se detectaron debilidades asociadas a este riesgo en auditorías recientes.
</t>
    </r>
    <r>
      <rPr>
        <b/>
        <sz val="9"/>
        <color rgb="FF000000"/>
        <rFont val="Verdana"/>
        <family val="2"/>
      </rPr>
      <t>8. Hallazgos con Presunta Incidencia Fiscal por Ente de Control:</t>
    </r>
    <r>
      <rPr>
        <sz val="9"/>
        <color rgb="FF000000"/>
        <rFont val="Verdana"/>
        <family val="2"/>
      </rPr>
      <t xml:space="preserve"> No existen hallazgos fiscales relacionados con ineficiencia en mejoras o manejo de hallazgos.
</t>
    </r>
    <r>
      <rPr>
        <b/>
        <sz val="9"/>
        <color rgb="FF000000"/>
        <rFont val="Verdana"/>
        <family val="2"/>
      </rPr>
      <t>9. Fallo con Responsabilidad Fiscal en Firme:</t>
    </r>
    <r>
      <rPr>
        <sz val="9"/>
        <color rgb="FF000000"/>
        <rFont val="Verdana"/>
        <family val="2"/>
      </rPr>
      <t xml:space="preserve"> No se registran fallos en firme por este tipo de situaciones.
En resumen, el riesgo no se materializó en el trimestre, lo que sugiere que los controles implementados son efectivos, no se presentaron eventos que afectaran el reconocimiento internacional del instituto.
</t>
    </r>
  </si>
  <si>
    <t>Revisado, sin novedad.
Este riesgo se encuentra pendiente por actualizar por parte de los responsables del proceso. Se tienen mesas de trabajo  programadas para iniciar con la revisión de este riesgo y de los demás para el proceso E-02, en la semana del 28 de abril del 2025</t>
  </si>
  <si>
    <r>
      <rPr>
        <b/>
        <sz val="10"/>
        <color rgb="FF000000"/>
        <rFont val="Verdana"/>
        <family val="2"/>
      </rPr>
      <t>Para el trimestre del 2025-04-01 al 2025-06-30
Control 1.</t>
    </r>
    <r>
      <rPr>
        <sz val="10"/>
        <color rgb="FF000000"/>
        <rFont val="Verdana"/>
        <family val="2"/>
      </rPr>
      <t xml:space="preserve">  El profesional designado de la OAP consolida la información de las acciones tomadas por los responsables de los procesos, mediante el seguimiento trimestral a dichas acciones.
</t>
    </r>
    <r>
      <rPr>
        <sz val="10"/>
        <color rgb="FF4F81BD"/>
        <rFont val="Verdana"/>
        <family val="2"/>
      </rPr>
      <t>El control se ejecuta trimestralmente  a través del profesional designado de la OAP, que mediante la consulta a la BD de ISOLUCION descarga la información para consolidala en un tablero de Powe BI disponible para presentar los avances de los responsables de los procesos, mediante el seguimiento a dichas acciones a los comités CIGD y CCCI</t>
    </r>
    <r>
      <rPr>
        <sz val="10"/>
        <color rgb="FF000000"/>
        <rFont val="Verdana"/>
        <family val="2"/>
      </rPr>
      <t xml:space="preserve">.
</t>
    </r>
    <r>
      <rPr>
        <b/>
        <sz val="10"/>
        <color rgb="FF000000"/>
        <rFont val="Verdana"/>
        <family val="2"/>
      </rPr>
      <t xml:space="preserve">1.	¿Se identificó alguna no conformidad por auditoría interna y/o externa?
</t>
    </r>
    <r>
      <rPr>
        <sz val="10"/>
        <color rgb="FF000000"/>
        <rFont val="Verdana"/>
        <family val="2"/>
      </rPr>
      <t xml:space="preserve">No.
</t>
    </r>
    <r>
      <rPr>
        <b/>
        <sz val="10"/>
        <color rgb="FF000000"/>
        <rFont val="Verdana"/>
        <family val="2"/>
      </rPr>
      <t xml:space="preserve">2.	¿Se identificó algún trabajo (salida) no conforme?
</t>
    </r>
    <r>
      <rPr>
        <sz val="10"/>
        <color rgb="FF000000"/>
        <rFont val="Verdana"/>
        <family val="2"/>
      </rPr>
      <t xml:space="preserve">No.
</t>
    </r>
    <r>
      <rPr>
        <b/>
        <sz val="10"/>
        <color rgb="FF000000"/>
        <rFont val="Verdana"/>
        <family val="2"/>
      </rPr>
      <t xml:space="preserve">3.	¿Se presentó alguna PQRSD?
</t>
    </r>
    <r>
      <rPr>
        <sz val="10"/>
        <color rgb="FF000000"/>
        <rFont val="Verdana"/>
        <family val="2"/>
      </rPr>
      <t xml:space="preserve">No.
</t>
    </r>
    <r>
      <rPr>
        <b/>
        <sz val="10"/>
        <color rgb="FF000000"/>
        <rFont val="Verdana"/>
        <family val="2"/>
      </rPr>
      <t xml:space="preserve">4.	¿Se obtuvieron resultados en nivel crítico o aceptable en los indicadores de gestión?
</t>
    </r>
    <r>
      <rPr>
        <sz val="10"/>
        <color rgb="FF000000"/>
        <rFont val="Verdana"/>
        <family val="2"/>
      </rPr>
      <t xml:space="preserve">No.
</t>
    </r>
    <r>
      <rPr>
        <b/>
        <sz val="10"/>
        <color rgb="FF000000"/>
        <rFont val="Verdana"/>
        <family val="2"/>
      </rPr>
      <t xml:space="preserve">5.	¿Se tiene evidencia del control ejecutado?
</t>
    </r>
    <r>
      <rPr>
        <sz val="10"/>
        <color rgb="FF000000"/>
        <rFont val="Verdana"/>
        <family val="2"/>
      </rPr>
      <t xml:space="preserve">Sí, mediante el registro de seguimiento trimestral realizado por la OAP.
</t>
    </r>
    <r>
      <rPr>
        <b/>
        <sz val="10"/>
        <color rgb="FF000000"/>
        <rFont val="Verdana"/>
        <family val="2"/>
      </rPr>
      <t xml:space="preserve">6.	¿Observaciones o hallazgos en supervisiones de calidad o PMR que ameriten materialización del riesgo?
</t>
    </r>
    <r>
      <rPr>
        <sz val="10"/>
        <color rgb="FF000000"/>
        <rFont val="Verdana"/>
        <family val="2"/>
      </rPr>
      <t xml:space="preserve">No aplica.
</t>
    </r>
    <r>
      <rPr>
        <b/>
        <sz val="10"/>
        <color rgb="FF000000"/>
        <rFont val="Verdana"/>
        <family val="2"/>
      </rPr>
      <t xml:space="preserve">7.	¿Hallazgos en auditoría de control interno?
</t>
    </r>
    <r>
      <rPr>
        <sz val="10"/>
        <color rgb="FF000000"/>
        <rFont val="Verdana"/>
        <family val="2"/>
      </rPr>
      <t xml:space="preserve">No se ha realizado auditoría interna durante el trimestre.
</t>
    </r>
    <r>
      <rPr>
        <b/>
        <sz val="10"/>
        <color rgb="FF000000"/>
        <rFont val="Verdana"/>
        <family val="2"/>
      </rPr>
      <t xml:space="preserve">8.	¿Hallazgos con presunta incidencia fiscal?
</t>
    </r>
    <r>
      <rPr>
        <sz val="10"/>
        <color rgb="FF000000"/>
        <rFont val="Verdana"/>
        <family val="2"/>
      </rPr>
      <t xml:space="preserve">No.
</t>
    </r>
    <r>
      <rPr>
        <b/>
        <sz val="10"/>
        <color rgb="FF000000"/>
        <rFont val="Verdana"/>
        <family val="2"/>
      </rPr>
      <t xml:space="preserve">9.	¿Fallo con responsabilidad fiscal en firme?
</t>
    </r>
    <r>
      <rPr>
        <sz val="10"/>
        <color rgb="FF000000"/>
        <rFont val="Verdana"/>
        <family val="2"/>
      </rPr>
      <t xml:space="preserve">No.
</t>
    </r>
    <r>
      <rPr>
        <b/>
        <sz val="10"/>
        <color rgb="FF000000"/>
        <rFont val="Verdana"/>
        <family val="2"/>
      </rPr>
      <t xml:space="preserve">10.	¿Resultado desfavorable que evidencie la materialización del riesgo?
</t>
    </r>
    <r>
      <rPr>
        <sz val="10"/>
        <color rgb="FF000000"/>
        <rFont val="Verdana"/>
        <family val="2"/>
      </rPr>
      <t>✘ No.</t>
    </r>
  </si>
  <si>
    <r>
      <rPr>
        <b/>
        <sz val="10"/>
        <color rgb="FF000000"/>
        <rFont val="Verdana"/>
      </rPr>
      <t>Para el trimestre del 2025-07-01 al 2025-09-30
Control 1.</t>
    </r>
    <r>
      <rPr>
        <sz val="10"/>
        <color rgb="FF000000"/>
        <rFont val="Verdana"/>
      </rPr>
      <t xml:space="preserve">  El profesional designado de la OAP consolida la información de las acciones tomadas por los responsables de los procesos, mediante el seguimiento trimestral a dichas acciones.
</t>
    </r>
    <r>
      <rPr>
        <b/>
        <sz val="10"/>
        <color rgb="FF0070C0"/>
        <rFont val="Verdana"/>
      </rPr>
      <t xml:space="preserve">El control se ejecuta trimestralmente  a través del profesional designado de la OAP, que mediante la consulta a la BD de ISOLUCION descarga la información para consolidala en un tablero de Powe BI disponible para presentar los avances de los responsables de los procesos, mediante el seguimiento a dichas acciones a los comités CIGD y CCCI.
</t>
    </r>
    <r>
      <rPr>
        <b/>
        <sz val="10"/>
        <color rgb="FF000000"/>
        <rFont val="Verdana"/>
      </rPr>
      <t xml:space="preserve">1.	¿Se identificó alguna no conformidad por auditoría interna y/o externa?
</t>
    </r>
    <r>
      <rPr>
        <sz val="10"/>
        <color rgb="FF000000"/>
        <rFont val="Verdana"/>
      </rPr>
      <t xml:space="preserve">Sí. Durante la evaluación por pares de gestión, se identificó que las no conformidades derivadas de diversas fuentes no se gestionan y cierran dentro de los plazos establecidos.
</t>
    </r>
    <r>
      <rPr>
        <b/>
        <sz val="10"/>
        <color rgb="FF000000"/>
        <rFont val="Verdana"/>
      </rPr>
      <t xml:space="preserve">2.	¿Se identificó algún trabajo (salida) no conforme?
</t>
    </r>
    <r>
      <rPr>
        <sz val="10"/>
        <color rgb="FF000000"/>
        <rFont val="Verdana"/>
      </rPr>
      <t xml:space="preserve">No.
</t>
    </r>
    <r>
      <rPr>
        <b/>
        <sz val="10"/>
        <color rgb="FF000000"/>
        <rFont val="Verdana"/>
      </rPr>
      <t xml:space="preserve">3.	¿Se presentó alguna PQRSD?
</t>
    </r>
    <r>
      <rPr>
        <sz val="10"/>
        <color rgb="FF000000"/>
        <rFont val="Verdana"/>
      </rPr>
      <t xml:space="preserve">No.
</t>
    </r>
    <r>
      <rPr>
        <b/>
        <sz val="10"/>
        <color rgb="FF000000"/>
        <rFont val="Verdana"/>
      </rPr>
      <t xml:space="preserve">4.	¿Se obtuvieron resultados en nivel crítico o aceptable en los indicadores de gestión?
</t>
    </r>
    <r>
      <rPr>
        <sz val="10"/>
        <color rgb="FF000000"/>
        <rFont val="Verdana"/>
      </rPr>
      <t xml:space="preserve">Sí. Los resultados en nivel crítico o aceptable en los indicadores de gestión asociados al cierre de hallazgos constituyen evidencia objetiva que sustenta la alta probabilidad de afectación reputacional, ya que:
-Demuestran incapacidad para cumplir compromisos autoimpuestos
-Reflejan debilidades en el sistema de mejora continua
</t>
    </r>
    <r>
      <rPr>
        <b/>
        <sz val="10"/>
        <color rgb="FF000000"/>
        <rFont val="Verdana"/>
      </rPr>
      <t xml:space="preserve">5.	¿Se tiene evidencia del control ejecutado?
</t>
    </r>
    <r>
      <rPr>
        <sz val="10"/>
        <color rgb="FF000000"/>
        <rFont val="Verdana"/>
      </rPr>
      <t xml:space="preserve">Sí, mediante el registro de seguimiento trimestral realizado por la OAP.
</t>
    </r>
    <r>
      <rPr>
        <b/>
        <sz val="10"/>
        <color rgb="FF000000"/>
        <rFont val="Verdana"/>
      </rPr>
      <t xml:space="preserve">6.	¿Observaciones o hallazgos en supervisiones de calidad o PMR que ameriten materialización del riesgo?
</t>
    </r>
    <r>
      <rPr>
        <sz val="10"/>
        <color rgb="FF000000"/>
        <rFont val="Verdana"/>
      </rPr>
      <t xml:space="preserve">No aplica.
</t>
    </r>
    <r>
      <rPr>
        <b/>
        <sz val="10"/>
        <color rgb="FF000000"/>
        <rFont val="Verdana"/>
      </rPr>
      <t xml:space="preserve">7.	¿Hallazgos en auditoría de control interno?
</t>
    </r>
    <r>
      <rPr>
        <sz val="10"/>
        <color rgb="FF000000"/>
        <rFont val="Verdana"/>
      </rPr>
      <t xml:space="preserve">No se ha realizado auditoría interna durante el trimestre.
</t>
    </r>
    <r>
      <rPr>
        <b/>
        <sz val="10"/>
        <color rgb="FF000000"/>
        <rFont val="Verdana"/>
      </rPr>
      <t xml:space="preserve">8.	¿Hallazgos con presunta incidencia fiscal?
</t>
    </r>
    <r>
      <rPr>
        <sz val="10"/>
        <color rgb="FF000000"/>
        <rFont val="Verdana"/>
      </rPr>
      <t xml:space="preserve">No.
</t>
    </r>
    <r>
      <rPr>
        <b/>
        <sz val="10"/>
        <color rgb="FF000000"/>
        <rFont val="Verdana"/>
      </rPr>
      <t xml:space="preserve">9.	¿Fallo con responsabilidad fiscal en firme?
</t>
    </r>
    <r>
      <rPr>
        <sz val="10"/>
        <color rgb="FF000000"/>
        <rFont val="Verdana"/>
      </rPr>
      <t xml:space="preserve">No.
</t>
    </r>
    <r>
      <rPr>
        <b/>
        <sz val="10"/>
        <color rgb="FF000000"/>
        <rFont val="Verdana"/>
      </rPr>
      <t xml:space="preserve">10.	¿Resultado desfavorable que evidencie la materialización del riesgo?
</t>
    </r>
    <r>
      <rPr>
        <sz val="10"/>
        <color rgb="FF000000"/>
        <rFont val="Verdana"/>
      </rPr>
      <t>✘ No.</t>
    </r>
  </si>
  <si>
    <t>1. Auditoría externa</t>
  </si>
  <si>
    <t>Acción Correctiva AUD 372</t>
  </si>
  <si>
    <t xml:space="preserve">A pesar que la primera línea de defensa indica que el riesgo se materializa por la no  conformidad encontrada en la revisión por pares al sistema, a corte de este seguimiento,  no hay evidencia relacionada con que se haya perdido el reconocimiento internacional. Si bien se identificó un hallazgo que tiene relación directa con la gestión del riesgo y sus controles, por la forma en la cual está redactado el riesgo, desde la revisión de  la segunda línea se identifica que sin esa evidencia objetiva de la pérdida de reconocimiento internacional, se decide cambiar el estado a "no" se materializa este riesgo. Sin embargo y a modo preventivo, desde el rol de segunda línea de la OAP se realizará el monitoreo a las actividades establecidas en la acción correctiva AUD 372 a fin de evitar materialización del riesgo. </t>
  </si>
  <si>
    <t>El responsable del proceso convoca a mesas de trabajo con el personal en los casos en que los hallazgos que requieran tomar acciones por parte de más de un proceso se convoca una mesa de trabajo para realizar el análisis de causas y definir las actividades del plan de mejoramiento, a través del correo electrónico (Registro: Citación a la reunión y la formulación de las Acciones de mejora).</t>
  </si>
  <si>
    <r>
      <rPr>
        <b/>
        <sz val="10"/>
        <color rgb="FF000000"/>
        <rFont val="Verdana"/>
        <family val="2"/>
      </rPr>
      <t>Para el trimestre del 2025-04-01 al 2025-06-30
Control 2.</t>
    </r>
    <r>
      <rPr>
        <sz val="10"/>
        <color rgb="FF000000"/>
        <rFont val="Verdana"/>
        <family val="2"/>
      </rPr>
      <t xml:space="preserve"> El responsable del proceso convoca a mesas de trabajo cuando el hallazgo involucra a más de un proceso, con el fin de realizar análisis de causas y definir actividades del plan de mejoramiento, mediante convocatoria por correo electrónico.
</t>
    </r>
    <r>
      <rPr>
        <sz val="10"/>
        <color rgb="FF4F81BD"/>
        <rFont val="Verdana"/>
        <family val="2"/>
      </rPr>
      <t xml:space="preserve">La ejecución del control depende del responsable del proceso, quien debe convocar las mesas de trabajo cuando el hallazgo involucra a más de un proceso, con el fin de realizar análisis de causas y definir actividades del plan de mejoramiento, mediante convocatoria por correo electrónico
</t>
    </r>
    <r>
      <rPr>
        <b/>
        <sz val="10"/>
        <color rgb="FF000000"/>
        <rFont val="Verdana"/>
        <family val="2"/>
      </rPr>
      <t xml:space="preserve">1.	¿Se identificó alguna no conformidad por auditoría interna y/o externa?
</t>
    </r>
    <r>
      <rPr>
        <sz val="10"/>
        <color rgb="FF000000"/>
        <rFont val="Verdana"/>
        <family val="2"/>
      </rPr>
      <t xml:space="preserve">No.
</t>
    </r>
    <r>
      <rPr>
        <b/>
        <sz val="10"/>
        <color rgb="FF000000"/>
        <rFont val="Verdana"/>
        <family val="2"/>
      </rPr>
      <t xml:space="preserve">2.	¿Trabajo (salida) no conforme?
</t>
    </r>
    <r>
      <rPr>
        <sz val="10"/>
        <color rgb="FF000000"/>
        <rFont val="Verdana"/>
        <family val="2"/>
      </rPr>
      <t xml:space="preserve">No.
</t>
    </r>
    <r>
      <rPr>
        <b/>
        <sz val="10"/>
        <color rgb="FF000000"/>
        <rFont val="Verdana"/>
        <family val="2"/>
      </rPr>
      <t xml:space="preserve">3.	¿PQRSD?
</t>
    </r>
    <r>
      <rPr>
        <sz val="10"/>
        <color rgb="FF000000"/>
        <rFont val="Verdana"/>
        <family val="2"/>
      </rPr>
      <t xml:space="preserve">No.
</t>
    </r>
    <r>
      <rPr>
        <b/>
        <sz val="10"/>
        <color rgb="FF000000"/>
        <rFont val="Verdana"/>
        <family val="2"/>
      </rPr>
      <t xml:space="preserve">4.	¿Resultados críticos o aceptables en indicadores?
</t>
    </r>
    <r>
      <rPr>
        <sz val="10"/>
        <color rgb="FF000000"/>
        <rFont val="Verdana"/>
        <family val="2"/>
      </rPr>
      <t xml:space="preserve">No.
</t>
    </r>
    <r>
      <rPr>
        <b/>
        <sz val="10"/>
        <color rgb="FF000000"/>
        <rFont val="Verdana"/>
        <family val="2"/>
      </rPr>
      <t xml:space="preserve">5. ¿Evidencia del control ejecutado?
</t>
    </r>
    <r>
      <rPr>
        <sz val="10"/>
        <color rgb="FF000000"/>
        <rFont val="Verdana"/>
        <family val="2"/>
      </rPr>
      <t xml:space="preserve">Sí, a través de los correos electrónicos de convocatoria a mesas de trabajo entre los procesos.
</t>
    </r>
    <r>
      <rPr>
        <b/>
        <sz val="10"/>
        <color rgb="FF000000"/>
        <rFont val="Verdana"/>
        <family val="2"/>
      </rPr>
      <t xml:space="preserve">6.	¿Observaciones o hallazgos en supervisiones de calidad o PMR?
</t>
    </r>
    <r>
      <rPr>
        <sz val="10"/>
        <color rgb="FF000000"/>
        <rFont val="Verdana"/>
        <family val="2"/>
      </rPr>
      <t xml:space="preserve">No aplica.
</t>
    </r>
    <r>
      <rPr>
        <b/>
        <sz val="10"/>
        <color rgb="FF000000"/>
        <rFont val="Verdana"/>
        <family val="2"/>
      </rPr>
      <t xml:space="preserve">7.	¿Hallazgos en auditoría de control interno?
</t>
    </r>
    <r>
      <rPr>
        <sz val="10"/>
        <color rgb="FF000000"/>
        <rFont val="Verdana"/>
        <family val="2"/>
      </rPr>
      <t xml:space="preserve">No se ha realizado auditoría interna durante el trimestre.
</t>
    </r>
    <r>
      <rPr>
        <b/>
        <sz val="10"/>
        <color rgb="FF000000"/>
        <rFont val="Verdana"/>
        <family val="2"/>
      </rPr>
      <t xml:space="preserve">8.	¿Hallazgos con presunta incidencia fiscal?
</t>
    </r>
    <r>
      <rPr>
        <sz val="10"/>
        <color rgb="FF000000"/>
        <rFont val="Verdana"/>
        <family val="2"/>
      </rPr>
      <t xml:space="preserve">No.
</t>
    </r>
    <r>
      <rPr>
        <b/>
        <sz val="10"/>
        <color rgb="FF000000"/>
        <rFont val="Verdana"/>
        <family val="2"/>
      </rPr>
      <t xml:space="preserve">9.	¿Fallo con responsabilidad fiscal en firme?
</t>
    </r>
    <r>
      <rPr>
        <sz val="10"/>
        <color rgb="FF000000"/>
        <rFont val="Verdana"/>
        <family val="2"/>
      </rPr>
      <t xml:space="preserve">No.
</t>
    </r>
    <r>
      <rPr>
        <b/>
        <sz val="10"/>
        <color rgb="FF000000"/>
        <rFont val="Verdana"/>
        <family val="2"/>
      </rPr>
      <t xml:space="preserve">10.	¿Resultado desfavorable que evidencie la materialización del riesgo?
</t>
    </r>
    <r>
      <rPr>
        <sz val="10"/>
        <color rgb="FF000000"/>
        <rFont val="Verdana"/>
        <family val="2"/>
      </rPr>
      <t xml:space="preserve"> No.</t>
    </r>
  </si>
  <si>
    <r>
      <rPr>
        <b/>
        <sz val="10"/>
        <color rgb="FF000000"/>
        <rFont val="Verdana"/>
      </rPr>
      <t>Para el trimestre del 2025-07-01 al 2025-09-30
Control 2.</t>
    </r>
    <r>
      <rPr>
        <sz val="10"/>
        <color rgb="FF000000"/>
        <rFont val="Verdana"/>
      </rPr>
      <t xml:space="preserve"> El responsable del proceso convoca a mesas de trabajo cuando el hallazgo involucra a más de un proceso, con el fin de realizar análisis de causas y definir actividades del plan de mejoramiento, mediante convocatoria por correo electrónico.
</t>
    </r>
    <r>
      <rPr>
        <b/>
        <sz val="10"/>
        <color rgb="FF0070C0"/>
        <rFont val="Verdana"/>
      </rPr>
      <t xml:space="preserve">La ejecución del control depende del responsable del proceso, quien debe convocar las mesas de trabajo cuando el hallazgo involucra a más de un proceso, con el fin de realizar análisis de causas y definir actividades del plan de mejoramiento, mediante convocatoria por correo electrónico
</t>
    </r>
    <r>
      <rPr>
        <b/>
        <sz val="10"/>
        <color rgb="FF000000"/>
        <rFont val="Verdana"/>
      </rPr>
      <t xml:space="preserve">1.	¿Se identificó alguna no conformidad por auditoría interna y/o externa?
</t>
    </r>
    <r>
      <rPr>
        <sz val="10"/>
        <color rgb="FF000000"/>
        <rFont val="Verdana"/>
      </rPr>
      <t xml:space="preserve">Sí. Durante la evaluación por pares de gestión, se identificó que las no conformidades derivadas de diversas fuentes no se gestionan y cierran dentro de los plazos establecidos.
</t>
    </r>
    <r>
      <rPr>
        <b/>
        <sz val="10"/>
        <color rgb="FF000000"/>
        <rFont val="Verdana"/>
      </rPr>
      <t xml:space="preserve">2.	¿Trabajo (salida) no conforme?
</t>
    </r>
    <r>
      <rPr>
        <sz val="10"/>
        <color rgb="FF000000"/>
        <rFont val="Verdana"/>
      </rPr>
      <t xml:space="preserve">No.
</t>
    </r>
    <r>
      <rPr>
        <b/>
        <sz val="10"/>
        <color rgb="FF000000"/>
        <rFont val="Verdana"/>
      </rPr>
      <t xml:space="preserve">3.	¿PQRSD?
</t>
    </r>
    <r>
      <rPr>
        <sz val="10"/>
        <color rgb="FF000000"/>
        <rFont val="Verdana"/>
      </rPr>
      <t xml:space="preserve">No.
</t>
    </r>
    <r>
      <rPr>
        <b/>
        <sz val="10"/>
        <color rgb="FF000000"/>
        <rFont val="Verdana"/>
      </rPr>
      <t xml:space="preserve">4.	¿Resultados críticos o aceptables en indicadores?
</t>
    </r>
    <r>
      <rPr>
        <sz val="10"/>
        <color rgb="FF000000"/>
        <rFont val="Verdana"/>
      </rPr>
      <t xml:space="preserve">Sí. Los resultados en nivel crítico o aceptable en los indicadores de gestión asociados al cierre de hallazgos constituyen evidencia objetiva que sustenta la alta probabilidad de afectación reputacional, ya que:
-Demuestran incapacidad para cumplir compromisos autoimpuestos
-Reflejan debilidades en el sistema de mejora continua
</t>
    </r>
    <r>
      <rPr>
        <b/>
        <sz val="10"/>
        <color rgb="FF000000"/>
        <rFont val="Verdana"/>
      </rPr>
      <t xml:space="preserve">5. ¿Evidencia del control ejecutado?
</t>
    </r>
    <r>
      <rPr>
        <sz val="10"/>
        <color rgb="FF000000"/>
        <rFont val="Verdana"/>
      </rPr>
      <t xml:space="preserve">Sí, a través de los correos electrónicos de convocatoria a mesas de trabajo entre los procesos.
</t>
    </r>
    <r>
      <rPr>
        <b/>
        <sz val="10"/>
        <color rgb="FF000000"/>
        <rFont val="Verdana"/>
      </rPr>
      <t xml:space="preserve">6.	¿Observaciones o hallazgos en supervisiones de calidad o PMR?
</t>
    </r>
    <r>
      <rPr>
        <sz val="10"/>
        <color rgb="FF000000"/>
        <rFont val="Verdana"/>
      </rPr>
      <t xml:space="preserve">No aplica.
</t>
    </r>
    <r>
      <rPr>
        <b/>
        <sz val="10"/>
        <color rgb="FF000000"/>
        <rFont val="Verdana"/>
      </rPr>
      <t xml:space="preserve">7.	¿Hallazgos en auditoría de control interno?
</t>
    </r>
    <r>
      <rPr>
        <sz val="10"/>
        <color rgb="FF000000"/>
        <rFont val="Verdana"/>
      </rPr>
      <t xml:space="preserve">No se ha realizado auditoría interna durante el trimestre.
</t>
    </r>
    <r>
      <rPr>
        <b/>
        <sz val="10"/>
        <color rgb="FF000000"/>
        <rFont val="Verdana"/>
      </rPr>
      <t xml:space="preserve">8.	¿Hallazgos con presunta incidencia fiscal?
</t>
    </r>
    <r>
      <rPr>
        <sz val="10"/>
        <color rgb="FF000000"/>
        <rFont val="Verdana"/>
      </rPr>
      <t xml:space="preserve">No.
</t>
    </r>
    <r>
      <rPr>
        <b/>
        <sz val="10"/>
        <color rgb="FF000000"/>
        <rFont val="Verdana"/>
      </rPr>
      <t xml:space="preserve">9.	¿Fallo con responsabilidad fiscal en firme?
</t>
    </r>
    <r>
      <rPr>
        <sz val="10"/>
        <color rgb="FF000000"/>
        <rFont val="Verdana"/>
      </rPr>
      <t xml:space="preserve">No.
</t>
    </r>
    <r>
      <rPr>
        <b/>
        <sz val="10"/>
        <color rgb="FF000000"/>
        <rFont val="Verdana"/>
      </rPr>
      <t xml:space="preserve">10.	¿Resultado desfavorable que evidencie la materialización del riesgo?
</t>
    </r>
    <r>
      <rPr>
        <sz val="10"/>
        <color rgb="FF000000"/>
        <rFont val="Verdana"/>
      </rPr>
      <t xml:space="preserve"> No.</t>
    </r>
  </si>
  <si>
    <t>El profesional designado de la OAP revisa el cumplimiento y toma de decisiones por parte de los procesos del INM de manera trimestral, a través del informe presentado al CIGD y CICCI (Registro: Informe de seguimiento trimestral a las acciones de mejora).</t>
  </si>
  <si>
    <r>
      <rPr>
        <b/>
        <sz val="10"/>
        <color rgb="FF000000"/>
        <rFont val="Verdana"/>
        <family val="2"/>
      </rPr>
      <t>Para el trimestre del 2025-04-01 al 2025-06-30
Control 3:</t>
    </r>
    <r>
      <rPr>
        <sz val="10"/>
        <color rgb="FF000000"/>
        <rFont val="Verdana"/>
        <family val="2"/>
      </rPr>
      <t xml:space="preserve"> El profesional designado de la OAP revisa trimestralmente el cumplimiento de las acciones por parte de los procesos del INM, a través del informe presentado al CIGD y al CICCI.
</t>
    </r>
    <r>
      <rPr>
        <sz val="10"/>
        <color rgb="FF4F81BD"/>
        <rFont val="Verdana"/>
        <family val="2"/>
      </rPr>
      <t xml:space="preserve">El control es ejecutado por el profesional designado de la OAP, quien realiza trimestralmente la consulta a la base de datos de ISOLUCION, descarga la información correspondiente y la consolida para informar al CIGD y al CICCI sobre el estado de cierre de los hallazgos en el marco del seguimiento trimestral.
</t>
    </r>
    <r>
      <rPr>
        <b/>
        <sz val="10"/>
        <color rgb="FF000000"/>
        <rFont val="Verdana"/>
        <family val="2"/>
      </rPr>
      <t xml:space="preserve">1. ¿Se identificó alguna no conformidad por auditoría interna y/o externa?
</t>
    </r>
    <r>
      <rPr>
        <sz val="10"/>
        <color rgb="FF000000"/>
        <rFont val="Verdana"/>
        <family val="2"/>
      </rPr>
      <t xml:space="preserve">No.
</t>
    </r>
    <r>
      <rPr>
        <b/>
        <sz val="10"/>
        <color rgb="FF000000"/>
        <rFont val="Verdana"/>
        <family val="2"/>
      </rPr>
      <t xml:space="preserve">2. ¿Trabajo (salida) no conforme?
</t>
    </r>
    <r>
      <rPr>
        <sz val="10"/>
        <color rgb="FF000000"/>
        <rFont val="Verdana"/>
        <family val="2"/>
      </rPr>
      <t xml:space="preserve">No.
</t>
    </r>
    <r>
      <rPr>
        <b/>
        <sz val="10"/>
        <color rgb="FF000000"/>
        <rFont val="Verdana"/>
        <family val="2"/>
      </rPr>
      <t xml:space="preserve">3. ¿PQRSD?
</t>
    </r>
    <r>
      <rPr>
        <sz val="10"/>
        <color rgb="FF000000"/>
        <rFont val="Verdana"/>
        <family val="2"/>
      </rPr>
      <t xml:space="preserve">No.
</t>
    </r>
    <r>
      <rPr>
        <b/>
        <sz val="10"/>
        <color rgb="FF000000"/>
        <rFont val="Verdana"/>
        <family val="2"/>
      </rPr>
      <t xml:space="preserve">4. ¿Resultados críticos o aceptables en indicadores?
</t>
    </r>
    <r>
      <rPr>
        <sz val="10"/>
        <color rgb="FF000000"/>
        <rFont val="Verdana"/>
        <family val="2"/>
      </rPr>
      <t xml:space="preserve">No.
</t>
    </r>
    <r>
      <rPr>
        <b/>
        <sz val="10"/>
        <color rgb="FF000000"/>
        <rFont val="Verdana"/>
        <family val="2"/>
      </rPr>
      <t xml:space="preserve">5. ¿Evidencia del control ejecutado?
</t>
    </r>
    <r>
      <rPr>
        <sz val="10"/>
        <color rgb="FF000000"/>
        <rFont val="Verdana"/>
        <family val="2"/>
      </rPr>
      <t xml:space="preserve">Sí, mediante los informes presentados trimestralmente al CIGD y al CICCI.
</t>
    </r>
    <r>
      <rPr>
        <b/>
        <sz val="10"/>
        <color rgb="FF000000"/>
        <rFont val="Verdana"/>
        <family val="2"/>
      </rPr>
      <t xml:space="preserve">6. ¿Observaciones o hallazgos en supervisiones de calidad o PMR?
</t>
    </r>
    <r>
      <rPr>
        <sz val="10"/>
        <color rgb="FF000000"/>
        <rFont val="Verdana"/>
        <family val="2"/>
      </rPr>
      <t xml:space="preserve">No aplica.
</t>
    </r>
    <r>
      <rPr>
        <b/>
        <sz val="10"/>
        <color rgb="FF000000"/>
        <rFont val="Verdana"/>
        <family val="2"/>
      </rPr>
      <t xml:space="preserve">7. ¿Hallazgos en auditoría de control interno?
</t>
    </r>
    <r>
      <rPr>
        <sz val="10"/>
        <color rgb="FF000000"/>
        <rFont val="Verdana"/>
        <family val="2"/>
      </rPr>
      <t xml:space="preserve">No se ha realizado auditoría interna durante el trimestre.
</t>
    </r>
    <r>
      <rPr>
        <b/>
        <sz val="10"/>
        <color rgb="FF000000"/>
        <rFont val="Verdana"/>
        <family val="2"/>
      </rPr>
      <t xml:space="preserve">8. ¿Hallazgos con presunta incidencia fiscal?
</t>
    </r>
    <r>
      <rPr>
        <sz val="10"/>
        <color rgb="FF000000"/>
        <rFont val="Verdana"/>
        <family val="2"/>
      </rPr>
      <t xml:space="preserve">No.
</t>
    </r>
    <r>
      <rPr>
        <b/>
        <sz val="10"/>
        <color rgb="FF000000"/>
        <rFont val="Verdana"/>
        <family val="2"/>
      </rPr>
      <t xml:space="preserve">9. ¿Fallo con responsabilidad fiscal en firme?
</t>
    </r>
    <r>
      <rPr>
        <sz val="10"/>
        <color rgb="FF000000"/>
        <rFont val="Verdana"/>
        <family val="2"/>
      </rPr>
      <t xml:space="preserve">No.
</t>
    </r>
    <r>
      <rPr>
        <b/>
        <sz val="10"/>
        <color rgb="FF000000"/>
        <rFont val="Verdana"/>
        <family val="2"/>
      </rPr>
      <t xml:space="preserve">10. ¿Resultado desfavorable que evidencie la materialización del riesgo?
</t>
    </r>
    <r>
      <rPr>
        <sz val="10"/>
        <color rgb="FF000000"/>
        <rFont val="Verdana"/>
        <family val="2"/>
      </rPr>
      <t xml:space="preserve">No.
</t>
    </r>
  </si>
  <si>
    <r>
      <rPr>
        <b/>
        <sz val="10"/>
        <color rgb="FF000000"/>
        <rFont val="Verdana"/>
        <family val="2"/>
      </rPr>
      <t>Para el trimestre del 2025-07-01 al 2025-09-30
Control 3:</t>
    </r>
    <r>
      <rPr>
        <sz val="10"/>
        <color rgb="FF000000"/>
        <rFont val="Verdana"/>
        <family val="2"/>
      </rPr>
      <t xml:space="preserve"> El profesional designado de la OAP revisa trimestralmente el cumplimiento de las acciones por parte de los procesos del INM, a través del informe presentado al CIGD y al CICCI.
</t>
    </r>
    <r>
      <rPr>
        <b/>
        <sz val="10"/>
        <color rgb="FF4F81BD"/>
        <rFont val="Verdana"/>
        <family val="2"/>
      </rPr>
      <t xml:space="preserve">El control es ejecutado por el profesional designado de la OAP, quien realiza trimestralmente la consulta a la base de datos de ISOLUCION, descarga la información correspondiente y la consolida para informar al CIGD y al CICCI sobre el estado de cierre de los hallazgos en el marco del seguimiento trimestral.
</t>
    </r>
    <r>
      <rPr>
        <b/>
        <sz val="10"/>
        <color rgb="FF000000"/>
        <rFont val="Verdana"/>
        <family val="2"/>
      </rPr>
      <t xml:space="preserve">1. ¿Se identificó alguna no conformidad por auditoría interna y/o externa?
</t>
    </r>
    <r>
      <rPr>
        <sz val="10"/>
        <color rgb="FF000000"/>
        <rFont val="Verdana"/>
        <family val="2"/>
      </rPr>
      <t xml:space="preserve">Sí. Durante la evaluación por pares de gestión, se identificó que las no conformidades derivadas de diversas fuentes no se gestionan y cierran dentro de los plazos establecidos.
</t>
    </r>
    <r>
      <rPr>
        <b/>
        <sz val="10"/>
        <color rgb="FF000000"/>
        <rFont val="Verdana"/>
        <family val="2"/>
      </rPr>
      <t xml:space="preserve">2. ¿Trabajo (salida) no conforme?
</t>
    </r>
    <r>
      <rPr>
        <sz val="10"/>
        <color rgb="FF000000"/>
        <rFont val="Verdana"/>
        <family val="2"/>
      </rPr>
      <t xml:space="preserve">No.
</t>
    </r>
    <r>
      <rPr>
        <b/>
        <sz val="10"/>
        <color rgb="FF000000"/>
        <rFont val="Verdana"/>
        <family val="2"/>
      </rPr>
      <t xml:space="preserve">3. ¿PQRSD?
</t>
    </r>
    <r>
      <rPr>
        <sz val="10"/>
        <color rgb="FF000000"/>
        <rFont val="Verdana"/>
        <family val="2"/>
      </rPr>
      <t xml:space="preserve">No.
</t>
    </r>
    <r>
      <rPr>
        <b/>
        <sz val="10"/>
        <color rgb="FF000000"/>
        <rFont val="Verdana"/>
        <family val="2"/>
      </rPr>
      <t xml:space="preserve">4. ¿Resultados críticos o aceptables en indicadores?
</t>
    </r>
    <r>
      <rPr>
        <sz val="10"/>
        <color rgb="FF000000"/>
        <rFont val="Verdana"/>
        <family val="2"/>
      </rPr>
      <t xml:space="preserve">Sí. Los resultados en nivel crítico o aceptable en los indicadores de gestión asociados al cierre de hallazgos constituyen evidencia objetiva que sustenta la alta probabilidad de afectación reputacional, ya que:
-Demuestran incapacidad para cumplir compromisos autoimpuestos
-Reflejan debilidades en el sistema de mejora continua
</t>
    </r>
    <r>
      <rPr>
        <b/>
        <sz val="10"/>
        <color rgb="FF000000"/>
        <rFont val="Verdana"/>
        <family val="2"/>
      </rPr>
      <t xml:space="preserve">5. ¿Evidencia del control ejecutado?
</t>
    </r>
    <r>
      <rPr>
        <sz val="10"/>
        <color rgb="FF000000"/>
        <rFont val="Verdana"/>
        <family val="2"/>
      </rPr>
      <t xml:space="preserve">Sí, mediante los informes presentados trimestralmente al CIGD y al CICCI.
</t>
    </r>
    <r>
      <rPr>
        <b/>
        <sz val="10"/>
        <color rgb="FF000000"/>
        <rFont val="Verdana"/>
        <family val="2"/>
      </rPr>
      <t xml:space="preserve">6. ¿Observaciones o hallazgos en supervisiones de calidad o PMR?
</t>
    </r>
    <r>
      <rPr>
        <sz val="10"/>
        <color rgb="FF000000"/>
        <rFont val="Verdana"/>
        <family val="2"/>
      </rPr>
      <t xml:space="preserve">No aplica.
</t>
    </r>
    <r>
      <rPr>
        <b/>
        <sz val="10"/>
        <color rgb="FF000000"/>
        <rFont val="Verdana"/>
        <family val="2"/>
      </rPr>
      <t xml:space="preserve">7. ¿Hallazgos en auditoría de control interno?
</t>
    </r>
    <r>
      <rPr>
        <sz val="10"/>
        <color rgb="FF000000"/>
        <rFont val="Verdana"/>
        <family val="2"/>
      </rPr>
      <t xml:space="preserve">No se ha realizado auditoría interna durante el trimestre.
</t>
    </r>
    <r>
      <rPr>
        <b/>
        <sz val="10"/>
        <color rgb="FF000000"/>
        <rFont val="Verdana"/>
        <family val="2"/>
      </rPr>
      <t xml:space="preserve">8. ¿Hallazgos con presunta incidencia fiscal?
</t>
    </r>
    <r>
      <rPr>
        <sz val="10"/>
        <color rgb="FF000000"/>
        <rFont val="Verdana"/>
        <family val="2"/>
      </rPr>
      <t xml:space="preserve">No.
</t>
    </r>
    <r>
      <rPr>
        <b/>
        <sz val="10"/>
        <color rgb="FF000000"/>
        <rFont val="Verdana"/>
        <family val="2"/>
      </rPr>
      <t xml:space="preserve">9. ¿Fallo con responsabilidad fiscal en firme?
</t>
    </r>
    <r>
      <rPr>
        <sz val="10"/>
        <color rgb="FF000000"/>
        <rFont val="Verdana"/>
        <family val="2"/>
      </rPr>
      <t xml:space="preserve">No.
</t>
    </r>
    <r>
      <rPr>
        <b/>
        <sz val="10"/>
        <color rgb="FF000000"/>
        <rFont val="Verdana"/>
        <family val="2"/>
      </rPr>
      <t xml:space="preserve">10. ¿Resultado desfavorable que evidencie la materialización del riesgo?
</t>
    </r>
    <r>
      <rPr>
        <sz val="10"/>
        <color rgb="FF000000"/>
        <rFont val="Verdana"/>
        <family val="2"/>
      </rPr>
      <t xml:space="preserve">No.
</t>
    </r>
  </si>
  <si>
    <t>E02-R3</t>
  </si>
  <si>
    <t>Posibilidad de afectación reputacional dada la inadecuada identificación de las causas raíces para el cierre definitivo de hallazgos por realizar un análisis superficial en la identificación de acciones sobre los hallazgos debido a la participación limitada de los responsables de los procesos en la identificación de causas y acciones contundentes para solucionar los inconvenientes.</t>
  </si>
  <si>
    <t>Realizar un análisis superficial en la identificación de acciones sobre los hallazgos</t>
  </si>
  <si>
    <t>1. Participación limitada de los responsables de los procesos (subdirectores, jefes, secretario) en la identificación de causas 
2. Definición de acciones contundentes para solucionar inconvenientes</t>
  </si>
  <si>
    <t>El responsable del área revisa uno a uno los planes de mejoramiento (análisis de causas, acciones formuladas, tiempos establecidos y entregables) al interior área a través de mesas de trabajo internas con el personal involucrado en dichos planes de mejora.</t>
  </si>
  <si>
    <r>
      <rPr>
        <b/>
        <sz val="9"/>
        <color rgb="FF000000"/>
        <rFont val="Verdana"/>
        <family val="2"/>
      </rPr>
      <t>Para el trimestre del 2025-01-01 al 2025-03-30
1. Hallazgos por Auditoría Interna y/o Externa:</t>
    </r>
    <r>
      <rPr>
        <sz val="9"/>
        <color rgb="FF000000"/>
        <rFont val="Verdana"/>
        <family val="2"/>
      </rPr>
      <t xml:space="preserve"> No se identificaron hallazgos en auditorías internas o externas relacionadas con la participación limitada de responsables en el análisis de causas raíces o las deficiencias en el cierre definitivo de hallazgos.
</t>
    </r>
    <r>
      <rPr>
        <b/>
        <sz val="9"/>
        <color rgb="FF000000"/>
        <rFont val="Verdana"/>
        <family val="2"/>
      </rPr>
      <t xml:space="preserve">2. Trabajos No Conformes: </t>
    </r>
    <r>
      <rPr>
        <sz val="9"/>
        <color rgb="FF000000"/>
        <rFont val="Verdana"/>
        <family val="2"/>
      </rPr>
      <t xml:space="preserve">No se registraron salidas no conformes vinculadas a actividades de análisis de causas raíces incompletos o ineficaces o el cierre inadecuado de hallazgos por falta de acciones contundentes.
</t>
    </r>
    <r>
      <rPr>
        <b/>
        <sz val="9"/>
        <color rgb="FF000000"/>
        <rFont val="Verdana"/>
        <family val="2"/>
      </rPr>
      <t xml:space="preserve">3. PQRSD (Peticiones, Quejas, Reclamos, Sugerencias y Denuncias): </t>
    </r>
    <r>
      <rPr>
        <sz val="9"/>
        <color rgb="FF000000"/>
        <rFont val="Verdana"/>
        <family val="2"/>
      </rPr>
      <t xml:space="preserve">No se presentaron PQRSD asociadas 
</t>
    </r>
    <r>
      <rPr>
        <b/>
        <sz val="9"/>
        <color rgb="FF000000"/>
        <rFont val="Verdana"/>
        <family val="2"/>
      </rPr>
      <t>4. Resultados en la Medición de Indicadores de Gestión:</t>
    </r>
    <r>
      <rPr>
        <sz val="9"/>
        <color rgb="FF000000"/>
        <rFont val="Verdana"/>
        <family val="2"/>
      </rPr>
      <t xml:space="preserve">  No hay alertas que indiquen deterioro en la gestión de hallazgos.
</t>
    </r>
    <r>
      <rPr>
        <b/>
        <sz val="9"/>
        <color rgb="FF000000"/>
        <rFont val="Verdana"/>
        <family val="2"/>
      </rPr>
      <t xml:space="preserve">5. Evidencia del Control Ejecutado para Riesgos Alto/Catastrófico: </t>
    </r>
    <r>
      <rPr>
        <sz val="9"/>
        <color rgb="FF000000"/>
        <rFont val="Verdana"/>
        <family val="2"/>
      </rPr>
      <t xml:space="preserve">Controles documentados y efectivos: en cuanto a los lineamientos establecidos para garantizar la participación de responsables en el análisis de causas (ej. comités de mejora), las herramientas aplicadas (ej. diagrama de Ishikawa, 5 porqués) para identificación robusta de causas y e Seguimiento estructurado al cumplimiento de acciones correctivas.
</t>
    </r>
    <r>
      <rPr>
        <b/>
        <sz val="9"/>
        <color rgb="FF000000"/>
        <rFont val="Verdana"/>
        <family val="2"/>
      </rPr>
      <t>6. Observaciones en Supervisiones de Calidad y PMR:</t>
    </r>
    <r>
      <rPr>
        <sz val="9"/>
        <color rgb="FF000000"/>
        <rFont val="Verdana"/>
        <family val="2"/>
      </rPr>
      <t xml:space="preserve"> No aplica 
</t>
    </r>
    <r>
      <rPr>
        <b/>
        <sz val="9"/>
        <color rgb="FF000000"/>
        <rFont val="Verdana"/>
        <family val="2"/>
      </rPr>
      <t xml:space="preserve">7. Hallazgos desde la Auditoría de Control Interno: </t>
    </r>
    <r>
      <rPr>
        <sz val="9"/>
        <color rgb="FF000000"/>
        <rFont val="Verdana"/>
        <family val="2"/>
      </rPr>
      <t xml:space="preserve">No se detectaron debilidades en los procesos de análisis para el cierre de hallazgos.
</t>
    </r>
    <r>
      <rPr>
        <b/>
        <sz val="9"/>
        <color rgb="FF000000"/>
        <rFont val="Verdana"/>
        <family val="2"/>
      </rPr>
      <t xml:space="preserve">8. Hallazgos con Presunta Incidencia Fiscal: </t>
    </r>
    <r>
      <rPr>
        <sz val="9"/>
        <color rgb="FF000000"/>
        <rFont val="Verdana"/>
        <family val="2"/>
      </rPr>
      <t xml:space="preserve">No existen observaciones de entes de control fiscal relacionadas con este riesgo.
</t>
    </r>
    <r>
      <rPr>
        <b/>
        <sz val="9"/>
        <color rgb="FF000000"/>
        <rFont val="Verdana"/>
        <family val="2"/>
      </rPr>
      <t>9. Fallos con Responsabilidad Fiscal en Firme</t>
    </r>
    <r>
      <rPr>
        <sz val="9"/>
        <color rgb="FF000000"/>
        <rFont val="Verdana"/>
        <family val="2"/>
      </rPr>
      <t xml:space="preserve">: No se registran fallos por este concepto.
En resumen, el riesgo no se materializó en el trimestre, lo que indica que los controles actuales son adecuados </t>
    </r>
  </si>
  <si>
    <r>
      <rPr>
        <b/>
        <sz val="10"/>
        <color rgb="FF000000"/>
        <rFont val="Verdana"/>
        <family val="2"/>
      </rPr>
      <t>Para el trimestre del 2025-07-01 al 2025-09-30
Control 1.</t>
    </r>
    <r>
      <rPr>
        <sz val="10"/>
        <color rgb="FF000000"/>
        <rFont val="Verdana"/>
        <family val="2"/>
      </rPr>
      <t xml:space="preserve"> El responsable del área revisa individualmente los planes de mejoramiento (análisis de causas, acciones formuladas, tiempos establecidos y entregables), mediante mesas de trabajo internas con el personal involucrado.
</t>
    </r>
    <r>
      <rPr>
        <sz val="10"/>
        <color rgb="FF4F81BD"/>
        <rFont val="Verdana"/>
        <family val="2"/>
      </rPr>
      <t xml:space="preserve">La ejecución del control depende del responsable del proceso, área revisa individualmente los planes de mejoramiento, el apoyo de calidad), mediante mesas de trabajo internas con el personal involucrado.
</t>
    </r>
    <r>
      <rPr>
        <b/>
        <sz val="10"/>
        <color rgb="FF000000"/>
        <rFont val="Verdana"/>
        <family val="2"/>
      </rPr>
      <t>1. ¿Se identificó alguna no conformidad por auditoría interna y/o externa?
 No</t>
    </r>
    <r>
      <rPr>
        <sz val="10"/>
        <color rgb="FF000000"/>
        <rFont val="Verdana"/>
        <family val="2"/>
      </rPr>
      <t xml:space="preserve">, en las auditorías realizadas no se identificaron no conformidades asociadas a este control.
</t>
    </r>
    <r>
      <rPr>
        <b/>
        <sz val="10"/>
        <color rgb="FF000000"/>
        <rFont val="Verdana"/>
        <family val="2"/>
      </rPr>
      <t>2. ¿Se identificó algún trabajo (salida) no conforme?
No</t>
    </r>
    <r>
      <rPr>
        <sz val="10"/>
        <color rgb="FF000000"/>
        <rFont val="Verdana"/>
        <family val="2"/>
      </rPr>
      <t xml:space="preserve">.
</t>
    </r>
    <r>
      <rPr>
        <b/>
        <sz val="10"/>
        <color rgb="FF000000"/>
        <rFont val="Verdana"/>
        <family val="2"/>
      </rPr>
      <t>3. ¿Hubo alguna PQRSD?
Depende</t>
    </r>
    <r>
      <rPr>
        <sz val="10"/>
        <color rgb="FF000000"/>
        <rFont val="Verdana"/>
        <family val="2"/>
      </rPr>
      <t xml:space="preserve">. En los casos en que el análisis de causa esté relacionado con un TNC originado por una queja, puede considerarse como asociado.
</t>
    </r>
    <r>
      <rPr>
        <b/>
        <sz val="10"/>
        <color rgb="FF000000"/>
        <rFont val="Verdana"/>
        <family val="2"/>
      </rPr>
      <t>4. ¿Resultados en nivel crítico o aceptable en los indicadores de gestión?
No</t>
    </r>
    <r>
      <rPr>
        <sz val="10"/>
        <color rgb="FF000000"/>
        <rFont val="Verdana"/>
        <family val="2"/>
      </rPr>
      <t xml:space="preserve"> se registraron resultados críticos ni aceptables relacionados con este riesgo.
</t>
    </r>
    <r>
      <rPr>
        <b/>
        <sz val="10"/>
        <color rgb="FF000000"/>
        <rFont val="Verdana"/>
        <family val="2"/>
      </rPr>
      <t>5. ¿Existe evidencia del control ejecutado?
Sí,</t>
    </r>
    <r>
      <rPr>
        <sz val="10"/>
        <color rgb="FF000000"/>
        <rFont val="Verdana"/>
        <family val="2"/>
      </rPr>
      <t xml:space="preserve"> a través de la revisión realizada por el enlace de calidad del proceso, la OAP y la Subdirección correspondiente.
</t>
    </r>
    <r>
      <rPr>
        <b/>
        <sz val="10"/>
        <color rgb="FF000000"/>
        <rFont val="Verdana"/>
        <family val="2"/>
      </rPr>
      <t>6. ¿Se presentaron observaciones o hallazgos en supervisiones de calidad o PMR que ameriten la materialización del riesgo?
No.
7. ¿Se realizó auditoría de control interno al proceso?
No,</t>
    </r>
    <r>
      <rPr>
        <sz val="10"/>
        <color rgb="FF000000"/>
        <rFont val="Verdana"/>
        <family val="2"/>
      </rPr>
      <t xml:space="preserve"> durante el trimestre no se ejecutó auditoría de control interno.
</t>
    </r>
    <r>
      <rPr>
        <b/>
        <sz val="10"/>
        <color rgb="FF000000"/>
        <rFont val="Verdana"/>
        <family val="2"/>
      </rPr>
      <t>8. ¿Se identificaron hallazgos con presunta incidencia fiscal o fallos con responsabilidad fiscal?
No.
9. ¿Algún resultado desfavorable que indique materialización del riesgo?
Depende</t>
    </r>
    <r>
      <rPr>
        <sz val="10"/>
        <color rgb="FF000000"/>
        <rFont val="Verdana"/>
        <family val="2"/>
      </rPr>
      <t>. En los casos en que el hallazgo se clasifique con una no conformidad.</t>
    </r>
  </si>
  <si>
    <t>El equipo de trabajo relacionado con el hallazgo analiza la causa raíz y análisis de impacto (cuando son no conformidades), a través de mesas de trabajo internas con el personal involucrado en dichos planes de mejora.</t>
  </si>
  <si>
    <r>
      <rPr>
        <b/>
        <sz val="10"/>
        <color rgb="FF000000"/>
        <rFont val="Verdana"/>
        <family val="2"/>
      </rPr>
      <t>Para el trimestre del 2025-07-01 al 2025-09-30
Control 2.</t>
    </r>
    <r>
      <rPr>
        <sz val="10"/>
        <color rgb="FF000000"/>
        <rFont val="Verdana"/>
        <family val="2"/>
      </rPr>
      <t xml:space="preserve"> El equipo de trabajo relacionado con el hallazgo realiza el análisis de causa raíz y el análisis de impacto (cuando aplica, en caso de no conformidades), mediante mesas de trabajo internas con el personal involucrado.
</t>
    </r>
    <r>
      <rPr>
        <sz val="10"/>
        <color rgb="FF4F81BD"/>
        <rFont val="Verdana"/>
        <family val="2"/>
      </rPr>
      <t xml:space="preserve">La ejecución del control depende del equipo de trabajo relacionado con el hallazgo realiza el análisis de causa raíz y el análisis de impacto mediante mesas de trabajo internas con el personal involucrado.
</t>
    </r>
    <r>
      <rPr>
        <b/>
        <sz val="10"/>
        <color rgb="FF000000"/>
        <rFont val="Verdana"/>
        <family val="2"/>
      </rPr>
      <t xml:space="preserve">1. ¿Se identificó alguna no conformidad por auditoría interna y/o externa?
</t>
    </r>
    <r>
      <rPr>
        <sz val="10"/>
        <color rgb="FF000000"/>
        <rFont val="Verdana"/>
        <family val="2"/>
      </rPr>
      <t xml:space="preserve"> No, no se identificaron no conformidades asociadas en las auditorías realizadas.
</t>
    </r>
    <r>
      <rPr>
        <b/>
        <sz val="10"/>
        <color rgb="FF000000"/>
        <rFont val="Verdana"/>
        <family val="2"/>
      </rPr>
      <t xml:space="preserve">2. ¿Se identificó algún trabajo (salida) no conforme?
</t>
    </r>
    <r>
      <rPr>
        <sz val="10"/>
        <color rgb="FF000000"/>
        <rFont val="Verdana"/>
        <family val="2"/>
      </rPr>
      <t xml:space="preserve"> No aplica.
</t>
    </r>
    <r>
      <rPr>
        <b/>
        <sz val="10"/>
        <color rgb="FF000000"/>
        <rFont val="Verdana"/>
        <family val="2"/>
      </rPr>
      <t xml:space="preserve">3. ¿Hubo alguna PQRSD?
</t>
    </r>
    <r>
      <rPr>
        <sz val="10"/>
        <color rgb="FF000000"/>
        <rFont val="Verdana"/>
        <family val="2"/>
      </rPr>
      <t xml:space="preserve">Depende, solo aplica si el TNC analizado deriva de una queja presentada por parte interesada.
</t>
    </r>
    <r>
      <rPr>
        <b/>
        <sz val="10"/>
        <color rgb="FF000000"/>
        <rFont val="Verdana"/>
        <family val="2"/>
      </rPr>
      <t xml:space="preserve">4. ¿Resultados críticos o aceptables en indicadores?
</t>
    </r>
    <r>
      <rPr>
        <sz val="10"/>
        <color rgb="FF000000"/>
        <rFont val="Verdana"/>
        <family val="2"/>
      </rPr>
      <t xml:space="preserve">No se presentaron resultados relevantes en este aspecto.
</t>
    </r>
    <r>
      <rPr>
        <b/>
        <sz val="10"/>
        <color rgb="FF000000"/>
        <rFont val="Verdana"/>
        <family val="2"/>
      </rPr>
      <t xml:space="preserve">5. ¿Evidencia del control ejecutado?
</t>
    </r>
    <r>
      <rPr>
        <sz val="10"/>
        <color rgb="FF000000"/>
        <rFont val="Verdana"/>
        <family val="2"/>
      </rPr>
      <t xml:space="preserve">Sí, evidenciada en la documentación de los análisis de causa, actas de mesas de trabajo y validaciones realizadas por calidad y la OAP.
</t>
    </r>
    <r>
      <rPr>
        <b/>
        <sz val="10"/>
        <color rgb="FF000000"/>
        <rFont val="Verdana"/>
        <family val="2"/>
      </rPr>
      <t xml:space="preserve">6. ¿Observaciones o hallazgos en supervisiones o PMR?
</t>
    </r>
    <r>
      <rPr>
        <sz val="10"/>
        <color rgb="FF000000"/>
        <rFont val="Verdana"/>
        <family val="2"/>
      </rPr>
      <t xml:space="preserve">No.
</t>
    </r>
    <r>
      <rPr>
        <b/>
        <sz val="10"/>
        <color rgb="FF000000"/>
        <rFont val="Verdana"/>
        <family val="2"/>
      </rPr>
      <t xml:space="preserve">7. ¿Auditoría de control interno realizada al proceso?
</t>
    </r>
    <r>
      <rPr>
        <sz val="10"/>
        <color rgb="FF000000"/>
        <rFont val="Verdana"/>
        <family val="2"/>
      </rPr>
      <t xml:space="preserve">No, en el trimestre no se efectuó auditoría de control interno.
</t>
    </r>
    <r>
      <rPr>
        <b/>
        <sz val="10"/>
        <color rgb="FF000000"/>
        <rFont val="Verdana"/>
        <family val="2"/>
      </rPr>
      <t xml:space="preserve">8. ¿Hallazgos con presunta incidencia fiscal o fallos con responsabilidad fiscal?
</t>
    </r>
    <r>
      <rPr>
        <sz val="10"/>
        <color rgb="FF000000"/>
        <rFont val="Verdana"/>
        <family val="2"/>
      </rPr>
      <t xml:space="preserve">No.
</t>
    </r>
    <r>
      <rPr>
        <b/>
        <sz val="10"/>
        <color rgb="FF000000"/>
        <rFont val="Verdana"/>
        <family val="2"/>
      </rPr>
      <t xml:space="preserve">9. ¿Resultado desfavorable que evidencie materialización del riesgo?
</t>
    </r>
    <r>
      <rPr>
        <sz val="10"/>
        <color rgb="FF000000"/>
        <rFont val="Verdana"/>
        <family val="2"/>
      </rPr>
      <t>No.</t>
    </r>
  </si>
  <si>
    <r>
      <rPr>
        <b/>
        <sz val="10"/>
        <color rgb="FF000000"/>
        <rFont val="Verdana"/>
        <family val="2"/>
      </rPr>
      <t>Para el trimestre del 2025-07-01 al 2025-09-30
Control 2.</t>
    </r>
    <r>
      <rPr>
        <sz val="10"/>
        <color rgb="FF000000"/>
        <rFont val="Verdana"/>
        <family val="2"/>
      </rPr>
      <t xml:space="preserve"> El equipo de trabajo relacionado con el hallazgo realiza el análisis de causa raíz y el análisis de impacto (cuando aplica, en caso de no conformidades), mediante mesas de trabajo internas con el personal involucrado.
</t>
    </r>
    <r>
      <rPr>
        <sz val="10"/>
        <color rgb="FF4F81BD"/>
        <rFont val="Verdana"/>
        <family val="2"/>
      </rPr>
      <t xml:space="preserve">La ejecución del control depende del equipo de trabajo relacionado con el hallazgo realiza el análisis de causa raíz y el análisis de impacto mediante mesas de trabajo internas con el personal involucrado.
</t>
    </r>
    <r>
      <rPr>
        <b/>
        <sz val="10"/>
        <color rgb="FF000000"/>
        <rFont val="Verdana"/>
        <family val="2"/>
      </rPr>
      <t xml:space="preserve">1. ¿Se identificó alguna no conformidad por auditoría interna y/o externa?
</t>
    </r>
    <r>
      <rPr>
        <sz val="10"/>
        <color rgb="FF000000"/>
        <rFont val="Verdana"/>
        <family val="2"/>
      </rPr>
      <t xml:space="preserve"> No, no se identificaron no conformidades asociadas en las auditorías realizadas.
</t>
    </r>
    <r>
      <rPr>
        <b/>
        <sz val="10"/>
        <color rgb="FF000000"/>
        <rFont val="Verdana"/>
        <family val="2"/>
      </rPr>
      <t xml:space="preserve">2. ¿Se identificó algún trabajo (salida) no conforme?
</t>
    </r>
    <r>
      <rPr>
        <sz val="10"/>
        <color rgb="FF000000"/>
        <rFont val="Verdana"/>
        <family val="2"/>
      </rPr>
      <t xml:space="preserve"> No aplica.
</t>
    </r>
    <r>
      <rPr>
        <b/>
        <sz val="10"/>
        <color rgb="FF000000"/>
        <rFont val="Verdana"/>
        <family val="2"/>
      </rPr>
      <t xml:space="preserve">3. ¿Hubo alguna PQRSD?
</t>
    </r>
    <r>
      <rPr>
        <sz val="10"/>
        <color rgb="FF000000"/>
        <rFont val="Verdana"/>
        <family val="2"/>
      </rPr>
      <t xml:space="preserve">Depende, solo aplica si el TNC analizado deriva de una queja presentada por parte interesada.
</t>
    </r>
    <r>
      <rPr>
        <b/>
        <sz val="10"/>
        <color rgb="FF000000"/>
        <rFont val="Verdana"/>
        <family val="2"/>
      </rPr>
      <t xml:space="preserve">4. ¿Resultados críticos o aceptables en indicadores?
</t>
    </r>
    <r>
      <rPr>
        <sz val="10"/>
        <color rgb="FF000000"/>
        <rFont val="Verdana"/>
        <family val="2"/>
      </rPr>
      <t xml:space="preserve">No se presentaron resultados relevantes en este aspecto.
</t>
    </r>
    <r>
      <rPr>
        <b/>
        <sz val="10"/>
        <color rgb="FF000000"/>
        <rFont val="Verdana"/>
        <family val="2"/>
      </rPr>
      <t xml:space="preserve">5. ¿Evidencia del control ejecutado?
</t>
    </r>
    <r>
      <rPr>
        <sz val="10"/>
        <color rgb="FF000000"/>
        <rFont val="Verdana"/>
        <family val="2"/>
      </rPr>
      <t xml:space="preserve">Sí, evidenciada en la documentación de los análisis de causa, actas de mesas de trabajo y validaciones realizadas por calidad y la OAP.
</t>
    </r>
    <r>
      <rPr>
        <b/>
        <sz val="10"/>
        <color rgb="FF000000"/>
        <rFont val="Verdana"/>
        <family val="2"/>
      </rPr>
      <t xml:space="preserve">6. ¿Observaciones o hallazgos en supervisiones o PMR?
</t>
    </r>
    <r>
      <rPr>
        <sz val="10"/>
        <color rgb="FF000000"/>
        <rFont val="Verdana"/>
        <family val="2"/>
      </rPr>
      <t xml:space="preserve">No.
</t>
    </r>
    <r>
      <rPr>
        <b/>
        <sz val="10"/>
        <color rgb="FF000000"/>
        <rFont val="Verdana"/>
        <family val="2"/>
      </rPr>
      <t xml:space="preserve">7. ¿Auditoría de control interno realizada al proceso?
</t>
    </r>
    <r>
      <rPr>
        <sz val="10"/>
        <color rgb="FF000000"/>
        <rFont val="Verdana"/>
        <family val="2"/>
      </rPr>
      <t xml:space="preserve">No, en el trimestre no se efectuó auditoría de control interno.
</t>
    </r>
    <r>
      <rPr>
        <b/>
        <sz val="10"/>
        <color rgb="FF000000"/>
        <rFont val="Verdana"/>
        <family val="2"/>
      </rPr>
      <t xml:space="preserve">8. ¿Hallazgos con presunta incidencia fiscal o fallos con responsabilidad fiscal?
</t>
    </r>
    <r>
      <rPr>
        <sz val="10"/>
        <color rgb="FF000000"/>
        <rFont val="Verdana"/>
        <family val="2"/>
      </rPr>
      <t xml:space="preserve">No.
</t>
    </r>
    <r>
      <rPr>
        <b/>
        <sz val="10"/>
        <color rgb="FF000000"/>
        <rFont val="Verdana"/>
        <family val="2"/>
      </rPr>
      <t xml:space="preserve">9. ¿Resultado desfavorable que evidencie materialización del riesgo?
</t>
    </r>
    <r>
      <rPr>
        <sz val="10"/>
        <color rgb="FF000000"/>
        <rFont val="Verdana"/>
        <family val="2"/>
      </rPr>
      <t xml:space="preserve">No.
</t>
    </r>
  </si>
  <si>
    <t>E02-R4</t>
  </si>
  <si>
    <t>Posibilidad de afectación reputacional dado el incumplimiento de compromisos y objetivos de los procesos por incumplir con los lineamientos definidos en los documentos transversales establecidos en las áreas, debido a la falta de participación en la elaboración o actualización de estos documentos de las personas involucradas en el proceso pero que no pertenecen al área responsable de la gestión del mismo y a la falta de socialización de actualizaciones a los documentos transversales entre los involucrados en el desarrollo de las actividades del proceso.</t>
  </si>
  <si>
    <t>Incumplimiento de los lineamientos definidos en los documentos transversales establecidos por las áreas.</t>
  </si>
  <si>
    <t>1. Falta de participación en la elaboración o actualización de estos documentos, por parte de las personas involucradas en el proceso pero que no pertenecen al área responsable de la gestión del mismo.
2. Falta de socialización de actualizaciones a los documentos transversales entre los involucrados en el desarrollo de las actividades del proceso</t>
  </si>
  <si>
    <t>El responsable del proceso de que elabora o actualiza documentos revisa la adecuación del documento antes de su aprobación, a través de la validación del contenido una vez haya finalizado este proceso de elaboración o actualización del documento, teniendo en cuenta la matriz de responsabilidades del procedimiento E-02-P-001 Control de documentos.</t>
  </si>
  <si>
    <t xml:space="preserve"> </t>
  </si>
  <si>
    <t>¿Se identificó algún hallazgo por auditoría interna y/o auditoría externa?
¿Se identificó algún trabajo (salida) no conforme?
¿Hubo alguna PQRSD?
¿Hubo algún resultado en nivel aceptable o crítico en la medición de los indicadores de gestión de los procesos?
¿Se tiene evidencia del control ejecutado para los riesgos de nivel: alto o catastrófico?
¿Se presentaron observaciones, comentarios o hallazgos en las supervisiones de calidad y de PMR que ameriten que se materialice el riesgo?
¿Se identificó algún hallazgo para su proceso desde la auditoría de control interno?
¿Se identificó algún hallazgo con presunta incidencia fiscal identificados por el ente de control fiscal? 
¿Se presentó algún fallo con responsabilidad fiscal en firme relacionados con hechos de la entidad?  
¿Se presentó algún resultado desfavorable distinto a los mencionados anteriormente por lo cual se genere la materialización del riesgo dado este control implementado?</t>
  </si>
  <si>
    <t>Se evidencia que no hubo revisión al riesgo por parte del responsable a la fecha de seguimiento por parte de la segunda línea de defensa.</t>
  </si>
  <si>
    <t xml:space="preserve">Para este seguimiento trimestral se identificó una no conformidad en la auditoría interna para el laboratorio de corriente continua y corriente alterna (NC #12 de este informe de auditoría). Esta no conformidad materializa el riesgo no necesariamente porque no se haya ejecutado este control sino por otra causa raíz, la cual se identificará mediante el tratamiento que se dé a la acción correctiva de la NC. 
Con relación a la ejecución del control, se cuenta con los registros que evidencian el cumplimiento de ejecución, estas evidencias se pueden consultar con el profesional especializado 14 del proceso de direccionamiento estratégico y planeación. 
Las actividades que se establezcan en el plan de mejoramiento para dar tratamiento a esta no conformidad, serán revisadas para validar que sean eficaces y eviten asi, nuevamente la materialización del riesgo. 
Esta revisión se realizará teniendo en cuenta lo establecido en el procedimiento E-02-P-003 Acciones correctivas y de mejora. </t>
  </si>
  <si>
    <t>Acción Correctiva AUD 362</t>
  </si>
  <si>
    <r>
      <rPr>
        <b/>
        <sz val="11"/>
        <color rgb="FF000000"/>
        <rFont val="Verdana"/>
        <family val="2"/>
      </rPr>
      <t xml:space="preserve">1. ¿Se identificó alguna no conformidad por auditoría interna y/o auditoría externa?
</t>
    </r>
    <r>
      <rPr>
        <sz val="11"/>
        <color rgb="FF000000"/>
        <rFont val="Verdana"/>
        <family val="2"/>
      </rPr>
      <t xml:space="preserve">Sí. Se identificó una no conformidad en la auditoría interna para el laboratorio de corriente continua y corriente alterna (NC #12 del informe de auditoría).
</t>
    </r>
    <r>
      <rPr>
        <b/>
        <sz val="11"/>
        <color rgb="FF000000"/>
        <rFont val="Verdana"/>
        <family val="2"/>
      </rPr>
      <t xml:space="preserve">2. ¿Se identificó algún trabajo (salida) no conforme?
</t>
    </r>
    <r>
      <rPr>
        <sz val="11"/>
        <color rgb="FF000000"/>
        <rFont val="Verdana"/>
        <family val="2"/>
      </rPr>
      <t xml:space="preserve">No. No se evidencia un trabajo o salida no conforme; la no conformidad está relacionada con lineamientos transversales y su cumplimiento.
</t>
    </r>
    <r>
      <rPr>
        <b/>
        <sz val="11"/>
        <color rgb="FF000000"/>
        <rFont val="Verdana"/>
        <family val="2"/>
      </rPr>
      <t xml:space="preserve">3. ¿Hubo alguna PQRSD?
</t>
    </r>
    <r>
      <rPr>
        <sz val="11"/>
        <color rgb="FF000000"/>
        <rFont val="Verdana"/>
        <family val="2"/>
      </rPr>
      <t xml:space="preserve">No. No se reportaron PQRSD asociadas a este riesgo.
</t>
    </r>
    <r>
      <rPr>
        <b/>
        <sz val="11"/>
        <color rgb="FF000000"/>
        <rFont val="Verdana"/>
        <family val="2"/>
      </rPr>
      <t xml:space="preserve">4. ¿Hubo algún resultado en nivel aceptable o crítico en la medición de los indicadores de gestión de los procesos?
</t>
    </r>
    <r>
      <rPr>
        <sz val="11"/>
        <color rgb="FF000000"/>
        <rFont val="Verdana"/>
        <family val="2"/>
      </rPr>
      <t xml:space="preserve">No se reportan resultados en nivel crítico o fuera de rango en los indicadores de gestión.
</t>
    </r>
    <r>
      <rPr>
        <b/>
        <sz val="11"/>
        <color rgb="FF000000"/>
        <rFont val="Verdana"/>
        <family val="2"/>
      </rPr>
      <t xml:space="preserve">5. ¿Se tiene evidencia del control ejecutado para los riesgos de nivel: alto o catastrófico?
</t>
    </r>
    <r>
      <rPr>
        <sz val="11"/>
        <color rgb="FF000000"/>
        <rFont val="Verdana"/>
        <family val="2"/>
      </rPr>
      <t xml:space="preserve">Sí. Existen registros que evidencian la ejecución del control, disponibles con el profesional especializado 14 del proceso de direccionamiento estratégico y planeación.
</t>
    </r>
    <r>
      <rPr>
        <b/>
        <sz val="11"/>
        <color rgb="FF000000"/>
        <rFont val="Verdana"/>
        <family val="2"/>
      </rPr>
      <t>6. ¿Se presentaron observaciones, comentarios o hallazgos en las supervisiones de calidad y de PMR que ameriten que se materialice el riesgo</t>
    </r>
    <r>
      <rPr>
        <sz val="11"/>
        <color rgb="FF000000"/>
        <rFont val="Verdana"/>
        <family val="2"/>
      </rPr>
      <t xml:space="preserve">?
No se mencionan observaciones ni hallazgos en supervisiones de calidad o PMR relacionados.
</t>
    </r>
    <r>
      <rPr>
        <b/>
        <sz val="11"/>
        <color rgb="FF000000"/>
        <rFont val="Verdana"/>
        <family val="2"/>
      </rPr>
      <t xml:space="preserve">7. ¿Se identificó algún hallazgo para su proceso desde la auditoría de control interno?
</t>
    </r>
    <r>
      <rPr>
        <sz val="11"/>
        <color rgb="FF000000"/>
        <rFont val="Verdana"/>
        <family val="2"/>
      </rPr>
      <t xml:space="preserve">Sí. La no conformidad NC #12 registrada en la auditoría interna constituye un hallazgo para el proceso.
</t>
    </r>
    <r>
      <rPr>
        <b/>
        <sz val="11"/>
        <color rgb="FF000000"/>
        <rFont val="Verdana"/>
        <family val="2"/>
      </rPr>
      <t xml:space="preserve">8. ¿Se identificó algún hallazgo con presunta incidencia fiscal identificado por el ente de control fiscal?
</t>
    </r>
    <r>
      <rPr>
        <sz val="11"/>
        <color rgb="FF000000"/>
        <rFont val="Verdana"/>
        <family val="2"/>
      </rPr>
      <t xml:space="preserve">No. No se evidencian hallazgos con presunta incidencia fiscal.
</t>
    </r>
    <r>
      <rPr>
        <b/>
        <sz val="11"/>
        <color rgb="FF000000"/>
        <rFont val="Verdana"/>
        <family val="2"/>
      </rPr>
      <t xml:space="preserve">9. ¿Se presentó algún fallo con responsabilidad fiscal en firme relacionados con hechos de la entidad?
</t>
    </r>
    <r>
      <rPr>
        <sz val="11"/>
        <color rgb="FF000000"/>
        <rFont val="Verdana"/>
        <family val="2"/>
      </rPr>
      <t xml:space="preserve">No. No se registran fallos en firme de responsabilidad fiscal.
</t>
    </r>
    <r>
      <rPr>
        <b/>
        <sz val="11"/>
        <color rgb="FF000000"/>
        <rFont val="Verdana"/>
        <family val="2"/>
      </rPr>
      <t xml:space="preserve">10. ¿Se presentó algún resultado desfavorable distinto a los mencionados anteriormente por lo cual se genere la materialización del riesgo dado este control implementado?
</t>
    </r>
    <r>
      <rPr>
        <sz val="11"/>
        <color rgb="FF000000"/>
        <rFont val="Verdana"/>
        <family val="2"/>
      </rPr>
      <t>Sí. La materialización del riesgo se dio por la no conformidad NC #12, cuya causa raíz aún está en análisis y será atendida mediante acciones correctivas según el procedimiento E-02-P-003.</t>
    </r>
  </si>
  <si>
    <t xml:space="preserve">Para este tercer trimestre el riesgo no se materializa dado que no ha habido incumplimiento de compromisos y objetivos de los procesos por incumplir con los lineamientos definidos en los documentos transversales establecidos en las áreas. No se han presentado hallazgos relacionados con este riesgo. </t>
  </si>
  <si>
    <t>EL responsable del proceso de que elabora o actualiza documentos socializa las actualizaciones o nuevas versiones de los documentos al personal que tiene afectación directa sobre las actividades que en ese documento se describen, a través de la creación de mesas de trabajo o agendamiento sobre el calendario de Google. Registro: Evidencia de asistencia y teniendo en cuenta el procedimiento E-02-P-001 Control de documentos.</t>
  </si>
  <si>
    <t>El responsable de documentar el plan de mejoramiento para el proceso convoca a mesas de trabajo a los distintos procesos involucrados en una actividad definiendo los roles, responsables y actividades a desarrollar, mediante las citaciones desde Google calendario.</t>
  </si>
  <si>
    <t>E02-R5</t>
  </si>
  <si>
    <t>Posibilidad de afectación reputacional por proyectos implementados inconclusos, generados por la Implementación deficiente de actividades de Gestión del Cambio debido a la no identificación o identificación deficiente de los impactos que podría generar la implementación de cambios en el instituto, en aspectos como el Sistema de Gestión, el presupuesto, los colaboradores, los procesos y los servicios, entre otros, o por la falta de seguimiento o seguimientos inadecuados en la implementación de actividades que generan cambios en el Instituto</t>
  </si>
  <si>
    <t>Implementación deficiente de actividades de Gestión del Cambio</t>
  </si>
  <si>
    <t>Falta de claridad en el análisis de impactos que generan cambios
Falta de seguimiento o Seguimiento deficiente en la implementación de actividades</t>
  </si>
  <si>
    <t>El Responsable del proceso que propone el cambio (Subdirector, Jefe o Secretario General) revisa el impacto que tendría para su proceso la implementación del cambio a través del formato E-02-F- 042 de Solicitud del Cambio y lo aprueba o desaprueba según necesidades del área (Formato de Solicitud del cambio cargado en Isolución)</t>
  </si>
  <si>
    <t>Aceptar</t>
  </si>
  <si>
    <t>Durante el segundo trimestre de esta vigencia, no hay fuentes de detección de materialización del riesgo, es decir, no se presentan hallazgos en auditorias internas o externas, seguimientos desde la oficina de control interno que haya indicado la materialización de este riesgo. Las actividades que implican gestión del cambio para los procesos del INM, se han venido desarrollando normal, sin novedad alguna a corte de diligenciamiento de este seguimiento trimestral.</t>
  </si>
  <si>
    <r>
      <rPr>
        <b/>
        <sz val="11"/>
        <color rgb="FF000000"/>
        <rFont val="Verdana"/>
        <family val="2"/>
      </rPr>
      <t xml:space="preserve">1. ¿Se identificó alguna no conformidad por auditoría interna y/o auditoría externa?
</t>
    </r>
    <r>
      <rPr>
        <sz val="11"/>
        <color rgb="FF000000"/>
        <rFont val="Verdana"/>
        <family val="2"/>
      </rPr>
      <t xml:space="preserve">No. Durante el segundo trimestre no se reportaron no conformidades en auditorías internas ni externas relacionadas con este riesgo.
</t>
    </r>
    <r>
      <rPr>
        <b/>
        <sz val="11"/>
        <color rgb="FF000000"/>
        <rFont val="Verdana"/>
        <family val="2"/>
      </rPr>
      <t xml:space="preserve">2. ¿Se identificó algún trabajo (salida) no conforme?
</t>
    </r>
    <r>
      <rPr>
        <sz val="11"/>
        <color rgb="FF000000"/>
        <rFont val="Verdana"/>
        <family val="2"/>
      </rPr>
      <t xml:space="preserve">No. No se identificaron salidas no conformes.
</t>
    </r>
    <r>
      <rPr>
        <b/>
        <sz val="11"/>
        <color rgb="FF000000"/>
        <rFont val="Verdana"/>
        <family val="2"/>
      </rPr>
      <t xml:space="preserve">3. ¿Hubo alguna PQRSD?
</t>
    </r>
    <r>
      <rPr>
        <sz val="11"/>
        <color rgb="FF000000"/>
        <rFont val="Verdana"/>
        <family val="2"/>
      </rPr>
      <t xml:space="preserve">No. No se registraron PQRSD asociadas al riesgo en este periodo.
</t>
    </r>
    <r>
      <rPr>
        <b/>
        <sz val="11"/>
        <color rgb="FF000000"/>
        <rFont val="Verdana"/>
        <family val="2"/>
      </rPr>
      <t xml:space="preserve">4. ¿Hubo algún resultado en nivel aceptable o crítico en la medición de los indicadores de gestión de los procesos?
</t>
    </r>
    <r>
      <rPr>
        <sz val="11"/>
        <color rgb="FF000000"/>
        <rFont val="Verdana"/>
        <family val="2"/>
      </rPr>
      <t xml:space="preserve">No. Los indicadores de gestión de los procesos no presentaron resultados en nivel crítico ni fuera de lo aceptable.
</t>
    </r>
    <r>
      <rPr>
        <b/>
        <sz val="11"/>
        <color rgb="FF000000"/>
        <rFont val="Verdana"/>
        <family val="2"/>
      </rPr>
      <t xml:space="preserve">5. ¿Se tiene evidencia del control ejecutado para los riesgos de nivel: alto o catastrófico?
</t>
    </r>
    <r>
      <rPr>
        <sz val="11"/>
        <color rgb="FF000000"/>
        <rFont val="Verdana"/>
        <family val="2"/>
      </rPr>
      <t xml:space="preserve">Sí. Se cuenta con evidencia de la ejecución normal de actividades de gestión del cambio para los procesos del INM, lo que demuestra la aplicación de controles previstos.
</t>
    </r>
    <r>
      <rPr>
        <b/>
        <sz val="11"/>
        <color rgb="FF000000"/>
        <rFont val="Verdana"/>
        <family val="2"/>
      </rPr>
      <t xml:space="preserve">6. ¿Se presentaron observaciones, comentarios o hallazgos en las supervisiones de calidad y de PMR que ameriten que se materialice el riesgo?
</t>
    </r>
    <r>
      <rPr>
        <sz val="11"/>
        <color rgb="FF000000"/>
        <rFont val="Verdana"/>
        <family val="2"/>
      </rPr>
      <t xml:space="preserve">No. No se reportaron observaciones ni hallazgos en supervisiones de calidad o PMR durante este trimestre.
</t>
    </r>
    <r>
      <rPr>
        <b/>
        <sz val="11"/>
        <color rgb="FF000000"/>
        <rFont val="Verdana"/>
        <family val="2"/>
      </rPr>
      <t xml:space="preserve">7. ¿Se identificó algún hallazgo para su proceso desde la auditoría de control interno?
</t>
    </r>
    <r>
      <rPr>
        <sz val="11"/>
        <color rgb="FF000000"/>
        <rFont val="Verdana"/>
        <family val="2"/>
      </rPr>
      <t xml:space="preserve">No. La oficina de control interno no reportó hallazgos que indiquen materialización de este riesgo.
</t>
    </r>
    <r>
      <rPr>
        <b/>
        <sz val="11"/>
        <color rgb="FF000000"/>
        <rFont val="Verdana"/>
        <family val="2"/>
      </rPr>
      <t xml:space="preserve">8. ¿Se identificó algún hallazgo con presunta incidencia fiscal identificados por el ente de control fiscal?
</t>
    </r>
    <r>
      <rPr>
        <sz val="11"/>
        <color rgb="FF000000"/>
        <rFont val="Verdana"/>
        <family val="2"/>
      </rPr>
      <t xml:space="preserve">No. No hubo hallazgos con presunta incidencia fiscal.
</t>
    </r>
    <r>
      <rPr>
        <b/>
        <sz val="11"/>
        <color rgb="FF000000"/>
        <rFont val="Verdana"/>
        <family val="2"/>
      </rPr>
      <t xml:space="preserve">9. ¿Se presentó algún fallo con responsabilidad fiscal en firme relacionados con hechos de la entidad?
</t>
    </r>
    <r>
      <rPr>
        <sz val="11"/>
        <color rgb="FF000000"/>
        <rFont val="Verdana"/>
        <family val="2"/>
      </rPr>
      <t xml:space="preserve">No. No se reportaron fallos en firme por responsabilidad fiscal.
</t>
    </r>
    <r>
      <rPr>
        <b/>
        <sz val="11"/>
        <color rgb="FF000000"/>
        <rFont val="Verdana"/>
        <family val="2"/>
      </rPr>
      <t xml:space="preserve">10. ¿Se presentó algún resultado desfavorable distinto a los mencionados anteriormente por lo cual se genere la materialización del riesgo dado este control implementado?
</t>
    </r>
    <r>
      <rPr>
        <sz val="11"/>
        <color rgb="FF000000"/>
        <rFont val="Verdana"/>
        <family val="2"/>
      </rPr>
      <t xml:space="preserve">No. No se presentaron resultados desfavorables ni fuentes de detección de materialización del riesgo en este periodo.
</t>
    </r>
  </si>
  <si>
    <t>Durante el tercer trimestre de esta vigencia, no hay fuentes de detección de materialización del riesgo, es decir, no se presentan hallazgos en auditorias internas o externas, seguimientos desde la oficina de control interno que haya indicado la materialización de este riesgo. Las actividades que implican gestión del cambio para los procesos del INM, se han venido desarrollando normal, sin novedad alguna a corte de diligenciamiento de este seguimiento trimestral.</t>
  </si>
  <si>
    <t xml:space="preserve">Cambio de alto impacto: El Responsable del proceso que propone el cambio (Subdirector, Jefe o Secretario General) presenta resultados de avance trimestral en CIGD (Registro: Acta CIGD / Avance de actividades Isolución)
Cambio de mediano impacto: El Responsable del proceso de Administración del SIG presenta resultados de avance trimestral en CIGD (Registro: Acta CIGD / Avance de actividades Isolución)
Cambio de bajo impacto: El Responsable del proceso que propone el cambio (Subdirector, Jefe o Secretario General) hace seguimiento al estado y cierre de los planes de trabajo para implementar el cambio (Avance de actividades Isolución) </t>
  </si>
  <si>
    <t>E02-R6</t>
  </si>
  <si>
    <t>Posibilidad de afectación reputacional por pérdida de la oportunidad de identificación de situaciones claves para el mejoramiento de los procesos generados por la deficiente descripción de hallazgos de auditoría, debido a Inadecuada selección de auditores y/o expertos técnicos que realizan o acompañan la realización de auditorías de Gestión
y por la falta de revisión de hallazgos de auditoría previa a la entrega del informe final de auditoría</t>
  </si>
  <si>
    <t>Descripción deficiente de hallazgos de auditoría</t>
  </si>
  <si>
    <t>Selección inadecuada de auditores internos o revisores por pares
Falta de control sobre los resultados de los hallazgos descritos en el informe final de auditoría</t>
  </si>
  <si>
    <t>El Profesional del proceso de Administración de SIG valida las competencias del personal disponible para realizar las auditorías (Revisor por Pares o auditor interno), de manera que se escojan las personas que cumplan las competencias requeridas para la realización de las auditorías, para lo cual solicita al auditor soportes (hoja de vida) de su experiencia como auditor, (Registro: formato E-02-F-035 Matriz de Auditores)</t>
  </si>
  <si>
    <r>
      <rPr>
        <b/>
        <sz val="9"/>
        <color rgb="FF000000"/>
        <rFont val="Verdana"/>
        <family val="2"/>
      </rPr>
      <t xml:space="preserve">Para el trimestre del 2025-01-01 al 2025-03-30
1. Hallazgos por Auditoría Interna y/o Externa: </t>
    </r>
    <r>
      <rPr>
        <sz val="9"/>
        <color rgb="FF000000"/>
        <rFont val="Verdana"/>
        <family val="2"/>
      </rPr>
      <t xml:space="preserve">No se identificaron hallazgos relacionados con:
o	Deficiente descripción de hallazgos en informes de auditoría.
o	Selección inadecuada de auditores o expertos técnicos.
o	Falta de revisión previa a la emisión de informes finales.
</t>
    </r>
    <r>
      <rPr>
        <b/>
        <sz val="9"/>
        <color rgb="FF000000"/>
        <rFont val="Verdana"/>
        <family val="2"/>
      </rPr>
      <t>2. Trabajos No Conformes:</t>
    </r>
    <r>
      <rPr>
        <sz val="9"/>
        <color rgb="FF000000"/>
        <rFont val="Verdana"/>
        <family val="2"/>
      </rPr>
      <t xml:space="preserve"> No se registraron trabajos no conformes asociadas a:
o	Informes de auditoría con hallazgos mal formulados o poco claros.
o	Quejas por calidad de las auditorías realizadas.
</t>
    </r>
    <r>
      <rPr>
        <b/>
        <sz val="9"/>
        <color rgb="FF000000"/>
        <rFont val="Verdana"/>
        <family val="2"/>
      </rPr>
      <t>3. PQRSD (Peticiones, Quejas, Reclamos, Sugerencias y Denuncias):</t>
    </r>
    <r>
      <rPr>
        <sz val="9"/>
        <color rgb="FF000000"/>
        <rFont val="Verdana"/>
        <family val="2"/>
      </rPr>
      <t xml:space="preserve"> No se presentaron PQRSD vinculadas 
4. Resultados en la Medición de Indicadores de Gestión:  No hay indicadores críticos que reflejen problemas en la identificación o descripción de hallazgos.
</t>
    </r>
    <r>
      <rPr>
        <b/>
        <sz val="9"/>
        <color rgb="FF000000"/>
        <rFont val="Verdana"/>
        <family val="2"/>
      </rPr>
      <t xml:space="preserve">5. Evidencia del Control Ejecutado para Riesgos Alto/Catastrófico: </t>
    </r>
    <r>
      <rPr>
        <sz val="9"/>
        <color rgb="FF000000"/>
        <rFont val="Verdana"/>
        <family val="2"/>
      </rPr>
      <t xml:space="preserve">Controles documentados y efectivos:
o	Proceso de selección de auditores con criterios claros (experiencia, competencias técnicas).
o	Revisión por pares o por un líder de auditoría antes de emitir informes finales.
o	Capacitación continua a auditores en técnicas de redacción y identificación de hallazgos.
</t>
    </r>
    <r>
      <rPr>
        <b/>
        <sz val="9"/>
        <color rgb="FF000000"/>
        <rFont val="Verdana"/>
        <family val="2"/>
      </rPr>
      <t>6. Observaciones en Supervisiones de Calidad y PMR:</t>
    </r>
    <r>
      <rPr>
        <sz val="9"/>
        <color rgb="FF000000"/>
        <rFont val="Verdana"/>
        <family val="2"/>
      </rPr>
      <t xml:space="preserve"> No aplica 
7. Hallazgos desde la Auditoría de Control Interno: No aplica 
</t>
    </r>
    <r>
      <rPr>
        <b/>
        <sz val="9"/>
        <color rgb="FF000000"/>
        <rFont val="Verdana"/>
        <family val="2"/>
      </rPr>
      <t>8. Hallazgos con Presunta Incidencia Fiscal:</t>
    </r>
    <r>
      <rPr>
        <sz val="9"/>
        <color rgb="FF000000"/>
        <rFont val="Verdana"/>
        <family val="2"/>
      </rPr>
      <t xml:space="preserve"> No existen observaciones de entes de control fiscal relacionadas con este riesgo.
</t>
    </r>
    <r>
      <rPr>
        <b/>
        <sz val="9"/>
        <color rgb="FF000000"/>
        <rFont val="Verdana"/>
        <family val="2"/>
      </rPr>
      <t xml:space="preserve">9. Fallos con Responsabilidad Fiscal en Firme: </t>
    </r>
    <r>
      <rPr>
        <sz val="9"/>
        <color rgb="FF000000"/>
        <rFont val="Verdana"/>
        <family val="2"/>
      </rPr>
      <t xml:space="preserve">No se registran fallos por este concepto.
En resumen el riesgo no se materializó durante el trimestre, lo que indica que los controles implementados son adecuados para garantizar la selección adecuada de auditores y la revisión efectiva de los hallazgos antes de emitir informes.
</t>
    </r>
  </si>
  <si>
    <r>
      <rPr>
        <b/>
        <sz val="10"/>
        <color rgb="FF000000"/>
        <rFont val="Verdana"/>
        <family val="2"/>
      </rPr>
      <t>Para el trimestre del 2025-04-01 al 2025-06-30
Control 1</t>
    </r>
    <r>
      <rPr>
        <sz val="10"/>
        <color rgb="FF000000"/>
        <rFont val="Verdana"/>
        <family val="2"/>
      </rPr>
      <t xml:space="preserve"> El Profesional del proceso de Administración de SIG valida las competencias del personal disponible para realizar las auditorías (revisor por pares o auditor interno), de manera que se escojan personas que cumplan las competencias requeridas para la realización de auditorías. Para ello, solicita al auditor los soportes (hoja de vida) de su experiencia como auditor. (Registro: Formato E-02-F-035 Matriz de Auditores).
</t>
    </r>
    <r>
      <rPr>
        <sz val="10"/>
        <color rgb="FF4F81BD"/>
        <rFont val="Verdana"/>
        <family val="2"/>
      </rPr>
      <t xml:space="preserve">El control fue ejecutado por el profesional delegado del proceso de Administración del SIG quien validó las competencias del personal interno calificado para la auditoria a SMQB de SARS-CoV y virus respiratorios y expertos técnicos del Organismo Nacional de Acreditación ONAC para la auditoria combinada de ISO 9001, ISO 14001 e ISO 45001, asegurando que cumplieran con los requisitos establecidos. 
</t>
    </r>
    <r>
      <rPr>
        <b/>
        <sz val="10"/>
        <color rgb="FF000000"/>
        <rFont val="Verdana"/>
        <family val="2"/>
      </rPr>
      <t xml:space="preserve">1.	¿Se identificó alguna no conformidad por auditoría interna y/o auditoría externa?
No.
2.	¿Se identificó algún trabajo (salida) no conforme?
</t>
    </r>
    <r>
      <rPr>
        <sz val="10"/>
        <color rgb="FF000000"/>
        <rFont val="Verdana"/>
        <family val="2"/>
      </rPr>
      <t xml:space="preserve">Se identificaron hallazgos en la auditoría interna de la SMQB, lo cual está en evaluación; sin embargo, </t>
    </r>
    <r>
      <rPr>
        <b/>
        <sz val="10"/>
        <color rgb="FF000000"/>
        <rFont val="Verdana"/>
        <family val="2"/>
      </rPr>
      <t>no se ha determinado como un trabajo no conforme</t>
    </r>
    <r>
      <rPr>
        <sz val="10"/>
        <color rgb="FF000000"/>
        <rFont val="Verdana"/>
        <family val="2"/>
      </rPr>
      <t xml:space="preserve">.
</t>
    </r>
    <r>
      <rPr>
        <b/>
        <sz val="10"/>
        <color rgb="FF000000"/>
        <rFont val="Verdana"/>
        <family val="2"/>
      </rPr>
      <t>3.	¿Hubo alguna PQRSD?
No.
4.	¿Hubo algún resultado en nivel aceptable o crítico en la medición de los indicadores de gestión de los procesos?
No</t>
    </r>
    <r>
      <rPr>
        <sz val="10"/>
        <color rgb="FF000000"/>
        <rFont val="Verdana"/>
        <family val="2"/>
      </rPr>
      <t xml:space="preserve">.
5.	</t>
    </r>
    <r>
      <rPr>
        <b/>
        <sz val="10"/>
        <color rgb="FF000000"/>
        <rFont val="Verdana"/>
        <family val="2"/>
      </rPr>
      <t>¿Se tiene evidencia del control ejecutado para los riesgos de nivel alto o catastrófico?
Sí</t>
    </r>
    <r>
      <rPr>
        <sz val="10"/>
        <color rgb="FF000000"/>
        <rFont val="Verdana"/>
        <family val="2"/>
      </rPr>
      <t xml:space="preserve">. Se evidenció la ejecución del control mediante la selección y designación de personal interno calificado para la auditoria a SMQB de SARS-CoV y virus respiratorios y expertos técnicos del Organismo Nacional de Acreditación ONAC para la auditoria combinada de ISO 9001, ISO 14001 e ISO 45001.
</t>
    </r>
    <r>
      <rPr>
        <b/>
        <sz val="10"/>
        <color rgb="FF000000"/>
        <rFont val="Verdana"/>
        <family val="2"/>
      </rPr>
      <t xml:space="preserve">6.	¿Se presentaron observaciones, comentarios o hallazgos en las supervisiones de calidad y de PMR que ameriten que se materialice el riesgo?
No </t>
    </r>
    <r>
      <rPr>
        <sz val="10"/>
        <color rgb="FF000000"/>
        <rFont val="Verdana"/>
        <family val="2"/>
      </rPr>
      <t xml:space="preserve">se presentaron observaciones en las supervisiones que indiquen la materialización del riesgo para este control.
</t>
    </r>
    <r>
      <rPr>
        <b/>
        <sz val="10"/>
        <color rgb="FF000000"/>
        <rFont val="Verdana"/>
        <family val="2"/>
      </rPr>
      <t>7.	¿Se identificó algún hallazgo para su proceso desde la auditoría de control interno?
No.</t>
    </r>
    <r>
      <rPr>
        <sz val="10"/>
        <color rgb="FF000000"/>
        <rFont val="Verdana"/>
        <family val="2"/>
      </rPr>
      <t xml:space="preserve"> En el trimestre no se realizó auditoría de control interno.
</t>
    </r>
    <r>
      <rPr>
        <b/>
        <sz val="10"/>
        <color rgb="FF000000"/>
        <rFont val="Verdana"/>
        <family val="2"/>
      </rPr>
      <t xml:space="preserve">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
</t>
    </r>
    <r>
      <rPr>
        <sz val="10"/>
        <color rgb="FF000000"/>
        <rFont val="Verdana"/>
        <family val="2"/>
      </rPr>
      <t xml:space="preserve">
</t>
    </r>
  </si>
  <si>
    <r>
      <rPr>
        <b/>
        <sz val="10"/>
        <color rgb="FF000000"/>
        <rFont val="Verdana"/>
        <family val="2"/>
      </rPr>
      <t>Para el trimestre del 2025-07-01 al 2025-09-30
Control 1</t>
    </r>
    <r>
      <rPr>
        <sz val="10"/>
        <color rgb="FF000000"/>
        <rFont val="Verdana"/>
        <family val="2"/>
      </rPr>
      <t xml:space="preserve"> El Profesional del proceso de Administración de SIG valida las competencias del personal disponible para realizar las auditorías (revisor por pares o auditor interno), de manera que se escojan personas que cumplan las competencias requeridas para la realización de auditorías. Para ello, solicita al auditor los soportes (hoja de vida) de su experiencia como auditor. (Registro: Formato E-02-F-035 Matriz de Auditores).
</t>
    </r>
    <r>
      <rPr>
        <sz val="10"/>
        <color rgb="FF4F81BD"/>
        <rFont val="Verdana"/>
        <family val="2"/>
      </rPr>
      <t xml:space="preserve">El control fue ejecutado por el profesional delegado del proceso de Administración del SIG quien validó las competencias del personal interno calificado para las auditorias se llevaron a cabo orientadas a verificar el cumplimiento de normas internacionales, requisitos legales y criterios técnicos y de gestión, según se detalla a continuación:  Auditorías Externas: Incluyeron la evaluación por pares enfocada en los requisitos de gestión conforme a las normas ISO/IEC 17034:2016 e ISO/IEC 17025:2017. Asimismo, se realizó la auditoría externa correspondiente al programa PREAD, en la cual se evaluaron los criterios definidos en la guía de postulación, el cumplimiento de normas legales ambientales y la norma NTC ISO 14001:2015.
Auditorías Internas, Se llevaron a cabo auditorías internas en dos áreas clave: En el ámbito de la seguridad de la información, se evaluaron las normas ISO/IEC 27001:2022 y MSPI, así como el cumplimiento de la Resolución 500 de 2021 del MinTIC, modificada por la Resolución 2277 de 2025, junto con otros requisitos normativos aplicables. En el ámbito técnico de longitud , se evaluaron las normas ISO/IEC 17025:2017 y CIPM-MRA, con el objetivo de verificar la conformidad técnica de los procesos.
</t>
    </r>
    <r>
      <rPr>
        <b/>
        <sz val="10"/>
        <color rgb="FF000000"/>
        <rFont val="Verdana"/>
        <family val="2"/>
      </rPr>
      <t xml:space="preserve">1.	¿Se identificó alguna no conformidad por auditoría interna y/o auditoría externa?
No.
2.	¿Se identificó algún trabajo (salida) no conforme?
</t>
    </r>
    <r>
      <rPr>
        <sz val="10"/>
        <color rgb="FF000000"/>
        <rFont val="Verdana"/>
        <family val="2"/>
      </rPr>
      <t xml:space="preserve">Se identificaron hallazgos en la auditoría interna de la SMQB, lo cual está en evaluación; sin embargo, </t>
    </r>
    <r>
      <rPr>
        <b/>
        <sz val="10"/>
        <color rgb="FF000000"/>
        <rFont val="Verdana"/>
        <family val="2"/>
      </rPr>
      <t>no se ha determinado como un trabajo no conforme</t>
    </r>
    <r>
      <rPr>
        <sz val="10"/>
        <color rgb="FF000000"/>
        <rFont val="Verdana"/>
        <family val="2"/>
      </rPr>
      <t xml:space="preserve">.
</t>
    </r>
    <r>
      <rPr>
        <b/>
        <sz val="10"/>
        <color rgb="FF000000"/>
        <rFont val="Verdana"/>
        <family val="2"/>
      </rPr>
      <t>3.	¿Hubo alguna PQRSD?
No.
4.	¿Hubo algún resultado en nivel aceptable o crítico en la medición de los indicadores de gestión de los procesos?
No</t>
    </r>
    <r>
      <rPr>
        <sz val="10"/>
        <color rgb="FF000000"/>
        <rFont val="Verdana"/>
        <family val="2"/>
      </rPr>
      <t xml:space="preserve">.
5.	</t>
    </r>
    <r>
      <rPr>
        <b/>
        <sz val="10"/>
        <color rgb="FF000000"/>
        <rFont val="Verdana"/>
        <family val="2"/>
      </rPr>
      <t>¿Se tiene evidencia del control ejecutado para los riesgos de nivel alto o catastrófico?
Sí</t>
    </r>
    <r>
      <rPr>
        <sz val="10"/>
        <color rgb="FF000000"/>
        <rFont val="Verdana"/>
        <family val="2"/>
      </rPr>
      <t xml:space="preserve">. Se evidenció la ejecución del control mediante la selección y designación de personal interno calificado para la auditoria a SMQB de SARS-CoV y virus respiratorios y expertos técnicos del Organismo Nacional de Acreditación ONAC para la auditoria combinada de ISO 9001, ISO 14001 e ISO 45001.
</t>
    </r>
    <r>
      <rPr>
        <b/>
        <sz val="10"/>
        <color rgb="FF000000"/>
        <rFont val="Verdana"/>
        <family val="2"/>
      </rPr>
      <t xml:space="preserve">6.	¿Se presentaron observaciones, comentarios o hallazgos en las supervisiones de calidad y de PMR que ameriten que se materialice el riesgo?
No </t>
    </r>
    <r>
      <rPr>
        <sz val="10"/>
        <color rgb="FF000000"/>
        <rFont val="Verdana"/>
        <family val="2"/>
      </rPr>
      <t xml:space="preserve">se presentaron observaciones en las supervisiones que indiquen la materialización del riesgo para este control.
</t>
    </r>
    <r>
      <rPr>
        <b/>
        <sz val="10"/>
        <color rgb="FF000000"/>
        <rFont val="Verdana"/>
        <family val="2"/>
      </rPr>
      <t>7.	¿Se identificó algún hallazgo para su proceso desde la auditoría de control interno?
No.</t>
    </r>
    <r>
      <rPr>
        <sz val="10"/>
        <color rgb="FF000000"/>
        <rFont val="Verdana"/>
        <family val="2"/>
      </rPr>
      <t xml:space="preserve"> En el trimestre no se realizó auditoría de control interno.
</t>
    </r>
    <r>
      <rPr>
        <b/>
        <sz val="10"/>
        <color rgb="FF000000"/>
        <rFont val="Verdana"/>
        <family val="2"/>
      </rPr>
      <t xml:space="preserve">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
</t>
    </r>
    <r>
      <rPr>
        <sz val="10"/>
        <color rgb="FF000000"/>
        <rFont val="Verdana"/>
        <family val="2"/>
      </rPr>
      <t xml:space="preserve">
</t>
    </r>
  </si>
  <si>
    <t>El Profesional del proceso de Administración de SIG y/o el Apoyo de Calidad designado, analiza y valida el Informe Preliminar o registro de hallazgos de Auditoría, antes de efectuar la reunión de cierre, en caso de identificar inconsistencias o errores los comunica al equipo auditor para su análisis y discusión (Registro: Correo electrónico)</t>
  </si>
  <si>
    <r>
      <rPr>
        <b/>
        <sz val="10"/>
        <color rgb="FF000000"/>
        <rFont val="Verdana"/>
        <family val="2"/>
      </rPr>
      <t>Para el trimestre del 2025-04-01 al 2025-06-30
Control 2</t>
    </r>
    <r>
      <rPr>
        <sz val="10"/>
        <color rgb="FF000000"/>
        <rFont val="Verdana"/>
        <family val="2"/>
      </rPr>
      <t xml:space="preserve"> El Profesional del proceso de Administración de SIG y/o el Apoyo de Calidad designado analiza y valida el informe preliminar o registro de hallazgos de auditoría antes de efectuar la reunión de cierre. En caso de identificar inconsistencias o errores, los comunica al equipo auditor para su análisis y discusión. (Registro: Correo electrónico).
</t>
    </r>
    <r>
      <rPr>
        <sz val="10"/>
        <color rgb="FF4F81BD"/>
        <rFont val="Verdana"/>
        <family val="2"/>
      </rPr>
      <t xml:space="preserve">El control fue ejecutado para las dos (2) auditorías realizadas, donde  el profesional del proceso de Administración del SIG, en conjunto con el apoyo de calidad de las dependencias involucradas en las auditorías, realizó el análisis y validación de los hallazgos antes de las reuniones de cierre. En los casos en que se identificaron inconsistencias o errores, estos fueron comunicados oportunamente al equipo auditor para su análisis, discusión o corrección en la versión preliminar del informe, a través de los canales establecidos, principalmente por correo electrónico.
</t>
    </r>
    <r>
      <rPr>
        <b/>
        <sz val="10"/>
        <color rgb="FF000000"/>
        <rFont val="Verdana"/>
        <family val="2"/>
      </rPr>
      <t xml:space="preserve">1.	¿Se identificó alguna no conformidad por auditoría interna y/o auditoría externa?
No.
2.	¿Se identificó algún trabajo (salida) no conforme?
</t>
    </r>
    <r>
      <rPr>
        <sz val="10"/>
        <color rgb="FF000000"/>
        <rFont val="Verdana"/>
        <family val="2"/>
      </rPr>
      <t>En la auditoría interna de la SMQB se identificaron hallazgos, aún en evaluación.</t>
    </r>
    <r>
      <rPr>
        <b/>
        <sz val="10"/>
        <color rgb="FF000000"/>
        <rFont val="Verdana"/>
        <family val="2"/>
      </rPr>
      <t xml:space="preserve"> No se ha tipificado como trabajo no conforme.
3.	¿Hubo alguna PQRSD?
No.
4.	¿Hubo algún resultado en nivel aceptable o crítico en la medición de los indicadores de gestión de los procesos?
No.
5.	¿Se tiene evidencia del control ejecutado para los riesgos de nivel alto o catastrófico?
Sí</t>
    </r>
    <r>
      <rPr>
        <sz val="10"/>
        <color rgb="FF000000"/>
        <rFont val="Verdana"/>
        <family val="2"/>
      </rPr>
      <t xml:space="preserve">. Se cuenta con evidencia del control mediante correos electrónicos de validación y análisis de hallazgos antes de la reunión de cierre. También se evidenció la participación del Apoyo de Calidad de las dependencias involucradas.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se presentaron observaciones en las supervisiones de calidad y PMR que indiquen materialización del riesgo.
</t>
    </r>
    <r>
      <rPr>
        <b/>
        <sz val="10"/>
        <color rgb="FF000000"/>
        <rFont val="Verdana"/>
        <family val="2"/>
      </rPr>
      <t xml:space="preserve">7.	¿Se identificó algún hallazgo para su proceso desde la auditoría de control interno?
No. </t>
    </r>
    <r>
      <rPr>
        <sz val="10"/>
        <color rgb="FF000000"/>
        <rFont val="Verdana"/>
        <family val="2"/>
      </rPr>
      <t xml:space="preserve">No se realizó auditoría de control interno durante el trimestre.
</t>
    </r>
    <r>
      <rPr>
        <b/>
        <sz val="10"/>
        <color rgb="FF000000"/>
        <rFont val="Verdana"/>
        <family val="2"/>
      </rPr>
      <t xml:space="preserve">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
</t>
    </r>
    <r>
      <rPr>
        <sz val="10"/>
        <color rgb="FF000000"/>
        <rFont val="Verdana"/>
        <family val="2"/>
      </rPr>
      <t xml:space="preserve">
</t>
    </r>
  </si>
  <si>
    <r>
      <rPr>
        <b/>
        <sz val="10"/>
        <color rgb="FF000000"/>
        <rFont val="Verdana"/>
        <family val="2"/>
      </rPr>
      <t>Para el trimestre del 2025-07-01 al 2025-09-30
Control 2</t>
    </r>
    <r>
      <rPr>
        <sz val="10"/>
        <color rgb="FF000000"/>
        <rFont val="Verdana"/>
        <family val="2"/>
      </rPr>
      <t xml:space="preserve"> El Profesional del proceso de Administración de SIG y/o el Apoyo de Calidad designado analiza y valida el informe preliminar o registro de hallazgos de auditoría antes de efectuar la reunión de cierre. En caso de identificar inconsistencias o errores, los comunica al equipo auditor para su análisis y discusión. (Registro: Correo electrónico).
</t>
    </r>
    <r>
      <rPr>
        <sz val="10"/>
        <color rgb="FF4F81BD"/>
        <rFont val="Verdana"/>
        <family val="2"/>
      </rPr>
      <t xml:space="preserve">El control fue ejecutado para las cuatro (4) auditorías por el profesional delegado del proceso de Administración del SIG, quien validó las competencias del personal interno calificado para la realización de las auditorías. Estas se llevaron a cabo con el objetivo de verificar el cumplimiento de normas internacionales, requisitos legales y criterios técnicos y de gestión, según se detalla a continuación:
</t>
    </r>
    <r>
      <rPr>
        <b/>
        <sz val="10"/>
        <color rgb="FF4F81BD"/>
        <rFont val="Verdana"/>
        <family val="2"/>
      </rPr>
      <t xml:space="preserve">Auditorías Externas </t>
    </r>
    <r>
      <rPr>
        <sz val="10"/>
        <color rgb="FF4F81BD"/>
        <rFont val="Verdana"/>
        <family val="2"/>
      </rPr>
      <t xml:space="preserve">Evaluación por pares: Se revisó el currículum del Dr. Silvio Francisco dos Santos conforme a los criterios establecidos por el CIPM MRA para evaluadores, con énfasis en los requisitos de gestión definidos en las normas ISO/IEC 17034:2016 e ISO/IEC 17025:2017.  Auditoría externa del programa PREAD: No se realizó la validación de los requisitos del auditor, ya que la selección es responsabilidad de la Secretaría Distrital de Medio Ambiente. En esta auditoría se evaluaron los criterios definidos en la guía de postulación, el cumplimiento de la normativa ambiental vigente y los requisitos de la norma NTC ISO 14001:2015.
</t>
    </r>
    <r>
      <rPr>
        <b/>
        <sz val="10"/>
        <color rgb="FF4F81BD"/>
        <rFont val="Verdana"/>
        <family val="2"/>
      </rPr>
      <t xml:space="preserve">Auditorías Internas  </t>
    </r>
    <r>
      <rPr>
        <sz val="10"/>
        <color rgb="FF4F81BD"/>
        <rFont val="Verdana"/>
        <family val="2"/>
      </rPr>
      <t xml:space="preserve">Seguridad de la información: Se evaluó el cumplimiento de las normas ISO/IEC 27001:2022 y MSPI, así como de la Resolución 500 de 2021 del MinTIC, modificada por la Resolución 2277 de 2025, junto con otros requisitos normativos aplicables. Aspectos técnicos de longitud: El experto internacional Carlos Colín fue evaluado en función de su trayectoria como especialista en metrología dimensional y de longitud, conforme a los requisitos establecidos en las normas ISO/IEC 17025:2017 y CIPM MRA.
</t>
    </r>
    <r>
      <rPr>
        <b/>
        <sz val="10"/>
        <color rgb="FF000000"/>
        <rFont val="Verdana"/>
        <family val="2"/>
      </rPr>
      <t>1.	¿Se identificó alguna no conformidad por auditoría interna y/o auditoría externa?
No.
2.	¿Se identificó algún trabajo (salida) no conforme?
No. 
3.	¿Hubo alguna PQRSD?
No.
4.	¿Hubo algún resultado en nivel aceptable o crítico en la medición de los indicadores de gestión de los procesos?
No.
5.	¿Se tiene evidencia del control ejecutado para los riesgos de nivel alto o catastrófico?
Sí</t>
    </r>
    <r>
      <rPr>
        <sz val="10"/>
        <color rgb="FF000000"/>
        <rFont val="Verdana"/>
        <family val="2"/>
      </rPr>
      <t xml:space="preserve">. Se cuenta con evidencia del control mediante correos electrónicos de validación y análisis de hallazgos antes de la reunión de cierre. También se evidenció la participación del Apoyo de Calidad de las dependencias involucradas.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se presentaron observaciones en las supervisiones de calidad y PMR que indiquen materialización del riesgo.
</t>
    </r>
    <r>
      <rPr>
        <b/>
        <sz val="10"/>
        <color rgb="FF000000"/>
        <rFont val="Verdana"/>
        <family val="2"/>
      </rPr>
      <t xml:space="preserve">7.	¿Se identificó algún hallazgo para su proceso desde la auditoría de control interno?
No. </t>
    </r>
    <r>
      <rPr>
        <sz val="10"/>
        <color rgb="FF000000"/>
        <rFont val="Verdana"/>
        <family val="2"/>
      </rPr>
      <t xml:space="preserve">No se realizó auditoría de control interno durante el trimestre.
</t>
    </r>
    <r>
      <rPr>
        <b/>
        <sz val="10"/>
        <color rgb="FF000000"/>
        <rFont val="Verdana"/>
        <family val="2"/>
      </rPr>
      <t xml:space="preserve">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
</t>
    </r>
    <r>
      <rPr>
        <sz val="10"/>
        <color rgb="FF000000"/>
        <rFont val="Verdana"/>
        <family val="2"/>
      </rPr>
      <t xml:space="preserve">
</t>
    </r>
  </si>
  <si>
    <t>E02-R7</t>
  </si>
  <si>
    <t>Posibilidad de afectación reputacional por pérdida de credibilidad por parte de evaluadores internacionales en la consistencia del SIG del INM, generada por la necesidad de evitar que se evidencien errores críticos dentro de los procesos, debido a la solicitud de no incluir hallazgos críticos por parte de personas auditadas y por la inadecuada selección de auditores y/o expertos técnicos que realizan o acompañan la realización de auditorías de Gestión</t>
  </si>
  <si>
    <t xml:space="preserve">
Necesidad de evitar que se evidencien errores críticos dentro de los procesos</t>
  </si>
  <si>
    <t>Solicitud de los auditados de no evidenciar situaciones de preocupación del proceso
Selección inadecuada de auditores internos o revisores por pares</t>
  </si>
  <si>
    <t>Imparcialidad</t>
  </si>
  <si>
    <t>Los apoyos de Calidad y en ocasiones el Profesional del proceso de Administración de SIG acompañan la realización de las auditorías para tener conocimiento de los hallazgos levantados y asegurar que se incluyen dentro del informe final de auditoría</t>
  </si>
  <si>
    <r>
      <rPr>
        <b/>
        <sz val="11"/>
        <color rgb="FF000000"/>
        <rFont val="Verdana"/>
        <family val="2"/>
      </rPr>
      <t xml:space="preserve">Para el trimestre del 2025-01-01 al 2025-03-30
1. Hallazgos por Auditoría Interna y/o Externa: </t>
    </r>
    <r>
      <rPr>
        <sz val="11"/>
        <color rgb="FF000000"/>
        <rFont val="Verdana"/>
        <family val="2"/>
      </rPr>
      <t xml:space="preserve">No se identificaron hallazgos relacionados con:
•	Presión para omitir hallazgos críticos en informes de auditoría
•	Selección inadecuada de auditores/expertos técnicos
•	Evidencia de manipulación de resultados de auditoría
</t>
    </r>
    <r>
      <rPr>
        <b/>
        <sz val="11"/>
        <color rgb="FF000000"/>
        <rFont val="Verdana"/>
        <family val="2"/>
      </rPr>
      <t>2. Trabajos No Conformes:</t>
    </r>
    <r>
      <rPr>
        <sz val="11"/>
        <color rgb="FF000000"/>
        <rFont val="Verdana"/>
        <family val="2"/>
      </rPr>
      <t xml:space="preserve"> No se registraron salidas no conformes asociadas a informes de auditoría con omisiones deliberadas o quejas sobre parcialidad en evaluaciones.
</t>
    </r>
    <r>
      <rPr>
        <b/>
        <sz val="11"/>
        <color rgb="FF000000"/>
        <rFont val="Verdana"/>
        <family val="2"/>
      </rPr>
      <t>3. PQRSD (Peticiones, Quejas, Reclamos, Sugerencias y Denuncias):</t>
    </r>
    <r>
      <rPr>
        <sz val="11"/>
        <color rgb="FF000000"/>
        <rFont val="Verdana"/>
        <family val="2"/>
      </rPr>
      <t xml:space="preserve"> No se presentaron PQRSD relacionadas.
</t>
    </r>
    <r>
      <rPr>
        <b/>
        <sz val="11"/>
        <color rgb="FF000000"/>
        <rFont val="Verdana"/>
        <family val="2"/>
      </rPr>
      <t xml:space="preserve">4. Indicadores de Gestión de Procesos: </t>
    </r>
    <r>
      <rPr>
        <sz val="11"/>
        <color rgb="FF000000"/>
        <rFont val="Verdana"/>
        <family val="2"/>
      </rPr>
      <t xml:space="preserve">No se reportaron indicadores relacionados que afectaran 
</t>
    </r>
    <r>
      <rPr>
        <b/>
        <sz val="11"/>
        <color rgb="FF000000"/>
        <rFont val="Verdana"/>
        <family val="2"/>
      </rPr>
      <t xml:space="preserve">5. Controles para Riesgos Alto/Catastrófico: </t>
    </r>
    <r>
      <rPr>
        <sz val="11"/>
        <color rgb="FF000000"/>
        <rFont val="Verdana"/>
        <family val="2"/>
      </rPr>
      <t xml:space="preserve"> Evidencias documentadas para la protección de la independencia, compromiso de imparcialidad, confidencialidad y conflicto de interés de los auditores, para el periodo se firmo por parte de la auditora Liz Catherine Hernández. 
Se cuenta con un canal confidencial para reportar presiones indebidas.
Criterios para la selección de auditores, validación técnica
</t>
    </r>
    <r>
      <rPr>
        <b/>
        <sz val="11"/>
        <color rgb="FF000000"/>
        <rFont val="Verdana"/>
        <family val="2"/>
      </rPr>
      <t>6. Supervisiones de Calidad y PMR:</t>
    </r>
    <r>
      <rPr>
        <sz val="11"/>
        <color rgb="FF000000"/>
        <rFont val="Verdana"/>
        <family val="2"/>
      </rPr>
      <t xml:space="preserve"> No aplica 
</t>
    </r>
    <r>
      <rPr>
        <b/>
        <sz val="11"/>
        <color rgb="FF000000"/>
        <rFont val="Verdana"/>
        <family val="2"/>
      </rPr>
      <t>7. Auditoría de Control Interno</t>
    </r>
    <r>
      <rPr>
        <sz val="11"/>
        <color rgb="FF000000"/>
        <rFont val="Verdana"/>
        <family val="2"/>
      </rPr>
      <t xml:space="preserve">: No aplica 
</t>
    </r>
    <r>
      <rPr>
        <b/>
        <sz val="11"/>
        <color rgb="FF000000"/>
        <rFont val="Verdana"/>
        <family val="2"/>
      </rPr>
      <t>8. Hallazgos Fiscales:</t>
    </r>
    <r>
      <rPr>
        <sz val="11"/>
        <color rgb="FF000000"/>
        <rFont val="Verdana"/>
        <family val="2"/>
      </rPr>
      <t xml:space="preserve"> No existen observaciones de entes de control fiscal relacionadas.
</t>
    </r>
    <r>
      <rPr>
        <b/>
        <sz val="11"/>
        <color rgb="FF000000"/>
        <rFont val="Verdana"/>
        <family val="2"/>
      </rPr>
      <t>9. Fallos con Responsabilidad Fiscal:</t>
    </r>
    <r>
      <rPr>
        <sz val="11"/>
        <color rgb="FF000000"/>
        <rFont val="Verdana"/>
        <family val="2"/>
      </rPr>
      <t xml:space="preserve"> No se registran fallos en firme por este concepto.
En resumen el riesgo no se materializó durante el trimestre, lo que indica que los controles implementados son adecuados para garantizar la identificación de errores críticos dentro de los procesos.
</t>
    </r>
  </si>
  <si>
    <r>
      <rPr>
        <b/>
        <sz val="10"/>
        <color rgb="FF000000"/>
        <rFont val="Verdana"/>
        <family val="2"/>
      </rPr>
      <t>Para el trimestre del 2025-04-01 al 2025-06-30
Control 1:</t>
    </r>
    <r>
      <rPr>
        <sz val="10"/>
        <color rgb="FF000000"/>
        <rFont val="Verdana"/>
        <family val="2"/>
      </rPr>
      <t xml:space="preserve"> Los apoyos de Calidad y en ocasiones el Profesional del proceso de Administración de SIG acompañan la realización de las auditorías para tener conocimiento de los hallazgos levantados y asegurar que se incluyen dentro del informe final de auditoría.
</t>
    </r>
    <r>
      <rPr>
        <sz val="10"/>
        <color rgb="FF4F81BD"/>
        <rFont val="Verdana"/>
        <family val="2"/>
      </rPr>
      <t xml:space="preserve">No se ha ejecutado el control debido a que en el trimestre no se han realizado evaluaciones por pares por parte evaluadores o expertos internacionales 
</t>
    </r>
    <r>
      <rPr>
        <b/>
        <sz val="10"/>
        <color rgb="FF000000"/>
        <rFont val="Verdana"/>
        <family val="2"/>
      </rPr>
      <t>1.	¿Se identificó alguna no conformidad por auditoría interna y/o auditoría externa?
No</t>
    </r>
    <r>
      <rPr>
        <sz val="10"/>
        <color rgb="FF000000"/>
        <rFont val="Verdana"/>
        <family val="2"/>
      </rPr>
      <t xml:space="preserve">. No se han identificado no conformidades en las auditorías realizadas en el periodo.
</t>
    </r>
    <r>
      <rPr>
        <b/>
        <sz val="10"/>
        <color rgb="FF000000"/>
        <rFont val="Verdana"/>
        <family val="2"/>
      </rPr>
      <t>2.	¿Se identificó algún trabajo (salida) no conforme?
No. 
3.	¿Hubo alguna PQRSD?
No.
4.	¿Hubo algún resultado en nivel aceptable o crítico en la medición de los indicadores de gestión de los procesos?
No.</t>
    </r>
    <r>
      <rPr>
        <sz val="10"/>
        <color rgb="FF000000"/>
        <rFont val="Verdana"/>
        <family val="2"/>
      </rPr>
      <t xml:space="preserve"> 
</t>
    </r>
    <r>
      <rPr>
        <b/>
        <sz val="10"/>
        <color rgb="FF000000"/>
        <rFont val="Verdana"/>
        <family val="2"/>
      </rPr>
      <t>5.	¿Se tiene evidencia del control ejecutado para los riesgos de nivel: alto o catastrófico?
No.</t>
    </r>
    <r>
      <rPr>
        <sz val="10"/>
        <color rgb="FF000000"/>
        <rFont val="Verdana"/>
        <family val="2"/>
      </rPr>
      <t xml:space="preserve"> El control no se ha ejecutado porque no se han realizado evaluaciones por pares por parte evaluadores o expertos internacionales 
</t>
    </r>
    <r>
      <rPr>
        <b/>
        <sz val="10"/>
        <color rgb="FF000000"/>
        <rFont val="Verdana"/>
        <family val="2"/>
      </rPr>
      <t>6.	¿Se presentaron observaciones, comentarios o hallazgos en las supervisiones de calidad y de PMR que ameriten que se materialice el riesgo?
No</t>
    </r>
    <r>
      <rPr>
        <sz val="10"/>
        <color rgb="FF000000"/>
        <rFont val="Verdana"/>
        <family val="2"/>
      </rPr>
      <t xml:space="preserve">. 
</t>
    </r>
    <r>
      <rPr>
        <b/>
        <sz val="10"/>
        <color rgb="FF000000"/>
        <rFont val="Verdana"/>
        <family val="2"/>
      </rPr>
      <t>7.	¿Se identificó algún hallazgo para su proceso desde la auditoría de control interno?
No se realizaron auditorías de control interno en el periodo evaluado</t>
    </r>
    <r>
      <rPr>
        <sz val="10"/>
        <color rgb="FF000000"/>
        <rFont val="Verdana"/>
        <family val="2"/>
      </rPr>
      <t xml:space="preserve">.
</t>
    </r>
    <r>
      <rPr>
        <b/>
        <sz val="10"/>
        <color rgb="FF000000"/>
        <rFont val="Verdana"/>
        <family val="2"/>
      </rPr>
      <t>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t>
    </r>
    <r>
      <rPr>
        <sz val="10"/>
        <color rgb="FF000000"/>
        <rFont val="Verdana"/>
        <family val="2"/>
      </rPr>
      <t xml:space="preserve"> No se han presentado situaciones que indiquen materialización del riesgo.
</t>
    </r>
  </si>
  <si>
    <r>
      <rPr>
        <b/>
        <sz val="10"/>
        <color rgb="FF000000"/>
        <rFont val="Verdana"/>
      </rPr>
      <t>Para el trimestre del 2025-07-01 al 2025-09-30
Control 1:</t>
    </r>
    <r>
      <rPr>
        <sz val="10"/>
        <color rgb="FF000000"/>
        <rFont val="Verdana"/>
      </rPr>
      <t xml:space="preserve"> Los apoyos de Calidad y en ocasiones el Profesional del proceso de Administración de SIG acompañan la realización de las auditorías para tener conocimiento de los hallazgos levantados y asegurar que se incluyen dentro del informe final de auditoría.
</t>
    </r>
    <r>
      <rPr>
        <sz val="10"/>
        <color rgb="FF4F81BD"/>
        <rFont val="Verdana"/>
      </rPr>
      <t xml:space="preserve">Durante el periodo se realizó una evaluación por pares enfocada en los requisitos de gestión establecidos en las normas ISO/IEC 17025:2017 e ISO/IEC 17034:2016. Los apoyos de Calidad y, el profesional del proceso de Administración del SIG, acompañaron permanentemente la ejecución de las auditorías con el fin de conocer de primera mano los hallazgos identificados y asegurar su inclusión en el informe final de auditoría, este informe fue revisado por parte de los enlaces y personal de la OAP .
</t>
    </r>
    <r>
      <rPr>
        <b/>
        <sz val="10"/>
        <color rgb="FF000000"/>
        <rFont val="Verdana"/>
      </rPr>
      <t>1.	¿Se identificó alguna no conformidad por auditoría interna y/o auditoría externa?
Si se han idenfificado NC de la evaluación</t>
    </r>
    <r>
      <rPr>
        <sz val="10"/>
        <color rgb="FF000000"/>
        <rFont val="Verdana"/>
      </rPr>
      <t xml:space="preserve">. Durante el periodo evaluado, no se ha evidenciado la omisión de errores críticos en los procesos
</t>
    </r>
    <r>
      <rPr>
        <b/>
        <sz val="10"/>
        <color rgb="FF000000"/>
        <rFont val="Verdana"/>
      </rPr>
      <t xml:space="preserve">2.	¿Se identificó algún trabajo (salida) no conforme?
No. 
3.	¿Hubo alguna PQRSD?
Si. </t>
    </r>
    <r>
      <rPr>
        <sz val="10"/>
        <color rgb="FF000000"/>
        <rFont val="Verdana"/>
      </rPr>
      <t xml:space="preserve">Durante la ejecución de la auditoría se presentaron quejas relacionadas con la no prestación del servicio de fuerza, derivadas de una falla en la máquina, la cual ya había sido identificada previamente. No obstante, la Subdirección de  Metrología Física (SMF) no gestionó oportunamente la situación, lo que generó afectaciones en la continuidad del servicio.
</t>
    </r>
    <r>
      <rPr>
        <b/>
        <sz val="10"/>
        <color rgb="FF000000"/>
        <rFont val="Verdana"/>
      </rPr>
      <t>4.	¿Hubo algún resultado en nivel aceptable o crítico en la medición de los indicadores de gestión de los procesos?
No.</t>
    </r>
    <r>
      <rPr>
        <sz val="10"/>
        <color rgb="FF000000"/>
        <rFont val="Verdana"/>
      </rPr>
      <t xml:space="preserve"> 
</t>
    </r>
    <r>
      <rPr>
        <b/>
        <sz val="10"/>
        <color rgb="FF000000"/>
        <rFont val="Verdana"/>
      </rPr>
      <t>5.	¿Se tiene evidencia del control ejecutado para los riesgos de nivel: alto o catastrófico?
No.</t>
    </r>
    <r>
      <rPr>
        <sz val="10"/>
        <color rgb="FF000000"/>
        <rFont val="Verdana"/>
      </rPr>
      <t xml:space="preserve"> El control se ha ejecutado porque no se han realizado evaluaciones por pares por parte evaluadores o expertos internacionales 
</t>
    </r>
    <r>
      <rPr>
        <b/>
        <sz val="10"/>
        <color rgb="FF000000"/>
        <rFont val="Verdana"/>
      </rPr>
      <t>6.	¿Se presentaron observaciones, comentarios o hallazgos en las supervisiones de calidad y de PMR que ameriten que se materialice el riesgo?
No</t>
    </r>
    <r>
      <rPr>
        <sz val="10"/>
        <color rgb="FF000000"/>
        <rFont val="Verdana"/>
      </rPr>
      <t xml:space="preserve">. 
</t>
    </r>
    <r>
      <rPr>
        <b/>
        <sz val="10"/>
        <color rgb="FF000000"/>
        <rFont val="Verdana"/>
      </rPr>
      <t>7.	¿Se identificó algún hallazgo para su proceso desde la auditoría de control interno?
No se realizaron auditorías de control interno en el periodo evaluado</t>
    </r>
    <r>
      <rPr>
        <sz val="10"/>
        <color rgb="FF000000"/>
        <rFont val="Verdana"/>
      </rPr>
      <t xml:space="preserve">.
</t>
    </r>
    <r>
      <rPr>
        <b/>
        <sz val="10"/>
        <color rgb="FF000000"/>
        <rFont val="Verdana"/>
      </rPr>
      <t>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t>
    </r>
    <r>
      <rPr>
        <sz val="10"/>
        <color rgb="FF000000"/>
        <rFont val="Verdana"/>
      </rPr>
      <t xml:space="preserve"> No se han presentado situaciones que indiquen materialización del riesgo.</t>
    </r>
  </si>
  <si>
    <r>
      <rPr>
        <b/>
        <sz val="10"/>
        <color rgb="FF000000"/>
        <rFont val="Verdana"/>
        <family val="2"/>
      </rPr>
      <t>Para el trimestre del 2025-04-01 al 2025-06-30
Control 2:</t>
    </r>
    <r>
      <rPr>
        <sz val="10"/>
        <color rgb="FF000000"/>
        <rFont val="Verdana"/>
        <family val="2"/>
      </rPr>
      <t xml:space="preserve"> El Profesional del proceso de Administración de SIG valida las competencias del personal disponible para realizar las auditorías (Revisor por Pares o auditor interno), de manera que se escojan las personas que cumplan las competencias requeridas para la realización de las auditorías, para lo cual solicita al auditor soportes (hoja de vida) de su experiencia como auditor, (Registro: formato E-02-F-035 Matriz de Auditores).
</t>
    </r>
    <r>
      <rPr>
        <sz val="10"/>
        <color rgb="FF4F81BD"/>
        <rFont val="Verdana"/>
        <family val="2"/>
      </rPr>
      <t xml:space="preserve">El control fue ejecutado únicamente para las dos (2) auditorías por parte del profesional delegado del proceso de Administración del SIG quien validó las competencias del personal interno calificado para la auditoria a SMQB de SARS-CoV y virus respiratorios y expertos técnicos del Organismo Nacional de Acreditación ONAC para la auditoria combinada de ISO 9001, ISO 14001 e ISO 45001, asegurando que cumplieran con los requisitos establecidos. No se ha ejecutado el control para evaluaciones por pares por parte evaluadores o expertos internacionales
</t>
    </r>
    <r>
      <rPr>
        <b/>
        <sz val="10"/>
        <color rgb="FF000000"/>
        <rFont val="Verdana"/>
        <family val="2"/>
      </rPr>
      <t>1.	¿Se identificó alguna no conformidad por auditoría interna y/o auditoría externa?
No</t>
    </r>
    <r>
      <rPr>
        <sz val="10"/>
        <color rgb="FF000000"/>
        <rFont val="Verdana"/>
        <family val="2"/>
      </rPr>
      <t xml:space="preserve">. No se identificaron no conformidades en las auditorías internas realizadas.
</t>
    </r>
    <r>
      <rPr>
        <b/>
        <sz val="10"/>
        <color rgb="FF000000"/>
        <rFont val="Verdana"/>
        <family val="2"/>
      </rPr>
      <t xml:space="preserve">2.	¿Se identificó algún trabajo (salida) no conforme?
</t>
    </r>
    <r>
      <rPr>
        <sz val="10"/>
        <color rgb="FF000000"/>
        <rFont val="Verdana"/>
        <family val="2"/>
      </rPr>
      <t xml:space="preserve">No aplica para este control.
</t>
    </r>
    <r>
      <rPr>
        <b/>
        <sz val="10"/>
        <color rgb="FF000000"/>
        <rFont val="Verdana"/>
        <family val="2"/>
      </rPr>
      <t xml:space="preserve">3.	¿Hubo alguna PQRSD?
</t>
    </r>
    <r>
      <rPr>
        <sz val="10"/>
        <color rgb="FF000000"/>
        <rFont val="Verdana"/>
        <family val="2"/>
      </rPr>
      <t xml:space="preserve">No se han reportado PQRSD asociadas.
</t>
    </r>
    <r>
      <rPr>
        <b/>
        <sz val="10"/>
        <color rgb="FF000000"/>
        <rFont val="Verdana"/>
        <family val="2"/>
      </rPr>
      <t>4.	¿Hubo algún resultado en nivel aceptable o crítico en la medición de los indicadores de gestión de los procesos?
No</t>
    </r>
    <r>
      <rPr>
        <sz val="10"/>
        <color rgb="FF000000"/>
        <rFont val="Verdana"/>
        <family val="2"/>
      </rPr>
      <t xml:space="preserve">. No se han detectado resultados críticos relacionados.
</t>
    </r>
    <r>
      <rPr>
        <b/>
        <sz val="10"/>
        <color rgb="FF000000"/>
        <rFont val="Verdana"/>
        <family val="2"/>
      </rPr>
      <t>5.	¿Se tiene evidencia del control ejecutado para los riesgos de nivel: alto o catastrófico?
Sí.</t>
    </r>
    <r>
      <rPr>
        <sz val="10"/>
        <color rgb="FF000000"/>
        <rFont val="Verdana"/>
        <family val="2"/>
      </rPr>
      <t xml:space="preserve"> Se cuenta la verificación de la experiencia y competencia de los auditores y el registro de competencias del Organismo Nacional de Acreditación.
</t>
    </r>
    <r>
      <rPr>
        <b/>
        <sz val="10"/>
        <color rgb="FF000000"/>
        <rFont val="Verdana"/>
        <family val="2"/>
      </rPr>
      <t>6.	¿Se presentaron observaciones, comentarios o hallazgos en las supervisiones de calidad y de PMR que ameriten que se materialice el riesgo?
No</t>
    </r>
    <r>
      <rPr>
        <sz val="10"/>
        <color rgb="FF000000"/>
        <rFont val="Verdana"/>
        <family val="2"/>
      </rPr>
      <t xml:space="preserve">.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t>
    </r>
    <r>
      <rPr>
        <sz val="10"/>
        <color rgb="FF000000"/>
        <rFont val="Verdana"/>
        <family val="2"/>
      </rPr>
      <t xml:space="preserve">.
</t>
    </r>
  </si>
  <si>
    <r>
      <rPr>
        <b/>
        <sz val="10"/>
        <color rgb="FF000000"/>
        <rFont val="Verdana"/>
        <family val="2"/>
      </rPr>
      <t>Para el trimestre del 2025-04-01 al 2025-06-30
Control 2:</t>
    </r>
    <r>
      <rPr>
        <sz val="10"/>
        <color rgb="FF000000"/>
        <rFont val="Verdana"/>
        <family val="2"/>
      </rPr>
      <t xml:space="preserve"> El Profesional del proceso de Administración de SIG valida las competencias del personal disponible para realizar las auditorías (Revisor por Pares o auditor interno), de manera que se escojan las personas que cumplan las competencias requeridas para la realización de las auditorías, para lo cual solicita al auditor soportes (hoja de vida) de su experiencia como auditor, (Registro: formato E-02-F-035 Matriz de Auditores).
</t>
    </r>
    <r>
      <rPr>
        <sz val="10"/>
        <color rgb="FF4F81BD"/>
        <rFont val="Verdana"/>
        <family val="2"/>
      </rPr>
      <t xml:space="preserve">Durante el periodo se ejecutó el control establecido únicamente en cuatro (4) auditorías, con acompañamiento del profesional delegado del proceso de Administración del Sistema Integrado de Gestión (SIG). Este profesional validó las competencias del personal interno calificado para la auditoría en seguridad de la información, en la cual se evaluaron las normas ISO/IEC 27001:2022 y MSPI, así como el cumplimiento de la Resolución 500 de 2021 del MinTIC, modificada por la Resolución 2277 de 2025, de acuerdo con los soportes con que se habilita el auditor por parte del Organismo Nacional de Acreditación de Colombia (ONAC).
En el ámbito técnico, se evaluaron las normas ISO/IEC 17025:2017 y CIPM-MRA para reglas, escalas y bloques, con el objetivo de verificar la conformidad técnica de los procesos. Esta auditoría fue realizada por un experto internacional en Longitud del CENAM (México), lo que fortaleció la rigurosidad y validez de los resultados obtenidos.
Asimismo, se ejecutó el control en la evaluación por pares enfocada en los requisitos de gestión establecidos en las normas ISO/IEC 17025:2017 e ISO/IEC 17034:2016. También se llevó a cabo la auditoría externa del programa PREAD, en la cual se evaluaron los criterios definidos en la guía de postulación, el cumplimiento de normas legales ambientales y la norma NTC ISO 14001:2015. Esta auditoría fue realizada por la Secretaría de Ambiente, quien además validó las competencias del personal responsable de su ejecución.
</t>
    </r>
    <r>
      <rPr>
        <b/>
        <sz val="10"/>
        <color rgb="FF000000"/>
        <rFont val="Verdana"/>
        <family val="2"/>
      </rPr>
      <t>1.	¿Se identificó alguna no conformidad por auditoría interna y/o auditoría externa?
No</t>
    </r>
    <r>
      <rPr>
        <sz val="10"/>
        <color rgb="FF000000"/>
        <rFont val="Verdana"/>
        <family val="2"/>
      </rPr>
      <t xml:space="preserve">. No se identificaron no conformidades en las auditorías internas realizadas.
</t>
    </r>
    <r>
      <rPr>
        <b/>
        <sz val="10"/>
        <color rgb="FF000000"/>
        <rFont val="Verdana"/>
        <family val="2"/>
      </rPr>
      <t xml:space="preserve">2.	¿Se identificó algún trabajo (salida) no conforme?
</t>
    </r>
    <r>
      <rPr>
        <sz val="10"/>
        <color rgb="FF000000"/>
        <rFont val="Verdana"/>
        <family val="2"/>
      </rPr>
      <t xml:space="preserve">No aplica para este control.
</t>
    </r>
    <r>
      <rPr>
        <b/>
        <sz val="10"/>
        <color rgb="FF000000"/>
        <rFont val="Verdana"/>
        <family val="2"/>
      </rPr>
      <t xml:space="preserve">3.	¿Hubo alguna PQRSD?
</t>
    </r>
    <r>
      <rPr>
        <sz val="10"/>
        <color rgb="FF000000"/>
        <rFont val="Verdana"/>
        <family val="2"/>
      </rPr>
      <t xml:space="preserve">No se han reportado PQRSD asociadas.
</t>
    </r>
    <r>
      <rPr>
        <b/>
        <sz val="10"/>
        <color rgb="FF000000"/>
        <rFont val="Verdana"/>
        <family val="2"/>
      </rPr>
      <t>4.	¿Hubo algún resultado en nivel aceptable o crítico en la medición de los indicadores de gestión de los procesos?
No</t>
    </r>
    <r>
      <rPr>
        <sz val="10"/>
        <color rgb="FF000000"/>
        <rFont val="Verdana"/>
        <family val="2"/>
      </rPr>
      <t xml:space="preserve">. No se han detectado resultados críticos relacionados.
</t>
    </r>
    <r>
      <rPr>
        <b/>
        <sz val="10"/>
        <color rgb="FF000000"/>
        <rFont val="Verdana"/>
        <family val="2"/>
      </rPr>
      <t>5.	¿Se tiene evidencia del control ejecutado para los riesgos de nivel: alto o catastrófico?
Sí.</t>
    </r>
    <r>
      <rPr>
        <sz val="10"/>
        <color rgb="FF000000"/>
        <rFont val="Verdana"/>
        <family val="2"/>
      </rPr>
      <t xml:space="preserve"> Se cuenta la verificación de la experiencia y competencia de los auditores y el registro de competencias del Organismo Nacional de Acreditación.
</t>
    </r>
    <r>
      <rPr>
        <b/>
        <sz val="10"/>
        <color rgb="FF000000"/>
        <rFont val="Verdana"/>
        <family val="2"/>
      </rPr>
      <t>6.	¿Se presentaron observaciones, comentarios o hallazgos en las supervisiones de calidad y de PMR que ameriten que se materialice el riesgo?
No</t>
    </r>
    <r>
      <rPr>
        <sz val="10"/>
        <color rgb="FF000000"/>
        <rFont val="Verdana"/>
        <family val="2"/>
      </rPr>
      <t xml:space="preserve">.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8.	¿Se identificó algún hallazgo con presunta incidencia fiscal identificado por el ente de control fiscal?
No.
9.	¿Se presentó algún fallo con responsabilidad fiscal en firme relacionado con hechos de la entidad?
No.
10.	¿Se presentó algún resultado desfavorable distinto a los mencionados anteriormente por lo cual se genere la materialización del riesgo dado este control implementado?
No</t>
    </r>
    <r>
      <rPr>
        <sz val="10"/>
        <color rgb="FF000000"/>
        <rFont val="Verdana"/>
        <family val="2"/>
      </rPr>
      <t xml:space="preserve">.
</t>
    </r>
  </si>
  <si>
    <t>E02-R8</t>
  </si>
  <si>
    <t>Posibilidad de  afectación reputacional por ocurrencia de trabajos no conformes que no aseguran que se vuelva a presentar la situación presentada, generada por falta de análisis profundo de las situaciones que generaron los hallazgos, debido a la aplicación de acciones débiles o poco eficaces o a la falta de seguimiento de la puesta en operación de las acciones propuestas</t>
  </si>
  <si>
    <t xml:space="preserve">
Falta de análisis profundo de las situaciones que generan Trabajos No Conformes</t>
  </si>
  <si>
    <t>Aplicación de acciones débiles o poco eficaces 
Falta de seguimiento de la puesta en operación de las acciones propuestas</t>
  </si>
  <si>
    <t>El Coordinador del área o responsable del laboratorio efectúa seguimiento y apoya la realización de análisis para la generación de Trabajos No Conformes y lo aprueba o desaprueba según resultados de los análisis realizados (Registro: E-02-016 Ficha de trabajo no conforme)</t>
  </si>
  <si>
    <r>
      <rPr>
        <b/>
        <sz val="11"/>
        <color rgb="FF000000"/>
        <rFont val="Verdana"/>
        <family val="2"/>
      </rPr>
      <t xml:space="preserve">Para el trimestre del 2025-01-01 al 2025-03-30
</t>
    </r>
    <r>
      <rPr>
        <sz val="11"/>
        <color rgb="FF000000"/>
        <rFont val="Verdana"/>
        <family val="2"/>
      </rPr>
      <t xml:space="preserve">
</t>
    </r>
    <r>
      <rPr>
        <b/>
        <sz val="11"/>
        <color rgb="FF000000"/>
        <rFont val="Verdana"/>
        <family val="2"/>
      </rPr>
      <t>1. Hallazgos por Auditoría Interna y/o Externa:</t>
    </r>
    <r>
      <rPr>
        <sz val="11"/>
        <color rgb="FF000000"/>
        <rFont val="Verdana"/>
        <family val="2"/>
      </rPr>
      <t xml:space="preserve">  No se identificaron hallazgos relacionados con:
•	Análisis superficial de causas raíz de no conformidades
•	Aplicación de acciones correctivas débiles o ineficaces
•	Falta de seguimiento a implementación de acciones
</t>
    </r>
    <r>
      <rPr>
        <b/>
        <sz val="11"/>
        <color rgb="FF000000"/>
        <rFont val="Verdana"/>
        <family val="2"/>
      </rPr>
      <t>2. Trabajos No Conformes:</t>
    </r>
    <r>
      <rPr>
        <sz val="11"/>
        <color rgb="FF000000"/>
        <rFont val="Verdana"/>
        <family val="2"/>
      </rPr>
      <t xml:space="preserve">  No se registraron TNC relacionados con reincidencia de no conformidades similares o quejas sobre efectividad de acciones correctivas
3. PQRSD (Peticiones, Quejas, Reclamos, Sugerencias y Denuncias): No se presentaron PQRSD vinculadas 
</t>
    </r>
    <r>
      <rPr>
        <b/>
        <sz val="11"/>
        <color rgb="FF000000"/>
        <rFont val="Verdana"/>
        <family val="2"/>
      </rPr>
      <t>4. Indicadores de Gestión:</t>
    </r>
    <r>
      <rPr>
        <sz val="11"/>
        <color rgb="FF000000"/>
        <rFont val="Verdana"/>
        <family val="2"/>
      </rPr>
      <t xml:space="preserve"> No se presentaron reportes vinculados 
</t>
    </r>
    <r>
      <rPr>
        <b/>
        <sz val="11"/>
        <color rgb="FF000000"/>
        <rFont val="Verdana"/>
        <family val="2"/>
      </rPr>
      <t>5. Controles para Riesgos Alto/Catastrófico:</t>
    </r>
    <r>
      <rPr>
        <sz val="11"/>
        <color rgb="FF000000"/>
        <rFont val="Verdana"/>
        <family val="2"/>
      </rPr>
      <t xml:space="preserve"> Se evidencian controles relacionadas con: 
Proceso de análisis de causas raíz:
o	Uso de metodologías estandarizadas (5 porqués, diagrama de Ishikawa)
o	Registros completos de análisis realizados
Seguimiento a acciones correctivas:
o	Sistema de trazabilidad de acciones
o	Verificaciones posteriores de efectividad
o	Minutas de comités de seguimiento
</t>
    </r>
    <r>
      <rPr>
        <b/>
        <sz val="11"/>
        <color rgb="FF000000"/>
        <rFont val="Verdana"/>
        <family val="2"/>
      </rPr>
      <t>6. Supervisiones de Calidad y PMR:</t>
    </r>
    <r>
      <rPr>
        <sz val="11"/>
        <color rgb="FF000000"/>
        <rFont val="Verdana"/>
        <family val="2"/>
      </rPr>
      <t xml:space="preserve"> No aplica 
</t>
    </r>
    <r>
      <rPr>
        <b/>
        <sz val="11"/>
        <color rgb="FF000000"/>
        <rFont val="Verdana"/>
        <family val="2"/>
      </rPr>
      <t>7. Auditoría de Control Interno:</t>
    </r>
    <r>
      <rPr>
        <sz val="11"/>
        <color rgb="FF000000"/>
        <rFont val="Verdana"/>
        <family val="2"/>
      </rPr>
      <t xml:space="preserve"> No se identificaron hallazgos relacionados con este riesgo específico.
</t>
    </r>
    <r>
      <rPr>
        <b/>
        <sz val="11"/>
        <color rgb="FF000000"/>
        <rFont val="Verdana"/>
        <family val="2"/>
      </rPr>
      <t xml:space="preserve">8. Hallazgos Fiscales: Resultado: </t>
    </r>
    <r>
      <rPr>
        <sz val="11"/>
        <color rgb="FF000000"/>
        <rFont val="Verdana"/>
        <family val="2"/>
      </rPr>
      <t xml:space="preserve">No existen observaciones de entes de control fiscal relacionadas.
</t>
    </r>
    <r>
      <rPr>
        <b/>
        <sz val="11"/>
        <color rgb="FF000000"/>
        <rFont val="Verdana"/>
        <family val="2"/>
      </rPr>
      <t xml:space="preserve">9. Fallos con Responsabilidad Fiscal: </t>
    </r>
    <r>
      <rPr>
        <sz val="11"/>
        <color rgb="FF000000"/>
        <rFont val="Verdana"/>
        <family val="2"/>
      </rPr>
      <t xml:space="preserve">No se registran fallos en firme por este concepto.
En resumen, el riesgo no se materializó durante el trimestre, lo que indica que los controles implementados son adecuados para garantizar un adecuado análisis de los trabajos no conformes 
</t>
    </r>
  </si>
  <si>
    <r>
      <rPr>
        <b/>
        <sz val="10"/>
        <color rgb="FF000000"/>
        <rFont val="Verdana"/>
        <family val="2"/>
      </rPr>
      <t xml:space="preserve">Para el trimestre del 2025-04-01 al 2025-06-30
Control 1: </t>
    </r>
    <r>
      <rPr>
        <sz val="10"/>
        <color rgb="FF000000"/>
        <rFont val="Verdana"/>
        <family val="2"/>
      </rPr>
      <t xml:space="preserve">El Coordinador del área o responsable del laboratorio efectúa seguimiento y apoya la realización de análisis para la generación de Trabajos No Conformes y lo aprueba o desaprueba según resultados de los análisis realizados (Registro: E-02-016 Ficha de trabajo no conforme)
</t>
    </r>
    <r>
      <rPr>
        <sz val="10"/>
        <color rgb="FF4F81BD"/>
        <rFont val="Verdana"/>
        <family val="2"/>
      </rPr>
      <t xml:space="preserve">El control es ejecutado por el Coordinador del área o responsable del laboratorio con el acompañamiento del enlace de calidad quien efectúa seguimiento y apoya la realización de análisis para la generación de Trabajos No Conformes y lo aprueba o desaprueba el Subdirector  según resultados de los análisis realizados
</t>
    </r>
    <r>
      <rPr>
        <b/>
        <sz val="10"/>
        <color rgb="FF000000"/>
        <rFont val="Verdana"/>
        <family val="2"/>
      </rPr>
      <t>1.	¿Se identificó alguna no conformidad por auditoría interna y/o auditoría externa?
No.
2.	¿Se identificó algún trabajo (salida) no conforme?
Sí,</t>
    </r>
    <r>
      <rPr>
        <sz val="10"/>
        <color rgb="FF000000"/>
        <rFont val="Verdana"/>
        <family val="2"/>
      </rPr>
      <t xml:space="preserve"> se han identificado trabajos no conformes que han sido evaluados por los responsables de laboratorio con apoyo del enlace de calidad.
</t>
    </r>
    <r>
      <rPr>
        <b/>
        <sz val="10"/>
        <color rgb="FF000000"/>
        <rFont val="Verdana"/>
        <family val="2"/>
      </rPr>
      <t xml:space="preserve">3.	¿Hubo alguna PQRSD?
</t>
    </r>
    <r>
      <rPr>
        <sz val="10"/>
        <color rgb="FF000000"/>
        <rFont val="Verdana"/>
        <family val="2"/>
      </rPr>
      <t xml:space="preserve">Depende si el TNC está relacionado con una PQRSD como fuente de identificación.
</t>
    </r>
    <r>
      <rPr>
        <b/>
        <sz val="10"/>
        <color rgb="FF000000"/>
        <rFont val="Verdana"/>
        <family val="2"/>
      </rPr>
      <t>4.	¿Hubo algún resultado en nivel aceptable o crítico en la medición de los indicadores de gestión de los procesos?
No.
5.	¿Se tiene evidencia del control ejecutado para los riesgos de nivel: alto o catastrófico?
Sí,</t>
    </r>
    <r>
      <rPr>
        <sz val="10"/>
        <color rgb="FF000000"/>
        <rFont val="Verdana"/>
        <family val="2"/>
      </rPr>
      <t xml:space="preserve"> existe evidencia de seguimiento y control mediante los registros de fichas TNC aprobadas o desaprobadas por el Subdirector.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de esta fuente.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8.	¿Se identificó algún hallazgo con presunta incidencia fiscal identificados por el ente de control fiscal?
No.
9.	¿Se presentó algún fallo con responsabilidad fiscal en firme relacionados con hechos de la entidad?
No</t>
    </r>
    <r>
      <rPr>
        <sz val="10"/>
        <color rgb="FF000000"/>
        <rFont val="Verdana"/>
        <family val="2"/>
      </rPr>
      <t xml:space="preserve">.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No se han materializado riesgos adicionales distintos a los observados en la identificación de las NC de las auditorías internas realizadas y la identificación de los TNC.
</t>
    </r>
  </si>
  <si>
    <r>
      <rPr>
        <b/>
        <sz val="10"/>
        <color rgb="FF000000"/>
        <rFont val="Verdana"/>
        <family val="2"/>
      </rPr>
      <t xml:space="preserve">Para el trimestre del 2025-07-01 al 2025-09-30
Control 1: </t>
    </r>
    <r>
      <rPr>
        <sz val="10"/>
        <color rgb="FF000000"/>
        <rFont val="Verdana"/>
        <family val="2"/>
      </rPr>
      <t xml:space="preserve">El Coordinador del área o responsable del laboratorio efectúa seguimiento y apoya la realización de análisis para la generación de Trabajos No Conformes y lo aprueba o desaprueba según resultados de los análisis realizados (Registro: E-02-016 Ficha de trabajo no conforme)
</t>
    </r>
    <r>
      <rPr>
        <sz val="10"/>
        <color rgb="FF4F81BD"/>
        <rFont val="Verdana"/>
        <family val="2"/>
      </rPr>
      <t xml:space="preserve">El control es ejecutado por el Coordinador del área o el responsable del laboratorio, con el acompañamiento del enlace de calidad, quien realiza el seguimiento y apoya el análisis necesario para la generación de Trabajos No Conformes (TNC). Posteriormente, el resultado del análisis es presentado al Subdirector, quien procede a aprobar o desaprobar el TNC según los hallazgos obtenidos.
</t>
    </r>
    <r>
      <rPr>
        <b/>
        <sz val="10"/>
        <color rgb="FF000000"/>
        <rFont val="Verdana"/>
        <family val="2"/>
      </rPr>
      <t>1.	¿Se identificó alguna no conformidad por auditoría interna y/o auditoría externa?
No.
2.	¿Se identificó algún trabajo (salida) no conforme?
Sí,</t>
    </r>
    <r>
      <rPr>
        <sz val="10"/>
        <color rgb="FF000000"/>
        <rFont val="Verdana"/>
        <family val="2"/>
      </rPr>
      <t xml:space="preserve"> se han identificado trabajos no conformes que han sido evaluados por los responsables de laboratorio con apoyo del enlace de calidad.
</t>
    </r>
    <r>
      <rPr>
        <b/>
        <sz val="10"/>
        <color rgb="FF000000"/>
        <rFont val="Verdana"/>
        <family val="2"/>
      </rPr>
      <t xml:space="preserve">3.	¿Hubo alguna PQRSD?
</t>
    </r>
    <r>
      <rPr>
        <sz val="10"/>
        <color rgb="FF000000"/>
        <rFont val="Verdana"/>
        <family val="2"/>
      </rPr>
      <t xml:space="preserve">Depende si el TNC está relacionado con una PQRSD como fuente de identificación.
</t>
    </r>
    <r>
      <rPr>
        <b/>
        <sz val="10"/>
        <color rgb="FF000000"/>
        <rFont val="Verdana"/>
        <family val="2"/>
      </rPr>
      <t>4.	¿Hubo algún resultado en nivel aceptable o crítico en la medición de los indicadores de gestión de los procesos?
No.
5.	¿Se tiene evidencia del control ejecutado para los riesgos de nivel: alto o catastrófico?
Sí,</t>
    </r>
    <r>
      <rPr>
        <sz val="10"/>
        <color rgb="FF000000"/>
        <rFont val="Verdana"/>
        <family val="2"/>
      </rPr>
      <t xml:space="preserve"> existe evidencia de seguimiento y control mediante los registros de fichas TNC aprobadas o desaprobadas por el Subdirector.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de esta fuente.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8.	¿Se identificó algún hallazgo con presunta incidencia fiscal identificados por el ente de control fiscal?
No.
9.	¿Se presentó algún fallo con responsabilidad fiscal en firme relacionados con hechos de la entidad?
No</t>
    </r>
    <r>
      <rPr>
        <sz val="10"/>
        <color rgb="FF000000"/>
        <rFont val="Verdana"/>
        <family val="2"/>
      </rPr>
      <t xml:space="preserve">.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No se han materializado riesgos adicionales distintos a los observados en la identificación de las NC de las auditorías internas realizadas y la identificación de los TNC.
</t>
    </r>
  </si>
  <si>
    <t>El Profesional del proceso de Administración de SIG realiza evaluación, monitoreo y cierre del TNC, a través del registro de la información en el aplicativo Isolución (Registro: información cargada en Isolución relacionada con el TNC)</t>
  </si>
  <si>
    <r>
      <rPr>
        <b/>
        <sz val="10"/>
        <color rgb="FF000000"/>
        <rFont val="Verdana"/>
        <family val="2"/>
      </rPr>
      <t>Para el trimestre del 2025-04-01 al 2025-06-30
Control 2</t>
    </r>
    <r>
      <rPr>
        <sz val="10"/>
        <color rgb="FF000000"/>
        <rFont val="Verdana"/>
        <family val="2"/>
      </rPr>
      <t xml:space="preserve">. El Profesional del proceso de Administración de SIG realiza evaluación, monitoreo y cierre del TNC, a través del registro de la información en el aplicativo Isolución (Registro: información cargada en Isolución relacionada con el TNC)
</t>
    </r>
    <r>
      <rPr>
        <sz val="10"/>
        <color rgb="FF4F81BD"/>
        <rFont val="Verdana"/>
        <family val="2"/>
      </rPr>
      <t xml:space="preserve">El control ha sido ejecutado por parte del profesional del proceso de Administración de SIG de manera sistemática y consistente, realizando la revisión, evaluación, monitoreo y cierre del TNC mediante el registro de la información en la aplicación ISOLUCION a través de los radicados generados en el GLPI.
</t>
    </r>
    <r>
      <rPr>
        <b/>
        <sz val="10"/>
        <color rgb="FF000000"/>
        <rFont val="Verdana"/>
        <family val="2"/>
      </rPr>
      <t xml:space="preserve">1.	¿Se identificó alguna no conformidad por auditoría interna y/o auditoría externa?
</t>
    </r>
    <r>
      <rPr>
        <sz val="10"/>
        <color rgb="FF000000"/>
        <rFont val="Verdana"/>
        <family val="2"/>
      </rPr>
      <t xml:space="preserve">No, se han identificado no conformidades que han sido revisadas y gestionadas conforme al procedimiento.
</t>
    </r>
    <r>
      <rPr>
        <b/>
        <sz val="10"/>
        <color rgb="FF000000"/>
        <rFont val="Verdana"/>
        <family val="2"/>
      </rPr>
      <t xml:space="preserve">2.	¿Se identificó algún trabajo (salida) no conforme?
</t>
    </r>
    <r>
      <rPr>
        <sz val="10"/>
        <color rgb="FF000000"/>
        <rFont val="Verdana"/>
        <family val="2"/>
      </rPr>
      <t xml:space="preserve">Sí, se han presentado TNC que han sido evaluados y registrados en Isolución por parte del Profesional SIG.
</t>
    </r>
    <r>
      <rPr>
        <b/>
        <sz val="10"/>
        <color rgb="FF000000"/>
        <rFont val="Verdana"/>
        <family val="2"/>
      </rPr>
      <t xml:space="preserve">3.	¿Hubo alguna PQRSD?
</t>
    </r>
    <r>
      <rPr>
        <sz val="10"/>
        <color rgb="FF000000"/>
        <rFont val="Verdana"/>
        <family val="2"/>
      </rPr>
      <t xml:space="preserve">Depende si el TNC está relacionado con una PQRSD como fuente de identificación.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Algunos procesos han mostrado resultados críticos que han sido analizados en conjunto con los TNC.
</t>
    </r>
    <r>
      <rPr>
        <b/>
        <sz val="10"/>
        <color rgb="FF000000"/>
        <rFont val="Verdana"/>
        <family val="2"/>
      </rPr>
      <t xml:space="preserve">5.	¿Se tiene evidencia del control ejecutado para los riesgos de nivel: alto o catastrófico?
</t>
    </r>
    <r>
      <rPr>
        <sz val="10"/>
        <color rgb="FF000000"/>
        <rFont val="Verdana"/>
        <family val="2"/>
      </rPr>
      <t xml:space="preserve">Sí, se cuenta con la trazabilidad en el aplicativo GLPI de los casos de revisión y cierre, así como Isolución donde reposa la gestión del  TNC.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 xml:space="preserve">8.	¿Se identificó algún hallazgo con presunta incidencia fiscal identificados por el ente de control fiscal?
</t>
    </r>
    <r>
      <rPr>
        <sz val="10"/>
        <color rgb="FF000000"/>
        <rFont val="Verdana"/>
        <family val="2"/>
      </rPr>
      <t xml:space="preserve">No.
</t>
    </r>
    <r>
      <rPr>
        <b/>
        <sz val="10"/>
        <color rgb="FF000000"/>
        <rFont val="Verdana"/>
        <family val="2"/>
      </rPr>
      <t xml:space="preserve">9.	¿Se presentó algún fallo con responsabilidad fiscal en firme relacionados con hechos de la entidad?
</t>
    </r>
    <r>
      <rPr>
        <sz val="10"/>
        <color rgb="FF000000"/>
        <rFont val="Verdana"/>
        <family val="2"/>
      </rPr>
      <t xml:space="preserve">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No se han evidenciado otros resultados desfavorables que indiquen materialización del riesgo.</t>
    </r>
  </si>
  <si>
    <r>
      <rPr>
        <b/>
        <sz val="10"/>
        <color rgb="FF000000"/>
        <rFont val="Verdana"/>
        <family val="2"/>
      </rPr>
      <t>Para el trimestre del 2025-07-01 al 2025-09-30
Control 2</t>
    </r>
    <r>
      <rPr>
        <sz val="10"/>
        <color rgb="FF000000"/>
        <rFont val="Verdana"/>
        <family val="2"/>
      </rPr>
      <t xml:space="preserve">. El Profesional del proceso de Administración de SIG realiza evaluación, monitoreo y cierre del TNC, a través del registro de la información en el aplicativo Isolución (Registro: información cargada en Isolución relacionada con el TNC)
</t>
    </r>
    <r>
      <rPr>
        <sz val="10"/>
        <color rgb="FF4F81BD"/>
        <rFont val="Verdana"/>
        <family val="2"/>
      </rPr>
      <t xml:space="preserve">El control fue ejecutado de manera sistemática y consistente por el profesional delegado del proceso de Administración del SIG, mediante la revisión, evaluación, monitoreo y cierre del TNC. Este seguimiento se realizó a través del registro de la información en la aplicación ISOLUCION, utilizando los radicados generados en el sistema GLPI.
</t>
    </r>
    <r>
      <rPr>
        <b/>
        <sz val="10"/>
        <color rgb="FF000000"/>
        <rFont val="Verdana"/>
        <family val="2"/>
      </rPr>
      <t xml:space="preserve">1.	¿Se identificó alguna no conformidad por auditoría interna y/o auditoría externa?
</t>
    </r>
    <r>
      <rPr>
        <sz val="10"/>
        <color rgb="FF000000"/>
        <rFont val="Verdana"/>
        <family val="2"/>
      </rPr>
      <t xml:space="preserve">No, se han identificado no conformidades que han sido revisadas y gestionadas conforme al procedimiento.
</t>
    </r>
    <r>
      <rPr>
        <b/>
        <sz val="10"/>
        <color rgb="FF000000"/>
        <rFont val="Verdana"/>
        <family val="2"/>
      </rPr>
      <t xml:space="preserve">2.	¿Se identificó algún trabajo (salida) no conforme?
</t>
    </r>
    <r>
      <rPr>
        <sz val="10"/>
        <color rgb="FF000000"/>
        <rFont val="Verdana"/>
        <family val="2"/>
      </rPr>
      <t xml:space="preserve">Sí, se han presentado TNC que han sido evaluados y registrados en Isolución por parte del Profesional SIG.
</t>
    </r>
    <r>
      <rPr>
        <b/>
        <sz val="10"/>
        <color rgb="FF000000"/>
        <rFont val="Verdana"/>
        <family val="2"/>
      </rPr>
      <t xml:space="preserve">3.	¿Hubo alguna PQRSD?
</t>
    </r>
    <r>
      <rPr>
        <sz val="10"/>
        <color rgb="FF000000"/>
        <rFont val="Verdana"/>
        <family val="2"/>
      </rPr>
      <t xml:space="preserve">Depende si el TNC está relacionado con una PQRSD como fuente de identificación.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Algunos procesos han mostrado resultados críticos que han sido analizados en conjunto con los TNC.
</t>
    </r>
    <r>
      <rPr>
        <b/>
        <sz val="10"/>
        <color rgb="FF000000"/>
        <rFont val="Verdana"/>
        <family val="2"/>
      </rPr>
      <t xml:space="preserve">5.	¿Se tiene evidencia del control ejecutado para los riesgos de nivel: alto o catastrófico?
</t>
    </r>
    <r>
      <rPr>
        <sz val="10"/>
        <color rgb="FF000000"/>
        <rFont val="Verdana"/>
        <family val="2"/>
      </rPr>
      <t xml:space="preserve">Sí, se cuenta con la trazabilidad en el aplicativo GLPI de los casos de revisión y cierre, así como Isolución donde reposa la gestión del  TNC.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t>
    </r>
    <r>
      <rPr>
        <b/>
        <sz val="10"/>
        <color rgb="FF000000"/>
        <rFont val="Verdana"/>
        <family val="2"/>
      </rPr>
      <t xml:space="preserve">7.	¿Se identificó algún hallazgo para su proceso desde la auditoría de control interno?
</t>
    </r>
    <r>
      <rPr>
        <sz val="10"/>
        <color rgb="FF000000"/>
        <rFont val="Verdana"/>
        <family val="2"/>
      </rPr>
      <t xml:space="preserve">No se realizó auditoría de control interno durante el periodo evaluado.
</t>
    </r>
    <r>
      <rPr>
        <b/>
        <sz val="10"/>
        <color rgb="FF000000"/>
        <rFont val="Verdana"/>
        <family val="2"/>
      </rPr>
      <t xml:space="preserve">8.	¿Se identificó algún hallazgo con presunta incidencia fiscal identificados por el ente de control fiscal?
</t>
    </r>
    <r>
      <rPr>
        <sz val="10"/>
        <color rgb="FF000000"/>
        <rFont val="Verdana"/>
        <family val="2"/>
      </rPr>
      <t xml:space="preserve">No.
</t>
    </r>
    <r>
      <rPr>
        <b/>
        <sz val="10"/>
        <color rgb="FF000000"/>
        <rFont val="Verdana"/>
        <family val="2"/>
      </rPr>
      <t xml:space="preserve">9.	¿Se presentó algún fallo con responsabilidad fiscal en firme relacionados con hechos de la entidad?
</t>
    </r>
    <r>
      <rPr>
        <sz val="10"/>
        <color rgb="FF000000"/>
        <rFont val="Verdana"/>
        <family val="2"/>
      </rPr>
      <t xml:space="preserve">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No se han evidenciado otros resultados desfavorables que indiquen materialización del riesgo.</t>
    </r>
  </si>
  <si>
    <t>E02-R9</t>
  </si>
  <si>
    <t>Posibilidad de afectación reputacional por fuga de Información valiosa para el INM, y que puede llegar a tomarse como oficial estando desactualizada o con posibilidad de ser modificada, debido a la entrega de información técnica a entidades externas o proveedores externos de servicios que para la realización de su actividad requieran de la información técnica del INM o cuando se realizan enmendaduras (cambios) a los datos que ya se haya incluido en un registro electrónico</t>
  </si>
  <si>
    <t>Fuga de Información sensible valiosa para el INM, y que puede llegar a tomarse como oficial estando desactualizada o con posibilidad de ser modificada</t>
  </si>
  <si>
    <t>Entrega de información técnica a entidades externas o proveedores externos de servicios que para la realización de su actividad requieren de la información técnica del INM o cuando se realizan enmendaduras (cambios )a los datos que ya se han incluido en un registro electrónico</t>
  </si>
  <si>
    <t>Confidencialidad</t>
  </si>
  <si>
    <t>Control: Firma por parte de los terceros de un compromiso de confidencialidad e imparcialidad.
Periodicidad: Cada vez que se realiza una auditoría o evaluación por parte de un externo.
Propósito: Cláusula por la cual se deben abstener de utilizar o divulgar la información recibida.
Cómo: Cuando un Auditor o evaluador obtiene información del Instituto, realiza la firma de compromiso de confidencialidad e imparcialidad.
Responsable: Profesional de la Oficina Asesora de Planeación
Desviaciones/Observaciones: 1. Si se presenta inconvenientes en la forma del compromiso, se procede a buscar un nuevo auditor/ evaluador . 2. Si no se presentan inconvenientes, se obtiene la firma como compromiso o acuerdo ejecutable .
Evidencia: Compromiso de auditores
Documento: Procedimiento de Auditorias Internas</t>
  </si>
  <si>
    <r>
      <rPr>
        <b/>
        <sz val="11"/>
        <color rgb="FF000000"/>
        <rFont val="Verdana"/>
        <family val="2"/>
      </rPr>
      <t xml:space="preserve">Para el trimestre del 2025-01-01 al 2025-03-30
</t>
    </r>
    <r>
      <rPr>
        <sz val="11"/>
        <color rgb="FF000000"/>
        <rFont val="Verdana"/>
        <family val="2"/>
      </rPr>
      <t xml:space="preserve">
</t>
    </r>
    <r>
      <rPr>
        <b/>
        <sz val="11"/>
        <color rgb="FF000000"/>
        <rFont val="Verdana"/>
        <family val="2"/>
      </rPr>
      <t>1. Hallazgos por Auditoría Interna y/o Externa:</t>
    </r>
    <r>
      <rPr>
        <sz val="11"/>
        <color rgb="FF000000"/>
        <rFont val="Verdana"/>
        <family val="2"/>
      </rPr>
      <t xml:space="preserve">No se identificaron hallazgos relacionados con:
•	Fugas de información técnica sensible
•	Entrega de documentación desactualizada a terceros
•	Modificaciones no autorizadas en registros electrónicos
</t>
    </r>
    <r>
      <rPr>
        <b/>
        <sz val="11"/>
        <color rgb="FF000000"/>
        <rFont val="Verdana"/>
        <family val="2"/>
      </rPr>
      <t>2. Trabajos No Conformes:</t>
    </r>
    <r>
      <rPr>
        <sz val="11"/>
        <color rgb="FF000000"/>
        <rFont val="Verdana"/>
        <family val="2"/>
      </rPr>
      <t xml:space="preserve"> No se registraron TNC relacionados con incumplimientos en protocolos de transferencia de información o casos de información errónea publicada como oficial
</t>
    </r>
    <r>
      <rPr>
        <b/>
        <sz val="11"/>
        <color rgb="FF000000"/>
        <rFont val="Verdana"/>
        <family val="2"/>
      </rPr>
      <t>3. PQRSD (Peticiones, Quejas, Reclamos, Sugerencias y Denuncias):</t>
    </r>
    <r>
      <rPr>
        <sz val="11"/>
        <color rgb="FF000000"/>
        <rFont val="Verdana"/>
        <family val="2"/>
      </rPr>
      <t xml:space="preserve"> No se presentaron PQRSD vinculadas
</t>
    </r>
    <r>
      <rPr>
        <b/>
        <sz val="11"/>
        <color rgb="FF000000"/>
        <rFont val="Verdana"/>
        <family val="2"/>
      </rPr>
      <t>4. Indicadores de Gestión:</t>
    </r>
    <r>
      <rPr>
        <sz val="11"/>
        <color rgb="FF000000"/>
        <rFont val="Verdana"/>
        <family val="2"/>
      </rPr>
      <t xml:space="preserve"> No se presentaron reportes vinculados
</t>
    </r>
    <r>
      <rPr>
        <b/>
        <sz val="11"/>
        <color rgb="FF000000"/>
        <rFont val="Verdana"/>
        <family val="2"/>
      </rPr>
      <t>5. Controles para Riesgos Alto/Catastrófico:</t>
    </r>
    <r>
      <rPr>
        <sz val="11"/>
        <color rgb="FF000000"/>
        <rFont val="Verdana"/>
        <family val="2"/>
      </rPr>
      <t xml:space="preserve"> se cuenta con documentación referente a: 
Protección de datos:
o	Acuerdos de confidencialidad con terceros
o	Sistemas de control de versiones documentales
o	Registros de acceso y modificación de datos
Transferencia segura:
o	Protocolos de verificación antes de compartir
o	Canales cifrados para envío de información
o	Listas blancas de destinatarios autorizados
</t>
    </r>
    <r>
      <rPr>
        <b/>
        <sz val="11"/>
        <color rgb="FF000000"/>
        <rFont val="Verdana"/>
        <family val="2"/>
      </rPr>
      <t>6. Supervisiones de Calidad y PMR:</t>
    </r>
    <r>
      <rPr>
        <sz val="11"/>
        <color rgb="FF000000"/>
        <rFont val="Verdana"/>
        <family val="2"/>
      </rPr>
      <t xml:space="preserve"> No aplica 
</t>
    </r>
    <r>
      <rPr>
        <b/>
        <sz val="11"/>
        <color rgb="FF000000"/>
        <rFont val="Verdana"/>
        <family val="2"/>
      </rPr>
      <t>7. Auditoría de Control Interno:</t>
    </r>
    <r>
      <rPr>
        <sz val="11"/>
        <color rgb="FF000000"/>
        <rFont val="Verdana"/>
        <family val="2"/>
      </rPr>
      <t xml:space="preserve"> No se identificaron hallazgos relacionados.
</t>
    </r>
    <r>
      <rPr>
        <b/>
        <sz val="11"/>
        <color rgb="FF000000"/>
        <rFont val="Verdana"/>
        <family val="2"/>
      </rPr>
      <t>8. Hallazgos Fiscales:</t>
    </r>
    <r>
      <rPr>
        <sz val="11"/>
        <color rgb="FF000000"/>
        <rFont val="Verdana"/>
        <family val="2"/>
      </rPr>
      <t xml:space="preserve"> No existen observaciones de entes de control.
</t>
    </r>
    <r>
      <rPr>
        <b/>
        <sz val="11"/>
        <color rgb="FF000000"/>
        <rFont val="Verdana"/>
        <family val="2"/>
      </rPr>
      <t>9. Fallos con Responsabilidad Fiscal:</t>
    </r>
    <r>
      <rPr>
        <sz val="11"/>
        <color rgb="FF000000"/>
        <rFont val="Verdana"/>
        <family val="2"/>
      </rPr>
      <t xml:space="preserve"> No se registran fallos en firme.
En resumen, el riesgo no se materializó durante el trimestre, lo que indica que los controles implementados son adecuados para garantizar protección de la información valiosa para el INM, y que puede llegar a tomarse como oficial estando desactualizada o con posibilidad de ser modificada, debido a la entrega de información técnica a entidades externas o proveedores externos de servicios 
</t>
    </r>
  </si>
  <si>
    <r>
      <rPr>
        <b/>
        <sz val="10"/>
        <color rgb="FF000000"/>
        <rFont val="Verdana"/>
        <family val="2"/>
      </rPr>
      <t xml:space="preserve">Para el trimestre del 2025-04-01 al 2025-06-30
Control 1: </t>
    </r>
    <r>
      <rPr>
        <sz val="10"/>
        <color rgb="FF000000"/>
        <rFont val="Verdana"/>
        <family val="2"/>
      </rPr>
      <t xml:space="preserve">Firma de compromiso de confidencialidad e imparcialidad por parte de auditores/evaluadores externos
</t>
    </r>
    <r>
      <rPr>
        <sz val="10"/>
        <color rgb="FF4F81BD"/>
        <rFont val="Verdana"/>
        <family val="2"/>
      </rPr>
      <t xml:space="preserve">El control se ha ejecutado por parte del profesional de la OAP solicitando la firma de compromiso de los auditores para las auditorías de SARS-CoV-2 y virus respiratorios en el SMQB, así como de los expertos técnicos del ONAC para la auditoría combinada de las normas ISO 9001, ISO 14001 e ISO 45001.
</t>
    </r>
    <r>
      <rPr>
        <b/>
        <sz val="10"/>
        <color rgb="FF000000"/>
        <rFont val="Verdana"/>
        <family val="2"/>
      </rPr>
      <t xml:space="preserve">1.	¿Se identificó alguna no conformidad por auditoría interna y/o auditoría externa?
No.
2.	¿Se identificó algún trabajo (salida) no conforme?
No.
3.	¿Hubo alguna PQRSD?
No.
4.	¿Hubo algún resultado en nivel aceptable o crítico en la medición de los indicadores de gestión de los procesos?
</t>
    </r>
    <r>
      <rPr>
        <sz val="10"/>
        <color rgb="FF000000"/>
        <rFont val="Verdana"/>
        <family val="2"/>
      </rPr>
      <t xml:space="preserve">Sí, se mantiene un seguimiento adecuado mediante el control de cumplimiento de compromisos firmados.
</t>
    </r>
    <r>
      <rPr>
        <b/>
        <sz val="10"/>
        <color rgb="FF000000"/>
        <rFont val="Verdana"/>
        <family val="2"/>
      </rPr>
      <t xml:space="preserve">5.	¿Se tiene evidencia del control ejecutado para los riesgos de nivel: alto o catastrófico?
</t>
    </r>
    <r>
      <rPr>
        <sz val="10"/>
        <color rgb="FF000000"/>
        <rFont val="Verdana"/>
        <family val="2"/>
      </rPr>
      <t xml:space="preserve">Sí, con la evidencia de los compromisos firmados en las auditorías realizadas.
</t>
    </r>
    <r>
      <rPr>
        <b/>
        <sz val="10"/>
        <color rgb="FF000000"/>
        <rFont val="Verdana"/>
        <family val="2"/>
      </rPr>
      <t>6.	¿Se presentaron observaciones, comentarios o hallazgos en las supervisiones de calidad y de PMR que ameriten que se materialice el riesgo?
No.
7.	¿Se identificó algún hallazgo para su proceso desde la auditoría de control interno?
No.
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No</t>
    </r>
    <r>
      <rPr>
        <sz val="10"/>
        <color rgb="FF000000"/>
        <rFont val="Verdana"/>
        <family val="2"/>
      </rPr>
      <t xml:space="preserve">. El control se ha ejecutado correctamente mediante la firma de compromisos por parte de los evaluadores externos en ambas auditorías realizadas.
</t>
    </r>
  </si>
  <si>
    <r>
      <rPr>
        <b/>
        <sz val="10"/>
        <color rgb="FF000000"/>
        <rFont val="Verdana"/>
        <family val="2"/>
      </rPr>
      <t xml:space="preserve">Para el trimestre del 2025-07-01 al 2025-09-30
Control 1: </t>
    </r>
    <r>
      <rPr>
        <sz val="10"/>
        <color rgb="FF000000"/>
        <rFont val="Verdana"/>
        <family val="2"/>
      </rPr>
      <t xml:space="preserve">Firma de compromiso de confidencialidad e imparcialidad por parte de auditores/evaluadores externos
</t>
    </r>
    <r>
      <rPr>
        <sz val="10"/>
        <color rgb="FF4F81BD"/>
        <rFont val="Verdana"/>
        <family val="2"/>
      </rPr>
      <t xml:space="preserve">El profesional de la Oficina de Auditoría y Procesos (OAP) ejecutó el control correspondiente, solicitando la firma de compromiso por parte de los auditores para las cuatro (4) auditorías realizadas.
</t>
    </r>
    <r>
      <rPr>
        <b/>
        <sz val="10"/>
        <color rgb="FF4F81BD"/>
        <rFont val="Verdana"/>
        <family val="2"/>
      </rPr>
      <t xml:space="preserve">Auditorías Externas: </t>
    </r>
    <r>
      <rPr>
        <sz val="10"/>
        <color rgb="FF4F81BD"/>
        <rFont val="Verdana"/>
        <family val="2"/>
      </rPr>
      <t xml:space="preserve">Evaluación por pares: Se enfocó en los requisitos de gestión establecidos en las normas ISO/IEC 17034:2016 e ISO/IEC 17025:2017.  Auditoría al programa PREAD: Se evaluaron los criterios definidos en la guía de postulación, el cumplimiento de la normativa ambiental vigente y los requisitos de la norma NTC ISO 14001:2015.
</t>
    </r>
    <r>
      <rPr>
        <b/>
        <sz val="10"/>
        <color rgb="FF4F81BD"/>
        <rFont val="Verdana"/>
        <family val="2"/>
      </rPr>
      <t xml:space="preserve">Auditorías Internas: </t>
    </r>
    <r>
      <rPr>
        <sz val="10"/>
        <color rgb="FF4F81BD"/>
        <rFont val="Verdana"/>
        <family val="2"/>
      </rPr>
      <t xml:space="preserve">Seguridad de la información: Se verificó el cumplimiento de la norma ISO/IEC 27001:2022.  Ámbito técnico de longitud: Se evaluó la conformidad técnica de los procesos bajo las normas ISO/IEC 17025:2017 y CIPM-MRA.
</t>
    </r>
    <r>
      <rPr>
        <b/>
        <sz val="10"/>
        <color rgb="FF000000"/>
        <rFont val="Verdana"/>
        <family val="2"/>
      </rPr>
      <t xml:space="preserve">1.	¿Se identificó alguna no conformidad por auditoría interna y/o auditoría externa?
No.
2.	¿Se identificó algún trabajo (salida) no conforme?
No.
3.	¿Hubo alguna PQRSD?
No.
4.	¿Hubo algún resultado en nivel aceptable o crítico en la medición de los indicadores de gestión de los procesos?
</t>
    </r>
    <r>
      <rPr>
        <sz val="10"/>
        <color rgb="FF000000"/>
        <rFont val="Verdana"/>
        <family val="2"/>
      </rPr>
      <t xml:space="preserve">Sí, se mantiene un seguimiento adecuado mediante el control de cumplimiento de compromisos firmados.
</t>
    </r>
    <r>
      <rPr>
        <b/>
        <sz val="10"/>
        <color rgb="FF000000"/>
        <rFont val="Verdana"/>
        <family val="2"/>
      </rPr>
      <t xml:space="preserve">5.	¿Se tiene evidencia del control ejecutado para los riesgos de nivel: alto o catastrófico?
</t>
    </r>
    <r>
      <rPr>
        <sz val="10"/>
        <color rgb="FF000000"/>
        <rFont val="Verdana"/>
        <family val="2"/>
      </rPr>
      <t xml:space="preserve">Sí, con la evidencia de los compromisos firmados en las auditorías realizadas.
</t>
    </r>
    <r>
      <rPr>
        <b/>
        <sz val="10"/>
        <color rgb="FF000000"/>
        <rFont val="Verdana"/>
        <family val="2"/>
      </rPr>
      <t>6.	¿Se presentaron observaciones, comentarios o hallazgos en las supervisiones de calidad y de PMR que ameriten que se materialice el riesgo?
No.
7.	¿Se identificó algún hallazgo para su proceso desde la auditoría de control interno?
No.
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No</t>
    </r>
    <r>
      <rPr>
        <sz val="10"/>
        <color rgb="FF000000"/>
        <rFont val="Verdana"/>
        <family val="2"/>
      </rPr>
      <t xml:space="preserve">. El control se ha ejecutado correctamente mediante la firma de compromisos por parte de los evaluadores externos en ambas auditorías realizadas.
</t>
    </r>
  </si>
  <si>
    <t>Control: Enmendaduras a los datos.
Periodicidad: Cada vez que se haga una enmendadura a los datos registrados 
Propósito: Garantizar que los registros se controlan incluyendo sus modificaciones.
Cómo: Mediante la hoja de control de cambios
Responsable: Responsable de los procesos (Coordinadores o Responsables de área, colaboradores)
Desviaciones/Observaciones: En los casos en que se detecte que se incluyen modificaciones, el responsable del Laboratorio debe revisar que la hoja de enmendaduras se diligencie con los cambios respectivos. 
Evidencia: Hoja de control de registros
Documento: Procedimiento Control de Registros</t>
  </si>
  <si>
    <r>
      <rPr>
        <b/>
        <sz val="10"/>
        <color rgb="FF000000"/>
        <rFont val="Verdana"/>
        <family val="2"/>
      </rPr>
      <t>Para el trimestre del 2025-04-01 al 2025-06-30
Control 2:</t>
    </r>
    <r>
      <rPr>
        <sz val="10"/>
        <color rgb="FF000000"/>
        <rFont val="Verdana"/>
        <family val="2"/>
      </rPr>
      <t xml:space="preserve"> Control de enmendaduras a los datos registrados
</t>
    </r>
    <r>
      <rPr>
        <sz val="10"/>
        <color rgb="FF4F81BD"/>
        <rFont val="Verdana"/>
        <family val="2"/>
      </rPr>
      <t xml:space="preserve">El control se ha ejecutado por parte del responsable del laboratorio, los responsables de los procesos (coordinadores, responsables de área) cada vez que se realiza una enmendadura a los datos registrados, con el propósito de garantizar que los registros y sus modificaciones sean gestionados adecuadamente. La implementación se lleva a cabo mediante la hoja de control de cambios.
</t>
    </r>
    <r>
      <rPr>
        <b/>
        <sz val="10"/>
        <color rgb="FF000000"/>
        <rFont val="Verdana"/>
        <family val="2"/>
      </rPr>
      <t xml:space="preserve">1.	¿Se identificó alguna no conformidad por auditoría interna y/o auditoría externa?
No.
2.	¿Se identificó algún trabajo (salida) no conforme?
No.
3.	¿Hubo alguna PQRSD?
No.
4.	¿Hubo algún resultado en nivel aceptable o crítico en la medición de los indicadores de gestión de los procesos?
</t>
    </r>
    <r>
      <rPr>
        <sz val="10"/>
        <color rgb="FF000000"/>
        <rFont val="Verdana"/>
        <family val="2"/>
      </rPr>
      <t xml:space="preserve">Sí, se ha evidenciado seguimiento en el control de enmendaduras a través de las hojas de control de cambios diligenciadas correctamente.
</t>
    </r>
    <r>
      <rPr>
        <b/>
        <sz val="10"/>
        <color rgb="FF000000"/>
        <rFont val="Verdana"/>
        <family val="2"/>
      </rPr>
      <t xml:space="preserve">5.	¿Se tiene evidencia del control ejecutado para los riesgos de nivel: alto o catastrófico?
</t>
    </r>
    <r>
      <rPr>
        <sz val="10"/>
        <color rgb="FF000000"/>
        <rFont val="Verdana"/>
        <family val="2"/>
      </rPr>
      <t xml:space="preserve">Sí, mediante hojas de control de cambios, según el procedimiento de control de registros.
</t>
    </r>
    <r>
      <rPr>
        <b/>
        <sz val="10"/>
        <color rgb="FF000000"/>
        <rFont val="Verdana"/>
        <family val="2"/>
      </rPr>
      <t xml:space="preserve">6.	¿Se presentaron observaciones, comentarios o hallazgos en las supervisiones de calidad y de PMR que ameriten que se materialice el riesgo?
No.
7.	¿Se identificó algún hallazgo para su proceso desde la auditoría de control interno?
No.
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t>
    </r>
    <r>
      <rPr>
        <sz val="10"/>
        <color rgb="FF000000"/>
        <rFont val="Verdana"/>
        <family val="2"/>
      </rPr>
      <t xml:space="preserve">No. El control es ejercido por los responsables de los procesos, y se ha registrado evidencia conforme al procedimiento.
</t>
    </r>
  </si>
  <si>
    <r>
      <rPr>
        <b/>
        <sz val="10"/>
        <color rgb="FF000000"/>
        <rFont val="Verdana"/>
        <family val="2"/>
      </rPr>
      <t>Para el trimestre del 2025-07-01 al 2025-09-30
Control 2:</t>
    </r>
    <r>
      <rPr>
        <sz val="10"/>
        <color rgb="FF000000"/>
        <rFont val="Verdana"/>
        <family val="2"/>
      </rPr>
      <t xml:space="preserve"> Control de enmendaduras a los datos registrados
</t>
    </r>
    <r>
      <rPr>
        <sz val="10"/>
        <color rgb="FF4F81BD"/>
        <rFont val="Verdana"/>
        <family val="2"/>
      </rPr>
      <t xml:space="preserve">El control se ha ejecutado por parte del responsable del laboratorio, los responsables de los procesos (coordinadores, responsables de área) cada vez que se realiza una enmendadura a los datos registrados, con el propósito de garantizar que los registros y sus modificaciones sean gestionados adecuadamente. La implementación se lleva a cabo mediante la hoja de control de cambios.
</t>
    </r>
    <r>
      <rPr>
        <b/>
        <sz val="10"/>
        <color rgb="FF000000"/>
        <rFont val="Verdana"/>
        <family val="2"/>
      </rPr>
      <t xml:space="preserve">1.	¿Se identificó alguna no conformidad por auditoría interna y/o auditoría externa?
No.
2.	¿Se identificó algún trabajo (salida) no conforme?
No.
3.	¿Hubo alguna PQRSD?
No.
4.	¿Hubo algún resultado en nivel aceptable o crítico en la medición de los indicadores de gestión de los procesos?
</t>
    </r>
    <r>
      <rPr>
        <sz val="10"/>
        <color rgb="FF000000"/>
        <rFont val="Verdana"/>
        <family val="2"/>
      </rPr>
      <t xml:space="preserve">Sí, se ha evidenciado seguimiento en el control de enmendaduras a través de las hojas de control de cambios diligenciadas correctamente.
</t>
    </r>
    <r>
      <rPr>
        <b/>
        <sz val="10"/>
        <color rgb="FF000000"/>
        <rFont val="Verdana"/>
        <family val="2"/>
      </rPr>
      <t xml:space="preserve">5.	¿Se tiene evidencia del control ejecutado para los riesgos de nivel: alto o catastrófico?
</t>
    </r>
    <r>
      <rPr>
        <sz val="10"/>
        <color rgb="FF000000"/>
        <rFont val="Verdana"/>
        <family val="2"/>
      </rPr>
      <t xml:space="preserve">Sí, mediante hojas de control de cambios, según el procedimiento de control de registros.
</t>
    </r>
    <r>
      <rPr>
        <b/>
        <sz val="10"/>
        <color rgb="FF000000"/>
        <rFont val="Verdana"/>
        <family val="2"/>
      </rPr>
      <t xml:space="preserve">6.	¿Se presentaron observaciones, comentarios o hallazgos en las supervisiones de calidad y de PMR que ameriten que se materialice el riesgo?
No.
7.	¿Se identificó algún hallazgo para su proceso desde la auditoría de control interno?
No.
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t>
    </r>
    <r>
      <rPr>
        <sz val="10"/>
        <color rgb="FF000000"/>
        <rFont val="Verdana"/>
        <family val="2"/>
      </rPr>
      <t xml:space="preserve">No. El control es ejercido por los responsables de los procesos, y se ha registrado evidencia conforme al procedimiento.
</t>
    </r>
  </si>
  <si>
    <t>E02-R10</t>
  </si>
  <si>
    <t xml:space="preserve">Posibilidad de afectación reputacional por insatisfacción de clientes y pérdida de la confidencialidad e integridad de la información debido al desconocimiento del SIG . </t>
  </si>
  <si>
    <t>Inadecuada administración del control de registros</t>
  </si>
  <si>
    <t>Control: Socialización de documentos. 
Periodicidad: Cada vez que se actualice un documento 
Propósito: Garantizar el conocimiento de los documentos vigentes de los procesos al personal que los ejecuta. 
Cómo: 
Responsable: Responsable de los procesos (Coordinadores o Responsables de área) 
Desviaciones/Observaciones: 1. Si se presenta inasistencia de los colaboradores a las capacitaciones, el superior inmediato garantiza la entrega de la información a dichos colaboradores. 2. Si se presentan fallas técnicas que impidan la realización de la capacitación, ésta se debe reprogramar. 
Evidencia: Lista de asistencia de socialización de documentos del SIG o pantallazo de asistencia en caso de ser virtual 
Documento: Procedimiento Control de Documentos.</t>
  </si>
  <si>
    <r>
      <rPr>
        <b/>
        <sz val="9"/>
        <color rgb="FF000000"/>
        <rFont val="Verdana"/>
        <family val="2"/>
      </rPr>
      <t>Para el trimestre del 2025-01-01 al 2025-03-30
1. Hallazgos por Auditoría Interna y/o Externa:</t>
    </r>
    <r>
      <rPr>
        <sz val="9"/>
        <color rgb="FF000000"/>
        <rFont val="Verdana"/>
        <family val="2"/>
      </rPr>
      <t xml:space="preserve"> No se identificaron hallazgos relacionados con:
Desconocimiento del SIG por parte del personal.
Brechas en la confidencialidad o integridad de la información.
Quejas recurrentes de clientes vinculadas al SIG.
</t>
    </r>
    <r>
      <rPr>
        <b/>
        <sz val="9"/>
        <color rgb="FF000000"/>
        <rFont val="Verdana"/>
        <family val="2"/>
      </rPr>
      <t>2. Trabajos No Conformes:</t>
    </r>
    <r>
      <rPr>
        <sz val="9"/>
        <color rgb="FF000000"/>
        <rFont val="Verdana"/>
        <family val="2"/>
      </rPr>
      <t xml:space="preserve"> No se registraron no conformidades asociadas a:
Manejo inadecuado de información confidencial.
Incumplimiento de requisitos del SIG que afecten la satisfacción del cliente.
</t>
    </r>
    <r>
      <rPr>
        <b/>
        <sz val="9"/>
        <color rgb="FF000000"/>
        <rFont val="Verdana"/>
        <family val="2"/>
      </rPr>
      <t>3. PQRSD (Peticiones, Quejas, Reclamos, Sugerencias, Denuncias):</t>
    </r>
    <r>
      <rPr>
        <sz val="9"/>
        <color rgb="FF000000"/>
        <rFont val="Verdana"/>
        <family val="2"/>
      </rPr>
      <t xml:space="preserve"> No se presentaron PQRSD vinculadas. 
</t>
    </r>
    <r>
      <rPr>
        <b/>
        <sz val="9"/>
        <color rgb="FF000000"/>
        <rFont val="Verdana"/>
        <family val="2"/>
      </rPr>
      <t xml:space="preserve">4. Indicadores de Gestión de Procesos: </t>
    </r>
    <r>
      <rPr>
        <sz val="9"/>
        <color rgb="FF000000"/>
        <rFont val="Verdana"/>
        <family val="2"/>
      </rPr>
      <t xml:space="preserve">No registra por este evento 
</t>
    </r>
    <r>
      <rPr>
        <b/>
        <sz val="9"/>
        <color rgb="FF000000"/>
        <rFont val="Verdana"/>
        <family val="2"/>
      </rPr>
      <t>5. Controles para Riesgos Alto/Catastrófico</t>
    </r>
    <r>
      <rPr>
        <sz val="9"/>
        <color rgb="FF000000"/>
        <rFont val="Verdana"/>
        <family val="2"/>
      </rPr>
      <t xml:space="preserve">: se cuenta con evidencias documentadas de 
•	Protección de información:
•	Política de confidencialidad firmada por el personal.
•	Sistemas de acceso restringido y encriptación de datos.
•	Monitoreo continuo:
•	Auditorías internas.
</t>
    </r>
    <r>
      <rPr>
        <b/>
        <sz val="9"/>
        <color rgb="FF000000"/>
        <rFont val="Verdana"/>
        <family val="2"/>
      </rPr>
      <t>6. Supervisiones de Calidad y PMR:</t>
    </r>
    <r>
      <rPr>
        <sz val="9"/>
        <color rgb="FF000000"/>
        <rFont val="Verdana"/>
        <family val="2"/>
      </rPr>
      <t xml:space="preserve"> No se reportaron observaciones que alerten sobre vulneraciones a la integridad de la información.
</t>
    </r>
    <r>
      <rPr>
        <b/>
        <sz val="9"/>
        <color rgb="FF000000"/>
        <rFont val="Verdana"/>
        <family val="2"/>
      </rPr>
      <t>7. Auditoría de Control Interno:</t>
    </r>
    <r>
      <rPr>
        <sz val="9"/>
        <color rgb="FF000000"/>
        <rFont val="Verdana"/>
        <family val="2"/>
      </rPr>
      <t xml:space="preserve"> No se identificaron hallazgos relacionados con este riesgo.
</t>
    </r>
    <r>
      <rPr>
        <b/>
        <sz val="9"/>
        <color rgb="FF000000"/>
        <rFont val="Verdana"/>
        <family val="2"/>
      </rPr>
      <t>8. Hallazgos con Presunta Incidencia Fiscal:</t>
    </r>
    <r>
      <rPr>
        <sz val="9"/>
        <color rgb="FF000000"/>
        <rFont val="Verdana"/>
        <family val="2"/>
      </rPr>
      <t xml:space="preserve"> No existen observaciones de entes de control fiscal.
</t>
    </r>
    <r>
      <rPr>
        <b/>
        <sz val="9"/>
        <color rgb="FF000000"/>
        <rFont val="Verdana"/>
        <family val="2"/>
      </rPr>
      <t xml:space="preserve">9. Fallos con Responsabilidad Fiscal en Firme: </t>
    </r>
    <r>
      <rPr>
        <sz val="9"/>
        <color rgb="FF000000"/>
        <rFont val="Verdana"/>
        <family val="2"/>
      </rPr>
      <t xml:space="preserve">No se registran fallos asociados.
</t>
    </r>
  </si>
  <si>
    <r>
      <rPr>
        <b/>
        <sz val="10"/>
        <color rgb="FF000000"/>
        <rFont val="Verdana"/>
        <family val="2"/>
      </rPr>
      <t>Para el trimestre del 2025-04-01 al 2025-06-30
Control:</t>
    </r>
    <r>
      <rPr>
        <sz val="10"/>
        <color rgb="FF000000"/>
        <rFont val="Verdana"/>
        <family val="2"/>
      </rPr>
      <t xml:space="preserve"> Socialización de documentos
</t>
    </r>
    <r>
      <rPr>
        <sz val="10"/>
        <color rgb="FF4F81BD"/>
        <rFont val="Verdana"/>
        <family val="2"/>
      </rPr>
      <t xml:space="preserve">El control se aplica cada vez que se actualiza un documento, con el propósito de asegurar que el personal involucrado en los procesos conozca los documentos vigentes. La socialización se realiza mediante capacitaciones lideradas por el responsable del proceso
</t>
    </r>
    <r>
      <rPr>
        <b/>
        <sz val="10"/>
        <color rgb="FF000000"/>
        <rFont val="Verdana"/>
        <family val="2"/>
      </rPr>
      <t xml:space="preserve">1.	¿Se identificó alguna no conformidad por auditoría interna y/o auditoría externa?
</t>
    </r>
    <r>
      <rPr>
        <sz val="10"/>
        <color rgb="FF000000"/>
        <rFont val="Verdana"/>
        <family val="2"/>
      </rPr>
      <t xml:space="preserve">No se ha presentado el riesgo y se ha ejecutado de manera sistémica el control.
</t>
    </r>
    <r>
      <rPr>
        <b/>
        <sz val="10"/>
        <color rgb="FF000000"/>
        <rFont val="Verdana"/>
        <family val="2"/>
      </rPr>
      <t xml:space="preserve">2.	¿Se identificó algún trabajo (salida) no conforme?
</t>
    </r>
    <r>
      <rPr>
        <sz val="10"/>
        <color rgb="FF000000"/>
        <rFont val="Verdana"/>
        <family val="2"/>
      </rPr>
      <t xml:space="preserve">No se ha presentado el riesgo y se ha ejecutado de manera sistémica el control.
</t>
    </r>
    <r>
      <rPr>
        <b/>
        <sz val="10"/>
        <color rgb="FF000000"/>
        <rFont val="Verdana"/>
        <family val="2"/>
      </rPr>
      <t xml:space="preserve">3.	¿Hubo alguna PQRSD?
</t>
    </r>
    <r>
      <rPr>
        <sz val="10"/>
        <color rgb="FF000000"/>
        <rFont val="Verdana"/>
        <family val="2"/>
      </rPr>
      <t xml:space="preserve">No se ha presentado el riesgo y se ha ejecutado de manera sistémica el control.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No se ha presentado el riesgo y se ha ejecutado de manera sistémica el control.
</t>
    </r>
    <r>
      <rPr>
        <b/>
        <sz val="10"/>
        <color rgb="FF000000"/>
        <rFont val="Verdana"/>
        <family val="2"/>
      </rPr>
      <t>5.	¿Se tiene evidencia del control ejecutado para los riesgos de nivel: alto o catastrófico?
Sí</t>
    </r>
    <r>
      <rPr>
        <sz val="10"/>
        <color rgb="FF000000"/>
        <rFont val="Verdana"/>
        <family val="2"/>
      </rPr>
      <t xml:space="preserve">. Se cuenta con evidencias como listas de asistencia, correos de divulgación o pantallazos de asistencia virtual a la socialización de documentos del SIG, conforme al procedimiento de control de documentos, estas evidencias las tiene Talento Humano .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t>
    </r>
    <r>
      <rPr>
        <b/>
        <sz val="10"/>
        <color rgb="FF000000"/>
        <rFont val="Verdana"/>
        <family val="2"/>
      </rPr>
      <t xml:space="preserve">7.	¿Se identificó algún hallazgo para su proceso desde la auditoría de control interno?
</t>
    </r>
    <r>
      <rPr>
        <sz val="10"/>
        <color rgb="FF000000"/>
        <rFont val="Verdana"/>
        <family val="2"/>
      </rPr>
      <t xml:space="preserve">No se harealizado auditorias de control interno .
</t>
    </r>
    <r>
      <rPr>
        <b/>
        <sz val="10"/>
        <color rgb="FF000000"/>
        <rFont val="Verdana"/>
        <family val="2"/>
      </rPr>
      <t xml:space="preserve">8.	¿Se identificó algún hallazgo con presunta incidencia fiscal identificados por el ente de control fiscal?
No.
9.	¿Se presentó algún fallo con responsabilidad fiscal en firme relacionados con hechos de la entidad?
</t>
    </r>
    <r>
      <rPr>
        <sz val="10"/>
        <color rgb="FF000000"/>
        <rFont val="Verdana"/>
        <family val="2"/>
      </rPr>
      <t xml:space="preserve">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 No se ha presentado el riesgo y se ha ejecutado de manera sistémica el control.
</t>
    </r>
  </si>
  <si>
    <r>
      <rPr>
        <b/>
        <sz val="10"/>
        <color rgb="FF000000"/>
        <rFont val="Verdana"/>
        <family val="2"/>
      </rPr>
      <t>Para el trimestre del 2025-07-01 al 2025-09-30
Control:</t>
    </r>
    <r>
      <rPr>
        <sz val="10"/>
        <color rgb="FF000000"/>
        <rFont val="Verdana"/>
        <family val="2"/>
      </rPr>
      <t xml:space="preserve"> Socialización de documentos
</t>
    </r>
    <r>
      <rPr>
        <sz val="10"/>
        <color rgb="FF4F81BD"/>
        <rFont val="Verdana"/>
        <family val="2"/>
      </rPr>
      <t xml:space="preserve">El control se aplica cada vez que se actualiza un documento, con el propósito de asegurar que el personal involucrado en los procesos conozca los documentos vigentes. La socialización se realiza mediante capacitaciones lideradas por el responsable del proceso
</t>
    </r>
    <r>
      <rPr>
        <b/>
        <sz val="10"/>
        <color rgb="FF000000"/>
        <rFont val="Verdana"/>
        <family val="2"/>
      </rPr>
      <t xml:space="preserve">1.	¿Se identificó alguna no conformidad por auditoría interna y/o auditoría externa?
</t>
    </r>
    <r>
      <rPr>
        <sz val="10"/>
        <color rgb="FF000000"/>
        <rFont val="Verdana"/>
        <family val="2"/>
      </rPr>
      <t xml:space="preserve">No se ha presentado el riesgo y se ha ejecutado de manera sistémica el control.
</t>
    </r>
    <r>
      <rPr>
        <b/>
        <sz val="10"/>
        <color rgb="FF000000"/>
        <rFont val="Verdana"/>
        <family val="2"/>
      </rPr>
      <t xml:space="preserve">2.	¿Se identificó algún trabajo (salida) no conforme?
</t>
    </r>
    <r>
      <rPr>
        <sz val="10"/>
        <color rgb="FF000000"/>
        <rFont val="Verdana"/>
        <family val="2"/>
      </rPr>
      <t xml:space="preserve">No se ha presentado el riesgo y se ha ejecutado de manera sistémica el control.
</t>
    </r>
    <r>
      <rPr>
        <b/>
        <sz val="10"/>
        <color rgb="FF000000"/>
        <rFont val="Verdana"/>
        <family val="2"/>
      </rPr>
      <t xml:space="preserve">3.	¿Hubo alguna PQRSD?
</t>
    </r>
    <r>
      <rPr>
        <sz val="10"/>
        <color rgb="FF000000"/>
        <rFont val="Verdana"/>
        <family val="2"/>
      </rPr>
      <t xml:space="preserve">No se ha presentado el riesgo y se ha ejecutado de manera sistémica el control.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No se ha presentado el riesgo y se ha ejecutado de manera sistémica el control.
</t>
    </r>
    <r>
      <rPr>
        <b/>
        <sz val="10"/>
        <color rgb="FF000000"/>
        <rFont val="Verdana"/>
        <family val="2"/>
      </rPr>
      <t>5.	¿Se tiene evidencia del control ejecutado para los riesgos de nivel: alto o catastrófico?
Sí</t>
    </r>
    <r>
      <rPr>
        <sz val="10"/>
        <color rgb="FF000000"/>
        <rFont val="Verdana"/>
        <family val="2"/>
      </rPr>
      <t xml:space="preserve">. Se cuenta con evidencias como listas de asistencia, correos de divulgación o pantallazos de asistencia virtual a la socialización de documentos del SIG, conforme al procedimiento de control de documentos, estas evidencias las tiene Talento Humano .
</t>
    </r>
    <r>
      <rPr>
        <b/>
        <sz val="10"/>
        <color rgb="FF000000"/>
        <rFont val="Verdana"/>
        <family val="2"/>
      </rPr>
      <t xml:space="preserve">6.	¿Se presentaron observaciones, comentarios o hallazgos en las supervisiones de calidad y de PMR que ameriten que se materialice el riesgo?
</t>
    </r>
    <r>
      <rPr>
        <sz val="10"/>
        <color rgb="FF000000"/>
        <rFont val="Verdana"/>
        <family val="2"/>
      </rPr>
      <t xml:space="preserve">No.
</t>
    </r>
    <r>
      <rPr>
        <b/>
        <sz val="10"/>
        <color rgb="FF000000"/>
        <rFont val="Verdana"/>
        <family val="2"/>
      </rPr>
      <t xml:space="preserve">7.	¿Se identificó algún hallazgo para su proceso desde la auditoría de control interno?
</t>
    </r>
    <r>
      <rPr>
        <sz val="10"/>
        <color rgb="FF000000"/>
        <rFont val="Verdana"/>
        <family val="2"/>
      </rPr>
      <t xml:space="preserve">No se harealizado auditorias de control interno .
</t>
    </r>
    <r>
      <rPr>
        <b/>
        <sz val="10"/>
        <color rgb="FF000000"/>
        <rFont val="Verdana"/>
        <family val="2"/>
      </rPr>
      <t xml:space="preserve">8.	¿Se identificó algún hallazgo con presunta incidencia fiscal identificados por el ente de control fiscal?
No.
9.	¿Se presentó algún fallo con responsabilidad fiscal en firme relacionados con hechos de la entidad?
</t>
    </r>
    <r>
      <rPr>
        <sz val="10"/>
        <color rgb="FF000000"/>
        <rFont val="Verdana"/>
        <family val="2"/>
      </rPr>
      <t xml:space="preserve">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 No se ha presentado el riesgo y se ha ejecutado de manera sistémica el control.
</t>
    </r>
  </si>
  <si>
    <t>E02-R11</t>
  </si>
  <si>
    <t>Posibilidad de afectación reputacional por incumplimiento de requisito del Sistema de Gestión e inadecuada toma de decisiones por debilidades en la comunicación con los procesos y la desorganización en la entrega de información dentro del tiempo establecido requerida por todos los procesos para la revisión por la dirección .</t>
  </si>
  <si>
    <t>Inoportunidad en la entrega de la información para la revisión por la dirección</t>
  </si>
  <si>
    <t>Debilidad en la comunicación con los procesos</t>
  </si>
  <si>
    <t>Gerencial</t>
  </si>
  <si>
    <t xml:space="preserve">     El riesgo afecta la imagen de alguna área de la organización</t>
  </si>
  <si>
    <t>Control: Reuniones previas de trabajo con los apoyos de calidad. 
Periodicidad: Cada vez que se realice la revisión por la dirección 
Propósito: Garantizar que se comunica a todos los involucrados de los procesos, la fecha de solicitud de la información y el periodo evaluado, y la información a remitir. 
Cómo: AJUSTAR 
Responsable: Profesional de la Oficina Asesora de Planeación 
Desviaciones/Observaciones: 1. Si no se allega información dentro del plazo previsto se reitera la solicitud y se habla con el responsable del proceso. 
Evidencia: Correo electrónico con la solicitud. 
Documento: Procedimiento revisión por la dirección.</t>
  </si>
  <si>
    <t xml:space="preserve">Durante el segundo trimestre de esta vigencia, no hay fuentes de detección de materialización del riesgo, es decir, no se presentan hallazgos en auditorias internas o externas, seguimientos desde la oficina de control interno que haya indicado la materialización de este riesgo. Se han venido desarrollando actividades para la actualización del procedimiento de la revisión por la dirección. </t>
  </si>
  <si>
    <r>
      <rPr>
        <b/>
        <sz val="11"/>
        <color rgb="FF000000"/>
        <rFont val="Verdana"/>
        <family val="2"/>
      </rPr>
      <t xml:space="preserve">1. ¿Se identificó alguna no conformidad por auditoría interna y/o auditoría externa?
</t>
    </r>
    <r>
      <rPr>
        <sz val="11"/>
        <color rgb="FF000000"/>
        <rFont val="Verdana"/>
        <family val="2"/>
      </rPr>
      <t xml:space="preserve">No. Durante el segundo trimestre no se reportaron no conformidades en auditorías internas ni externas asociadas a este riesgo.
</t>
    </r>
    <r>
      <rPr>
        <b/>
        <sz val="11"/>
        <color rgb="FF000000"/>
        <rFont val="Verdana"/>
        <family val="2"/>
      </rPr>
      <t xml:space="preserve">2. ¿Se identificó algún trabajo (salida) no conforme?
</t>
    </r>
    <r>
      <rPr>
        <sz val="11"/>
        <color rgb="FF000000"/>
        <rFont val="Verdana"/>
        <family val="2"/>
      </rPr>
      <t xml:space="preserve">No. No se identificaron salidas no conformes.
</t>
    </r>
    <r>
      <rPr>
        <b/>
        <sz val="11"/>
        <color rgb="FF000000"/>
        <rFont val="Verdana"/>
        <family val="2"/>
      </rPr>
      <t xml:space="preserve">3. ¿Hubo alguna PQRSD?
</t>
    </r>
    <r>
      <rPr>
        <sz val="11"/>
        <color rgb="FF000000"/>
        <rFont val="Verdana"/>
        <family val="2"/>
      </rPr>
      <t xml:space="preserve">No. No se presentaron PQRSD relacionadas con este riesgo.
</t>
    </r>
    <r>
      <rPr>
        <b/>
        <sz val="11"/>
        <color rgb="FF000000"/>
        <rFont val="Verdana"/>
        <family val="2"/>
      </rPr>
      <t xml:space="preserve">4. ¿Hubo algún resultado en nivel aceptable o crítico en la medición de los indicadores de gestión de los procesos?
</t>
    </r>
    <r>
      <rPr>
        <sz val="11"/>
        <color rgb="FF000000"/>
        <rFont val="Verdana"/>
        <family val="2"/>
      </rPr>
      <t xml:space="preserve">No. Los indicadores de gestión de los procesos no evidenciaron resultados críticos ni fuera de rango aceptable.
</t>
    </r>
    <r>
      <rPr>
        <b/>
        <sz val="11"/>
        <color rgb="FF000000"/>
        <rFont val="Verdana"/>
        <family val="2"/>
      </rPr>
      <t xml:space="preserve">5. ¿Se tiene evidencia del control ejecutado para los riesgos de nivel: alto o catastrófico?
</t>
    </r>
    <r>
      <rPr>
        <sz val="11"/>
        <color rgb="FF000000"/>
        <rFont val="Verdana"/>
        <family val="2"/>
      </rPr>
      <t xml:space="preserve">Sí. Se cuenta con evidencia de la ejecución de actividades orientadas a la actualización del procedimiento de revisión por la dirección, lo que refleja la aplicación de controles preventivos.
</t>
    </r>
    <r>
      <rPr>
        <b/>
        <sz val="11"/>
        <color rgb="FF000000"/>
        <rFont val="Verdana"/>
        <family val="2"/>
      </rPr>
      <t xml:space="preserve">6. ¿Se presentaron observaciones, comentarios o hallazgos en las supervisiones de calidad y de PMR que ameriten que se materialice el riesgo?
</t>
    </r>
    <r>
      <rPr>
        <sz val="11"/>
        <color rgb="FF000000"/>
        <rFont val="Verdana"/>
        <family val="2"/>
      </rPr>
      <t xml:space="preserve">No. No se reportaron observaciones, comentarios ni hallazgos en supervisiones de calidad o PMR durante el periodo.
</t>
    </r>
    <r>
      <rPr>
        <b/>
        <sz val="11"/>
        <color rgb="FF000000"/>
        <rFont val="Verdana"/>
        <family val="2"/>
      </rPr>
      <t xml:space="preserve">7. ¿Se identificó algún hallazgo para su proceso desde la auditoría de control interno?
</t>
    </r>
    <r>
      <rPr>
        <sz val="11"/>
        <color rgb="FF000000"/>
        <rFont val="Verdana"/>
        <family val="2"/>
      </rPr>
      <t xml:space="preserve">No. La oficina de control interno no registró hallazgos asociados al riesgo en este trimestre.
</t>
    </r>
    <r>
      <rPr>
        <b/>
        <sz val="11"/>
        <color rgb="FF000000"/>
        <rFont val="Verdana"/>
        <family val="2"/>
      </rPr>
      <t xml:space="preserve">8. ¿Se identificó algún hallazgo con presunta incidencia fiscal identificado por el ente de control fiscal?
</t>
    </r>
    <r>
      <rPr>
        <sz val="11"/>
        <color rgb="FF000000"/>
        <rFont val="Verdana"/>
        <family val="2"/>
      </rPr>
      <t xml:space="preserve">No. No hubo hallazgos con presunta incidencia fiscal.
</t>
    </r>
    <r>
      <rPr>
        <b/>
        <sz val="11"/>
        <color rgb="FF000000"/>
        <rFont val="Verdana"/>
        <family val="2"/>
      </rPr>
      <t xml:space="preserve">9. ¿Se presentó algún fallo con responsabilidad fiscal en firme relacionados con hechos de la entidad?
</t>
    </r>
    <r>
      <rPr>
        <sz val="11"/>
        <color rgb="FF000000"/>
        <rFont val="Verdana"/>
        <family val="2"/>
      </rPr>
      <t xml:space="preserve">No. No se reportaron fallos con responsabilidad fiscal en firme.
</t>
    </r>
    <r>
      <rPr>
        <b/>
        <sz val="11"/>
        <color rgb="FF000000"/>
        <rFont val="Verdana"/>
        <family val="2"/>
      </rPr>
      <t xml:space="preserve">10. ¿Se presentó algún resultado desfavorable distinto a los mencionados anteriormente por lo cual se genere la materialización del riesgo dado este control implementado?
</t>
    </r>
    <r>
      <rPr>
        <sz val="11"/>
        <color rgb="FF000000"/>
        <rFont val="Verdana"/>
        <family val="2"/>
      </rPr>
      <t xml:space="preserve">No. No se presentaron resultados desfavorables ni evidencias de materialización del riesgo en este trimestre.
</t>
    </r>
  </si>
  <si>
    <t>El riesgo se materializa dado que se identifica una NC relacionada con que aunque las entradas clasificadas como bajas se incluyen en el informe de revisión, no hay evidencia de que los aspectos categorizados como de baja criticidad sean revisados en otras oportunidades.Se establece la acción correctiva AUD # 373</t>
  </si>
  <si>
    <t>Acción Correctiva AUD #373</t>
  </si>
  <si>
    <t xml:space="preserve">El riesgo se materializa dado que se identifica una NC relacionada con que aunque las entradas clasificadas como bajas se incluyen en el informe de revisión, no hay evidencia de que los aspectos categorizados como de baja criticidad sean revisados en otras oportunidades.Se establece la acción correctiva AUD # 373. Esta materialización se identifica en la última semana de noviembre y es necesario que esta situación se informe al CIGD. 
Las actividades que se establezcan en el plan de mejoramiento para dar tratamiento a esta no conformidad, serán revisadas para validar que sean eficaces y eviten asi, nuevamente la materialización del riesgo. 
Esta revisión se realizará teniendo en cuenta lo establecido en el procedimiento E-02-P-003 Acciones correctivas y de mejora. </t>
  </si>
  <si>
    <t>Control: Revisión de la información entregada por las áreas 
Periodicidad: Cada vez que se realice la revisión por la dirección 
Propósito: Verificar la información de entrada recolectada 
Cómo: AJUSTAR 
Responsable: Profesional de la Oficina Asesora de Planeación 
Desviaciones/Observaciones: 1.Analiza la información. Si identifica información incompleta o poco clara, solicita aclaraciones a los responsables. 
Evidencia: E-02-F-20 Entradas de revisión por la dirección 
Documento: Procedimiento revisión por la dirección.</t>
  </si>
  <si>
    <t>E02-R12</t>
  </si>
  <si>
    <t>Posibilidad de afectación reputacional por la pérdida de las Certificaciones obtenidas anteriormente (5 años) debido al incumplimiento de los requisitos y a los tiempos establecidos cuando requiere presentarse el SIG al QSTF por cierre de hallazgos o información inadecuada o incompleta</t>
  </si>
  <si>
    <t>Información inadecuada o incompleta</t>
  </si>
  <si>
    <t>Cierre de hallazgos</t>
  </si>
  <si>
    <t xml:space="preserve">     El riesgo afecta la imagen de la entidad a nivel nacional, con efecto publicitarios sostenible a nivel país</t>
  </si>
  <si>
    <t>Control: Consolidar el seguimiento de las acciones 
Periodicidad: trimestralmente. 
Propósito: Asegurar cumplimiento de la acción formulada y verificar la 
coherencia de las evidencias de las acciones cerradas frente a las causas y hallazgos 
Cómo: Recibe la información y consolida los seguimientos realizados por los responsables de los procesos. Valida la evidencia en cumplimento de las acciones. 
Responsable: Profesional de la Oficina Asesora de Planeación 
Desviaciones/Observaciones: Si la evidencia da cumplimiento al cierre de la acción lo confirma al colaborador que remitió el avance. Si la evidencia no da cumplimiento al cierre de la acción lo devuelve al colaborador que remitió el avance. 
Evidencia: Consolida los reportes de cada uno de los procesos E-02-F-015 Acciones Correctivas y de Mejora, diligenciado con comentarios o avances (planes antes del 2020) y genera informe de ISOLUCION con el avance de las acciones. 
Documento: Procedimiento E-02-P-003 Acciones correctivas y de mejora.</t>
  </si>
  <si>
    <t>Automático</t>
  </si>
  <si>
    <r>
      <t xml:space="preserve">Para el trimestre del 2025-01-01 al 2025-03-30
</t>
    </r>
    <r>
      <rPr>
        <b/>
        <sz val="10"/>
        <color rgb="FF000000"/>
        <rFont val="Verdana"/>
        <family val="2"/>
      </rPr>
      <t xml:space="preserve">1. Hallazgos por Auditoría Interna/Externa: </t>
    </r>
    <r>
      <rPr>
        <sz val="10"/>
        <color rgb="FF000000"/>
        <rFont val="Verdana"/>
        <family val="2"/>
      </rPr>
      <t xml:space="preserve"> No se identificaron hallazgos críticos que amenacen las certificaciones vigentes.
</t>
    </r>
    <r>
      <rPr>
        <b/>
        <sz val="10"/>
        <color rgb="FF000000"/>
        <rFont val="Verdana"/>
        <family val="2"/>
      </rPr>
      <t>2. Trabajos No Conformes:</t>
    </r>
    <r>
      <rPr>
        <sz val="10"/>
        <color rgb="FF000000"/>
        <rFont val="Verdana"/>
        <family val="2"/>
      </rPr>
      <t xml:space="preserve"> No se han detectado TNC en el trimestre que afecten las certificaciones vigentes
</t>
    </r>
    <r>
      <rPr>
        <b/>
        <sz val="10"/>
        <color rgb="FF000000"/>
        <rFont val="Verdana"/>
        <family val="2"/>
      </rPr>
      <t>3. PQRSD (Peticiones, Quejas, Reclamos, Sugerencias, Denuncias)</t>
    </r>
    <r>
      <rPr>
        <sz val="10"/>
        <color rgb="FF000000"/>
        <rFont val="Verdana"/>
        <family val="2"/>
      </rPr>
      <t xml:space="preserve">: No se presentaron PQRSD vinculadas. 
</t>
    </r>
    <r>
      <rPr>
        <b/>
        <sz val="10"/>
        <color rgb="FF000000"/>
        <rFont val="Verdana"/>
        <family val="2"/>
      </rPr>
      <t>4. Indicadores de Gestión de Procesos:</t>
    </r>
    <r>
      <rPr>
        <sz val="10"/>
        <color rgb="FF000000"/>
        <rFont val="Verdana"/>
        <family val="2"/>
      </rPr>
      <t xml:space="preserve"> No registra por este evento 
</t>
    </r>
    <r>
      <rPr>
        <b/>
        <sz val="10"/>
        <color rgb="FF000000"/>
        <rFont val="Verdana"/>
        <family val="2"/>
      </rPr>
      <t>5. Controles para Riesgos Alto/Catastrófico:</t>
    </r>
    <r>
      <rPr>
        <sz val="10"/>
        <color rgb="FF000000"/>
        <rFont val="Verdana"/>
        <family val="2"/>
      </rPr>
      <t xml:space="preserve"> se cuenta con evidencias documentadas de 
•	Presentación y publicación de CMC:
•	Acciones correctivas y de mejora
•	Docimentos del SIM -QSTF
</t>
    </r>
    <r>
      <rPr>
        <b/>
        <sz val="10"/>
        <color rgb="FF000000"/>
        <rFont val="Verdana"/>
        <family val="2"/>
      </rPr>
      <t>6. Supervisiones de Calidad y PMR</t>
    </r>
    <r>
      <rPr>
        <sz val="10"/>
        <color rgb="FF000000"/>
        <rFont val="Verdana"/>
        <family val="2"/>
      </rPr>
      <t xml:space="preserve">: No se reportaron observaciones que alerten sobre vulneraciones a la integridad de la información.
</t>
    </r>
    <r>
      <rPr>
        <b/>
        <sz val="10"/>
        <color rgb="FF000000"/>
        <rFont val="Verdana"/>
        <family val="2"/>
      </rPr>
      <t xml:space="preserve">7. Auditoría de Control Interno: </t>
    </r>
    <r>
      <rPr>
        <sz val="10"/>
        <color rgb="FF000000"/>
        <rFont val="Verdana"/>
        <family val="2"/>
      </rPr>
      <t xml:space="preserve">No se identificaron hallazgos relacionados con este riesgo.
</t>
    </r>
    <r>
      <rPr>
        <b/>
        <sz val="10"/>
        <color rgb="FF000000"/>
        <rFont val="Verdana"/>
        <family val="2"/>
      </rPr>
      <t>8. Hallazgos con Presunta Incidencia Fiscal:</t>
    </r>
    <r>
      <rPr>
        <sz val="10"/>
        <color rgb="FF000000"/>
        <rFont val="Verdana"/>
        <family val="2"/>
      </rPr>
      <t xml:space="preserve"> No existen observaciones de entes de control fiscal.
</t>
    </r>
    <r>
      <rPr>
        <b/>
        <sz val="10"/>
        <color rgb="FF000000"/>
        <rFont val="Verdana"/>
        <family val="2"/>
      </rPr>
      <t>9. Fallos con Responsabilidad Fiscal en Firme:</t>
    </r>
    <r>
      <rPr>
        <sz val="10"/>
        <color rgb="FF000000"/>
        <rFont val="Verdana"/>
        <family val="2"/>
      </rPr>
      <t xml:space="preserve"> No se registran fallos asociados.
</t>
    </r>
  </si>
  <si>
    <r>
      <rPr>
        <b/>
        <sz val="10"/>
        <color rgb="FF000000"/>
        <rFont val="Verdana"/>
        <family val="2"/>
      </rPr>
      <t xml:space="preserve">Para el trimestre del 2025-04-01 al 2025-06-30
Control 1: </t>
    </r>
    <r>
      <rPr>
        <sz val="10"/>
        <color rgb="FF000000"/>
        <rFont val="Verdana"/>
        <family val="2"/>
      </rPr>
      <t xml:space="preserve">Consolidar el seguimiento de las acciones
</t>
    </r>
    <r>
      <rPr>
        <sz val="10"/>
        <color rgb="FF4F81BD"/>
        <rFont val="Verdana"/>
        <family val="2"/>
      </rPr>
      <t xml:space="preserve">Este control se ejecuta trimestralmente con el propósito de verificar el cumplimiento de las acciones formuladas, asegurando que las evidencias de cierre sean coherentes con las causas y hallazgos identificados. El Profesional de la Oficina Asesora de Planeación consolida los seguimientos realizados por los responsables de cada proceso, valida las evidencias y determina su conformidad.
</t>
    </r>
    <r>
      <rPr>
        <b/>
        <sz val="10"/>
        <color rgb="FF000000"/>
        <rFont val="Verdana"/>
        <family val="2"/>
      </rPr>
      <t xml:space="preserve">1.	¿Se identificó alguna no conformidad por auditoría interna y/o auditoría externa?
</t>
    </r>
    <r>
      <rPr>
        <sz val="10"/>
        <color rgb="FF000000"/>
        <rFont val="Verdana"/>
        <family val="2"/>
      </rPr>
      <t xml:space="preserve"> No. No se identificaron no conformidades relacionadas con este riesgo específico.
</t>
    </r>
    <r>
      <rPr>
        <b/>
        <sz val="10"/>
        <color rgb="FF000000"/>
        <rFont val="Verdana"/>
        <family val="2"/>
      </rPr>
      <t xml:space="preserve">2.	¿Se identificó algún trabajo (salida) no conforme?
</t>
    </r>
    <r>
      <rPr>
        <sz val="10"/>
        <color rgb="FF000000"/>
        <rFont val="Verdana"/>
        <family val="2"/>
      </rPr>
      <t xml:space="preserve">No. No se han identificado trabajos no conformes asociados a este control.
</t>
    </r>
    <r>
      <rPr>
        <b/>
        <sz val="10"/>
        <color rgb="FF000000"/>
        <rFont val="Verdana"/>
        <family val="2"/>
      </rPr>
      <t xml:space="preserve">3.	¿Hubo alguna PQRSD?
</t>
    </r>
    <r>
      <rPr>
        <sz val="10"/>
        <color rgb="FF000000"/>
        <rFont val="Verdana"/>
        <family val="2"/>
      </rPr>
      <t xml:space="preserve">No. No se han registrado PQRSD relacionadas con el seguimiento a acciones.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No. No se presentaron resultados en nivel crítico relacionados con este control.
</t>
    </r>
    <r>
      <rPr>
        <b/>
        <sz val="10"/>
        <color rgb="FF000000"/>
        <rFont val="Verdana"/>
        <family val="2"/>
      </rPr>
      <t xml:space="preserve">5.	¿Se tiene evidencia del control ejecutado para los riesgos de nivel: alto o catastrófico?
</t>
    </r>
    <r>
      <rPr>
        <sz val="10"/>
        <color rgb="FF000000"/>
        <rFont val="Verdana"/>
        <family val="2"/>
      </rPr>
      <t xml:space="preserve">Sí. Se cuenta con evidencias del seguimiento consolidado por parte de la OAP mediante reportes de ISOLUCION y el tablero de Power BI.
</t>
    </r>
    <r>
      <rPr>
        <b/>
        <sz val="10"/>
        <color rgb="FF000000"/>
        <rFont val="Verdana"/>
        <family val="2"/>
      </rPr>
      <t xml:space="preserve">6.	¿Se presentaron observaciones, comentarios o hallazgos en las supervisiones de calidad y de PMR que ameriten que se materialice el riesgo?
No.
7.	¿Se identificó algún hallazgo para su proceso desde la auditoría de control interno?
</t>
    </r>
    <r>
      <rPr>
        <sz val="10"/>
        <color rgb="FF000000"/>
        <rFont val="Verdana"/>
        <family val="2"/>
      </rPr>
      <t xml:space="preserve">No se ha realizado auditorias de control interno para el periodo reportado 
</t>
    </r>
    <r>
      <rPr>
        <b/>
        <sz val="10"/>
        <color rgb="FF000000"/>
        <rFont val="Verdana"/>
        <family val="2"/>
      </rPr>
      <t>8.	¿Se identificó algún hallazgo con presunta incidencia fiscal identificados por el ente de control fiscal?
No. 
9.	¿Se presentó algún fallo con responsabilidad fiscal en firme relacionados con hechos de la ent</t>
    </r>
    <r>
      <rPr>
        <sz val="10"/>
        <color rgb="FF000000"/>
        <rFont val="Verdana"/>
        <family val="2"/>
      </rPr>
      <t xml:space="preserve">idad?
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No. No se han presentado resultados desfavorables que indiquen materialización del riesgo.
</t>
    </r>
  </si>
  <si>
    <r>
      <rPr>
        <b/>
        <sz val="10"/>
        <color rgb="FF000000"/>
        <rFont val="Verdana"/>
        <family val="2"/>
      </rPr>
      <t xml:space="preserve">Para el trimestre del 2025-07-01 al 2025-09-30
Control 1: </t>
    </r>
    <r>
      <rPr>
        <sz val="10"/>
        <color rgb="FF000000"/>
        <rFont val="Verdana"/>
        <family val="2"/>
      </rPr>
      <t xml:space="preserve">Consolidar el seguimiento de las acciones
</t>
    </r>
    <r>
      <rPr>
        <sz val="10"/>
        <color rgb="FF4F81BD"/>
        <rFont val="Verdana"/>
        <family val="2"/>
      </rPr>
      <t xml:space="preserve">Este control se ejecuta trimestralmente con el propósito de verificar el cumplimiento de las acciones formuladas, asegurando que las evidencias de cierre sean coherentes con las causas y hallazgos identificados. El Profesional de la Oficina Asesora de Planeación consolida los seguimientos realizados por los responsables de cada proceso, valida las evidencias y determina su conformidad.
</t>
    </r>
    <r>
      <rPr>
        <b/>
        <sz val="10"/>
        <color rgb="FF000000"/>
        <rFont val="Verdana"/>
        <family val="2"/>
      </rPr>
      <t xml:space="preserve">1.	¿Se identificó alguna no conformidad por auditoría interna y/o auditoría externa?
</t>
    </r>
    <r>
      <rPr>
        <sz val="10"/>
        <color rgb="FF000000"/>
        <rFont val="Verdana"/>
        <family val="2"/>
      </rPr>
      <t xml:space="preserve"> No. No se identificaron no conformidades relacionadas con este riesgo específico.
</t>
    </r>
    <r>
      <rPr>
        <b/>
        <sz val="10"/>
        <color rgb="FF000000"/>
        <rFont val="Verdana"/>
        <family val="2"/>
      </rPr>
      <t xml:space="preserve">2.	¿Se identificó algún trabajo (salida) no conforme?
</t>
    </r>
    <r>
      <rPr>
        <sz val="10"/>
        <color rgb="FF000000"/>
        <rFont val="Verdana"/>
        <family val="2"/>
      </rPr>
      <t xml:space="preserve">No. No se han identificado trabajos no conformes asociados a este control.
</t>
    </r>
    <r>
      <rPr>
        <b/>
        <sz val="10"/>
        <color rgb="FF000000"/>
        <rFont val="Verdana"/>
        <family val="2"/>
      </rPr>
      <t xml:space="preserve">3.	¿Hubo alguna PQRSD?
</t>
    </r>
    <r>
      <rPr>
        <sz val="10"/>
        <color rgb="FF000000"/>
        <rFont val="Verdana"/>
        <family val="2"/>
      </rPr>
      <t xml:space="preserve">No. No se han registrado PQRSD relacionadas con el seguimiento a acciones.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No. No se presentaron resultados en nivel crítico relacionados con este control.
</t>
    </r>
    <r>
      <rPr>
        <b/>
        <sz val="10"/>
        <color rgb="FF000000"/>
        <rFont val="Verdana"/>
        <family val="2"/>
      </rPr>
      <t xml:space="preserve">5.	¿Se tiene evidencia del control ejecutado para los riesgos de nivel: alto o catastrófico?
</t>
    </r>
    <r>
      <rPr>
        <sz val="10"/>
        <color rgb="FF000000"/>
        <rFont val="Verdana"/>
        <family val="2"/>
      </rPr>
      <t xml:space="preserve">Sí. Se cuenta con evidencias del seguimiento consolidado por parte de la OAP mediante reportes de ISOLUCION y el tablero de Power BI.
</t>
    </r>
    <r>
      <rPr>
        <b/>
        <sz val="10"/>
        <color rgb="FF000000"/>
        <rFont val="Verdana"/>
        <family val="2"/>
      </rPr>
      <t xml:space="preserve">6.	¿Se presentaron observaciones, comentarios o hallazgos en las supervisiones de calidad y de PMR que ameriten que se materialice el riesgo?
No.
7.	¿Se identificó algún hallazgo para su proceso desde la auditoría de control interno?
</t>
    </r>
    <r>
      <rPr>
        <sz val="10"/>
        <color rgb="FF000000"/>
        <rFont val="Verdana"/>
        <family val="2"/>
      </rPr>
      <t xml:space="preserve">No se ha realizado auditorias de control interno para el periodo reportado 
</t>
    </r>
    <r>
      <rPr>
        <b/>
        <sz val="10"/>
        <color rgb="FF000000"/>
        <rFont val="Verdana"/>
        <family val="2"/>
      </rPr>
      <t>8.	¿Se identificó algún hallazgo con presunta incidencia fiscal identificados por el ente de control fiscal?
No. 
9.	¿Se presentó algún fallo con responsabilidad fiscal en firme relacionados con hechos de la ent</t>
    </r>
    <r>
      <rPr>
        <sz val="10"/>
        <color rgb="FF000000"/>
        <rFont val="Verdana"/>
        <family val="2"/>
      </rPr>
      <t xml:space="preserve">idad?
No.
</t>
    </r>
    <r>
      <rPr>
        <b/>
        <sz val="10"/>
        <color rgb="FF000000"/>
        <rFont val="Verdana"/>
        <family val="2"/>
      </rPr>
      <t xml:space="preserve">10.	¿Se presentó algún resultado desfavorable distinto a los mencionados anteriormente por lo cual se genere la materialización del riesgo dado este control implementado?
</t>
    </r>
    <r>
      <rPr>
        <sz val="10"/>
        <color rgb="FF000000"/>
        <rFont val="Verdana"/>
        <family val="2"/>
      </rPr>
      <t xml:space="preserve">No. No se han presentado resultados desfavorables que indiquen materialización del riesgo.
</t>
    </r>
  </si>
  <si>
    <t>Control: Lineamientos para presentación y publicación de CMC. 
Periodicidad: Cada vez que se programe la presentación de CMC 
Propósito: Verificar los documentos e información recolectada para QSTF 
Cómo: 
Responsable: Profesional de la Oficina Asesora de Planeación 
Desviaciones/Observaciones: 1. Si la evidencia da cumplimiento a los registros y formularios del QSTF envía la documentación al secretario del QSTF. 2. Si la evidencia no da cumplimiento se informa a la Alta Dirección la decisión de no presentar sistema integrado de gestión. 
Evidencia: QSTF 3 
Documento: Lineamientos para presentación y publicación de CMC.</t>
  </si>
  <si>
    <r>
      <rPr>
        <b/>
        <sz val="10"/>
        <color rgb="FF000000"/>
        <rFont val="Verdana"/>
        <family val="2"/>
      </rPr>
      <t xml:space="preserve">Para el trimestre del 2025-04-01 al 2025-06-30
Control 2: </t>
    </r>
    <r>
      <rPr>
        <sz val="10"/>
        <color rgb="FF000000"/>
        <rFont val="Verdana"/>
        <family val="2"/>
      </rPr>
      <t xml:space="preserve">Lineamientos para presentación y publicación de CMC
</t>
    </r>
    <r>
      <rPr>
        <sz val="10"/>
        <color rgb="FF4F81BD"/>
        <rFont val="Verdana"/>
        <family val="2"/>
      </rPr>
      <t xml:space="preserve">Este control no se ha ejecutado ya que se activa cada vez que se programa una presentación de CMC, con el propósito de validar que la documentación e información requerida para el QSTF cumpla con los lineamientos establecidos. El Profesional de la Oficina Asesora de Planeación es responsable de realizar esta verificación y tomar las siguientes acciones según corresponda.
</t>
    </r>
    <r>
      <rPr>
        <b/>
        <sz val="10"/>
        <color rgb="FF000000"/>
        <rFont val="Verdana"/>
        <family val="2"/>
      </rPr>
      <t xml:space="preserve">1.	¿Se identificó alguna no conformidad por auditoría interna y/o auditoría externa?
</t>
    </r>
    <r>
      <rPr>
        <sz val="10"/>
        <color rgb="FF000000"/>
        <rFont val="Verdana"/>
        <family val="2"/>
      </rPr>
      <t xml:space="preserve"> No. 
</t>
    </r>
    <r>
      <rPr>
        <b/>
        <sz val="10"/>
        <color rgb="FF000000"/>
        <rFont val="Verdana"/>
        <family val="2"/>
      </rPr>
      <t xml:space="preserve">2.	¿Se identificó algún trabajo (salida) no conforme?
</t>
    </r>
    <r>
      <rPr>
        <sz val="10"/>
        <color rgb="FF000000"/>
        <rFont val="Verdana"/>
        <family val="2"/>
      </rPr>
      <t xml:space="preserve"> No.
</t>
    </r>
    <r>
      <rPr>
        <b/>
        <sz val="10"/>
        <color rgb="FF000000"/>
        <rFont val="Verdana"/>
        <family val="2"/>
      </rPr>
      <t xml:space="preserve">3.	¿Hubo alguna PQRSD?
</t>
    </r>
    <r>
      <rPr>
        <sz val="10"/>
        <color rgb="FF000000"/>
        <rFont val="Verdana"/>
        <family val="2"/>
      </rPr>
      <t xml:space="preserve">No.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 No. 
</t>
    </r>
    <r>
      <rPr>
        <b/>
        <sz val="10"/>
        <color rgb="FF000000"/>
        <rFont val="Verdana"/>
        <family val="2"/>
      </rPr>
      <t xml:space="preserve">5.	¿Se tiene evidencia del control ejecutado para los riesgos de nivel: alto o catastrófico?
</t>
    </r>
    <r>
      <rPr>
        <sz val="10"/>
        <color rgb="FF000000"/>
        <rFont val="Verdana"/>
        <family val="2"/>
      </rPr>
      <t>No. Aunque se cuenta con lineamientos y mecanismos definidos,</t>
    </r>
    <r>
      <rPr>
        <b/>
        <sz val="10"/>
        <color rgb="FF000000"/>
        <rFont val="Verdana"/>
        <family val="2"/>
      </rPr>
      <t xml:space="preserve"> en el periodo no se ha activado este control al no haberse programado la presentación ante el QSTF.
6.	¿Se presentaron observaciones, comentarios o hallazgos en las supervisiones de calidad y de PMR que ameriten que se materialice el riesgo?
</t>
    </r>
    <r>
      <rPr>
        <sz val="10"/>
        <color rgb="FF000000"/>
        <rFont val="Verdana"/>
        <family val="2"/>
      </rPr>
      <t xml:space="preserve"> No. 
</t>
    </r>
    <r>
      <rPr>
        <b/>
        <sz val="10"/>
        <color rgb="FF000000"/>
        <rFont val="Verdana"/>
        <family val="2"/>
      </rPr>
      <t xml:space="preserve">7.	¿Se identificó algún hallazgo para su proceso desde la auditoría de control interno?
</t>
    </r>
    <r>
      <rPr>
        <sz val="10"/>
        <color rgb="FF000000"/>
        <rFont val="Verdana"/>
        <family val="2"/>
      </rPr>
      <t xml:space="preserve">No se ha realizado auditorias de control interno para el periodo reportado
</t>
    </r>
    <r>
      <rPr>
        <b/>
        <sz val="10"/>
        <color rgb="FF000000"/>
        <rFont val="Verdana"/>
        <family val="2"/>
      </rPr>
      <t xml:space="preserve">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No. 
</t>
    </r>
  </si>
  <si>
    <r>
      <rPr>
        <b/>
        <sz val="10"/>
        <color rgb="FF000000"/>
        <rFont val="Verdana"/>
        <family val="2"/>
      </rPr>
      <t xml:space="preserve">Para el trimestre del 2025-07-01 al 2025-09-30
Control 2: </t>
    </r>
    <r>
      <rPr>
        <sz val="10"/>
        <color rgb="FF000000"/>
        <rFont val="Verdana"/>
        <family val="2"/>
      </rPr>
      <t xml:space="preserve">Lineamientos para presentación y publicación de CMC
</t>
    </r>
    <r>
      <rPr>
        <sz val="10"/>
        <color rgb="FF4F81BD"/>
        <rFont val="Verdana"/>
        <family val="2"/>
      </rPr>
      <t xml:space="preserve">Este control no se ha ejecutado ya que se activa cada vez que se programa una presentación de CMC, con el propósito de validar que la documentación e información requerida para el QSTF cumpla con los lineamientos establecidos. El Profesional de la Oficina Asesora de Planeación es responsable de realizar esta verificación y tomar las siguientes acciones según corresponda.
</t>
    </r>
    <r>
      <rPr>
        <b/>
        <sz val="10"/>
        <color rgb="FF000000"/>
        <rFont val="Verdana"/>
        <family val="2"/>
      </rPr>
      <t xml:space="preserve">1.	¿Se identificó alguna no conformidad por auditoría interna y/o auditoría externa?
</t>
    </r>
    <r>
      <rPr>
        <sz val="10"/>
        <color rgb="FF000000"/>
        <rFont val="Verdana"/>
        <family val="2"/>
      </rPr>
      <t xml:space="preserve"> No. 
</t>
    </r>
    <r>
      <rPr>
        <b/>
        <sz val="10"/>
        <color rgb="FF000000"/>
        <rFont val="Verdana"/>
        <family val="2"/>
      </rPr>
      <t xml:space="preserve">2.	¿Se identificó algún trabajo (salida) no conforme?
</t>
    </r>
    <r>
      <rPr>
        <sz val="10"/>
        <color rgb="FF000000"/>
        <rFont val="Verdana"/>
        <family val="2"/>
      </rPr>
      <t xml:space="preserve"> No.
</t>
    </r>
    <r>
      <rPr>
        <b/>
        <sz val="10"/>
        <color rgb="FF000000"/>
        <rFont val="Verdana"/>
        <family val="2"/>
      </rPr>
      <t xml:space="preserve">3.	¿Hubo alguna PQRSD?
</t>
    </r>
    <r>
      <rPr>
        <sz val="10"/>
        <color rgb="FF000000"/>
        <rFont val="Verdana"/>
        <family val="2"/>
      </rPr>
      <t xml:space="preserve">No. 
</t>
    </r>
    <r>
      <rPr>
        <b/>
        <sz val="10"/>
        <color rgb="FF000000"/>
        <rFont val="Verdana"/>
        <family val="2"/>
      </rPr>
      <t xml:space="preserve">4.	¿Hubo algún resultado en nivel aceptable o crítico en la medición de los indicadores de gestión de los procesos?
</t>
    </r>
    <r>
      <rPr>
        <sz val="10"/>
        <color rgb="FF000000"/>
        <rFont val="Verdana"/>
        <family val="2"/>
      </rPr>
      <t xml:space="preserve"> No. 
</t>
    </r>
    <r>
      <rPr>
        <b/>
        <sz val="10"/>
        <color rgb="FF000000"/>
        <rFont val="Verdana"/>
        <family val="2"/>
      </rPr>
      <t xml:space="preserve">5.	¿Se tiene evidencia del control ejecutado para los riesgos de nivel: alto o catastrófico?
</t>
    </r>
    <r>
      <rPr>
        <sz val="10"/>
        <color rgb="FF000000"/>
        <rFont val="Verdana"/>
        <family val="2"/>
      </rPr>
      <t>No. Aunque se cuenta con lineamientos y mecanismos definidos,</t>
    </r>
    <r>
      <rPr>
        <b/>
        <sz val="10"/>
        <color rgb="FF000000"/>
        <rFont val="Verdana"/>
        <family val="2"/>
      </rPr>
      <t xml:space="preserve"> en el periodo no se ha activado este control al no haberse programado la presentación ante el QSTF.
6.	¿Se presentaron observaciones, comentarios o hallazgos en las supervisiones de calidad y de PMR que ameriten que se materialice el riesgo?
</t>
    </r>
    <r>
      <rPr>
        <sz val="10"/>
        <color rgb="FF000000"/>
        <rFont val="Verdana"/>
        <family val="2"/>
      </rPr>
      <t xml:space="preserve"> No. 
</t>
    </r>
    <r>
      <rPr>
        <b/>
        <sz val="10"/>
        <color rgb="FF000000"/>
        <rFont val="Verdana"/>
        <family val="2"/>
      </rPr>
      <t xml:space="preserve">7.	¿Se identificó algún hallazgo para su proceso desde la auditoría de control interno?
</t>
    </r>
    <r>
      <rPr>
        <sz val="10"/>
        <color rgb="FF000000"/>
        <rFont val="Verdana"/>
        <family val="2"/>
      </rPr>
      <t xml:space="preserve">No se ha realizado auditorias de control interno para el periodo reportado
</t>
    </r>
    <r>
      <rPr>
        <b/>
        <sz val="10"/>
        <color rgb="FF000000"/>
        <rFont val="Verdana"/>
        <family val="2"/>
      </rPr>
      <t xml:space="preserve">8.	¿Se identificó algún hallazgo con presunta incidencia fiscal identificados por el ente de control fiscal?
 No. 
9.	¿Se presentó algún fallo con responsabilidad fiscal en firme relacionados con hechos de la entidad?
 No. 
10.	¿Se presentó algún resultado desfavorable distinto a los mencionados anteriormente por lo cual se genere la materialización del riesgo dado este control implementado?
No. 
</t>
    </r>
  </si>
  <si>
    <t>E03-R1</t>
  </si>
  <si>
    <t>(E-03)
Comunicaciones</t>
  </si>
  <si>
    <t xml:space="preserve">Posibilidad de afectación reputacional por falta de posicionamiento de la imagen del INM,  generado por debilidades en la definición, ejecución y seguimiento de la estrategia de comunicaciones. </t>
  </si>
  <si>
    <t>Falta de posicionamiento de la imagen del INM</t>
  </si>
  <si>
    <t>Debilidades en la definición, ejecución y seguimiento de la estrategia de comunicaciones</t>
  </si>
  <si>
    <t>El Coordinador del Grupo de Comunicaciones y Relación con el Ciudadano anualmente define el Plan Estratégico de Comunicaciones, el cual contiene las actividades, responsables y fechas límite para el desarrollo de las acciones de comunicación definidas para el INM. 
registro: Plan estratégico de comunicaciones.</t>
  </si>
  <si>
    <t xml:space="preserve">Lydia Patricia Español Suárez </t>
  </si>
  <si>
    <t>Para los meses de enero , febrero y marzo de 2025 no se materializó ningua situación asociada a este riesgo.</t>
  </si>
  <si>
    <t xml:space="preserve">Revisado, sin novedad alguna. Este riesgo, al igual que los demás del proceso se encuentran programados para realizar actualización respectiva, en el segundo semestre . </t>
  </si>
  <si>
    <t>Lydia Patricia Español Suárez</t>
  </si>
  <si>
    <t>Para los meses de abril, mayo y junio de 2025 no se materializó ninguna situación asociada a este riesgo.
Se ejecutaron 38 de las 45 actividades programadas para los meses de abril, mayo y junio. Las siete actividades no ejecutadas corresponden a aquellas que no alcanzaron el cupo mínimo requerido para su realización. Los lineamientos sobre el cupo mínimo necesario para llevar a cabo una actividad se encuentran en el documento A-08-P-004 Reprogramación, Suspensión, Cancelación o Reactivación de Productos o Servicios, así como su respectivo protocolo de cancelación.
La medición del impacto derivado o asociado a la no ejecución de una actividad no es responsabilidad del proceso de Comunicaciones, sino del proceso de Servicios Metrológicos. Por tanto, esta área es la encargada de su procedimiento y registro.
Comentario realizado por parte de Sebastian Gil: Las actividades que no se ejecutaron corresponde a eventos de RCM que inicialmente fueron programados den el calendario pero al final no se logró su ejecución; esto no genera ningún impacto, toda vez que no fueron dadas a conocer a los usuarios externos. Para el caso de las capacitaciones, fueron canceladas o en su defecto reprogramadas y el impacto es bajo de acuerdo con lo establecido en el procedimiento A-08-P-004, toda vez que no se tenían usuarios externos inscritos.</t>
  </si>
  <si>
    <t>N.A</t>
  </si>
  <si>
    <t>17/07/2025
2025-07-31</t>
  </si>
  <si>
    <t>1. Siendo las 10:29 h se solicita a la persona responsable del seguimiento, especificar la información registrada en el seguimiento.
2. Revisado, sin novedad o comentario alguno</t>
  </si>
  <si>
    <t xml:space="preserve">Para los meses de julio, agosto y septembre de 2025 no se materializó ninguna situación asociada a este riesgo.
Se ejecutaron 27 de 27 actividades programadas para los meses de julio, agosto y septiembre. </t>
  </si>
  <si>
    <t>E03-R2</t>
  </si>
  <si>
    <t>Posibilidad de pérdida reputacional por demanda de los grupos de valor debido a la publicación de información clasificada.</t>
  </si>
  <si>
    <t>Demanda de los grupos de valor</t>
  </si>
  <si>
    <t>Publicación de información clasificada</t>
  </si>
  <si>
    <t>El profesional o colaborador del Grupo de Comunicaciones y Relación con el Ciudadano encargado de publicar información en cada uno de los medios valida con el área que solicita la publicación del contenido informativo que este no incluya información clasificada.</t>
  </si>
  <si>
    <t>Para los meses de abril, mayo y junio de 2025 no se materializó ninguna situación asociada a este riesgo.</t>
  </si>
  <si>
    <t>Para los meses de julio, agosto y septiembre de 2025 no se materializó ninguna situación asociada a este riesgo.</t>
  </si>
  <si>
    <t>E03-R3</t>
  </si>
  <si>
    <t>Posibilidad de pérdida reputacional por denuncias o reclamaciones masivas debido a la falta de claridad o errores en el contenido de las comunicaciones que pueden generar múltiples interpretaciones</t>
  </si>
  <si>
    <t>Denuncias o reclamaciones masivas</t>
  </si>
  <si>
    <t>Falta de claridad o errores en el contenido de las comunicaciones del INM que pueden generar múltiples interpretaciones</t>
  </si>
  <si>
    <t>El profesional o colaborador del Grupo de Comunicaciones y Relación con el Ciudadano, encargado de generar los contenidos, valida la información a difundir con los responsables de las áreas, para garantizar la utilización de lenguaje claro que corresponda al objetivo de la comunicación.</t>
  </si>
  <si>
    <t xml:space="preserve">Se realiza la verificación y no se encuentran Denuncias o reclamaciones por falta de claridad o errores en las publicaciones. Lo relacionado se puede validar en el informe de PQRSDF Q1 2025: https://inm.gov.co/wp-content/uploads/2025/04/Informe-PQRSDF-Q1-2025.pdf </t>
  </si>
  <si>
    <t>Revisado, sin novedad alguna. Este riesgo, al igual que los demás del proceso se encuentran programados para realizar actualización respectiva, en el segundo semestre. Adicionalmente, se hace revisión del informe de PQRSDF Q1 2025 y se valida que no hubo reclamos o denuncias relacionados con el riesgo.</t>
  </si>
  <si>
    <t>Se realiza la verificación y no se encuentran Denuncias o reclamaciones por falta de claridad o errores en las publicaciones. Lo relacionado se puede validar en el informe de PQRSDF Q2 2025 en la pagina web del INM en la pestaña de atención y servicios a la ciudadanía-Informe de participación ciudadana.</t>
  </si>
  <si>
    <t>Se realiza la verificación y no se encuentran Denuncias o reclamaciones por falta de claridad o errores en las publicaciones. Lo relacionado se puede validar en el informe de PQRSDF Q3 2025 en la página web del INM en la pestaña de atención y servicios a la ciudadanía-Informe de participación ciudadana.</t>
  </si>
  <si>
    <t>E03-R4</t>
  </si>
  <si>
    <t>Posibilidad de pérdida reputacional por quejas de grupos de valor debido a pérdida de integridad de la información cuando personal no autorizado realiza publicaciones en las redes o modifica contenido.</t>
  </si>
  <si>
    <t xml:space="preserve"> Quejas de grupos de valor </t>
  </si>
  <si>
    <t>Pérdida de integridad de la información cuando personal no autorizado realiza publicaciones en las redes o modifica contenido</t>
  </si>
  <si>
    <t>Seguridad digital</t>
  </si>
  <si>
    <t>El profesional encargado de la administración de las redes sociales verifica la aplicación de las políticas de seguridad digital institucionales para evitar incidentes de seguridad de la información.</t>
  </si>
  <si>
    <t xml:space="preserve">Se realiza la verificación y no se encuentran quejas de los grupos de valor debido a pérdida de integridad de la información por personas no autorizadas que publican en RRSS. Lo relacionado se puede validar en el informe de PQRSDF Q1 2025: https://inm.gov.co/wp-content/uploads/2025/04/Informe-PQRSDF-Q1-2025.pdf </t>
  </si>
  <si>
    <t>Revisado, sin novedad alguna. Este riesgo, al igual que los demás del proceso se encuentran programados para realizar actualización respectiva, en el segundo semestre. Adicionalmente, se hace revisión del informe de PQRSDF Q1 2025 y se valida que no hubo quejas relacionadas con el riesgo.</t>
  </si>
  <si>
    <t>Se realiza la verificación y no se encuentran quejas de los grupos de valor debido a pérdida de integridad de la información por personas no autorizadas que publican en RRSS. Lo relacionado se puede validar en el informe de PQRSDF Q2 2025 en la pagina web del INM en la pestaña de atención y servicios a la ciudadanía - informe de participación ciudadana.</t>
  </si>
  <si>
    <t>Se realiza la verificación y no se encuentran quejas de los grupos de valor debido a pérdida de integridad de la información por personas no autorizadas que publican en RRSS. Lo relacionado se puede validar en el informe de PQRSDF Q3 2025 en la pagina web del INM en la pestaña de atención y servicios a la ciudadanía - informe de participación ciudadana.</t>
  </si>
  <si>
    <t>E03-R5</t>
  </si>
  <si>
    <t>Posibilidad de pérdida reputacional por quejas de los grupos de valor internos y externos debido a publicación inoportuna de información sobre la gestión de la entidad, imposibilidad de acceso a la red social (pérdida de claves, fallas tecnológicas fuera de control de la SSM)</t>
  </si>
  <si>
    <t>Quejas de los grupos de valor internos y externos</t>
  </si>
  <si>
    <t>Publicación inoportuna de información sobre la gestión de la entidad, imposibilidad de acceso a la red social (pérdida de claves, fallas tecnológicas fuera de control de la SSM)</t>
  </si>
  <si>
    <t>El profesional o colaborador del Grupo de Comunicaciones y Relación con el Ciudadano encargado de la administración de las redes sociales revisa la seguridad de la red y frente al uso de redes inseguras externas da prelación al uso de datos personales con el fin de mantener la integridad de la información y publicar de manera oportuna los mensajes que dan cuenta de la gestión institucional.</t>
  </si>
  <si>
    <t xml:space="preserve">Se realiza la verificación y no se encuentran quejas de los grupos de valor debido a publicación inoportuna sobre la gestión de la entidad. Lo relacionado se puede validar en el informe de PQRSDF Q1 2025: https://inm.gov.co/wp-content/uploads/2025/04/Informe-PQRSDF-Q1-2025.pdf </t>
  </si>
  <si>
    <t>Se realiza la verificación y no se encuentran quejas de los grupos de valor debido a publicación inoportuna debido a publicación inoportuna sobre la gestión de la entidad. Lo relacionado se puede validar en el informe de PQRSDF Q2 2025 en la pagina web del INM en la pestaña de atención y servicios a la ciudadanía - informe de participación ciudadana.</t>
  </si>
  <si>
    <t>Se realiza la verificación y no se encuentran quejas de los grupos de valor debido a publicación inoportuna debido a publicación inoportuna sobre la gestión de la entidad. Lo relacionado se puede validar en el informe de PQRSDF Q3 2025 en la pagina web del INM en la pestaña de atención y servicios a la ciudadanía - informe de participación ciudadana.</t>
  </si>
  <si>
    <t>E03-R6</t>
  </si>
  <si>
    <t>Posibilidad de pérdida reputacional por quejas de los usuarios y los grupos de valor debido a violación de políticas de uso de las redes sociales e institucionales (el uso inadecuado de las redes sociales institucionales, opiniones personales, derechos de autor, correos masivos, lineamientos)</t>
  </si>
  <si>
    <t>Quejas de los usuarios y los grupos de valor</t>
  </si>
  <si>
    <t>Violación de políticas de uso de las redes sociales e institucionales (el uso inadecuado de las redes sociales institucionales, opiniones personales, derechos de autor, correos masivos, lineamientos)</t>
  </si>
  <si>
    <t>El profesional encargado de la administración de las redes sociales institucionales verifica el adecuado cumplimiento de las políticas de uso de las redes sociales para no incurrir en conductas inadecuadas que pongan en riesgo la disponibilidad de las mismas.</t>
  </si>
  <si>
    <t xml:space="preserve">Se realiza la verificación y no se encuentran quejas de los grupos de valor debido a violación de políticas de uso de la información. Lo relacionado se puede validar en el informe de PQRSDF Q1 2025: https://inm.gov.co/wp-content/uploads/2025/04/Informe-PQRSDF-Q1-2025.pdf </t>
  </si>
  <si>
    <t>Se realiza la verificación y no se encuentran quejas de los grupos de valor debido violación de politicas de uso de la información.Lo relacionado se puede validar en el informe de PQRSDF Q2 2025 en la pagina web del INM en la pestaña de atención y servicios a la ciudadanía - informe de participación ciudadana.</t>
  </si>
  <si>
    <t>Se realiza la verificación y no se encuentran quejas de los grupos de valor debido violación de politicas de uso de la información.Lo relacionado se puede validar en el informe de PQRSDF Q3 2025 en la pagina web del INM en la pestaña de atención y servicios a la ciudadanía - informe de participación ciudadana.</t>
  </si>
  <si>
    <t>E03-R7</t>
  </si>
  <si>
    <t xml:space="preserve">Posibilidad de pérdida reputacional por quejas masivas de los grupos de valor o de interés debido a la información no veraz y/o desactualizada en la sección de Transparencia y Acceso a la Información Pública del INM. </t>
  </si>
  <si>
    <t>Quejas masivas de los grupos de valor o de interés</t>
  </si>
  <si>
    <t>Información no veraz y/o desactualizada en nuestra página web y redes sociales</t>
  </si>
  <si>
    <t>Cumplimiento</t>
  </si>
  <si>
    <t>Los profesionales encargados de generar los contenidos informativos a difundir en la Sección de Transparencia del INM verifican con las áreas responsables el contenido de la sección.</t>
  </si>
  <si>
    <t xml:space="preserve">Se realiza la verificación y no se encuentran quejas de los grupos de valor debido a información no veraz o incompleta. Lo relacionado se puede validar en el informe de PQRSDF Q1 2025: https://inm.gov.co/wp-content/uploads/2025/04/Informe-PQRSDF-Q1-2025.pdf </t>
  </si>
  <si>
    <t>Se realiza la verificación y no se encuentran quejas de los grupos de valor debido a información no veraz o incompleta en el portal de trasnparencia. Lo relacionado se puede validar en el informe de PQRSDF Q2 2025 en la pagina web del INM en la pestaña de atención y servicios a la ciudadanía - informe de participación ciudadana.</t>
  </si>
  <si>
    <t>Se realiza la verificación y no se encuentran quejas de los grupos de valor debido a información no veraz o incompleta en el portal de trasnparencia. Lo relacionado se puede validar en el informe de PQRSDF Q3 2025 en la pagina web del INM en la pestaña de atención y servicios a la ciudadanía - informe de participación ciudadana.</t>
  </si>
  <si>
    <t>E04-R1</t>
  </si>
  <si>
    <t>(E-04)
Servicio al Ciudadano</t>
  </si>
  <si>
    <t>Posibilidad de afectación reputacional, por una inadecuada, insuficiente o inoportuna atención al ciudadano brindada por las áreas del INM , debido a la poca interiorización de la cultura de servicio al ciudadano</t>
  </si>
  <si>
    <t>Inadecuada, insuficiente o inoportuna atención al ciudadano brindada por las áreas del INM.</t>
  </si>
  <si>
    <t>Poca interiorización de la cultura de servicio al ciudadano</t>
  </si>
  <si>
    <t>El Coordinador de Comunicaciones y Relación con el Ciudadano mínimo anualmente define o revisa los lineamientos para el servicio al ciudadano definidos en el Modelo de Servicio al Ciudadano, Protocolos de Servicio al Ciudadano y Declaración de Trato Digno.</t>
  </si>
  <si>
    <t>Karol Viviana Romero Jiménez</t>
  </si>
  <si>
    <t>Se hace la revisión de los documentos los cuales se encuentran actualizados y conforme a la Ley. Así mismo, se publica en INMtranet la información de los tiempos de respuesta para atender a los ciudadanos con el fin de que los colaboradores lo tengan en cuenta: http://intranet.inm.local/index.php/prensa/noticias/2-uncategorised/783-conoce-los-tiempos-de-respuesta-de-las-pqrsd</t>
  </si>
  <si>
    <t>No Aplica</t>
  </si>
  <si>
    <t xml:space="preserve">Revisado, sin novedad alguna. Este riesgo, al igual que los demás del proceso se encuentran programados para realizar actualización respectiva, en el segundo semestre. </t>
  </si>
  <si>
    <t xml:space="preserve">Se hace la revisión de los documentos los cuales se encuentran actualizados y conforme a la Ley. 
Así mismo, se publica en INMtranet y en las pantallas estratégicas del INM la información relacionada con la atención a los ciudadanos, los tiempos para dar respuesta a las PQRSDF y la adecuada atención a las ciudadanías. 
Evidencia: https://metrologiainm.sharepoint.com/:f:/s/OAP/EspcFtSuJPdLm_CWG0n06YABN60LY1FjY9bm-lva7zR08Q?e=s5x0f8 </t>
  </si>
  <si>
    <t>Karol Viviana Romero J. 
Katherine Rozo</t>
  </si>
  <si>
    <r>
      <rPr>
        <sz val="11"/>
        <color rgb="FF000000"/>
        <rFont val="Verdana"/>
        <family val="2"/>
      </rPr>
      <t>Se revisaron los documentos y se encuentran actualizados de acuerdo con la normatividad vigente. Así mismo, se realiza la publicación de la información relacionada en estos documento en lenguade señas colombiana.</t>
    </r>
    <r>
      <rPr>
        <sz val="11"/>
        <color rgb="FFA6A6A6"/>
        <rFont val="Verdana"/>
        <family val="2"/>
      </rPr>
      <t xml:space="preserve"> 
</t>
    </r>
    <r>
      <rPr>
        <sz val="11"/>
        <color rgb="FF000000"/>
        <rFont val="Verdana"/>
        <family val="2"/>
      </rPr>
      <t xml:space="preserve">Evidencia: https://inm.gov.co/servicio-al-ciudadano/declaracion-de-trato-digno/ 
Nota: Se sugiere revisar riesgo y control. </t>
    </r>
  </si>
  <si>
    <t xml:space="preserve">Luego de revisar la información registrada por el proceso, es necesario establecer fechas de actualización del riesgo. El cronograma con las fechas se puede consultar a través del plan de trabajo de riesgos de gestión en el project de la Oficina asesora de planeación. </t>
  </si>
  <si>
    <t>E04-R2</t>
  </si>
  <si>
    <t xml:space="preserve">Posibilidad de afectación reputacional por resultados de la evaluación de la satisfacción del usuario no reflejan de manera suficiente o veraz la realidad frente a la percepción de los servicios ofrecidos por el INM, debido a errores metodológicos en el diseño, actualización o aplicación de los instrumentos de evaluación de la satisfacción del usuario.  </t>
  </si>
  <si>
    <t>Resultados de la evaluación de la satisfacción del usuario no reflejan de manera suficiente o veraz la realidad frente a la percepción de los servicios ofrecidos por el INM.</t>
  </si>
  <si>
    <t xml:space="preserve">Errores metodológicos en el diseño, actualización o aplicación de los instrumentos de evaluación de la satisfacción del usuario.  </t>
  </si>
  <si>
    <t>El Coordinador de Comunicaciones y Relación con el Ciudadano cada que sea requerido, realiza la revisión y concertación de los instrumentos de evaluación de la satisfacción con las áreas responsables de los servicios del INM, con el objetivo de realizar los ajustes que sean pertinentes.</t>
  </si>
  <si>
    <r>
      <t>Se hace revisión de los instrumentos de Medición de la Satisfacción y se observa que se encuentran actualizados. Sin embargo se agrega la pregunta: "</t>
    </r>
    <r>
      <rPr>
        <i/>
        <sz val="11"/>
        <color rgb="FF000000"/>
        <rFont val="Verdana"/>
        <family val="2"/>
      </rPr>
      <t>¿Cuáles son las necesidades o expectativas que tiene del INM?</t>
    </r>
    <r>
      <rPr>
        <sz val="11"/>
        <color rgb="FF000000"/>
        <rFont val="Verdana"/>
        <family val="2"/>
      </rPr>
      <t xml:space="preserve">" la cual servirá de insumo para la Planeación Estratégica. </t>
    </r>
  </si>
  <si>
    <t xml:space="preserve">Se hace revisión de los instrumentos de Medición de la Satisfacción y se observa que se encuentran actualizados y se han dado los resultados esperados, información que se relaciona en el Informe de Medición de la Satisfacción 2025-1.  
Evidencia: https://metrologiainm.sharepoint.com/:f:/s/OAP/EmCu8xju8sZJpG98ZWhf4TUBQ1hNLk47KWf2Fm37ge6CTg?e=AILadv </t>
  </si>
  <si>
    <t xml:space="preserve">Se valida la información y se observa que no se han registrado cambios.
Nota: Se sugiere revisar riesgo y control. </t>
  </si>
  <si>
    <t>El Coordinador de Comunicaciones y Relación con el Ciudadano de manera semestral, revisa el informe de resultados de la evaluación de la satisfacción, antes de su envío a las áreas.</t>
  </si>
  <si>
    <t>Se efectúan las respuestas a las PQRSDF radicadas durante el trimestre, las cuales se identifican en el Informe de PQRSDF Q1 2025: https://inm.gov.co/wp-content/uploads/2025/04/Informe-PQRSDF-Q1-2025.pdf</t>
  </si>
  <si>
    <t xml:space="preserve">Se efectúan las respuestas a las PQRSDF radicadas durante el trimestre, las cuales se identifican en el Informe de PQRSDF Q2 2025: https://inm.gov.co/wp-content/uploads/2025/07/Informe-PQRSDF-Q2-2025.pdf </t>
  </si>
  <si>
    <r>
      <rPr>
        <sz val="11"/>
        <color rgb="FF000000"/>
        <rFont val="Verdana"/>
        <family val="2"/>
      </rPr>
      <t xml:space="preserve">Teniendo en cuenta lo consignado en el procedimiento A-04-P-001 Medición de la Satisfacción, con lo descrito en el control, para este seguimiento trimestral se identifica que quien ejecuta la actividad no es el coordinador sino la subdirectora de la SSMRC.  Dado lo anterior es necesario realizar la modificación al control para este riesgo. 
Con relación a la ejecución de la actividad por parte de la subdirectora, ella revisa y solicita las correcciones de forma y no de fondo del informe, por lo que se concluye que no se encontraron errores metodológicos o de información consignada en el mismo. 
</t>
    </r>
    <r>
      <rPr>
        <sz val="11"/>
        <color rgb="FFA6A6A6"/>
        <rFont val="Verdana"/>
        <family val="2"/>
      </rPr>
      <t xml:space="preserve">
</t>
    </r>
    <r>
      <rPr>
        <sz val="11"/>
        <color rgb="FF000000"/>
        <rFont val="Verdana"/>
        <family val="2"/>
      </rPr>
      <t xml:space="preserve">Nota: Se sugiere revisar riesgo y control. </t>
    </r>
  </si>
  <si>
    <t>E04-R3</t>
  </si>
  <si>
    <t>Posible afectación reputacional por no realizar la oportuna y eficaz atención a las peticiones, quejas, reclamos, sugerencias o denuncias recibidas, dificultando la solución de las mismas dentro de los términos legales vigentes, debido a  desconocimiento y/o falta de interiorización de los tiempos para la respuesta a las PQRSD por parte de los responsables de las áreas del INM</t>
  </si>
  <si>
    <t>No realizar la oportuna y eficaz atención a las peticiones, quejas, reclamos, sugerencias o denuncias recibidas, dificultando la solución de las mismas dentro de los términos legales vigentes.</t>
  </si>
  <si>
    <t>Desconocimiento y/o falta de interiorización de los tiempos para la respuesta a las PQRSD por parte de los responsables de las áreas del INM</t>
  </si>
  <si>
    <t>Semanalmente el profesional responsable de servicio al ciudadano notifica del informe de tiempos al responsable de la PQRSD, a través del correo electrónico.</t>
  </si>
  <si>
    <t xml:space="preserve">Semanalmente el Técnico Administrativo de Relación con el Ciudadano hace el envío de la información a las áreas con el fin de prevenir que se den respuestas fuera de tiempo. La evidencia se encuentra en las TRD. </t>
  </si>
  <si>
    <t xml:space="preserve">Semanalmente el Tecnico Administrativo de Relación con el Ciudadano realiza el reporte de Control de Tiempos y se notifica a los responsables de las áreas. La evidencia se encuentra en las TRD. 
Nota: Se sugiere revisar riesgo y control. </t>
  </si>
  <si>
    <t>Santiago Adolfo Cotes Ospino</t>
  </si>
  <si>
    <t>En el informe de seguimiento de las PQRSDF del primer semestre realizado por la Oficina de control interno del INM, se identifica materialización del riesgo relacionado con el incumplimiento en tiempos de respuesta de las PQRSDF. Aunque el control se ha ejecutado de manera normal a lo largo de la vigencia, se presenta dicho incumplimiento identificado desde la OCI, el cual, ya cuenta con un plan de mejoramiento relacionado en plataforma SISEPM.</t>
  </si>
  <si>
    <t>Plan 129 en SISEPM</t>
  </si>
  <si>
    <t>El responsable del área, revisa diariamente una a una de las PQRSD, si la respuesta es adecuada aprueba la comunicación en el sistema, generando la respuesta automática al peticionario. Si no es adecuada, informa al área responsable para ajustes pertinentes.</t>
  </si>
  <si>
    <t>Se realiza un análisis a las respuestas de las PQRSD por medio de un muestreo (10%). Esta información se relaciona en el informe: https://inm.gov.co/wp-content/uploads/2025/04/Informe-PQRSDF-Q1-2025.pdf</t>
  </si>
  <si>
    <t xml:space="preserve">Se realiza un análisis a las respuestas de las PQRSD por medio de un muestreo (10%). Esta información se relaciona en el informe: https://inm.gov.co/wp-content/uploads/2025/07/Informe-PQRSDF-Q2-2025.pdf </t>
  </si>
  <si>
    <t xml:space="preserve">Se realiza un análisis del 10% de manera trimestral de las PQRSDF con el fin de validar que las respuestas revisadas y aprobadas por el jefe de área hayan sido acordes y se haya dado respuesta de fondo a los ciudadanos. 
Evidencia: https://inm.gov.co/servicio-al-ciudadano/participacion-ciudadana/informes-de-participacion-ciudadana/
Nota: Se sugiere revisar riesgo y control. </t>
  </si>
  <si>
    <t>El Coordinador del Grupo de Comunicaciones y Relación con el Ciudadano de manera trimestral, revisa posteriormente las respuestas realizadas a los peticionarios. Si se detecta que estas no fueron de fondo, suficiente o pertinente, estas observaciones se registran en el informe trimestral de PQRSD en el capítulo de recomendaciones, donde se presentan éstas situaciones. En caso que los reclamos sean relacionados con cuestiones de los laboratorios de la SMF y SMQB ésta es revisada y aprobada por el área de Gestión de Servicios.</t>
  </si>
  <si>
    <t>Se efectúan las respuestas a las PQRSDF radicadas durante el trimestre, las cuales se identifican en el Informe de PQRSDF Q1 2025: https://inm.gov.co/wp-content/uploads/2025/07/Informe-PQRSDF-Q2-2025.pdf</t>
  </si>
  <si>
    <t>M01-R1</t>
  </si>
  <si>
    <t>(M-01)
Servicios de Calibración y medición metrológica</t>
  </si>
  <si>
    <t xml:space="preserve">Posibilidad de afectación económica y reputacional por suspensión del servicio de calibración o medición debido a daños en los instrumentos o equipos de medición durante el proceso de transporte dada la inadecuada articulación entre los procesos misionales y de apoyo. </t>
  </si>
  <si>
    <t>Inconvenientes o imprevistos presentados en el proceso de transporte</t>
  </si>
  <si>
    <t>Inconvenientes o imprevistos presentados en el proceso de transporte.
Inadecuada articulación entre los procesos misionales y de apoyo en la definición de requisitos requeridos por parte de la empresa transportadora.</t>
  </si>
  <si>
    <t>Daños Activos Físicos</t>
  </si>
  <si>
    <t>El responsable del laboratorio o a quien designe cada vez que se requiera celebrar el contrato para el transporte nacional de equipos de medición, envía a la coordinación del GGSM a través de correo electrónico, los requisitos o especificaciones que debe cumplir la empresa transportadora para el traslado de equipos o sistemas de medición. Documento: M-01-P-002 PRESTACIÓN DE SERVICIOS DE CALIBRACIÓN O MEDICIÓN EN SITIO y A-05-P-006 INGRESO O RETIRO DE BIENES.</t>
  </si>
  <si>
    <t>Daisy Janneth Vásquez Acosta - SMQB
Diana Jimena Camargo
Yineth Paola Ochoa - SMF</t>
  </si>
  <si>
    <t>SMQB: Durante el primer trimestre de 2025 la SMQB no requirió retirar bienes de la entidad para prestar servicios de calibración o medición, porlo tanto no se materializa el riesgos
SMF: En el periodo evaluado no se presentó materialización del riesgo de afectación de servicios por daños en equipos durante el transporte, asociado a este control. Los equipos utilizados en prestación de servicios en sitio durante el periodo se transportaron de forma adecuada.</t>
  </si>
  <si>
    <t>Revisado, sin novedad alguna</t>
  </si>
  <si>
    <t>2025-07-18
2025-07-22</t>
  </si>
  <si>
    <t>Diana Camargo
SMF
Daisy Vásquez
SMQB</t>
  </si>
  <si>
    <t>SMF: Durante el trimestre evaluado no se presentó materialización del riesgo de afectación en servicios por daños de equipamiento asociados con el transporte de los mismos. Los equipos utilizados en la prestación de servicios en el periodo se transportaron de forma adecuada. Durante el trimestre no se contaba con contrato para el transporte nacional de equipos, sin embargo, desde la SMF se solicitó la gestión del transporte. A través de la SSMRC se gestionó vehículos de la entidad con el fin de garantizar la seguridad e integridad del equipamiento. Por ejemplo (servicio con radicado 25-1199).
SMQB: Durante el trimestre no se materializó el riesgo, dado que no se suspendieron servicios de calibración o medición por daños en instrumentos por transporte inadecuado, debido que durante este periodo no se realizaron calibraciones en sitio.</t>
  </si>
  <si>
    <t>Jessyka Padilla 
Julián Pulido
SMQB
Revisa:
Daisy Vásquez</t>
  </si>
  <si>
    <t>SMQB: Durante el trimestre no se materializó el riesgo, dado que no se suspendieron servicios de calibración o medición por daños en instrumentos durante su transporte.</t>
  </si>
  <si>
    <t>El profesional especializado 18 de gestión de servicios metrológicos incluye en la etapa precontractual y de ser necesario en la etapa contractual del proceso de contratación que se celebre con la empresa transportadora, los requisitos a cumplir por parte de empresa contratista para el proceso de transporte y manejo de los equipos de medición.</t>
  </si>
  <si>
    <t>SMQB: Durante el primer trimestre de 2025 en la SMQB no se cancelaron servicios de calibración o medición debido a daños en los instrumentos o equipos de medición, a causa de un inadecuado transporte de estos
SMF: En el periodo evaluado no se presentó materialización del riesgo de afectación de servicios por daños en equipos durante el transporte asociado a este control. Los equipos utilizados en prestación de servicios en sitio durante el periodo se transportaron de forma adecuada.</t>
  </si>
  <si>
    <t>SMF: Durante el trimestre evaluado no se presentó materialización del riesgo de afectación en servicios por daños de equipamiento asociados con el transporte de los mismos. Los equipos utilizados en la prestación de servicios en el periodo se transportaron de forma adecuada. Durante el trimestre no se contaba con contrato para el transporte nacional de equipos, sin embargo, desde la SMF se solicitó la gestión del transporte. A través de la SSMRC se gestionó vehículos de la entidad con el fin de garantizar la seguridad e integridad del equipamiento. Por ejemplo (servicio con radicado 25-1199)
Actualmente se cuenta con estudios previos para el proceso cuyo objeto es: contratar la prestación del servicio de recolección, transporte terrestre y distribución de mercancías frágiles a nivel urbano (local), regional y nacional, para garantizar la oferta de servicios metrológicos. y el cuál incluye “ESPECIFICACIONES TÉCNICAS Y MATRIZ DE DATOS DE PATRONES VIAJEROS”. Actualmente se encuentra en recepción de ofertas.
SMQB: Durante el trimestre no se materializó el riesgo, dado que no se suspendieron servicios de calibración o medición por daños en instrumentos por transporte inadecuado, debido que durante este periodo no se realizaron calibraciones en sitio.</t>
  </si>
  <si>
    <t>El profesional de secretaria general adquiere las pólizas de seguros que cubran el valor de los equipos transportados en el contrato a celebrar entre el INM y la empresa transportadora. Documento: A-05-P-013 PÓLIZAS</t>
  </si>
  <si>
    <t>SMQB: Durante el primer trimestre de 2025 en la SMQB no se cancelaron servicios de calibración o medición debido a daños en los instrumentos o equipos de medición, a causa de un inadecuado transporte de estos
SMF: En el periodo evaluado no se presentó materialización del riesgo de afectación de servicios por daños en equipos durante el transporte asociado a este control. Los equipos utilizados en prestación de servicios en sitio durante el periodo se transportaron de forma adecuada y se encuentran amparados por las polizas correspondientes.</t>
  </si>
  <si>
    <t>SMF: Durante el trimestre evaluado no se presentó materialización del riesgo de afectación en servicios por daños de equipamiento asociados con el transporte de los mismos. Los equipos utilizados en la prestación de servicios en el periodo se transportaron de forma adecuada. Durante el trimestre no se contaba con contrato para el transporte nacional de equipos, sin embargo, desde la SMF se solicitó la gestión del transporte. A través de la SSMRC se gestionó vehículos de la entidad con el fin de garantizar la seguridad e integridad del equipamiento. Por ejemplo (servicio con radicado 25-1199)
SMQB: Durante el trimestre no se materializó el riesgo, dado que no se suspendieron servicios de calibración o medición por daños en instrumentos por transporte inadecuado, debido que durante este periodo no se realizaron calibraciones en sitio.</t>
  </si>
  <si>
    <t>M01-R2</t>
  </si>
  <si>
    <t>Afectación económica y reputacional por la insatisfacción por parte de los clientes dada la demora en la prestación del servicio debido a no contar con personal del laboratorio no disponible para la prestación del servicio, condiciones ambientales del laboratorio fuera de los límites establecidos y el incumplimiento de plazo de reimportación de equipos por la agencia aduanera..</t>
  </si>
  <si>
    <t>Condiciones ambientales del laboratorio fuera de los límites establecidos.</t>
  </si>
  <si>
    <t>No contar con personal del laboratorio no disponible para la prestación del servicio
Condiciones ambientales del laboratorio fuera de los límites establecidos
Incumplimiento de plazo de reimportación de equipos por la agencia aduanera.</t>
  </si>
  <si>
    <t>El profesional del grupo de gestión de servicios metrológicos informa al cliente cuando haya demoras en la prestación del servicio debido a daños en el sistema de climatización central a través de correo electrónico. Documento: A-08-P-001 Solicitudes, ofertas y contratos</t>
  </si>
  <si>
    <t>SMQB: Durante los meses de enero, febrero y marzo No se presentó ninguna insatisfacción por parte de los clientes por demora en la prestación de los servicios de calibración o medición.
SMF: En el periodo evaluado no se presenta materialización del riesgo asociado con quejas de clientes por demora en la prestación de servicio. No se reportaron situaciones de afectación de condiciones ambientales.</t>
  </si>
  <si>
    <t>SMF: Durante el trimestre evaluado no se presentó materialización del riesgo de afectación en servicios por condiciones ambientales. Los laboratorios monitorean las condiciones ambientales durante la prestación de servicios de acuerdo con los lineamientos internos establecidos.
SMQB: Durante el segundo trimestre no se presentaron insatisfacciones de clientes por demora en la prestación de los servicios de calibración o medición.</t>
  </si>
  <si>
    <t xml:space="preserve">SMQB: Durante el segundo trimestre no se presentó ninguna insatisfacción de clientes debido a situaciones fuera de control del INM que no haya permitido realizar las actividades de calibración o medición.
</t>
  </si>
  <si>
    <t>El personal del laboratorio, suspende la actividad de calibración o medición cuando las condiciones ambientales no  cumplen los requisitos establecidos por el laboratorio e informa al personal de climatización del INM la falla o desviación en las condiciones ambientales para su ajuste, a través de correo y del registro del trabajo no conforme.E-02-F-016 e ISOLUCION.
Documento: M-01-P-001 Servicios de calibración en el INM</t>
  </si>
  <si>
    <t>SMQB: Durante los meses de enero, febrero y marzo No se presentó ninguna insatisfacción por parte de los clientes por demora en la prestación de los servicios de calibración o medición debido a fallas o desviaciones de las condiciones ambientales.
SMF: En el periodo evaluado no se presenta materialización del riesgo asociado con quejas de clientes por demora en la prestación de servicio. No se reportaron situaciones de afectación de condiciones ambientales.</t>
  </si>
  <si>
    <t>SMF: Durante el trimestre evaluado no se presentó materialización del riesgo de afectación en servicios por condiciones ambientales. Los laboratorios monitorean las condiciones ambientales durante la prestación de servicios de acuerdo con los lineamientos internos establecidos.
SMQB: Durante el trimestre no se presenta materialización del riesgo asociado con quejas de clientes por demora en la prestación de servicio, cuyas causas hayasn estado relacionadas con condiciones ambientales</t>
  </si>
  <si>
    <t>El Subdirector, Coordinadores y Responsables de los Laboratorios de la SMF, determinan el personal de backup para revisión de los certificados de calibración e informes de medición a través del registro del plan y evaluación mantenimiento y desarrollo de competencias del personal técnico A-04-F-009 y el análisis de brechas del formato A-04-F-008 . Documento: A-04-P-002 Mantenimiento y desarrollo de las competencias del personal técnico.</t>
  </si>
  <si>
    <t>SMQB: Durante los meses de enero, febrero y marzo No se presentó ninguna insatisfacción por parte de los clientes por demora en la prestación de los servicios de calibración o medición.
SMF: En el periodo evaluado no se presenta materialización del riesgo asociado con quejas de clientes por demora en la prestación de servicios asociadas a falta de personal para la revisión de certificados e informes, sin embargo, durante el trimestre se presentaron demoras en la emisión de certificados por disponibilidad de personal para la ejecución de los mismos en el laboratorio de Temperatura y humedad y presión. Se generaron fichas de TNC y se cargaron en isolución bajo la corrección 239, y 238.</t>
  </si>
  <si>
    <t>SMF: Durante el trimestre evaluado no se presentó materialización del riesgo de quejas de clientes por demoras en la prestación de servicios asociados con falta de personal para la revisión de los certificados e informes. Sin embargo, se presentaron algunos TNC asociados con errores en los certificados de calibración que no fueron evidenciados en la revisión, los cuales fueron cargados en isolución bajo los consecutivos Corrección 246, 245 y 248. Se evidencia la necesidad de incluir un control asociado a errores en la revisión de los certificados de calibración 
SMQB: Durante el segundo trimestre no se presentaron quejas de clientes debido a demoras en la prestación de servicios de calibración y medición. actualmente el personal que realiza los servicios de calibración y medición cuenta con los registros A-04-F-008 y A-04-F-009.</t>
  </si>
  <si>
    <t xml:space="preserve">Haciendo revisión de la información registrada por parte de la primera línea de defensa, se identifica inqiuetud con relación a si los TNC que se mencionan, generan o no materialización del riesgo. Se espera la confirmación por parte de la persona responsable del registro del seguimiento. </t>
  </si>
  <si>
    <t xml:space="preserve">SMQB: Durante el segundo trimestre no se presentó ninguna insatisfacción de clientes debido a situaciones fuera de control del INM que no haya permitido realizar las actividades de calibración o medición. Se cuentan con los registros de la descripción de competencias técnicas y pland e entrenamiento para el personal que presta servicios de calibración y medición
</t>
  </si>
  <si>
    <t>El personal del laboratorio, informa inmediatamente a mesa de servicio y personal de OIDT correspondiente los problemas presentados con el sistema de información y que impiden el ingreso del IBC o la correcta emisión del certificado de calibración o informe de medición, a través de correo y del registro del trabajo no conforme E-02-F-016 en ISOLUCION.
Documento: M-01-P-001 Servicios de calibración en el INM</t>
  </si>
  <si>
    <t>SMQB: Durante los meses de enero, febrero y marzo No se presentó ninguna insatisfacción por parte de los clientes por demora en la prestación de los servicios de calibración o medición  a fallas o desviaciones de las condiciones ambientales.
SMF: En el periodo evaluado no se presenta materialización del riesgo asociado con quejas de clientes por demora en la prestación de servicios, sin embargo fue necesario generar ficha de TNC relacionada con problemas en SASM (Firma de certificados) que llevaron a emisión tardía de certificados. La corrección respectiva en isolución corresponde al numero 241.</t>
  </si>
  <si>
    <t>SMF: Durante el trimestre evaluado no se presentó materialización del riesgo de quejas de clientes por demoras en la prestación de servicios asociados con fallas en sistemas de información. No se reportaron novedades por parte de los laboratorios. Sin embargo se generó el TNC 25-L07-001 asociado con fallas de transcripción de SASM, en el Laboratorio de Fuerza. Actualmente está en revisión para la emisión del suplemento. Se incluye en el registro de eventos de entrada para la identificación de riesgos INM toda vez que el control no corresponde con el riesgo. El TNC fue cargado a Isolución con identificación Acción Correctiva #150 		
SMQB: Durante el segundo trimestre no se presentó ninguna insatisfacción de clientes debido a demoras en la prestación del servicio, las cuales esten relacionadas con problemas de sistemas de información.</t>
  </si>
  <si>
    <t>Corrección 246, 245 y 248</t>
  </si>
  <si>
    <t>El Subdirector, Coordinadores y personal de los Laboratorios de la SMF, determinan un plan de contingencia en caso de que por razones fuera del control del INM (Pandemia, Protestas, Terremotos, etc.), no sea posible el ingreso a los laboratorios del INM para la realización de las calibraciones o mediciones de servicios programados, a través del plan de gestión del cambio E-02-F-042 (si aplica) y plan de mejoramiento en ISOLUCION. Documento: E-02-P-003 Acciones correctivas y de mejora y E-02-D-008 Gestión del cambio</t>
  </si>
  <si>
    <t>SMQB: Durante los meses de enero, febrero y marzo No se presentó ninguna insatisfacción por parte de los clientes por demora en la prestación de los servicios de calibración o medición  a fallas o desviaciones de las condiciones ambientales.
SMF: En el periodo evaluado no se presenta materialización del riesgo asociado con quejas de clientes por demora en la prestación de servicios, asociadas a este control.</t>
  </si>
  <si>
    <t>SMF: Durante el trimestre evaluado no se presentó materialización del riesgo de quejas de clientes por demoras en la prestación de servicios asociados a este control.
SMQB: Durante el segundo trimestre no se presentó ninguna insatisfacción de clientes debido a situaciones fuera de control del INM que no haya permitido realizar las actividades de calibración o medición.</t>
  </si>
  <si>
    <t>M01-R3</t>
  </si>
  <si>
    <t>Afectación económica y reputacional por reclamos ante empresas aseguradoras por parte del cliente o del INM debido daño del instrumento bajo calibración o daño del instrumento patrón durante la actividad de calibración o medición.</t>
  </si>
  <si>
    <t>Recibo de Instrumento con daño oculto
Falta de información sobre operación del instrumento
Manipulación inadecuada del ítem de calibración por falta de experticia del personal técnico.
Ausencia de instrucciones para la manipulación de los IBC.</t>
  </si>
  <si>
    <t>Recibo de Instrumento con daño oculto
Ausencia de instrucciones para la manipulación de los IBC.</t>
  </si>
  <si>
    <t>El personal técnico de los laboratorios realiza una inspección minuciosa del Ítem bajo calibración a través de los formatos M-01-F-006 TRASLADO DEL ÍTEM DE CALIBRACIÓN O MEDICIÓN y M-01-F-007 REGISTRO DE LA PRESTACIÓN DE SERVICIO EN SITIO.</t>
  </si>
  <si>
    <t>SMQB: Durante El primer trimestre del 2025 no se presentaron reclamos ante empresas aseguradoras por parte del cliente o del INM debido a daño del IBC o del instrumento patrón durante la actividad de calibración o medición.
SMF: En el periodo evaluado no se evidenciaron hallazgos o materialización del riesgo. No se reportan daños en los instrumentos bajo calibración, ni reclamaciones por parte de los clientes.</t>
  </si>
  <si>
    <t>SMF y SMQB: Durante el trimestre evaluado no se presentó materialización del riesgo de reclamos ante empresas aseguradoras por daños en los items bajo calibración ni se recibieron quejas de los clientes asociadas con afectaciones.</t>
  </si>
  <si>
    <t xml:space="preserve">SMQB: Durante el trimestre evaluado no se presentó materialización del riesgo de reclamos ante empresas aseguradoras por daños en los items bajo calibración ni se recibieron quejas de los clientes asociadas con afectaciones.
</t>
  </si>
  <si>
    <t>El personal técnico de los laboratorios vía correo electrónico, solicita cuando aplique, al responsable de recepción y entrega de equipos del grupo de GSM, comunicación con el cliente para pedir información adicional requerida para la operación del ítem bajo calibración.</t>
  </si>
  <si>
    <t>SMQB: Durante El primer trimestre del 2025 no se presentaron reclamos ante empresas aseguradoras por parte del cliente o del INM debido a daño del IBC o del instrumento patrón durante la actividad de calibración o medición.
SMF: En el periodo evaluado no se evidenciaron hallazgos o materialización del riesgo. No se reportan daños en los instrumentos bajo calibración, ni reclamaciones por parte de los clientes. Se realizó socialización del instructivo M-01-I-001 donde se reforzó la comunicación con el cliente por medio de correo electronico de calibraciones.</t>
  </si>
  <si>
    <t>Revisada la información del seguimiento que realizó la SMF, sin novedad o comentario alguno</t>
  </si>
  <si>
    <t>El responsable del laboratorio o a quien designe, define actividades en el plan y evaluación del desarrollo y mantenimiento de las competencias del personal técnico con el fin de asegurar la competencia de éste. 
Documento: A-04-F-009 PLAN Y EVALUACIÓN MANTENIMIENTO Y DESARROLLO COMPETENCIAS DEL PERSONAL TÉCNICO.</t>
  </si>
  <si>
    <t>SMQB: Durante El primer trimestre del 2025 no se presentaron reclamos ante empresas aseguradoras por parte del cliente o del INM debido a daño del IBC o del instrumento patrón durante la actividad de calibración o medición.
SMF: En el periodo evaluado no se evidenciaron hallazgos o materialización del riesgo. No se reportan daños en los instrumentos bajo calibración, ni reclamaciones o trabajos no conformes por esta causa.</t>
  </si>
  <si>
    <t xml:space="preserve">SMQB: Durante el trimestre evaluado no se presentó materialización del riesgo de reclamos ante empresas aseguradoras por daños en los items bajo calibración ni se recibieron quejas de los clientes asociadas con afectaciones.El control se lleva a cabo a través de la definición del plan de entrenamiento.
</t>
  </si>
  <si>
    <t>Diana Camargo</t>
  </si>
  <si>
    <r>
      <rPr>
        <sz val="11"/>
        <color rgb="FF000000"/>
        <rFont val="Verdana"/>
      </rPr>
      <t xml:space="preserve">De acuerdo con el radicado 25-174-3, correspondiente al derecho de petición del cliente EPM E.S.P., relacionado con la inquietud sobre los resultados del certificado de calibración INM 8265. El Laboratorio de Corriente Continua y Alterna realizó la verificación de dichos puntos ya que el equipo se encontraba aun en las instalaciones del INM, identificando que en las mediciones reportadas en el certificado de calibración </t>
    </r>
    <r>
      <rPr>
        <b/>
        <sz val="11"/>
        <color rgb="FF000000"/>
        <rFont val="Verdana"/>
      </rPr>
      <t>se efectuaron conexiones incorrectas</t>
    </r>
    <r>
      <rPr>
        <sz val="11"/>
        <color rgb="FF000000"/>
        <rFont val="Verdana"/>
      </rPr>
      <t>. Por este motivo, se considera necesario emitir un suplemento del certificado de calibración INM 8265. Lo anterior no generó daño en el IBC, ni en los equipos patrón, tampoco generó diseminación del error, toda vez que se identificó antes de la entrega del equipo al usuario. Se refuerza en el personal del Laboratorio la necesidad de siempre revisar el manual de los equipos de los usuarios.</t>
    </r>
  </si>
  <si>
    <t>4. Trabajo no conforme</t>
  </si>
  <si>
    <t>Corrección #254</t>
  </si>
  <si>
    <t>M01-R4</t>
  </si>
  <si>
    <t>Afectación económica y reputacional por investigación disciplinaria debido a que el certificado de calibración es firmado por una persona no autorizada para realizar la labor o porque la persona que revisa el certificado de calibración no fue entrenado, evaluado ni autorizado para realizar la actividad.</t>
  </si>
  <si>
    <t>El laboratorio no cuenta con el personal suficiente para la revisión del certificado</t>
  </si>
  <si>
    <t>La persona que revisa el certificado de calibración no fue entrenado, evaluado ni autorizado para realizar la actividad</t>
  </si>
  <si>
    <t>El coordinador del Grupo interno de trabajo, desarrolla y mantiene la competencia del personal técnico en los laboratorios a través del análisis de brechas del formato  A-04-F-008.</t>
  </si>
  <si>
    <t>SMQB:entre enero a marzo no se presentaron casos de certificados de calibración o medición firmados por personas no autorizadas.
SMF: En el periodo evaluado no se evidenciaron hallazgos o materialización del riesgo asociados con la firma de certificados o informes por personal no autorizado.</t>
  </si>
  <si>
    <t>SMF: Durante el trimestre evaluado no se presentó materialización del riesgo asociado con la revisión de certificados e informes por parte de personal no autorizado. Algunos laboratorios solicitaron al subdirector la autorización de personal para la ejecución de la actividad de revisión y aprobación.
SMQB: durante el segundo trimestre no se presentó materialización del riesgo relacionado con la revisión de certificados e informes por personal no autorizado.</t>
  </si>
  <si>
    <t>SMQB: durante el trimestre no se presentó materialización del riesgo relacionado con la revisión de certificados e informes por personal no autorizado. Se cuenta con la evidencia del registro A-04-F-008 para el personal de los laboratorios de química</t>
  </si>
  <si>
    <t>El coordinador del Grupo interno de trabajo, hace seguimiento al desarrollo y mantenimiento de las competencias del personal a través del formato A-04-F-009 PLAN Y EVALUACIÓN MANTENIMIENTO Y DESARROLLO COMPETENCIAS DEL PERSONAL TÉCNICO.</t>
  </si>
  <si>
    <t>SMQB: durante el trimestre no se presentó materialización del riesgo relacionado con la revisión de certificados e informes por personal no autorizado. Se cuenta con la evidencia del registro A-04-F-009 para el personal de los laboratorios de química</t>
  </si>
  <si>
    <t>M01-R5</t>
  </si>
  <si>
    <t>Afectación económica y reputacional por reclamaciones o quejas de los usuarios debido a la ocurrencia de un evento adverso durante la prestación del servicio de calibración o medición en sitio por falta de mantenimiento preventivo del IBC en sitio por parte del cliente y por capacitación deficiente del operador del equipo.</t>
  </si>
  <si>
    <t>Falta de preparación de la actividad de calibración en sitio por parte el cliente.</t>
  </si>
  <si>
    <t>Falta de mantenimiento preventivo del IBC en sitio por parte del cliente. 
Capacitación deficiente del operador del equipo</t>
  </si>
  <si>
    <t>El encargado de entrega y recepción de equipos del INM a través de correo electrónico, informa al cliente detalles técnicos y logísticos para la preparación de la actividad de calibración o medición en sitio.
Documento: A-08-P-001 Ofertas, pedidos y contratos y procedimiento M-01-P-002 PRESTACIÓN DE SERVICIOS DE CALIBRACIÓN O MEDICIÓN EN SITIO.</t>
  </si>
  <si>
    <t>SMQB: No se materializa el riesgo durante el primer trimestre del año, dado que no se prestaron servicios de calibración o medición en sitio, por lo tanto no se presentó ningúnevento adverso.
SMF: En el periodo evaluado no se evidenciaron hallazgos o materialización del riesgo. No se presentaron eventos adversos durante la prestación de servicios de calibración o medición asociados a fallas en el IBC en sitio o capacitación deficiente del operador.</t>
  </si>
  <si>
    <t>SMF y SMQB: Durante el trimestre evaluado no se presentó materialización del riesgo asociado con eventos adversos durante la prestación de servicio en sitio por fallas del IBC o capacitación deficiente del operador</t>
  </si>
  <si>
    <t xml:space="preserve">SMQB: Durante el trimestre evaluado no se presentó materialización del riesgo asociado con eventos adversos durante la prestación de servicio en sitio por fallas del IBC o capacitación deficiente del operador
</t>
  </si>
  <si>
    <t>El encargado de entrega y recepción de equipos del INM a través de correo electrónico, informa al cliente el estado que debe tener el ítem bajo calibración en sitio, tomando como base los anexos incluidos en el procedimiento A-08-P-001 Revisión de solicitudes, ofertas y contratos.
Documento: A-08-P-001 Ofertas, pedidos y contratos y procedimiento M-01-P-002 PRESTACIÓN DE SERVICIOS DE CALIBRACIÓN O MEDICIÓN EN SITIO.</t>
  </si>
  <si>
    <t>El encargado de entrega y recepción de equipos del INM a través de correo electrónico, informa al cliente sobre el requisito de contar con un operador competente para manipular el IBC durante la prestación del servicio de calibración en sitio (cuando aplique).
Documento: A-08-P-001 Ofertas, pedidos y contratos y procedimiento M-01-P-002 PRESTACIÓN DE SERVICIOS DE CALIBRACIÓN O MEDICIÓN EN SITIO.</t>
  </si>
  <si>
    <t>M01-R6</t>
  </si>
  <si>
    <t>Económico</t>
  </si>
  <si>
    <t xml:space="preserve">Afectación económica por suspensión temporal del servicio en curso por la ausencia inesperada del personal autorizado para prestar el servicio programado o en ejecución debido al incumplimiento de las competencias técnicas requeridas para la prestación de servicios de calibración o medición. </t>
  </si>
  <si>
    <t xml:space="preserve">N.A. </t>
  </si>
  <si>
    <t xml:space="preserve">Incumplimiento de las competencias técnicas requeridas para la prestación de servicios de calibración o medición. </t>
  </si>
  <si>
    <t>El responsable del laboratorio verifica la viabilidad de suspender los servicios debido a la ausencia inesperada del personal competente para su ejecución a través de la solicitud al grupo de GSM de comunicar al cliente la suspensión del servicio (os).
Documento: A-08-P-004 Reprogramación, Suspensión, Cancelación o Reactivación de Productos o Servicios</t>
  </si>
  <si>
    <t>SMQB: Durante el trimestre no se suspendieron de manera temporal los servicios en curso por ausencia inesperada del personal autorizado para la pprestación de servicios de calibración o medición, por lo tanto no se materializó el riesgo.
SMF: En el periodo evaluado no se evidenciaron hallazgos o materialización del riesgo asociado con suspensión de servicios de calibración o medición por ausencia de personal autorizado. Los laboratorios han programado los servicios de acuerdo con la disponibilidad de personal autorizado.</t>
  </si>
  <si>
    <t>SMF y SMQB: Durante el trimestre evaluado no se presentó materialización del riesgo asociado con suspensión de servicios de calibración o medición por falta de personal autorizado. Los laboratorios han programado los servicios de calibración de acuerdo con la disponibilidad de personal.</t>
  </si>
  <si>
    <t xml:space="preserve">SMQB: Durante el trimestre evaluado no se presentó materialización del riesgo asociado con suspensión de servicios de calibración o medición por falta de personal autorizado. Los laboratorios han programado los servicios de calibración de acuerdo con la disponibilidad de personal.
</t>
  </si>
  <si>
    <t xml:space="preserve">SMQB: Durante el trimestre evaluado no se presentó materialización del riesgo asociado con suspensión de servicios de calibración o medición por falta de personal autorizado. Los laboratorios cuentan con los registros A-04-F-009
</t>
  </si>
  <si>
    <t>M01-R7</t>
  </si>
  <si>
    <t>Afectación económica y reputacional dada la emisión de resultados no confiables por realizar calibraciones fuera de especificaciones debido al desconocimiento de las capacidades de medición del laboratorio.</t>
  </si>
  <si>
    <t>Desconocimiento de las capacidades de medición del laboratorio.</t>
  </si>
  <si>
    <t>El responsable del laboratorio en conjunto con el grupo de GSM, al momento de actualizar la oferta de servicios y de verificar la solicitud del servicios, validan que el laboratorio cumple con todos los requisitos para la prestación del servicio.</t>
  </si>
  <si>
    <t>SMQB: durante el primer trimestre de 2025 no se han generado resultados no confiables por realizar calibraciones o mediciones fuera de especificación por desconocimiento de las CMC de los laboratorios, por lo tanto no se ha materializado el riesgo.
SMF: En el periodo evaluado no se evidenciaron hallazgos o materialización del riesgo. No se han prestado servicios que no cuenten con la capacidad operativa y técnica para su ejecución.</t>
  </si>
  <si>
    <t>SMF: Durante el trimestre evaluado no se presentó materialización del riesgo asociado con la prestación de servicios que no cuenten con la capacidad operativa y tecnica para su ejecución. Fue necesario la generación del TNC 25-L02-002 por errores durante la cotización de un servicio que no fueron identificados por las áreas involucradas y generó la prestación de un servicio diferente al pagado por el cliente; se encuentra pendiente su finalización y cargue en isolución.
SMQB: Durante los mese de abril a junio no se evidenció materialización del riesgo asociado con servicios que no cuemtem con la capacidad operativa y técnica para llevarlos a cabo.</t>
  </si>
  <si>
    <t xml:space="preserve">Haciendo revisión de la información registrada por parte de la primera línea de defensa, se identifica inqiuetud con relación a si al TNC que se menciona, genera o no materialización del riesgo. Se espera la confirmación por parte de la persona responsable del registro del seguimiento. </t>
  </si>
  <si>
    <t xml:space="preserve">Jessyka Padilla 
Julián Pulido
SMQB
Revisa:
Daisy Vásquez
Diana Camargo
SMF </t>
  </si>
  <si>
    <t xml:space="preserve">SMQB: Durante el trimestre evaluado no se evidenció materialización del riesgo asociado con servicios que no cuenten con la capacidad operativa y técnica para llevarlos a cabo.
</t>
  </si>
  <si>
    <t xml:space="preserve">Durante la auditoría interna No. 62 del Laboratorio de corriente continua y corriente alterna, Se evidenció que el informe emitido por el Laboratorio CCyCA con fecha 2024-03-12 analizó los resultados de compatibilidad del INM para cada magnitud eléctrica involucrada en la comparación internacional “SIM.EM-S13 Voltage, Current and 
Resistance Comparison (March 2017 – September 2021)”. No obstante, dicho informe no incluye en las conclusiones una declaración explicita sobre aptitud del método para el uso previsto, lo cual impide que pueda considerarlo como evidencia 
suficiente de validación del método.
Como parte de la acción correctiva No. 2 de la Acción Correctiva AUD #359, se evalúa si se materializó el riesgo de Afectación económica y reputacional dada la emisión de resultados no confiables por realizar calibraciones fuera de especificaciones debido al desconocimiento de las capacidades de medición del laboratorio. Para este caso no se evidencia la materialización del riesgo, toda vez que no se presentó afectación económica, reputacional o TNC asociados a la aptitud del método o su verificación. Adicionalmente se evalúo la materialización del riesgo de Posibilidad de afectación económica y reputacional por perdida de confianza en la validez de los resultados emitidos. Para el caso tampoco se materializó a causa de este hallazgo. A través de este hallazgo se identifica la necesidad de actualizar el control, por lo cual se incluye en el archivo de Eventos de entrada para la identificación de riesgos INM para la próxima actualización
</t>
  </si>
  <si>
    <t xml:space="preserve">Acción Correctiva AUD #359 		
</t>
  </si>
  <si>
    <t>El subdirector de metrología física revisa con los coordinadores de la subdirección a través de la reunión de coordinadores de manera semestral, la viabilidad de continuar con la oferta de servicios en la vigencia revisada.</t>
  </si>
  <si>
    <t>SMQB: durante el primer trimestre de 2025 no se han generado resultados no confiables por realizar calibraciones o mediciones fuera de especificación por desconocimiento de las CMC de los laboratorios, por lo tanto no se ha materializado el riesgo.
SMF: En el periodo evaluado no se evidenciaron hallazgos o materialización del riesgo asociado con prestación de servicios por fuera de especificaciones o desconocimiento de CMC.</t>
  </si>
  <si>
    <t xml:space="preserve">SMF: Durante el trimestre evaluado no se presentó materialización del riesgo asociado con la prestación de servicios por fuera de especificaciones o desconocimiento de CMC. Sin embargo, se recibió una PQR – con radicado #1-2025-0843-1.Solicitud de revisión de volúmenes y valores de incertidumbre en recipientes de 15 y 30 galones, la cual se encuentra en revisión por parte del personal técnico del Laboratorio de volumen.
SMQB: Durante el segundo trimestre evaluado no se presentó materialización del riesgo asociado con la prestación de servicios por fuera de especificaciones o desconocimiento de CMC. 
</t>
  </si>
  <si>
    <t xml:space="preserve">Haciendo revisión de la información registrada por parte de la primera línea de defensa, se identifica inqiuetud con relación a si la queja que se menciona, genera o no materialización del riesgo. Se espera la confirmación por parte de la persona responsable del registro del seguimiento. </t>
  </si>
  <si>
    <t xml:space="preserve">SMQB: Durante el trimestre evaluado no se evidenció materialización del riesgo asociado con servicios que no cuenten con la capacidad operativa y técnica para llevarlos a cabo.
</t>
  </si>
  <si>
    <t>M01-R8</t>
  </si>
  <si>
    <t>Afectación económica y reputacional dada la pérdida de información metrológica de los patrones y sistemas de medición debido a contar con una competencia inadecuada del personal técnico del laboratorio para desarrollar las actividades que influye en los resultados de los laboratorios.</t>
  </si>
  <si>
    <t xml:space="preserve">Definición inadecuada de los perfiles de los profesionales a autorizar.
Definición inadecuada de los programas de mantenimiento y desarrollo de competencias.
Deficiencias en la transferencia del conocimiento por parte del personal competente saliente del INM. </t>
  </si>
  <si>
    <t>Definición inadecuada de los programas de mantenimiento y desarrollo de competencias.</t>
  </si>
  <si>
    <t>El responsable del laboratorio define, actualiza y documenta los requisitos de competencia técnica requeridos para el desarrollo de las actividades del laboratorio a través de la descripción de las competencias técnicas requeridas usando el formato A-04-F-008 DESCRIPCIÓN DE COMPETENCIAS TÉCNICAS REQUERIDAS.</t>
  </si>
  <si>
    <t>SMQB: durante el primer trimestre no se evidenció perdida de información metrológica de los patrones y sistemas de medición debido a una inadecuada competencia del personal técnico, por lo tanto no se materializó el riesgo.
SMF: En el periodo evaluado no se evidenciaron hallazgos o materialización del riesgo asociado con que los laboratorios reporten pérdida de la información metrológica asociada a la competencia inadecuada del personal.</t>
  </si>
  <si>
    <t>SMF y SMQB: Durante el trimestre evaluado no se presentó materialización del riesgo asociado con que los laboratorios reporten perdida de información metrológica por competencia inadecuada del  personal.</t>
  </si>
  <si>
    <t xml:space="preserve">SMQB: Durante el trimestre evaluado no se presentó materialización del riesgo asociado con perdida de informacióm metrológica por inadecuada competencia del personal. Se cuenta con los registro A-04-F-008 descripción de comptencias técnicas.
</t>
  </si>
  <si>
    <t>SMF: Durante el trimestre evaluado no se presentó materialización del riesgo asociado con que los laboratorios reporten perdida de información metrológica por competencia inadecuada del  personal. Se actualizó la autorización para el personal de los laboratorios de Dureza y Volumen.
SMQB: Durante el trimestre evaluado no se presentó materialización del riesgo asociado con perdida de informacióm metrológica por inadecuada competencia del personal.</t>
  </si>
  <si>
    <t xml:space="preserve">SMQB: Durante el trimestre evaluado no se presentó materialización del riesgo asociado con perdida de informacióm metrológica por inadecuada competencia del personal. Se cuenta con los registro A-04-F-009 plan de entrenamiento.
</t>
  </si>
  <si>
    <t>El responsable del laboratorio asegura que se cumpla con lo establecido en el procedimiento A-04-P-006 DESVINCULACIÓN LABORAL</t>
  </si>
  <si>
    <t>SMQB: durante el primer trimestre no se evidenció perdida de información metrológica de los patrones y sistemas de medición debido a una inadecuada competencia del personal técnico, por lo tanto no se materializó el riesgo.
SMF: En el periodo evaluado no se evidenciaron hallazgos o materialización del riesgo asociado con que los laboratorios reporten pérdida de la información metrológica asociada a la competencia inadecuada del personal. Se presento vacancia definitiva en el laboratorio de densidad y la no aceptación del contrato de un contratista asociado al mismo laboratorio lo que afectó el desarrollo de actividades. Se está trabajando en el plan de entrenamiento para la funcionaria asociada al laboratorio que se encuentra vinculada desde 2024.</t>
  </si>
  <si>
    <t xml:space="preserve">SMF: En el periodo evaluado no se evidenciaron hallazgos o materialización del riesgo asociado con que los laboratorios reporten pérdida de la información metrológica asociada a la competencia inadecuada del personal. Se presento vacancia definitiva en el laboratorio de Temperatura y humedad. Se está a la espera de que se surta el proceso de encargo.
SMQB: Durante el trimestre evaluado no se presentó materialización del riesgo asociado con perdida de informacióm metrológica por inadecuada competencia del personal.
</t>
  </si>
  <si>
    <t xml:space="preserve">SMQB: Durante el trimestre evaluado no se presentó materialización del riesgo asociado con perdida de informacióm metrológica por inadecuada competencia del personal.
</t>
  </si>
  <si>
    <t>M01-R10</t>
  </si>
  <si>
    <t xml:space="preserve">Posibilidad de afectación económica y reputacional por demoras en la prestación de servicios de calibración o medición relacionados con la indisponibilidad de sistemas de medición debido a fallas en el suministro de energía eléctrica o la disponibilidad insuficiente de generadores de energía eléctrica de respaldo. </t>
  </si>
  <si>
    <t>Disponibilidad insuficiente de equipos generadores de energía eléctrica como respaldo a fallas en el suministro.</t>
  </si>
  <si>
    <t>Falla en el suministro de energía eléctrica</t>
  </si>
  <si>
    <t>El profesional especializado grado 18 del área servicios administrativos, participa en la elaboración del plan anual de adquisiciones en donde se incluyen los recursos e insumos para realizar mantenimiento periódico al generador de energía eléctrica existente en el instituto y su operación.</t>
  </si>
  <si>
    <t>Revisar y actualizar el procedimiento A-05-P-001 incluyendo los controles establecidos para el riesgo de falla en el suministro de energía eléctrica</t>
  </si>
  <si>
    <t>Profesional universitario grado 9 del área de servicios administrativos - Javier Núñez y Diego Cortes</t>
  </si>
  <si>
    <t>SMQB: durante el primer trimestre de 2025 no se presentaron demoras en la preestación de servicios de calibración o medición en la SMQB a causa de la no disponibilidad de sistemas de medición debido a fallas en el sumisnistro de energía eléctrica o la disponibilidad insuficiente de generadores de energía eléctrica de respaldo.
SMF: En el periodo evaluado no se evidenciaron hallazgos o materialización del riesgo asociado con demoras en la prestación de servicios por fallas en el suministro de energía.</t>
  </si>
  <si>
    <t>SMF y SMQB: Durante el trimestre evaluado no se presentó materialización del riesgo asociado con demoras en la prestación de servicios de calibración y medición por fallas en el sistema eléctrico.</t>
  </si>
  <si>
    <t>SMQB: Durante el trimestre evaluado no se presentó materialización del riesgo asociado con demoras en la prestación de servicios de calibración y medición por fallas en el sistema eléctrico.</t>
  </si>
  <si>
    <t>Falta de insumos para mantener en funcionamiento el generador de energía eléctrica.</t>
  </si>
  <si>
    <t xml:space="preserve">El profesional universitario grado 9 del área servicios administrativos, realiza seguimiento al cumplimiento del plan anual de mantenimiento de infraestructura haciendo énfasis en tomar acciones de mejora cuando se detecte que no hay cumplimiento en la programación. </t>
  </si>
  <si>
    <t>Mantenimiento inadecuado o insuficiente al equipo generador de energía eléctrica.</t>
  </si>
  <si>
    <t>Los profesionales encargados de los laboratorios reportan al área de servicios administrativos y a gestión de servicios metrológicos la afectación en la prestación de servicios de calibración y medición por fallas en el suministro de energía eléctrica.</t>
  </si>
  <si>
    <t>Revisar, actualizar y socializar los procedimientos M-01-P-001 y M-01-P-002 incluyendo los controles establecidos para el riesgo de falla en el suministro de energía eléctrica.</t>
  </si>
  <si>
    <t>Enlace de calidad - Paola Ochoa</t>
  </si>
  <si>
    <t>Sistemas de medición que no se encuentran conectados en la red regulada.</t>
  </si>
  <si>
    <t>Los profesionales encargados de los laboratorios conectan los sistemas de medición que así lo requieran a la red de energía regulada.</t>
  </si>
  <si>
    <t>Revisar, actualizar y socializar el manual M-08-M-001 incluyendo el control asociado.</t>
  </si>
  <si>
    <t>SMQB: durante el primer trimestre de 2025 no se presentaron demoras en la preestación de servicios de calibración o medición en la SMQB a causa de la no disponibilidad de sistemas de medición debido a fallas en el sumisnistro de energía eléctrica o la disponibilidad insuficiente de generadores de energía eléctrica de respaldo.
SMF: En el periodo evaluado no se evidenciaron hallazgos o materialización del riesgo. Los laboratorios mantienen conectados los sistemas de medición a la red de energía regulada. Se encuentra pendiente la actualización del documento M-01-P-002 para incluir los controles de este riesgo.</t>
  </si>
  <si>
    <t>SMF y SMQB: Durante el trimestre evaluado no se presentó materialización del riesgo asociado con demoras en la prestación de servicios de calibración y medición por fallas en el sistema eléctrico. Los laboratorios mantienen conectado a a red de energía regulada los diferentes sistemas de medición. Aún se encuentra pendiente la actualización del documento M-01-P-002 para incluir los controles asociados.</t>
  </si>
  <si>
    <t>SMQB: Durante el trimestre evaluado no se presentó materialización del riesgo asociado con demoras en la prestación de servicios de calibración y medición por fallas en el sistema eléctrico. Los equipos de medición están conectados a la corriente regulada.</t>
  </si>
  <si>
    <t>M08-R2</t>
  </si>
  <si>
    <t>(M-08)
Gestión de patrones nacionales y sistemas medición</t>
  </si>
  <si>
    <t>Posibilidad de afectación económica y reputacional por no garantizar la comparabilidad en las mediciones debido a no disponer de los patrones nacionales y sistemas de medición, a causa de la demora en la contratación del agente aduanero, restricciones aduaneras que no permiten el traslado de los patrones y sistemas de medición y/o falta de comunicación entre las áreas técnicas y él área que gestiona los trámites aduaneros.</t>
  </si>
  <si>
    <t>No disponibilidad de patrones nacionales y sistemas de medición.</t>
  </si>
  <si>
    <t>Demora en la contratación del agente aduanero para importar los patrones y sistemas de medición
Las restricciones aduaneras no permiten el traslado de los patrones de medición y sistemas de medición
Falta de comunicación entre las áreas técnicas y él área que gestiona trámites aduaneros.</t>
  </si>
  <si>
    <t>La profesional con funciones de comercio exterior de Secretaría General y el Subdirector, Coordinadores y responsables de los laboratorios de la SMF, determinan y confirman los procesos requeridos de Comercio Exterior, a través de los formatos A-05-F-004 características de la adquisición y términos de negociación, A-05-F-005 Descripción del equipo y/o MR, A-05-F-006 Necesidades de comercio exterior del INM consolidado y correos electrónicos, relacionados en el procedimiento A-05-P-002 Planeación actividades de Comercio Exterior.</t>
  </si>
  <si>
    <t>Se requiere actualizar el procedimiento A-04-P-010 (cambiar la frecuencia de revisión de la matriz de trimestral a anual)</t>
  </si>
  <si>
    <t xml:space="preserve">
Daisy Janneth Vásquez Acosta - SMQB
Diana Jimena Camargo
Yineth Paola Ochoa - SMF
Angela Ximena Velandia Bedoya-SG
Jeimi Medina Walteros-SG
Andrea Margarita Torres Castillo-SG</t>
  </si>
  <si>
    <t xml:space="preserve">
SMQB:Durante el trimestre no se presento la falta de patrones nacionales o sistemas de medición a causa de temas aduaneros o de falta de comunicación entre áreas para la subdirección de Química y Biología, por lo tanto no se materializó el riesgo
SMF: En el periodo evaluado no se evidenciaron hallazgos o materialización del riesgo. Mediante el contrato de agente aduanero de 2024 han regresado de trazabilidad externa equipos de los laboratorios longitud y CCyCA sin novedades. Para el contrato de 2025 el proceso se encuentra en estudio de mercado y evaluación de necesidades.
SG: Durante el primer trimestre se consolidaron las necesidades de comercio exterior de cada una de las subdirecciones ,las cuales quedaron registradas en el formato  A-05-F-006 PLAN DE COMERCIO EXTERIOR V 2025, adicionalmente  se solicita a traves de correo electronico, la revisión  por parte de los usuarios para su modificación, adición o cancelación segun se requiera, antes de su publicación en el proceso de contratación del agente aduanero.
Por otra parte se identifica que el control debe ser revisado y actualizado dado que el formaro A-05-F-004 Caracteristicas y terrminos negociación de la adquisición  ya no se encuentra activo ni vigente en el SIG. Adicionalmente se debe actualizar el nombre de los documentos que se referencian como evidencia de ejecución del control establecido.</t>
  </si>
  <si>
    <t xml:space="preserve">Revisado, sin novedad alguna. Sin embargo si el proceso identificó la necesidad de actualizar el control, es necesario que se generen las mesas de trabajo para dicha actualización. </t>
  </si>
  <si>
    <t>Andrea Margarita Torres
Angela Ximena Velandia 
Diana Camargo
Daysi Vasquez 
Jeimi Medina</t>
  </si>
  <si>
    <t>Con el fin de realizar el seguimiento unificado al control 1 establecido para el riesgo M08-R2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Para el segundo trimestre 2025 se informa que con el fin de garantizar la continuidad del servicio de agenciamiento aduanero mientras se adelanta la nueva contratación correspondiente a la vigencia 2025, se han suscrito tres prórrogas al contrato vigente de la vigencia 2024. La primera fue instaurada a finales de 2024 con reserva presupuestal, permitiendo atender actividades críticas al inicio del nuevo periodo fiscal. Las dos prórrogas siguientes fueron formalizadas en los meses de abril y junio de 2025, dentro del término contractual previsto, lo cual ha permitido mantener la prestación ininterrumpida del servicio y responder oportunamente a requerimientos operativos urgentes o emergentes, reduciendo la ocurrencia de riesgos operativos y reputacionales.
Por otra parte, en seguimiento a las necesidades de comercio exterior de la entidad, se ha realizado un monitoreo riguroso del Plan de Comercio Exterior 2025 (PCE), con el propósito de identificar de forma oportuna cualquier incidencia que requiera atención prioritaria, y asegurar una programación técnica y logística acorde con los requerimientos institucionales y contractuales.
Igualmente, se han notificado las actualizaciones del PCE a las áreas responsables, garantizando su alineación con las condiciones operativas vigentes y facilitando la toma de decisiones para la priorización de actividades.
Para finales de 2024 se notificó a las áreas responsables el listado de equipos con permanencia en el exterior, lo que permitió adoptar acciones preventivas de manera oportuna. Posteriormente, en julio de 2025, se remitió una actualización con el estado de los equipos, identificando aquellos que regresaron durante el primer semestre del año y los que continúan en el exterior, cuyo retorno está previsto en el marco del contrato de la vigencia 2025.</t>
  </si>
  <si>
    <t>Andrea Margarita Torres</t>
  </si>
  <si>
    <t xml:space="preserve">"Sí, parcialmente. Durante el periodo de julio a septiembre, la tercera prórroga del contrato de agenciamiento aduanero permitió garantizar la continuidad del servicio y atender actividades emergentes, evitando afectación inmediata a la operación.
Sin embargo, en el proceso de contratación del agente aduanero para la vigencia 2025, la primera publicación bajo la modalidad de licitación pública fue declarada desierta al no presentarse oferentes. Esta situación obligó a reiniciar el proceso bajo la modalidad de selección abreviada, revisando y ajustando las condiciones con el fin de hacerlo más atractivo y accesible para los potenciales proponentes.
De forma preventiva, se trabajó de manera conjunta con los laboratorios de las subdirecciones de Física y Química para monitorear y priorizar las necesidades incluidas en el PCE 2025, lo que permitió establecer una hoja de ruta que asegure sincronía entre la programación técnica y logística una vez inicie la ejecución del nuevo contrato.
Adicionalmente, se notificaron las actualizaciones del PCE a las áreas responsables, garantizando la previsión en la ejecución, la priorización de necesidades y su alineación con las condiciones operativas vigentes, lo que facilitó la toma de decisiones. A la par, se mantuvo comunicación constante con los laboratorios mediante correos electrónicos, informando sobre el estado del proceso contractual tras la declaratoria de desierto.                                                                                                                                                  Se resalta que la ejecución del Contrato 144 de 2025, correspondiente al servicio de agente aduanero, dio inicio el 16 de septiembre de 2025. En el marco de este contrato se han puesto en marcha actividades clave orientadas a dar respuesta oportuna a los requerimientos de las áreas técnicas y asegurar la cobertura adecuada durante la vigencia contractual.
Este seguimiento constituye un mecanismo de control preventivo que contribuye a la mitigación de riesgos logísticos y de cumplimiento normativo en materia de comercio exterior."
</t>
  </si>
  <si>
    <t xml:space="preserve">Teniendo en cuenta la información registrada por la primera línea de defensa, desde la perspectiva de la OAP, el riesgo no se considera materializado. No obstante, se estima necesario realizar una mesa de trabajo entre el personal encargado de las actividades de comercio exterior (SG y SMF) y los enlaces de calidad de las subdirecciones de química y física, con dos propósitos:
1. Evaluar el impacto de lo registrado en este seguimiento trimestral y determinar si el riesgo se materializa o no.
2. Definir una solución viable, oportuna y adecuada que permita contar con un contrato de agente aduanero por un plazo mayor al habitual. </t>
  </si>
  <si>
    <t>El profesional con funciones de comercio exterior, gestiona y realiza los tramites necesarios para la contratación oportuna del agente aduanero, a través de los formatos A-07-F-009 Solicitud de contratación, A-07-F-011 Recomendación de Supervisión, Solicitud de CDP, Certificado de Disponibilidad Presupuestal, 
A-07-F-026 Estudio de Mercado, Cotización presentada por el proveedor, Lista de chequeo, relacionados en el procedimiento A-05-P-002 Planeación actividades de Comercio Exterior.</t>
  </si>
  <si>
    <t xml:space="preserve">Revisar y actualizar (si aplica) el procedimiento A-04-P-018 CONFORMACION Y FUNCIONAMIENTO DEL COPASST validando la inclusión de este control.
Revisar y actualizar el numeral 6.3 del procedimiento A-04-P-017 INSPECCIONES DE SEGURIDAD Y SALUD EN EL TRABAJO Y GESTIÓN AMBIENTAL. </t>
  </si>
  <si>
    <t>Daisy Janneth Vásquez Acosta - SMQB
Diana Jimena Camargo
Yineth Paola Ochoa - SMF
Angela Ximena Velandia Bedoya-SG
Jeimi Medina Walteros-SG
Andrea Margarita Torres Castillo-SG</t>
  </si>
  <si>
    <t xml:space="preserve">SMQB:Durante el trimestre no se presento la falta de patrones nacionales o sistemas de medición a causa de temas aduaneros o de falta de comunicación entre áreas para la subdirección de Química y Biología, adicionalmente ya se cuenta con el contrato del agente aduanero, por lo tanto no se materializó el riesgo
SMF: En el periodo evaluado no se evidenciaron hallazgos o materialización del riesgo. Mediante el contrato de agente aduanero de 2024 han regresado de trazabilidad externa equipos de los laboratorios longitud y CCyCA sin novedades. Para el contrato de 2025 el proceso se encuentra en estudio de mercado y evaluación de necesidades.
SG: Desde el 17 de Febrero 2025 se da inicio a la etapa precontractual para el proceso de contratación del Agente Aduanero, el cual a surtido la elaboración del plan de comercio exterior, la proyección de estudios previos, el estudio de mercado, la solicitud de CDP, expedición de CDP y el registro de la lista de chequeo del respectivo proceso. Por otra parte, se espera que el proceso quede radicado en el mes de Abril 2025. </t>
  </si>
  <si>
    <t>Diana Camargo
Andrea Margarita Torres
Angela Ximena Velandia 
Jeimi Medina</t>
  </si>
  <si>
    <t>SMF: En el trimestre evaluado no se materializa el riesgo, sin embargo, se podría considerar  una posible afectación al cumplimiento al plan de trazabilidad externa de los laboratorios de la SMF. Actualmente, dado el estado desierto del proceso de contratación del agente aduanero, se reprogramaron a tiempo actividades de trazabilidad interna y externo. Por parte del personal de comercio exterior se va a iniciar nuevamente un proceso de contratación que se espera sea culminado en el mes de septiembre. Esto implica el ajuste en las fechas programadas en los servicios de calibración por parte del proveedor externo, las cuales se registran en el formato M-08-F-009 o la reprogramación de servicios de calibración o medición a prestar por parte del INM.
SG: Con el fin de realizar el seguimiento unificado al control 2 establecido para el riesgo M08-R2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Con el fin de garantizar la continuidad del servicio de agenciamiento aduanero mientras se adelanta la nueva contratación correspondiente a la vigencia 2025, se han suscrito tres prórrogas al contrato vigente de la vigencia 2024. La primera fue instaurada a finales de 2024 con reserva presupuestal, permitiendo atender actividades críticas al inicio del nuevo periodo fiscal. Las dos prórrogas siguientes fueron formalizadas en los meses de abril y junio de 2025, dentro del término contractual previsto, lo cual ha permitido mantener la prestación ininterrumpida del servicio y responder oportunamente a requerimientos operativos urgentes o emergentes, reduciendo la ocurrencia de riesgos operativos y reputacionales.
Asimismo, se ha dado cumplimiento con la debida diligencia a cada una de las etapas del proceso de contratación. Ante la eventualidad presentada con la declaratoria de desierto del proceso adelantado bajo la modalidad de licitación pública, se han adoptado las medidas necesarias para que el periodo en el cual no se cuente con el servicio de Agente de Aduanas no genere mayores inconvenientes ni afectaciones a las operaciones logísticas de la entidad, mientras se adelanta la contratación.</t>
  </si>
  <si>
    <t xml:space="preserve">"Durante el trimestre, el riesgo se materializó de manera parcial, dado que se presentaron retrasos asociados a la declaratoria de desierto en la primera publicación del proceso contractual, lo que obligó a reiniciar la contratación bajo la modalidad de Selección Abreviada. Estas situaciones afectaron el desarrollo de las actividades misionales, al impactar la disponibilidad oportuna de los servicios de agenciamiento aduanero y, en consecuencia, la comparabilidad y trazabilidad de las mediciones de los patrones frente a los referentes internacionales.
En la preparación de la nueva publicación del contrato de servicios de agenciamiento aduanero, se adelantó un acompañamiento integral que comprendió la revisión de las necesidades de las subdirecciones, la identificación de potenciales proveedores, la atención de las observaciones formuladas y la validación de los ajustes requeridos en los pliegos, con el propósito de garantizar una mayor viabilidad y concurrencia en el proceso.
La aplicación de prórrogas al contrato vigente de 2024, hasta el mes de julio, junto con las labores de seguimiento y priorización, permitió mitigar los efectos adversos derivados de los retrasos contractuales, evitando la suspensión prolongada del servicio y asegurando la continuidad operativa de las actividades.
Asimismo, se ha dado cumplimiento con la debida diligencia a cada una de las etapas del proceso de contratación. Ante la eventualidad presentada con la declaratoria de desierto del proceso adelantado bajo la modalidad de licitación pública, se adoptaron medidas necesarias para evitar que el periodo sin la prestación del servicio de Agente de Aduanas generara inconvenientes o afectaciones a las operaciones logísticas de la entidad. En consecuencia, se adelantó el proceso de selección abreviada No. 006 de 2025, en el cual se invitó a aproximadamente ocho (8) empresas del sector, obteniéndose dos (2) propuestas válidas.
Este procedimiento permitió la adjudicación del Contrato 144 de 2025 el día 11 de septiembre, con inicio de actividades el 16 de septiembre de 2025. En el marco de dicho contrato se han puesto en marcha actividades, priorizadas con el fin de mitigar los riesgos derivados del retraso en la suscripción contractual originado por la declaratoria desierta del proceso inicial. 
De esta manera, se garantiza la continuidad en la atención de los requerimientos de comercio exterior, fortaleciendo los mecanismos de control preventivo y reduciendo el impacto potencial en la logística institucional."
</t>
  </si>
  <si>
    <t>El profesional con funciones de comercio exterior de Secretaría General, a través del personal de apoyo de la subdirección de metrología física, realiza seguimiento y control del proceso de reimportación de los equipos a través de la bitácora de seguimiento comercio exterior A-05-F-008 y la matriz procesos realizados de comercio exterior A-05-F-007, relacionados en los procedimientos de importación A-05-P-003 y de exportación A-05-P-004.</t>
  </si>
  <si>
    <t xml:space="preserve">Revisar y actualizar el numeral 6.3 del procedimiento A-04-P-017 INSPECCIONES DE SEGURIDAD Y SALUD EN EL TRABAJO Y GESTIÓN AMBIENTAL. </t>
  </si>
  <si>
    <t>SMQB:Durante el trimestre no se presento la falta de patrones nacionales o sistemas de medición a causa de temas aduaneros o de falta de comunicación entre áreas para la subdirección de Química y Biología, por lo tanto no se materializó el riesgo.
SMF: En el periodo evaluado no se evidenciaron hallazgos o materialización del riesgo. Mediante el contrato de agente aduanero de 2024 han regresado de trazabilidad externa equipos de los laboratorios longitud y CCyCA sin novedades. Para el contrato de 2025 el proceso se encuentra en estudio de mercado y evaluación de necesidades. Se actualizó el control asociado en CIGD de 2025-03-26.
SG: Durante el trimestre se realizó el seguimiento de la Reimportación en el mismo estado RT16 proveniente del CENAM, quedando como registro el documento	A-05-F-008	BITÁCORA DE PROCESO y A-05-F-007 MATRIZ DE PROCESOS DE COMERCIO EXTERIOR REALIZADOS.
Por otra parte se identifica que el control debe ser revisado y actualizado dado que el seguimiento y control a traves de la bitacora de operaciones se utiliza para todas las operaciones del plan de comercio exterior y no solo para las operaciones de reimportación.</t>
  </si>
  <si>
    <t>SMF: En el trimestre evaluado el proceso de contratación del agente aduanero se declaro desierto. Por parte del personal de comercio exterior se va a iniciar nuevamente un proceso de contratación que se espera sea culminado en el mes de septiembre. Esto implica el ajuste en las fechas programadas en los servicios de calibración por parte del proveedor externo, o la reprogramación de servicios de calibración o medición a prestar por parte del INM.
SG: Con el fin de realizar el seguimiento unificado al control 3 establecido para el riesgo M08-R2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Con el fin de garantizar la continuidad del servicio de agenciamiento aduanero mientras se adelanta la nueva contratación correspondiente a la vigencia 2025, se han suscrito tres prórrogas al contrato vigente de la vigencia 2024. En la ejecución de estas prórrogas, se ha dado prioridad al retorno de los equipos que han finalizado su proceso de calibración, procurando —acorde con los recursos disponibles— su reingreso oportuno al país, con el fin de evitar afectaciones en la prestación del servicio institucional. Esto se refleja en las actividades marcadas como completadas en el Plan de Comercio Exterior 2025 (PCE 2025), ejecutadas bajo la figura de reserva presupuestal del contrato. Asimismo, se actualizó el reporte de equipos en el exterior, inicialmente emitido a finales de 2024, incorporando el estado de los retornos efectuados durante el primer semestre de 2025.
En el marco del proceso de priorización de actividades del PCE 2025, adelantado mediante reuniones de coordinación con las Subdirecciones, se ha definido como actividad crítica la gestión de los retornos de los equipos que aún permanecen en el exterior y que han culminado sus procesos de calibración, con el fin de garantizar su incorporación oportuna en las actividades institucionales proyectadas para el segundo semestre del año.</t>
  </si>
  <si>
    <t xml:space="preserve">Importante estar pendiente sobre el proceso de contratación y su culminación respectiva para evitar materialización de riesgo. </t>
  </si>
  <si>
    <t>Andrea Margarita Torres
Diana Camargo 
SMF</t>
  </si>
  <si>
    <t>"Sí, parcialmente. Durante el periodo de julio a septiembre se trabajó en dos frentes: el primero, orientado a completar las actividades programadas en el marco de la última prórroga del contrato de agenciamiento aduanero 2024, vigente hasta el mes de julio; y el segundo, de carácter preventivo y proactivo, enfocado en la coordinación con los laboratorios de las Subdirecciones de Física y Química para monitorear y priorizar las necesidades incluidas en el PCE 2025. Esta labor permitió establecer una hoja de ruta que garantizó la sincronía entre la programación técnica y la logística, de modo que la ejecución del nuevo contrato inició con una mejor planificación y alineación institucional.
La prórroga del contrato permitió asegurar la continuidad del servicio y atender actividades emergentes, evitando afectaciones inmediatas en la operación. Asimismo, se notificaron oportunamente las actualizaciones del PCE a las áreas responsables, lo que facilitó la previsión en la ejecución, la priorización de necesidades y su alineación con las condiciones operativas vigentes.
Finalmente, se facilitó información constante tanto a los laboratorios como a las Subdirecciones de Física y Química, mediante correos electrónicos, informando sobre el estado del proceso contractual tras la declaratoria de desierto y sobre las acciones adelantadas para la publicación bajo la modalidad de Selección Abreviada, garantizando la trazabilidad y transparencia en la gestión.                                                                   Al cierre del trimestre se logró la adjudicación del nuevo proceso de contratación del agente aduanero  Contrato 144 de 2025 , dando solución definitiva al riesgo identificado y garantizando la prestación ininterrumpida del servicio indispensable para las operaciones de comercio exterior de la entidad."
SMF: En el periodo evaluado el Laboratorio de CC &amp; CA tuvo que reprogramar 2 servicios de calibración a los laboratorios de temperatura y humedad y corriente electrica debido a las dificultades que se presentaron este año con la contratación del agente aduanero, aún no ha sido posible regresar algunos patrones de medida al país.</t>
  </si>
  <si>
    <t xml:space="preserve">Teniendo en cuenta la información registrada por la primera línea de defensa, desde la perspectiva de la OAP, el riesgo no se considera materializado. No obstante, se estima necesario realizar una mesa de trabajo entre el personal encargado de las actividades de comercio exterior (SG y SMF) y los enlaces de calidad de las subdirecciones de química y física, con dos propósitos:
1. Evaluar el impacto de lo registrado en este seguimiento trimestral y determinar si el riesgo se materializa o no.
2. Definir una solución viable, oportuna y adecuada que permita contar con un contrato de agente aduanero por un plazo mayor al habitual. 
</t>
  </si>
  <si>
    <t>El responsable del laboratorio encargado del contacto con el proveedor junto con el personal de apoyo de la subdirección de metrología física, realizan seguimiento al estado de avance en las calibraciones del exterior a través del formato M-08-F-009 PLAN DE TRAZABILIDAD - SMF. 
Documento: Procedimiento M-08-P-001 TRAZABILIDAD DE LAS MEDICIONES DEL INM</t>
  </si>
  <si>
    <t>* Identificación de requisitos legales prioritarios para la focalización de recursos.
* Definir los criterios para priorizar la focalización de recursos para el cumplimiento de requisitos legales.</t>
  </si>
  <si>
    <t>SMQB:Durante el trimestre no se presento la falta de patrones nacionales o sistemas de medición a causa de temas aduaneros o de falta de comunicación entre áreas para la subdirección de Química y Biología, por lo tanto no se materializó el riesgo
SMF: En el periodo evaluado no se evidenciaron hallazgos o materialización del riesgo. Mediante el contrato de agente aduanero de 2024 han regresado de trazabilidad externa equipos de los laboratorios longitud y CCyCA sin novedades, gracias a la comunicación constante del laboratorio con el proveedor de trazabilidad. Para el contrato de 2025 el proceso se encuentra en estudio de mercado y evaluación de necesidades</t>
  </si>
  <si>
    <t>SMF: En el trimestre evaluado el proceso de contratación del agente aduanero se declaro desierto. Por parte del personal de comercio exterior se va a iniciar nuevamente un proceso de contratación que se espera sea culminado en el mes de septiembre. Esto implica el ajuste en las fechas programadas en los servicios de calibración por parte del proveedor externo, o la reprogramación de servicios de calibración o medición a prestar por parte del INM.</t>
  </si>
  <si>
    <t xml:space="preserve">No se encuentra registro de seguimiento por parte del proceso. </t>
  </si>
  <si>
    <t>El personal de apoyo de la subdirección de metrología física, informa de manera oportuna a secretaría general, los equipos que no alcanzan a retornar al INM, para que se realice la reserva presupuestal y prórroga del contrato.
Documento: A-05-P-002 PLANEACIÓN ACTIVIDADES COMERCIO EXTERIOR (Actividad número 1) y procedimiento M-08-P-001 de trazabilidad de las mediciones del INM.</t>
  </si>
  <si>
    <t>SMQB:Durante el trimestre no se presento la falta de patrones nacionales o sistemas de medición a causa de temas aduaneros o de falta de comunicación entre áreas para la subdirección de Química y Biología, por lo tanto no se materializó el riesgo.
SMF: En el periodo evaluado no se evidenciaron hallazgos o materialización del riesgo. Mediante el contrato de agente aduanero de 2024 han regresado de trazabilidad externa equipos de los laboratorios longitud y CCyCA sin novedades, teniendo en cuenta la reserva presupuestal realizada en el ultimo trimestre de 2024. Para el contrato de 2025 el proceso se encuentra en estudio de mercado y evaluación de necesidades. Se actualizó el control asociado en CIGD de 2025-03-26.</t>
  </si>
  <si>
    <t>Andrea Margarita Torres
Angela Ximena Velandia 
Diana Camargo
Daisy Vasquez 
Jeimi Medina</t>
  </si>
  <si>
    <t>Con el fin de realizar el seguimiento unificado al control 5 establecido para el riesgo M08-R2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Para el 30 de diciembre de 2024, se notificó por correo electrónico a la Secretaría General el listado de equipos con permanencia en el exterior. Dicha notificación también fue remitida a Servicios Administrativos, Almacén y a los coordinadores de las Subdirecciones de Metrología Física (SMF), garantizando así el conocimiento oportuno de la situación por parte de las áreas responsables y permitiendo la adopción de acciones preventivas.
Asimismo, durante el mes de diciembre de 2024, se gestionó la prórroga contractual con reserva presupuestal, con el fin de asegurar la continuidad del servicio de agenciamiento aduanero durante los primeros meses de 2025, mientras se adelantaba el nuevo proceso de contratación.
Adicionalmente, en el mes de julio de 2025, se remitió una nueva notificación actualizada, en la cual se identificaron los equipos que retornaron al país bajo la figura de reserva del contrato vigente, así como aquellos que permanecen en el exterior y tienen proyectado su regreso dentro del marco del contrato correspondiente a la vigencia 2025.</t>
  </si>
  <si>
    <t>"Para inicios del mes de julio de 2025 se remitió, vía correo electrónico, una actualización del listado de equipos con permanencia en el exterior a la Secretaría General, Servicios Administrativos, Almacén y a los coordinadores de las Subdirecciones de Metrología Física (SMF), garantizando el conocimiento oportuno de las partes involucradas. En esta actualización se incorporaron los cambios derivados del desarrollo de las actividades en el marco de la prórroga del contrato de agenciamiento aduanero de la vigencia anterior.
Dada la entrada en ejecución del contrato de agenciamiento aduanero a finales del trimestre, este reporte será nuevamente actualizado a finales de año, en concordancia con el cierre de actividades del periodo."</t>
  </si>
  <si>
    <t>El supervisor del contrato para el transporte nacional de equipos de medición, realiza seguimiento con la guía al estado del envío de equipos nacionalmente a través del formato A-05-F-019 SOLICITUD PARA ENVÍO DE BIENES POR EL SERVICIO DE PAQUETERIA.</t>
  </si>
  <si>
    <t xml:space="preserve">Realizar cuatro inspecciones preventivas para identificar y corregir situaciones que pueden materializarse en una emergencia y que estemos preparados para la atención de esta. </t>
  </si>
  <si>
    <t>SMQB:Durante el trimestre no se presento la falta de patrones nacionales o sistemas de medición a causa de temas aduaneros o de falta de comunicación entre áreas para la subdirección de Química y Biología, por lo tanto no se materializó el riesgo.
SMF: En el periodo evaluado no se evidenciaron hallazgos o materialización del riesgo asociado con la demora en la contratación del agente aduanero o transporte de equipos a nivel nacional.</t>
  </si>
  <si>
    <t xml:space="preserve">SMF: Durante el trimestre evaluado no se presentó materialización del riesgo asociado con disponibilidad de sistemas de medición por transporte terrestre. Durante el trimestre no se contaba con contrato para el transporte nacional de equipos.
</t>
  </si>
  <si>
    <t>M08-R3</t>
  </si>
  <si>
    <t>Posibilidad de afectación económica y reputacional por perdida de confianza en la validez de los resultados emitidos causado por incumplimiento al plan de aseguramiento de la validez de los resultados de los instrumentos de medición, debido cambios inesperados en el plan de aseguramiento de la validez de los resultados, al empleo de herramientas o métodos inadecuados o debilidades en la competencia del personal para realizar las actividades de aseguramiento de la validez de los resultados.</t>
  </si>
  <si>
    <t>Incumplir el plan de aseguramiento de la validez de los resultados de los instrumentos de medición</t>
  </si>
  <si>
    <t>Cambios inesperados en el plan de aseguramiento de la validez de los resultados
Empleo de herramientas, métodos inadecuados o debilidades en la competencia del personal para realizar las actividades de aseguramiento de la validez de los resultados.</t>
  </si>
  <si>
    <t>El riesgo afecta la imagen de la entidad a nivel nacional, con efecto publicitarios sostenible a nivel país</t>
  </si>
  <si>
    <t>Catastrófico</t>
  </si>
  <si>
    <t>El Personal de apoyo de la SMF, realiza seguimiento al plan de aseguramiento de la validez de los resultados, generando alarmas o ajustes que se requieran, a través del registro M-08-F-008 Plan de aseguramiento de la validez de los resultados y correos electrónicos, relacionados en el documento M-08-D-001 aseguramiento de la validez de los resultados.</t>
  </si>
  <si>
    <t>SMQB: Durante el primer trimestre de 2025 no se ha presentado incumplimiento a las actividades planeadas para el aseguramiento de la validez de los resultados de los instrumentos de medición.
SMF: En el periodo evaluado no se evidenciaron hallazgos o materialización del riesgo asociado con el incumplimiento a planes de aseguramiento de la validez de los resultados. Se realizó seguimiento mensual al cumplimiento de planes de aseguramiento. Sin embargo, se presentó un TNC en el laboratorio de presión por la demora en la prestación de un servicio dado que el equipo patrón se encontraba en un mantenimiento que presentó demoras; el TNC fue cargado en isolución con el nímero corrección 238.</t>
  </si>
  <si>
    <t>SMF: De acuerdo con el seguimiento mensual al plan de aseguramiento de la validez, en el trimestre evaluado se presentaron algunos retrasos en la ejecución de actividades de algunos laboratorios. Lo anterior se asocia con disponibilidad del personal o contratación de agente aduanero. El impacto se analiza en el registro M-08-F-009.</t>
  </si>
  <si>
    <t>Daisy Vásquez 
SMQB</t>
  </si>
  <si>
    <r>
      <rPr>
        <b/>
        <sz val="11"/>
        <color rgb="FF000000"/>
        <rFont val="Verdana"/>
      </rPr>
      <t xml:space="preserve">SMQB: </t>
    </r>
    <r>
      <rPr>
        <sz val="11"/>
        <color rgb="FF000000"/>
        <rFont val="Verdana"/>
      </rPr>
      <t>durante el tercer trimestre de 2025 no s ematerializó el riesgo dado que se cumplió con las actividades de aseguramiento de la validez de los resultados</t>
    </r>
  </si>
  <si>
    <t>El responsable del laboratorio, aplica las herramientas establecidas para el seguimiento de la validez de los resultados y se apoya en los hallazgos relacionados al aseguramiento de la validez de los resultados del informe de evaluación por pares, a través de los registros establecidos por el laboratorio para los datos resultantes del seguimiento y el plan de mejoramiento a los hallazgos de relacionados con el aseguramiento de la evaluación por pares. 
Documentos: M-08-D-001 Aseguramiento de la validez de los resultados, propios de los laboratorios para el aseguramiento de la validez de los resultados y en el procedimiento E-02-P-002 acciones correctivas.</t>
  </si>
  <si>
    <t>SMQB: Durante el primer trimestre de 2025 no se ha presentado incumplimiento a las actividades planeadas para el aseguramiento de la validez de los resultados de los instrumentos de medición.
SMF: En el periodo evaluado no se evidenciaron hallazgos o materialización del riesgo asociado con el incumplimiento a planes de aseguramiento de la validez de los resultados. Se realizó seguimiento mensual al cumplimiento de planes de aseguramiento.</t>
  </si>
  <si>
    <t>SMF: De acuerdo con el seguimiento mensual al plan de aseguramiento de la validez, en el trimestre evaluado se presentaron algunos retrasos en la ejecución de actividades de algunos laboratorios. Lo anterior se asocia con disponibilidad del personal o contratación de agente aduanero. El impacto se analiza en el registro M-08-F-009. 
Fue necesario la elaboración de un TNC asociado con el análisis de resultados de una comparación internacional del laboratorio de densidad del año 2022, el cual se cargó en isolución bajo el consecutivo AC 139.</t>
  </si>
  <si>
    <t>Claudia Tere - SMQB
Revisa:
Daisy Vásquez</t>
  </si>
  <si>
    <t xml:space="preserve">SMQB:  No se materializa el riesgo por perdida de confianza en la validez de los resultados emitidos causado por incumplimiento al plan de aseguramiento de la validez de los resultados de los instrumentos de medición. sin embargo en la auditoria #63 de virus respiratorios se presentó una no conformidad relacionada con la falta de análisis de tendencias o aplicación de técnicas estadísticas para las cartas de control utilizadas por el laboratorio, las cuales son utilizadas para el  aseguramiento de la validez de los resultados, allá se cuenta con el respectivo plan identificado en Isolucion como AC AUD 364  </t>
  </si>
  <si>
    <t xml:space="preserve">AC AUD 364 </t>
  </si>
  <si>
    <t xml:space="preserve">Luego de revisar la información registrada por el proceso, no se identifican novedades ni comentarios adicionales. Sin embargo, se realizará seguimiento a la AC AUD 364.    </t>
  </si>
  <si>
    <t>M08-R6</t>
  </si>
  <si>
    <t>Posibilidad de afectación económica y reputacional por suspensión de un servicio programado o en curso e/o interrupción de la comparación continua (24/7) interlaboratorio de Tiempo y frecuencia, causado por daños o fallas en el funcionamiento del sistema de medición, debido a manipulación inadecuada durante su operación o en el mantenimiento interno, falta del mantenimiento preventivo requerido o fin de la vida útil del patrón o sistema de medición</t>
  </si>
  <si>
    <t>Daños o fallas en el funcionamiento del sistema de medición</t>
  </si>
  <si>
    <t>Manipulación inadecuada durante su operación o en el mantenimiento interno.
Falta del mantenimiento preventivo requerido.
Fin de la vida útil del patrón o sistema de medición
Daño fortuito</t>
  </si>
  <si>
    <t>El responsable del laboratorio, realiza la verificación del cumplimiento de los requisitos de competencia del personal, establecidos para el almacenamiento, manipulación y transporte de los sistemas de medición del laboratorio para su autorización, a través del formato A-08-P-009 plan y evaluación mantenimiento y desarrollo de competencias del personal técnico y Análisis del brechas del formato A-04-F-008 Descripción de competencias técnicas requeridas, relacionados en el procedimiento A-04-P-002 Mantenimiento y desarrollo de las competencias del personal técnico..</t>
  </si>
  <si>
    <t>SMQB: Durante el primer trimestre de 2025 no se suspendieron servicios programados o en curso o comparaciones por fallas en el sistema de medición o manipulación inadecuada.
SMF: En el periodo evaluado no se evidenciaron hallazgos o materialización del riesgo asociado con suspensión de servicios programados por lo indicado en el control.</t>
  </si>
  <si>
    <t>SMF: En el periodo evaluado no se presenta materialización del riesgo por lo indicado en el control.</t>
  </si>
  <si>
    <t xml:space="preserve">SMQB: En el periodo evaluado no se presenta materialización del riesgo de suspender un servicio programado o en curso por fallas en el sistema de medición debido a manipulación adecuada. Los laboratorios cuentan con la evidencia del los planes de entrenamiento de acuerdo con lo establecido en el control.
</t>
  </si>
  <si>
    <t>El Personal de apoyo de la SMF, realiza seguimiento al cumplimiento y registro de las actividades ejecutadas de acuerdo a los planes de mantenimiento preventivo de los sistema de medición de los laboratorios de la SMF, a través de un informe de verificación, relacionado en el Manual Técnico de los servicios de calibración y medición metrológica M-01-M-001</t>
  </si>
  <si>
    <t>Diana Camargo
SMF
Daisy Vásquez 
SMQB</t>
  </si>
  <si>
    <r>
      <rPr>
        <sz val="11"/>
        <color rgb="FFFF0000"/>
        <rFont val="Verdana"/>
      </rPr>
      <t xml:space="preserve">SMF: En el periodo evaluado se realizó la suspensión temporal de la oferta del servicio de calibración de pesas clase E1 con valor nominal de 2kg, 5kg y 10 kg, con indicador de servicio INM-L01-12. Así mismo se suspendió temporalmente la oferta del servicio de calibración de pesas clase E2 e inferiores con valor nominal de 2kg, 5kg y 10 kg, on indicador de servicio INM-L01-06, del Laboratorio de Masa. La suspensión se generó a causa de la falla o daño fortuito del comparador de masa Mettler Toledo AX10005 NIM 010301. Ante esta materialización, se generó el TNC con identificación:Corrección #252 en Isolucion.
</t>
    </r>
    <r>
      <rPr>
        <sz val="11"/>
        <color rgb="FF000000"/>
        <rFont val="Verdana"/>
      </rPr>
      <t xml:space="preserve">
SMQB: En el periodo evaluado no se presenta materialización del riesgo de suspender un servicio programado o en curso por fallas en el sistema de medición debido a manipulación adecuada. Los laboratorios cuentan con la evidencia del los planes de entrenamiento de acuerdo con lo establecido en el control.
</t>
    </r>
  </si>
  <si>
    <t>Corrección #252</t>
  </si>
  <si>
    <t xml:space="preserve">Luego de revisar la información registrada por la SMF, se identifica la necesidad de presentar ante el CIGD, la materialización de este riesgo y las medidas tomadas al respecto. </t>
  </si>
  <si>
    <t>El Subdirector de la SMF y su personal de apoyo, revisan el plan de renovación y de equipamiento redundante para los Laboratorios de la SMF e incluyen dentro de la primera asignación presupuestal de inversión la SMF, la adquisición de aquellos patrones y sistemas de medición cuya proyección de vida útil ha alcanzado un 70%; a través del plan de renovación y de equipamiento redundante para los Laboratorios de la SMF y el formato E-01-F-005 Actualización plan de inversión, relacionados en el Manual de Gestión de Equipamiento M-08-M-001 y en el procedimiento E-01-P-001 Formulación, registro y seguimiento de proyectos de inversión, respectivamente.</t>
  </si>
  <si>
    <t>Reducir (compartir)</t>
  </si>
  <si>
    <t>SMQB: Durante el primer trimestre de 2025 no se suspendieron servicios programados o en curso o comparaciones por fallas en el sistema de medición o manipulación inadecuada.
SMF: En el periodo evaluado no se evidenciaron hallazgos o materialización del riesgo asociado con suspensión de servicios programados por lo indicado en el control. Se encuentra pendiente trabajar este control de acuerdo con la OBS AUD 280 del laboratorio de fuerza.</t>
  </si>
  <si>
    <t>SMF: En el periodo evaluado no se presenta materialización del riesgo por lo indicado en el control. Se iniciaron las reuniones para revisar los criterios de renovación de equipamiento y de esta forma actualizar el control.</t>
  </si>
  <si>
    <t>El personal del laboratorio de Tiempo y Frecuencia, mantiene un sistema redundante de comparación continua (24/7) interlaboratorio, verificado constantemente contra el sistema principal, relacionado en el procedimiento M-08-L08-P-001 Aseguramiento de la validez de los resultados en Tiempo y Frecuencia.</t>
  </si>
  <si>
    <t>M08-R7</t>
  </si>
  <si>
    <t>Posibilidad de afectación reputacional y económica por quejas de los clientes debido a la demora en la prestación del servicio por falla o ausencia inesperada del software  de adquisición de datos del laboratorio</t>
  </si>
  <si>
    <t>Detección de virus en el software de adquisición de datos
Sobrecarga de energía que afecte el funcionamiento del computador donde se almacena el software de adquisición de datos
Obsolescencia tecnológica del software de adquisición de datos que le impide correr en un sistema operativo actualizado</t>
  </si>
  <si>
    <t xml:space="preserve">Falla o ausencia inesperada que impida el funcionamiento o el acceso al software de adquisición de datos de medición utilizado para las actividades del laboratorio </t>
  </si>
  <si>
    <t>Fallas Tecnológicas</t>
  </si>
  <si>
    <t>El profesional del laboratorio salvaguarda el back up del software de adquisición de datos por medio de una copia almacenada en el laboratorio y otra copia entregada a la Oficina de Informática y Desarrollo Tecnológico para su conservación teniendo en cuenta el procedimiento E-05-P-002 Backups y restauración de información en equipos de cómputo y servidores. 
Registro: Correo electrónico (Solicitud de backup por parte del laboratorio) y el formato E-05-F-006 Elaboración de backups para equipos de cómputo y portátiles</t>
  </si>
  <si>
    <t xml:space="preserve">SMQB: entre los meses de enero y marzo no se presentaron quejas de los clientes debido a la demora en la prestación del servicio por falla o ausencia inesperada del software de adquisición de datos, por lo tanto no se materializa el riesgo.
SMF: En el periodo evaluado no se evidenciaron hallazgos o materialización del riesgo asociado con quejas de clientes por demoras en la prestación de servicios por fallas en software de adquisición de datos.
</t>
  </si>
  <si>
    <t>SMF: En el periodo evaluado no se presenta materialización del riesgo ni se reciben quejas de los clientes por demoras en la prestación de servicios asociadas con la disponibilidad del software de adquisición de datos.</t>
  </si>
  <si>
    <t xml:space="preserve">SMQB: Entre los meses de agosto y octubre no se presentaron quejas de los clientes debido a la demora en la prestación del servicio por falla o ausencia inesperada del software de adquisición de datos, por lo tanto no se materializa el riesgo.
</t>
  </si>
  <si>
    <t>El profesional del laboratorio mantiene conectado a la red de energía regulada el computador donde se encuentra el software de adquisición de datos de acuerdo al lineamiento establecido en el manual de gestión del equipamiento M-08-M-001 y en los documentos propios del laboratorio donde se indique el uso del software de adquisición de datos (verificación periódica del control)</t>
  </si>
  <si>
    <t>M04-R1</t>
  </si>
  <si>
    <t>(M-04)
Asistencia Técnica</t>
  </si>
  <si>
    <t>Posibilidad de afectación económica y reputacional por Incumplir los acuerdos pactados con el cliente para la prestación del servicio de asistencia técnica de acuerdo con su modalidad, debido a Insuficiente dimensionamiento de las características y condiciones de competencia requerida para la prestación del mismo.</t>
  </si>
  <si>
    <t>Competencia técnica insuficiente o no adecuada del personal vinculado a la prestación del servicio.</t>
  </si>
  <si>
    <t>Insuficiente dimensionamiento de las características y condiciones de competencia requerida para la prestación del servicio</t>
  </si>
  <si>
    <t>El Coordinador Grupo AT o quien se designe realiza  reunión operativa previa a la ejecución de un servicio, la cual es desarrollada entre el Grupo de Asistencia Técnica y el personal del laboratorio  para validar la capacidad técnica disponible, que permita el cumplimiento de requisitos</t>
  </si>
  <si>
    <t>Luisa Juana Bernal</t>
  </si>
  <si>
    <t>Para el servicio de asistencia técnica prestado durante el primer trimestre del año (enero, febrero, marzo) se realizó la reunión operativa con las personas asignadas al servicio de los laboratorios para explicar el alcance</t>
  </si>
  <si>
    <t>NO APLICA</t>
  </si>
  <si>
    <t>Subdirectora SSMRC</t>
  </si>
  <si>
    <t>No se ha formalizado servicio de asistencia técnica durante el segundo trimestre del año (abril, mayo, junio) por lo anterior no se ha citado reunión operativa</t>
  </si>
  <si>
    <t>Luis Felipe Hernandez Zambrano</t>
  </si>
  <si>
    <t>Para el servicio de asistencia técnica prestado durante el tercer trimestre del año (julio, agosto, septiembre) se realizó la reunión operativa para la prestación del servicio de SIMEQ</t>
  </si>
  <si>
    <t>El Coordinador Grupo AT o quien se designe solicita en BPM  que las subdirecciones verifiquen la designación y disponibilidad de los recursos para la prestación del servicio</t>
  </si>
  <si>
    <t>Para el  servicio de asistencia técnica prestado durante el primer trimestre del año (enero, febrero, marzo) se realizó y siguió el paso a paso definido por BPM donde se asigna y valida a los expertos que prestan los servicios</t>
  </si>
  <si>
    <t>Para los servicios de asistencia técnica solicitados durante el tercer trimestre del año (julio, agosto, septiembre) se realizó y siguió el paso a paso definido por BPM donde se verifica disponibilidad y asigna a los expertos que prestan los servicios</t>
  </si>
  <si>
    <t>M04-R2</t>
  </si>
  <si>
    <t>Posibilidad de afectación reputacional por divulgación de  información del cliente de carácter confidencial debido a Incumplimiento del acuerdo de confidencialidad por parte del colaborador que presta el servicio.</t>
  </si>
  <si>
    <t>Uso indebido de la información de carácter confidencial del cliente</t>
  </si>
  <si>
    <t>Incumplimiento del acuerdo de confidencialidad por parte del colaborador que presta el servicio.</t>
  </si>
  <si>
    <t>El Coordinador Grupo AT o quien se designe gestiona la firma del acuerdo de confidencialidad por parte de todos los expertos que intervienen en cada servicio.</t>
  </si>
  <si>
    <t>El servicio de asistencia técnica prestado en el periodo fue de modalidad de curso de formación específica,  por lo tanto no fue necesario firmar acuerdos de confidencialidad.</t>
  </si>
  <si>
    <t>No se ha formalizado servicio de asistencia técnica durante el segundo trimestre del año (abril, mayo, junio) por lo anterior no se ha firmado acuerdos de confidencialidad</t>
  </si>
  <si>
    <t>El servicio de asistencia técnica prestado en el periodo fue de modalidad SAM por lo tanto se diligenciaron los respectivos formatos de acuerdos de confidencialidad.</t>
  </si>
  <si>
    <t>M04-R3</t>
  </si>
  <si>
    <t>Posibilidad de afectación económica y reputacional por Incumplimiento en la ejecución del procedimiento de prestación del servicio de AT debido al desconocimiento del procedimiento de prestación de servicio de AT por parte de la Alta Dirección.</t>
  </si>
  <si>
    <t>Incumplimiento de las etapas del procedimiento e prestación del servicio de AT</t>
  </si>
  <si>
    <t>Desconocimiento del procedimiento de prestación de servicio de AT por parte de la Alta Dirección.</t>
  </si>
  <si>
    <t xml:space="preserve">El Coordinador Grupo AT o quien se designe socializa el procedimiento a las áreas intervinientes cuando éstos tengan cambios significativos mediante sesión sincrónica, presencial o a través de piezas comunicativas o correos electrónico </t>
  </si>
  <si>
    <t>durante el primer trimestre no se presentaron cambio significativos en los procedimientos</t>
  </si>
  <si>
    <t>Durante el segundo trimestre no se presentaron cambio significativos en los procedimientos</t>
  </si>
  <si>
    <t>Durante el tercer trimestre no se presentaron cambio significativos en los procedimientos</t>
  </si>
  <si>
    <t>El Coordinador Grupo AT o quien se designe hace el seguimiento de los servicios a través del sistema de información BPM</t>
  </si>
  <si>
    <t>Para el  servicio de asistencia técnica prestado durante el primer trimestre del año (enero, febrero, marzo) se realizó y siguió el paso a paso definido por BPM permitiendo el segumiento de las actividades</t>
  </si>
  <si>
    <t xml:space="preserve">No huno prestacion de servicio de asistencia técnica durante el segundo trimestre del año (abril, mayo, junio) </t>
  </si>
  <si>
    <t>Para el servicio de asistencia técnica prestado durante el tercer trimestre del año (julio, agosto, septiembre) se realizó y siguió el paso a paso definido por BPM permitiendo el seguimiento de las actividades con base en el diligenciamiento del FORMATO M-04-F-005 Registro y seguimiento de solicitudes de servicio de asistencia técnica</t>
  </si>
  <si>
    <t>M07-R1</t>
  </si>
  <si>
    <t>(M-07)
Investigación, Desarrollo e Innovación</t>
  </si>
  <si>
    <t>Posibilidad de afectación  reputacional por insuficiencia de recursos para el desarrollo del I+D+i en el INM, debido a la falta de una estrategia integral en I+D+i</t>
  </si>
  <si>
    <t>Insuficientes recursos para financiar el I+D+i en el INM</t>
  </si>
  <si>
    <t>Falta de una estrategia integral y clara para el desarrollo del I+D+i en el INM, que se irradie desde la Alta Dirección</t>
  </si>
  <si>
    <t xml:space="preserve">
La Alta Dirección asigna el equipo de trabajo con funciones para el proceso de I+D+i, a través de resolución.</t>
  </si>
  <si>
    <t>Desde el Manual de Funciones se tiene asigandos, a cargos específicos, funciones relacionadas con I+D+i y la gestión del proceso. Esto estos cargos están asociados a la Subdirección de Servicios Metrológicos y Relación con el Ciudadano. Adicionalmente se tiene un grupo interno de trabajo (Resolución 490 de 2024-12-26)</t>
  </si>
  <si>
    <t>Desde el Manual de Funciones se tiene asigandos, a cargos específicos, funciones relacionadas con I+D+i y la gestión del proceso. Estos cargos están asociados a la Subdirección de Servicios Metrológicos y Relación con el Ciudadano. Adicionalmente se tiene un grupo interno de trabajo (Resolución 490 de 2024-12-26)</t>
  </si>
  <si>
    <t>Desde el Manual de Funciones se tiene asignados, a cargos específicos, funciones relacionadas con I+D+i y la gestión del proceso. Estos cargos están asociados a la Subdirección de Servicios Metrológicos y Relación con el Ciudadano. Adicionalmente se tiene un grupo interno de trabajo (Resolución 490 de 2024-12-26)</t>
  </si>
  <si>
    <t>Falta de tiempo por parte del personal</t>
  </si>
  <si>
    <t xml:space="preserve">El Coordinador del Grupo de I+D+i revisa y actualiza la documentación asociada al proceso M-07 I+D+i </t>
  </si>
  <si>
    <t>El proceso de I+D+i cuenta con procedimientos y formatos en el sistema integrado de gestión que han sido cargados  aprobados según los procedimientos definidos</t>
  </si>
  <si>
    <t>Carencia de competencias para la investigación</t>
  </si>
  <si>
    <t xml:space="preserve">La Alta Dirección asigna recursos necesarios para el desarrollo del I+D+i en el INM
</t>
  </si>
  <si>
    <t>La alta dirección ha promovido la participación en convocatorias para financiar proyectos de I+D+i. Se cuentan con proyectos de inversión que se ejecutan según las prioridades que defina el responsable del proyecto. Se cuenta con un proceso de I+D+i</t>
  </si>
  <si>
    <t>La alta dirección ha promovido la participación en convocatorias para financiar proyectos de I+D+i. Se cuentan con proyectos de inversión que se ejecutan según las prioridades que defina el responsable del proyecto. Se cuenta con un proceso de I+D+i, asi como la contratación de personal</t>
  </si>
  <si>
    <t xml:space="preserve">La alta dirección ha promovido la participación en convocatorias para financiar proyectos de I+D+i. Se cuentan con proyectos de inversión que se ejecutan según las prioridades que defina el responsable del proyecto. Se cuenta con un proceso de I+D+i, así como la contratación de personal. Actualmente se está elaborando la contratación para la instalación y parametrización del repositorio institucional de documentos de producción científica INM </t>
  </si>
  <si>
    <t>M07-R2</t>
  </si>
  <si>
    <t>Posibilidad de afectación  reputacional por la pérdida del reconocimiento como Centro de Investigación, debido a la falta de proyectos de I+D+i o de investigadores reconocidos</t>
  </si>
  <si>
    <t>Falta de desarrollo de proyectos en I+D+i y productos para la generación de nuevo conocimiento
Falta de investigadores reconocidos y clasificados</t>
  </si>
  <si>
    <t>Carencia de una estrategia integral y clara para el desarrollo del I+D+i en el INM, que contemple el posicionamiento del INM como líder en materia de metrología</t>
  </si>
  <si>
    <t xml:space="preserve">La Coordinación de I+D+i y los responsables designados por la Alta Dirección establecen el  "Plan de Mejoramiento para el Reconocimiento de Actores de Minciencias - M601PR05MO3" para otorgar y mantener el Reconocimiento
</t>
  </si>
  <si>
    <t xml:space="preserve">El plan de mejoramiento de Minciencias para los centros de investigación se formula cada vez que se presenta al INM a un nuevo reconocimiento, en el caso del INM la última solicitud de reconocimiento se realizó en el año 2021 y la próxima debe solicitarse en el año 2026
cuenta con autodiagnostico se esta llevand a un plan de trabajo detallado </t>
  </si>
  <si>
    <t xml:space="preserve">El plan de mejoramiento de Minciencias para los centros de investigación se formula cada vez que se presenta al INM a un nuevo reconocimiento, en el caso del INM la última solicitud de reconocimiento se realizó en el año 2021 y la próxima debe solicitarse en el año 2026, cuenta con autodiagnostico se esta llevando a un plan de trabajo detallado </t>
  </si>
  <si>
    <t>Se tiene contemplado un Plan de Mejoramiento para el Reconocimiento de Actores de Minciencias, con actividades para mantener el reconocimiento con plazo mayo 2026</t>
  </si>
  <si>
    <t xml:space="preserve">La Coordinación de I+D+i y los responsables designados por esta Coordinación realizan seguimiento semestral del  "Plan de Mejoramiento para el Reconocimiento de Actores de Minciencias - M601PR05MO3" para otorgar y mantener el Reconocimiento
</t>
  </si>
  <si>
    <t>En el 2024 se establecío en el plan de acción un autodiagnóstco basado en la herramienta de Minciencias. Esto permite hacer seguimiento a los elementos que se tienen definidos para el reconocimiento del INM como centro de investigación</t>
  </si>
  <si>
    <t xml:space="preserve">
En el EATC - 7 del 12 de Junio se aprobo el plan de mejoramiento para mantener el reconocimientos como centro de investigación</t>
  </si>
  <si>
    <t xml:space="preserve">Para dar continuidad en el Plan de Mejoramiento para el Reconocimiento de Actores de Minciencias vigencia 2026 y resultado del seguimiento mensual a las actividades propuestas, se identificaron rezagos en el cumplimiento de algunas actividades y se activaron las medidas para dar continuidad y cumplimiento  </t>
  </si>
  <si>
    <t>La Coordinación de I+D+i realiza seguimiento al desarrollo de proyectos de I+D+i, a través de la presentación de evidencias del "E-01-F-009 Presentación del Plan de Acción" para la vigencia</t>
  </si>
  <si>
    <t>Se realizaron los reportes al plan de acción en las herramientas establecidas para este fin</t>
  </si>
  <si>
    <t>Se realizaron los reportes al plan de acción en las herramientas establecidas para este fin.
Se genero el informe semestral de seguimiento de proyectos (semestral)</t>
  </si>
  <si>
    <t>Se realizaron los reportes al ID PEI7 en el plan de acción (seguimiento a la planeación estratégica 2025</t>
  </si>
  <si>
    <t>M07-R3</t>
  </si>
  <si>
    <t>Posibilidad de afectación  reputacional por la divulgación de la información no controlada (que pueda imposibilitar la solicitud posterior a una patente), debido a la carencia de lineamientos para la gestión de la propiedad intelectual en el INM.</t>
  </si>
  <si>
    <t xml:space="preserve">Falta de lineamientos que protejan la propiedad intelectual
Falta de responsabilidades para la promoción y protección de los productos del INM   susceptibles a ser protegidos </t>
  </si>
  <si>
    <t>Carencia de lineamientos para la gestión de la propiedad intelectual en el INM</t>
  </si>
  <si>
    <t>La Coordinación de I+D+i y los responsables designados por la Alta Dirección establecen el documento con los lineamientos para la gestión de la propiedad intelectual en el INM.</t>
  </si>
  <si>
    <t>Desde el 28 de diciembre del 2023 en el SIG (Isolución) se encuentra el documento M-07-D-001 Lineamientos para la Gestión de la Propiedad Intelectual en el  INM</t>
  </si>
  <si>
    <t>Se encuentra en elaboración el documento con los lineamientos para la gestión de la propiedad intelectual en el INM.</t>
  </si>
  <si>
    <t>M03-R1</t>
  </si>
  <si>
    <t>(M-03)
Producción de Materiales de Referencia y Desarrollo de Métodos Analíticos</t>
  </si>
  <si>
    <t>Posibilidad de incumplimiento del plan de producción por falta de características de calidad del material de acuerdo con lo establecido en el plan, debido a la planeación de actividades simultaneas durante la producción, devolución del material por parte del cliente (queja o reclamo) y falta de mantenimiento de los equipos.
Frecuencia: en el año en promedio se realizan 20 lotes</t>
  </si>
  <si>
    <t>Incumplimiento  de las características de calidad del material conforme a lo establecido en el plan</t>
  </si>
  <si>
    <t>planeación de actividades simultaneas durante la producción
Devolución del material por parte del cliente (queja o reclamo) 
Falta de mantenimiento de los equipos</t>
  </si>
  <si>
    <t>Usuarios, productos y practicas , organizacionales</t>
  </si>
  <si>
    <t>El responsable de la producción verifica el cumplimiento de las acciones definidas en el plan de producción, registrando la información en el formato M-03-F-011 supervisión de la producción</t>
  </si>
  <si>
    <t>Daisy Janneth Vásquez Acosta - SMQB</t>
  </si>
  <si>
    <t>Durante el primer trimestre no se ha incumplido el plan de producción por falta de características de calidad del material, de acuerdo con lo establecido en el plan de producción. durante el mes de marzo se realizaron las producciones de 3 materiales de referencia de conductividad y 1 de pH 9, las cuales, una vez se terminen de producir, se procederá a hacer la supervisión de la producción en los meses siguientes.</t>
  </si>
  <si>
    <t>Durante el segundo trimestre no se ha presentado incumplimiento del plan de producción, debido a la falta de características de calidad del material, de acuerdo con lo establecido en el plan de producción. durante los meses de abril a junio, se realizaron 3 supervisiones de producción para los MR de conductividad electrolítica de 147 uS/cm, Conductividad electrolítica de 500 uS/cm y calibrante de Pb, las cuales fueron registradas en el formato M-03-F-011</t>
  </si>
  <si>
    <t>Juliana Serna Saiz
Revisa:
Daisy Vásquez</t>
  </si>
  <si>
    <t xml:space="preserve">Durante el tercer trimestre no se han presentado incumplimiento a los planes de producción debido a falta de características de calidad de material. Entre julio y septiembre se produjeron los ítem 25-INM-EC-02 y piloto del 25-INM-EA-04 y se realizó su respectiva supervisión. </t>
  </si>
  <si>
    <t>El responsable de la producción verifica la estabilidad del material de referencia incluyendo la información en los registros de monitoreo (según aplique)</t>
  </si>
  <si>
    <t>Durante el primer trimestre no se ha incumplido el plan de producción por falta de características de calidad del material, de acuerdo con lo establecido en el plan de producción. entrelos meses de enero y marzo se realizaron los siguientes monitoreos de MR:  24-INM-EC-02 Influenza H5N1, 24-INM-EA-10 virus respiratorios,  calibrantes Zn, agua potable, Elementos de tilapia, elementos mayores en harina de arroz y Monitoreo del estado de los MRC disponibles a la venta.</t>
  </si>
  <si>
    <t>Durante el segundo trimestre no se ha incumplido el plan de producción por falta de características de calidad del material, de acuerdo con lo establecido en el plan de producción. Durante los meses de abril a junio se realizaron los siguientes monitoreos de las MR:Piloto de INM-042-01 y INM-042-2, de todos los MR disponibles  a la venta, Calibrante de Fe, calibrantes Na, Mg, K,Ca (Gravimétrico), Calibrante de Na, Mg y K (FAAS), etanol en agua y elementos mayores en harina de arroz.</t>
  </si>
  <si>
    <t>Durante el tercer trimestre no se han presentado incumplimiento a los planes de producción debido a falta de características de calidad de material. Entre Julio y septiembre se realizaron los monitoreos de los siguientes MRC: 
1. IEC 24-INM-EC-02 
2. IEA 24-INM-EA-10 
3. INM-042-1  y  INM-042-2
4. INM-002-2, INM-002-6 y INM-002-7
5. INM-005- 1
6. INM-007-1, INM-008-1, INM-009-1 y INM-010 (gravimétricos)
7. INM-004-1
8. INM-039-1
9. INM-041-1
10. INM-027-1</t>
  </si>
  <si>
    <t>El(los) responsable(s) de la producción y el coordinador del respectivo GIT garantizan la ejecución de los mantenimientos, verificación y calibraciones de los equipos de la SMQB empleados en la producción; el coordinador o la persona designada del Grupo de Metrología en Análisis Químico de Materiales verifica y registra la información en el formato M-03-F-022 Plan de Gestión de laboratorios.</t>
  </si>
  <si>
    <t>Durante el primer trimestre no se ha incumplido el plan de producción por falta de características de calidad del material, de acuerdo con lo establecido en el plan de producción. entre los meses de enero y marzo en la SMQB se realizaron 48 actividades relacionadas con mantenimientos preventivos, calibraciones, verificaciones, certificaciones, carecterizaciones de equipos de los laboratorios.</t>
  </si>
  <si>
    <t>Durante el segundo trimestre no se ha incumplido el plan de producción por falta de características de calidad del material, de acuerdo con lo establecido en el plan de producción. durante el periodo mencionado en la SMQB se realizaron 78 actividades relacionadas con mantenimientos preventivos, calibraciones, verificaciones de equipos de los laboratorios.</t>
  </si>
  <si>
    <t>Durante el tercer trimestre no se ha incumplido el plan de producción por falta de características de calidad del material, de acuerdo con lo establecido en el plan de producción. Durante el periodo mencionado en la SMQB se realizaron 88 relacionadas con mantenimientos preventivos, calibraciones, verificaciones de equipos de los laboratorios.</t>
  </si>
  <si>
    <t>M03-R2</t>
  </si>
  <si>
    <t>Posibilidad de desviaciones en las características de calidad de los lotes de materiales producidos por personal no cualificado para la producción de Materiales de Referencia y el Desarrollo de Métodos Analíticos debido a la falta de una planeación adecuada de las actividades de entrenamiento del personal, cambio de personal o desarrollo de actividades sin la actualización o generación de una nueva autorización.</t>
  </si>
  <si>
    <t>Personal no cualificado para la producción de Materiales de Referencia y el Desarrollo de Métodos Analíticos</t>
  </si>
  <si>
    <t>Falta de una planeación adecuada de las actividades de entrenamiento del personal.
 - Cambio de personal o de actividades a desarrollar sin la actualización o generación de una nueva autorización.</t>
  </si>
  <si>
    <t>El coordinador o la persona designada del Grupo de Metrología en Análisis Químico de Materiales realiza un seguimiento a las actividades planeadas sobre capacitación del personal, dejando registro en el formato M-03-F-022 Plan de Gestión de laboratorios.</t>
  </si>
  <si>
    <t>Durante el trimestre comprendido entre enero a marzo no se presentaron desviaciones en las características de calidad de los lotes de materiales producidos por personal no cualificado. En el mes de marzo se revisaron las autorizaciones del personal del GCMQB de acuerdo con lo establecido en el Plan de Gestión de laboratorios, los demás Grupos Internos de Trabajo realizarán la resppectiva revisión y actualización en el segundo trimestre del año.</t>
  </si>
  <si>
    <t>Durante abril y junio no se presentaron desviaciones en las características de calidad de los lotes de materiales producidos por personal no cualificado. El personal de los l aboratorios se mentaiene en constante entrenamiento de acuerdo con lo establecido</t>
  </si>
  <si>
    <t>Durante los meses de julio a septiembre no se presentaron desviaciones en las características de calidad de los lotes de materiales producidos por personal no cualificado. El personal de los laboratorios se mantiene en constante entrenamiento de acuerdo con lo establecido en los formatos A-04-F-009.</t>
  </si>
  <si>
    <t>Los coordinadores de la SMQB garantizar que el personal se encuentre autorizado para las actividades que ejecuta según el plan de entrenamiento, dejando evidencia en el formato M-03-F-022 Plan de gestión de laboratorios y autorizaciones actualizadas.</t>
  </si>
  <si>
    <t xml:space="preserve">Durante el segundo trimestre no se presentaron desviaciones en las características de calidad de los lotes de materiales producidos por personal no cualificado. Entre abril y mayo se realizó la revisión y actualización de las autoriaciones del personal del GMMA, GMMA y GMS de acuerdo con lo establecido y registrado en el Plan de Gestión de Laboratorios </t>
  </si>
  <si>
    <t xml:space="preserve">Durante el tercer trimestre no se presentaron desviaciones en las características de calidad de los lotes de materiales producidos por personal no cualificado. Entre julio y septiembre no hubo producciones de MRC, pero se realizó la revisión y actualización de las autorizaciones del personal del GMMA, GCMQB y GMS de acuerdo con lo establecido y registrado en el Plan de Gestión de Laboratorios </t>
  </si>
  <si>
    <t>M03-R3</t>
  </si>
  <si>
    <t>Posibilidad de falta de estandarización en las actividades en los laboratorios por desconocimiento del personal sobre el sistema integrado de gestión  debido a falta de socialización de los cambios realizados a la documentación e inadecuada revisión periódica del cumplimiento de los requisitos.
Frecuencia: en total se cuenta con 40 colaboradores que realizan actividades en los laboratorios. Si se cuenta con un estimado de 200 días de labor con actividades de laboratorio, se estaría promediando un total de 8000 actividades al año</t>
  </si>
  <si>
    <t xml:space="preserve">Desconocimiento del sistema integrado de gestión de calidad por parte del personal </t>
  </si>
  <si>
    <t>Desconocimiento del personal de los requisitos establecidos y los cambios realizados a estos.
Falta de revisión periódica del cumplimiento de los requisitos.</t>
  </si>
  <si>
    <t>El personal de apoyo de calidad realiza o gestiona la realización de socializaciones del SIG para el personal de la SMQB, dejando evidencia en las evaluaciones de las socializaciones o en el plan de gestión de laboratorios.</t>
  </si>
  <si>
    <t>Durante el trimestre comprendido entre enero y marzo de 2025 no se ha evidenciado falta de estandarización en las actividades en los laboratorios por desconocimiento del personal sobre el Sistema integrado de gestión. Se realizó inducción a Solanggie Quintero y Nataly Rey, personal nuevo de la SMQB, así mismo se realizó socialización sobre el procedimeinto de Trabajo no conforme y el cambio del nuevo logo en la documentación.</t>
  </si>
  <si>
    <t>Durante el segundo semestre de 2025 no se ha evidenciado falta de estandarización en las actividades en los laboratorios por desconocimiento del personal sobre el Sistema integrado de gestión. Se realizó inducción a Karen Combita, nueva pasante de la SMQB.</t>
  </si>
  <si>
    <t xml:space="preserve">Durante el tercer semestre de 2025 no se ha evidenciado falta de estandarización en las actividades en los laboratorios por desconocimiento del personal sobre el Sistema integrado de gestión. En el mes de agosto se realizó la socialización de la nueva versión del Manual Técnico, procedimiento de subcontratación y formatos transversales de la SMQB.
Adicionalmente en 2025-09-18 se realizó la inducción general de la SMQB al secretario Dairo Javier Alfonso López </t>
  </si>
  <si>
    <t>Los supervisores de calidad asignados en el SMQB establece el grado de apropiación del SIG por parte del personal de la SMQB, dejando evidencia en el informe de supervisión de calidad de la SMQB y en el formato M-03-F-024 supervisión de la calidad.</t>
  </si>
  <si>
    <t>Durante el trimestre comprendido entre enero y marzo de 2025 no se ha evidenciado falta de estandarización en las actividades en los laboratorios por desconocimiento del personal sobre el Sistema integrado de gestión. Las supervisiones de calidad de los diferentes grupos estan programadas para el segundo trimestre del año.</t>
  </si>
  <si>
    <t>Durante el trimestre comprendido entre enero y marzo de 2025 no se ha evidenciado falta de estandarización en las actividades en los laboratorios por desconocimiento del personal sobre el Sistema integrado de gestión. como ejecución del control, se realizaron las supervisiones de calidad a cada uno de los 5 Grupos Internos de Trabajo con los que cuenta actualmente la SMQB.</t>
  </si>
  <si>
    <t xml:space="preserve">Durante el trimestre comprendido entre julio y septiembre de 2025 no se ha evidenciado falta de estandarización en las actividades en los laboratorios por desconocimiento del personal sobre el Sistema integrado de gestión. Los GIT están ejecutando los planes de mejoramiento de cada una de las supervisiones de calidad hechas en el segundo trimestre del año.
</t>
  </si>
  <si>
    <t>M03-R4</t>
  </si>
  <si>
    <t>Posibilidad de recibir quejas/reclamos y generar reprocesos por contaminación de los Materiales de Referencia debido al inadecuado lavado del material del laboratorio y deficiente limpieza de espacios para la producción de materiales
Frecuencia: en promedio se realizan 20 lotes de material de referencia al año</t>
  </si>
  <si>
    <t>Contaminación de Materiales de Referencia</t>
  </si>
  <si>
    <t>Lavado de material inadecuado y deficiente limpieza de espacios para la producción de materiales</t>
  </si>
  <si>
    <t>Los responsables de las producciones de Materiales de Referencia garantizan la limpieza de los elementos, espacios utilizados en la producción para evitar la contaminación cruzada de los diferentes MR, dejando evidencia en formato de preparación de MR y informe de producción.</t>
  </si>
  <si>
    <t>Durante el primer trimestre no se recibieron quejas/reclamos ni se generaron reprocesos por contaminación de los materiales de referencia debido al inadecuado lavado del material del laboratorio o deficiente limpieza de espacios. Para la preparación de los 3 materiales de referencia de Conductividad electrolítica y el de pH 9, se realizó la limpieza adecuada del material del laboratorio y de lso espacio utilizados en la producción, lo cual se puede evidenciar en los informes de producción de cada MR.</t>
  </si>
  <si>
    <t>Durante el primer trimestre no se recibieron quejas/reclamos ni se generaron reprocesos por contaminación de los materiales de referencia debido al inadecuado lavado del material del laboratorio o deficiente limpieza de espacios. Para la preparación de los siguientes Materiales de Referencia: pH 6.86, recertificación del calibrante de Pb, Recertificación del calibrante de Fe y la producción piloto de un Material de Referencia de Virus Respiratorios, para lso cuales  se realizó la limpieza adecuada del material del laboratorio y de los espacio utilizados en la producción, esto se puede evidenciar en los informes de producción de cada MR.</t>
  </si>
  <si>
    <t xml:space="preserve">Durante el tercer trimestre no se recibieron quejas/reclamos ni se generaron reprocesos por contaminación de los materiales de referencia debido al inadecuado lavado del material del laboratorio o deficiente limpieza de espacios. Para la preparación del ítem 25-INM-EA-04 se realizó la limpieza y sanitización de los laboratorios </t>
  </si>
  <si>
    <t>M03-R5</t>
  </si>
  <si>
    <t>Posibilidad de producir Materiales de Referencia que no cumplen con los estándares o requisitos establecidos por la imposibilidad de identificar adecuadamente el Material  debido a falta de información de la etiqueta del material, caída de la Etiqueta o información ilegible.
Frecuencia: en promedio se realizan 20 lotes de material de referencia al año</t>
  </si>
  <si>
    <t>Imposibilidad de identificar el contenido del recipiente del Material de Referencia a partir de la información de la etiqueta</t>
  </si>
  <si>
    <t>Información incompleta por parte de la persona que digita la datos del Material de Referencia
Caída de la Etiqueta o información ilegible</t>
  </si>
  <si>
    <t>Los supervisores de la producción asignados en la MTTC verifican las condiciones de las etiqueta de los MR producidos, dejando evidencia en el formato M-03-F-011 Supervisión de la producción de los MR</t>
  </si>
  <si>
    <t>Durante el trimestre comprendido entre enero y marzo no se presentaron incumplimientos con los estandares o requisitos establecidos por la imposibilidad de identificar adecuadamente el material debido a falta de información de la etiqueta, caída de la etiqueta o información ilegible. Las evidencias de las supervisiones de las producciones realizas en marzo se registraran en el segundo trimestre de 2025.</t>
  </si>
  <si>
    <t>Durante el trimestre comprendido entre abril y junio no se presentaron incumplimientos con los estandares o requisitos establecidos por la imposibilidad de identificar adecuadamente el material debido a falta de información de la etiqueta, caída de la etiqueta o información ilegible. Durante el segundo semestre se realizaron las siguientes supervisiones d ela producción: MR de conductividad electrolítica de 147 uS/cm, Conductividad electrolítica de 500 uS/cm y calibrante de Pb.</t>
  </si>
  <si>
    <t xml:space="preserve">Durante el trimestre comprendido entre julio y septiembre no se presentaron incumplimientos con los estandares o requisitos establecidos por la imposibilidad de identificar adecuadamente el material debido a falta de información de la etiqueta, caída de la etiqueta o información ilegible. Entre julio y septiembre se produjeron los ítem 25-INM-EC-02 y 25-INM-EA-04 y se realizó su respectiva supervisión. </t>
  </si>
  <si>
    <t>Los coordinadores SMQB y los responsables de la producción garantizan que el material de la etiqueta es compatible con el tipo de envase y las condiciones de almacenamiento; adicionalmente verificar que la información no se borre en las diferentes temperaturas de almacenamiento y manipulación, dejando evidencia de la actividad en el formato M-03-F-006 cadena de custodia y formatos de preparación de MR.</t>
  </si>
  <si>
    <t>Durante el trimestre comprendido entre enero y marzo no se presentaron incumplimientos con los estandares o requisitos establecidos por la imposibilidad de identificar adecuadamente el material debido a falta de información de la etiqueta, caída de la etiqueta o información ilegible. durante el trimestre se realizó el monitoreo de los MR que estan disponibles en la oferta revisando entre otroas apectos el estado de la etiquete y la información contenida en ella, dejando evidencia en cada una de las cadenas de custodia de los MR.</t>
  </si>
  <si>
    <t>Durante el trimestre comprendido entre abril y junio no se presentaron incumplimientos con los estandares o requisitos establecidos por la imposibilidad de identificar adecuadamente el material debido a falta de información de la etiqueta, caída de la etiqueta o información ilegible. durante el trimestre se realizó los siguientes monitoreos de loss MR: Piloto de INM-042-01 y INM-042-2, de todos los MR disponibles  a la venta, Calibrante de Fe, calibrantes Na, Mg, K, Ca (Gravimétrico), Calibrante de Na, Mg y K (FAAS), etanol en agua y elementos mayores en harina de arroz, dejando evidencia en cada una de las cadenas de custodia de los MR.</t>
  </si>
  <si>
    <t>Durante el trimestre comprendido entre julio y septiembre no se presentaron incumplimientos con los estandares o requisitos establecidos por la imposibilidad de identificar adecuadamente el material debido a falta de información de la etiqueta, caída de la etiqueta o información ilegible. Durante el trimestre se realizó el monitoreo al estado de los MRC disponibles para la venta. Estos son:
INM-014-1 Solución de Cadmio en HNO3 2 %
INM-004-1 Solución de óxido de holmio
INM-023-1 Solución de plomo en HNO3 2 %
INM-005-1 Solución calibrante de hierro Fe en HNO3 2 % 
INM-010-1 Solución calibrante de Ca en HNO3 2 %
INM-008-1 Solución calibrante de Na en HNO3 2 %
INM-001-3 pH= 9. solución acuosa de Na2B4O7.10H2O
INM-009-1 Solución calibrante de K en HNO3 2 %
INM-007-1 Solución calibrante de Mg en HNO3 2 %
INM-006-1 Solución calibrante de Zn en HNO3 2 %
INM-039-1 Hg en harina de pescado
INM-041-1 Cd, Hg y Pb en Tilapia
INM-027-1 Elementos mayores en harina de arroz
INM-029-1 EDTA Sal disodica dihidratada</t>
  </si>
  <si>
    <t>Los coordinadores SMQB y los responsables de producción deben asegurar que en la producción piloto exista evidencia que la etiqueta es compatible con el envase dejando evidencia en el informe de producción.</t>
  </si>
  <si>
    <t>Durante el trimestre comprendido entre enero y marzo no se presentaron incumplimientos con los estandares o requisitos establecidos por la imposibilidad de identificar adecuadamente el material debido a falta de información de la etiqueta, caída de la etiqueta o información ilegible. En el primer trimestre no Se realizaron producciones piloto y por lo tanto no fue necesario realizar estudios de compatibilidad de la etiqueta con el envase.</t>
  </si>
  <si>
    <t>Durante el trimestre comprendido entre abril y junio no se presentaron incumplimientos con los estandares o requisitos establecidos por la imposibilidad de identificar adecuadamente el material debido a falta de información de la etiqueta, caída de la etiqueta o información ilegible. En el primer trimestre se realizaron producciones piloto y no se presentaron casos de desprendimiento de la etiqueta.</t>
  </si>
  <si>
    <t>Durante el trimestre comprendido entre julio y septiembre no se presentaron incumplimientos con los estandares o requisitos establecidos por la imposibilidad de identificar adecuadamente el material debido a falta de información de la etiqueta, caída de la etiqueta o información ilegible. En el tercer trimestre se realizó la producción piloto del ítem de ensayo de aptitud 25-INM-EA-04  y no se presentaron casos de desprendimiento de la etiqueta.</t>
  </si>
  <si>
    <t>M03-R6</t>
  </si>
  <si>
    <t xml:space="preserve">Posibilidad de generación de trabajos no conformes  por errores en el valor asignado o en la incertidumbre del MR a producir, debido a insuficiente control de las producciones y desviaciones en el proceso de preparación </t>
  </si>
  <si>
    <t>Afectación en el valor asignado o en la incertidumbre del MR a producir</t>
  </si>
  <si>
    <t>Insuficiente control de las producciones.
Desviaciones en el proceso de preparación.</t>
  </si>
  <si>
    <t xml:space="preserve">     Entre 10 y 50 SMLMV </t>
  </si>
  <si>
    <t>Los responsables de la producciones piloto de cada MR identifican desviaciones y hacen pruebas en cada etapa de la producción previo a realizar una producción normalizada, dejando evidencia en el Informe de producción de MR y en el formato M-03-F-011 Supervisión de la producción</t>
  </si>
  <si>
    <t>Durante el primer trimestre no se han detectado o registrado Trabajos No Conformes debido a errores en el valor asignado o en la incertidumbre de medición del MR. No se han realizado producciones piloto entre los meses de enero a marzo y las supervisiones de producción se realizarán en en resto del año para evitar la materialización del riesgo</t>
  </si>
  <si>
    <t>Durante el segundo trimestre se materializó el riesgo, dado que se identificó y registró un Trabajo No Conforme debido a que durante los monitoreos para el material de agua potable se detectó que Molibdeno no estaba dentro de la incertidumbre declarada en los certificados. El control definido de las verificaciones durante la producción y a través de las supervisiones de la producción se realizaron; sin embargo, la situación se detecto despues de la producción al momento de realizar los monitoreos correspondientes. Este trabajo no conforme fue identificado con el código 25-L16-001 y se definio el correspondiente plan de mejoramiento el cual fue revisado y avalado por la OAP.</t>
  </si>
  <si>
    <t>Corrección 249</t>
  </si>
  <si>
    <t xml:space="preserve">Debido a que la fuente por la cual se materializa el riesgo es un trabajo no conforme, el seguimiento a la ejecución de las actividades que se establezcan en el plan de mejoramiento para dar tratamiento al trabajo no conforme, serán revisadas para validar que sean eficaces y eviten asi, nuevamente la materialización del riesgo. 
Esta revisión se realizará teniendo en cuenta lo establecido en el procedimiento E-02-P-003 Acciones correctivas y de mejora. 
Sin embargo, se sugiere evaluar incluir como punto de control los monitoreos posteriores a la producción. </t>
  </si>
  <si>
    <t xml:space="preserve">Durante el primer trimestre no se han detectado o registrado Trabajos No Conformes debido a errores en el valor asignado o en la incertidumbre de medición del MR. En el tercer trimestre se realizó la producción piloto del ítem de ensayo de aptitud 25-INM-EA-04  y se realizó la respectiva supervisión de producción
</t>
  </si>
  <si>
    <t xml:space="preserve">Posibilidad de generación de trabajos no conformes por errores en el valor asignado o en la incertidumbre del MR a producir, debido a insuficiente control de las producciones y desviaciones en el proceso de preparación </t>
  </si>
  <si>
    <t>Los responsables del proyecto de producción garantizan la calidad de los MR producidos cuando se presentan desviaciones a la planeación, dejando evidencia en el acta de la Mesa de Trabajo Técnica Científica tanto de los controles a implementar en la producciones futuras como del responsable de la implementación de dichas actividades (incluir lineamiento en el manual técnico donde se incluya el responsable y el documento en el que se registrará lo ocurrido y el control establecido).</t>
  </si>
  <si>
    <t>Durante el primer trimestre no se han detectado o registrado Trabajos No Conformes debido a errores en el valor asignado o en la incertidumbre de medición del MR. En las MTTC realizadas enter enero y marzo, no se han presentado desviaciones a las producciones realizadas, por lo tanto no se ha materializado el riesgo.</t>
  </si>
  <si>
    <t>Durante el segundo trimestre se materializó el riesgo, dado que se identificó y registró un Trabajo No Conforme debido a que durante los monitoreos para el material de agua potable se detectó que Molibdeno no estaba dentro de la incertidumbre declarada en los certificados; sin embargo se aplicó el control llevando a la MTTC el caso y presentandolo a sus integrantes, con el fin de conocer la situación y tomar las medidas necesarias, en este caso como corrección se retiraron los MR de la oferta y no se amplió la vigencia del MR, la evidenica quedó registrada en el acta 05-025 de la MTTC realizada en 2025-04-10.</t>
  </si>
  <si>
    <t xml:space="preserve">Para este caso se cuenta con evidencia de ejecución del control #2 para este riesgo. El mismo se materializa por otro motivo el cual, se describe en el seguimiento del control #1 realizado por parte del proceso. </t>
  </si>
  <si>
    <t>En el periodo de julio a septiembre no se han detectado o registrado Trabajos No Conformes debido a errores en el valor asignado o en la incertidumbre de medición del MR. Sin embdargo se presentaron a la MTTC la desviación en los planes de producción de los MRC INM-001-1, lote 250424 pH 6.86 (desvío de a incertudmbre estándar para la asignació del valor) y el MRC INM-002-7, lote 250327 CE 1400 uS/cm.</t>
  </si>
  <si>
    <t>M03-R7</t>
  </si>
  <si>
    <t>Posibilidad de reprocesos o recepción de quejas/reclamos  por información errónea o faltante en certificados/hoja de información de MR con errores o falta de información, debido a una inadecuada revisión de los certificados de los MR.</t>
  </si>
  <si>
    <t>Certificados/hoja de MR con errores o falta de información.</t>
  </si>
  <si>
    <t>Deficiencias en la revisión de los certificados de los MR.</t>
  </si>
  <si>
    <t>El subdirector de la SMQB garantiza que el contenido del certificado de un MR esté completo y cumpla con los requisitos del norma y SIG, dejando registro en el formato M-03-F-038 Revisión de certificados u hojas de MR.</t>
  </si>
  <si>
    <t>Durante el trimestre comprendido entre enero y marzo no se han presentado reprocesos, quejas/reclamos debido a información errones o falta de información en los certificados/hojas de información de los MR. En el primer trimestre no se han generado certificados de materiales de referencia y por lo tanto no ha sido necesario diligenciar el formato M-03-F-038 Revisión de certificados u hojas de MR, Se espera quue dicha actividad se realice en el sugundo trimestre para lso materiales de Conductividad electrolítica y pH 9.</t>
  </si>
  <si>
    <t xml:space="preserve">Durante el segundo trimestre se identificaron errores en los certificados del calibrantes de Fe y Pb, MR que aún se encuentran en la oferta del INM, en los cuales se encontró diferencias entre las temperaturas de almacenamiento y transporte, con respecto a los estudios a corto y largo plazo realizados para los MR. Lo anterior conlleva a reprocesos   por información errónea en los certificados de MR. Los errores fueron detectados mediante la auditoría realizada del 24 al 27 de junio, por lo tanto el plan de mejoramiento esta actualmente en elaboración.
</t>
  </si>
  <si>
    <t>Acción correctiva 385</t>
  </si>
  <si>
    <t xml:space="preserve">Debido a que la fuente por la cual se materializa el riesgo fue en la auditoría interna de ISO/IEC 17034:2016 para la SMQB, el seguimiento a la ejecución de las actividades que se establezcan en el plan de mejoramiento para dar tratamiento a la auditoría, serán revisadas para validar que sean eficaces y eviten asi, nuevamente la materialización del riesgo. 
Esta revisión se realizará teniendo en cuenta lo establecido en el procedimiento E-02-P-003 Acciones correctivas y de mejora. </t>
  </si>
  <si>
    <t>Durante el tercer trimestre del año se materializó un riesgo debido a que el certificado del MRC NM-041-1 tiene el código de certificado mal asignado. El control definido de las verificaciones durante la producción y a través de las supervisiones de la producción se realizaron; sin embargo, la situación se detectó después de la producción, mientras se realizaba la revisión de registros.</t>
  </si>
  <si>
    <t>Se está trabajando en la elaboración de la ficha de TNC</t>
  </si>
  <si>
    <t xml:space="preserve">En el marco del CIGD # 11 del 2025, se realiza la presentación de este riesgo materializado. No se presentan comentarios al respecto. Queda sin embargo, la respectiva gestión a realizar sobre el tratamiento de las actividades planteadas en el TNC. </t>
  </si>
  <si>
    <t>M03-R8</t>
  </si>
  <si>
    <t>Posibilidad de daño parcial o total del equipo o fallas en los instrumentos de medición utilizados en la producción de MR  por la manipulación o instalación inadecuada debido al desconocimiento del funcionamiento del equipo por parte del personal o la ausencia de condiciones técnicas requeridas por los equipos en la infraestructura
Frecuencia: los equipos se podrían clasificar de acuerdo su frecuencia de uso y tomar específicamente estos para ésta medición. Para este caso, contamos con 8 equipos que son los de mayor uso. Si se cuenta con un estimado de 200 días de labor con uso diario de equipos, se estaría promediando un total de 1600 actividades al año</t>
  </si>
  <si>
    <t>Falla en los equipos de medición para la producción de MR</t>
  </si>
  <si>
    <t>Manipulación inadecuada por desconocimiento del funcionamiento del equipo.
Ausencia de especificaciones técnicas para la adquisición del equipo de acuerdo a la infraestructura</t>
  </si>
  <si>
    <t xml:space="preserve">     Entre 50 y 100 SMLMV </t>
  </si>
  <si>
    <t>El subdirector y coordinadores de la SMQB garantiza la correcta manipulación de los equipos a través del entrenamiento del personal técnico, dejando evidencia en el formato A-04-F-009 Plan y evaluación del mantenimiento y desarrollo de las competencias del personal técnico</t>
  </si>
  <si>
    <t>Durante el primer trimestre de 2025 no se han reportado fallas en los equipos de medición para la producción de MR, debido a manipulación o instalación inadecuada por desconocimiento del funcionamiento por parte del personal. El personal de la SMQB recibe entrenamiento permanente en el uso de equipos, los cuales se registran en los formatos A-04-F-009 Plan de netrenbamiento y sus respectivos soportes.</t>
  </si>
  <si>
    <t>Durante el segundo trimestre de 2025, se presentó una falla en el equipo ICP en el mes de mayo durante la realización de las mediciones, donde se apagó el plasma y se  presentaron varios errores identificando que había un daño principal en uno de los compartimientos de la fuente de poder. Esta materialización del riesgo no se presento debido a una inadecuada manipulación del equipo por falta de competencia técnica del personal.</t>
  </si>
  <si>
    <t>Acción correctiva 140</t>
  </si>
  <si>
    <t xml:space="preserve">Se realizará el seguimiento a esta acción correctiva dado que desde allí se deben establecer las actividades pertinentes para validar que sean eficaces y eviten asi, nuevamente la materialización del riesgo. Adicionalmente, se sugiere reevaluar el riesgo para identificar más causas inmediatas y poder agregar más controles de ser necesario, para robustecer la actividad. </t>
  </si>
  <si>
    <t xml:space="preserve">Durante el tercer trimestre de 2025, se presentó una falla en el Espectrómetro de Fluorescencia de rayos X, el equipo estuvo fuera de servicio por todo el trimestre. La falla se presentó en el sistema de enfriamiento del espectrómetro el equipo por lo tanto no encedía; sin embargo, la materialización del riesgo no se presentó debido a una inadecuada manipulación del equipo por falta de competencia técnica del personal.
</t>
  </si>
  <si>
    <t>Corrección 256</t>
  </si>
  <si>
    <t xml:space="preserve">En el marco del CIGD # 11 del 2025, se realiza la presentación de este riesgo materializado. No se presentan comentarios al respecto. Queda sin embargo, la respectiva gestión a realizar sobre el tratamiento de las actividades planteadas en el TNC. 
</t>
  </si>
  <si>
    <t>El coordinador del grupo de servicios administrativos verificar que la infraestructura del INM sea la adecuada para la instalación de equipos antes de su adquisición, dejando evidencia en el formato A-07-P-001 Etapa Pre-Contractual</t>
  </si>
  <si>
    <t>Durante el primer trimestre de 2025 no se han reportado fallas en los equipos de medición para la producción de MR. enre enero y marzo no adquirí ningún equipo para la SMQB que requiriera la verificación de la infraestructura por parte de Servicios Administrativos, por lo tanto no se materializó el riesgo.</t>
  </si>
  <si>
    <t xml:space="preserve">Durante el segundo trimestre de 2025, se presentó una falla en el equipo ICP en el mes de mayo durante la realización de las mediciones, donde se apagó el plasma y se  presentaron varios errores identificando que había un daño principal en uno de los compartimientos de la fuente de poder. Dicha materialización no ocurrió debido a una inadecuada instalación del equipos, dado que la instalación fue realizada hace muchos años y al parecer la falla se presentó por años de uso del equipo. </t>
  </si>
  <si>
    <t xml:space="preserve"> Acción correctiva 140</t>
  </si>
  <si>
    <t xml:space="preserve">Durante el tercer trimestre de 2025, se presentó una falla en el Espectrómetro de Fluorescencia de rayos X, el equipo estuvo fuera de servicio por todo el trimestre. La falla se presentó en el sistema de enfriamiento del espectrómetro el equipo por lo tanto no encedía. Esta materialización del riesgo no se presentó debido a una inadecuada instalación del equipo.
</t>
  </si>
  <si>
    <t>M03-R9</t>
  </si>
  <si>
    <t>Posibilidad de generar trabajos no conformes, quejas/reclamos  por incumplimiento o fallas en las actividades subcontratadas (tercerizadas) para la producción de los MR,  debido a la inadecuada selección del subcontratista y falta de revisión /supervisión de las actividades realizadas por el subcontratista
Frecuencia: en promedio al año se realizan dos proceso de subcontratación para los procesos de producción de Materiales de Referencia</t>
  </si>
  <si>
    <t>Incumplimiento o fallas en las actividades subcontratadas (tercerizadas) para la producción de los MR</t>
  </si>
  <si>
    <t>Inadecuada selección del subcontratista.
Falta de revisión /supervisión de las actividades realizadas por el subcontratista</t>
  </si>
  <si>
    <t>Los responsables de la producción evalúan la competencia del subcontratista para las actividades de producción de materiales de referencia, dejando registro en el formato M-03-F-040 Selección de subcontratistas.</t>
  </si>
  <si>
    <t>Durante el trimestre no se reportaron incumplimientos o fallas en las actividades subcontratadas para la producción de MR. Durante los meses de enero a marzo no se generó la necesidad de realizar la selección ni evaluación de la competencia de subcontratistas, por lo tanto no se materializó el riesgo.</t>
  </si>
  <si>
    <t>Durante el trimestre no se reportaron incumplimientos o fallas en las actividades subcontratadas para la producción de MR. Durante los meses de abril a junio no se generó la necesidad de realizar la selección ni evaluación de la competencia de subcontratistas, por lo tanto no se materializó el riesgo.</t>
  </si>
  <si>
    <t xml:space="preserve">Durante el trimestre no se reportaron incumplimientos o fallas en las actividades subcontratadas para la producción de MR. Durante los meses de julio a septiembre se realizó la selección y evaluación de la competencia de los subcontratistas INS y Universidad Javeriana
</t>
  </si>
  <si>
    <t>Los responsables de la producción o supervisor de la producción garantizan la correcta ejecución de las actividades realizadas por el subcontratista, dejando evidencia en el formato A-07-F-038 Informe de supervisión o M-03-F-011 supervisión de la producción</t>
  </si>
  <si>
    <t>Durante el trimestre no se reportaron incumplimientos o fallas en las actividades subcontratadas para la producción de MR. durante los meses de enero a marzo no se generó la necesidad de realizar la selección ni evaluación de la competencia de subcontratistas, por lo tanto no se materializó el riesgo.</t>
  </si>
  <si>
    <t>Durante el trimestre no se reportaron incumplimientos o fallas en las actividades subcontratadas para la producción de MR. durante los meses de abril a junio no se generó la necesidad de realizar subcontratación, por lo tanto no se materializó el riesgo.</t>
  </si>
  <si>
    <t>M03-R10</t>
  </si>
  <si>
    <t>Posibilidad de pérdida de información por ataques o fallas de los sistemas informáticos debido a falta de generación de copias de respaldo  de manera efectiva.
Frecuencia: Se estima que el año tiene 240 días hábiles y se calcula que por lo menos cada colaborador ingresa 4 veces diarias a realizar consultas en internet.</t>
  </si>
  <si>
    <t xml:space="preserve">Ataques informáticos o fallas de los sistemas informáticos </t>
  </si>
  <si>
    <t>Falta de generación de copias de respaldo  de manera efectiva.</t>
  </si>
  <si>
    <t>Asistencia a las capacitaciones programadas por el grupo de la OIDT en cuanto a seguridad de la información.</t>
  </si>
  <si>
    <t xml:space="preserve">Durante el primer trimestre de 2025 no se presentó perdida de información por ataques o fallas de los sistemas informáticos debido a falta de generación de copias de respaldo de manera efectiva. </t>
  </si>
  <si>
    <t>Durante el primer trimestre de 2025 no se presentó perdida de información por ataques o fallas de los sistemas informáticos debido a falta de generación de copias de respaldo de manera efectiva. La OIDT realizó una capacitación sobre Lineamientos de seguridad de la información el día 2025-06-19, invitando al personal del INM</t>
  </si>
  <si>
    <t>Daisy Vásquez</t>
  </si>
  <si>
    <t>Durante julio y septiembre no se materializo el riesgo, el personal de la SMQB participo en la capacitación de seguridad de la información realizada en 2025-08-28, por parte de la OIDT.</t>
  </si>
  <si>
    <t>Se realizan backup periódico de la información de la información importante de los equipos de computo asociados a equipos de medición</t>
  </si>
  <si>
    <t>Durante el primer trimestre de 2025 no se presentó perdida de información por ataques o fallas de los sistemas informáticos debido a falta de generación de copias de respaldo de manera efectiva. De acuerdo con lo programado en el plan de gestión de laboratorios, en el mes de enero se realizaron copias de respaldo del ICP/MS Perkin Elmer NexION, el espectrofotómetro UV-Vis CARY 5000 y el espectrómetro de Fluorescencia de rayos X.</t>
  </si>
  <si>
    <t>Durante el segundo trimestre de 2025 no se presentó perdida de información por ataques o fallas de los sistemas informáticos debido a falta de generación de copias de respaldo de manera efectiva. De acuerdo con lo programado en el plan de gestión de laboratorios, durante los meses de abril a junio se realizaron copias de respaldo a 11 equipos de medición: Absorción atómica, ICPMS Perkin Elmer, espectrofotometros Cary 4000 y Cary 5000, densimetro Anton Paar Sistemas ddPCR QX 200 y QX 600, entre otros.</t>
  </si>
  <si>
    <t>Durante el tercer trimestre de 2025 no se presentó perdida de información por ataques o fallas de los sistemas informáticos debido a falta de generación de copias de respaldo de manera efectiva. De acuerdo con lo programado en el plan de gestión de laboratorios, durante los meses de julio a septiembre se realizaron copias de respaldo a 4 equipos de medición: espectrofotometros Cary 4000, Cary 5000, sistema ddQPCR QX200 y sistema ddQPCR QX600</t>
  </si>
  <si>
    <t>M03-R11</t>
  </si>
  <si>
    <t>Posibilidad de falta de accesibilidad a la información en el momento que se requiere por restricciones de uso de los recursos compartidos  debido a falta de solicitud de actualización de permisos de los funcionarios y contratistas.
Frecuencia: en la subdirección hay aproximadamente 43 personas, las cuales requieren permiso de acceso a los recursos compartidos.</t>
  </si>
  <si>
    <t>Fallas de conectividad en los diferentes softwares y aplicativos utilizados por la entidad</t>
  </si>
  <si>
    <t>Inconvenientes con el servicio de internet o en los servidores.</t>
  </si>
  <si>
    <t>Mantenimiento periódico de las redes y sistemas informáticos por parte del área encargada</t>
  </si>
  <si>
    <t>Mónica Gutiérrez - Enlace Calidad OIDT</t>
  </si>
  <si>
    <t>Se cuenta con el documento E-05-P-011 CONTROL DE ACCESO A LOS SERVICIOS TECNOLÓGICOS Y SISTEMAS DE INFORMACIÓN DEL INM V.02 (2023-06-31), publicado en ISOLUCION, el cual establece los lineamientos y procedimientos necesarios para asegurar que el acceso a los servicios tecnológicos y sistemas de información esté debidamente autorizado y alineado con los requisitos de los procesos y las políticas de Seguridad de la Información de la Entidad. El numeral 6.2 describe las políticas específicas para el control de acceso a la información.
De otra parte, el seguimiento a la prestación de servicios de proveedores de servicios críticos (aplicativos o conectividad) está en función de la locación principal del proveedor y alcance de los servicios ofertados. Las condiciones de calidad, aseguramiento de prestación de los servicios y atención a eventos no esperados se tramitan a través de mecanismos virtuales para la gestión de eventos o irregularidades disponibles en jornada contínua, matrices de escalamiento y acuerdos de prestación de servicios de mantenimiento ante situaciones no previstas. En casos en los que es posible, se exige la presentación de un informe de gestión previo al proceso de facturación, donde se demuestra el cumplimiento a los acuerdos pactados contractualmente para los servicios en recursos tecnológicos.</t>
  </si>
  <si>
    <t xml:space="preserve">Para el año en curso, se dispone del presupuesto para la ejecución de los mantenimientos preventivos a los equipos de computo, periféricos, servidores y switches. Estas labores se ejecutarán en el curso del segundo semestre del 2025. Actualmente se encuentra en proceso la etapa precontractual para estos servicios. </t>
  </si>
  <si>
    <t>Monica Gutierrez - Enlace de calidad OIDT</t>
  </si>
  <si>
    <t>Durante el tercer trimestre del año se desarrolló la etapa pre-contractual para la adquisición de los servicios de mantenimiento preventivo de los equipos tecnológicos administrados por la OIDT. A la fecha de este reporte, avanza el proceso de evaluación de proveedores, y se estima la programación de las actividades para el mes de noviembre de 2025.
Así mismo, durante el trimestre se efectuaron labores de mantenimiento a la infraestructura de seguridad y firewalls institucionales. El informe de resultados de esta intervención se presenta sin novedades relevantes. No obstante, se registraron algunas recomendaciones de actualización que actualmente se encuentran en gestión por parte del proveedor, quien deberá ejecutar las acciones de atención correspondientes.</t>
  </si>
  <si>
    <t xml:space="preserve">Una vez revisada la información registrada por parte de la primera línea de defensa, se identifica la necesidad de hacer seguimiento a la gestión de las actividades del proveedor. </t>
  </si>
  <si>
    <t>M05-R1</t>
  </si>
  <si>
    <t>(M-05)
Ensayos de Aptitud</t>
  </si>
  <si>
    <t>Posibilidad de afectación económica por baja participación de los laboratorios en Ensayos de Aptitud debido a debilidades e insuficiencia en la estrategia de comunicación y difusión de la oferta de servicios</t>
  </si>
  <si>
    <t>Falta de divulgación de la oferta de ensayos de aptitud del INM</t>
  </si>
  <si>
    <t xml:space="preserve">Debilidades e insuficiencia en la estrategia de comunicación y difusión de la oferta de servicios </t>
  </si>
  <si>
    <t>El profesional del Grupo de Asistencia Técnica donde pertenece el proceso de ensayos de aptitud o a quien designe debe hacer seguimiento a la oferta del ensayo de aptitud, mediante contacto directo con los posibles participantes por medio de correo electrónico.</t>
  </si>
  <si>
    <t>Daniel Mendoza
Lida Velandia
GIT EA</t>
  </si>
  <si>
    <t>Durante los meses enero,febrero y marzo el riesgo no se materializó porque se ha realizado el seguimiento a la oferta de ensayos de aptitud abiertos a la fecha, mediante contacto directo con posibles participantes por medio de correo electronico y llamadas telefonicas con apoyo de GGSM, estos ensayos de aptitud se encuentro en proceso de inscripción.</t>
  </si>
  <si>
    <t>Durante los meses abril, mayo y junio el riesgo no se materializó porque se ha realizado el seguimiento a la oferta de ensayos de aptitud abiertos a la fecha, mediante contacto directo con posibles participantes por medio de correo electronico y llamadas telefonicas con apoyo de GGSM, en este trimestre  se encuentran en ejecución 4 ensayos de aptitud con finalización para el segundo semestre.</t>
  </si>
  <si>
    <t>Durante los meses julio, agosto, septiembre el riesgo no se materializó porque se ha realizado el seguimiento a la oferta de ensayos de aptitud abiertos a la fecha, mediante contacto directo con posibles participantes por medio de correo electronico y llamadas telefonicas con apoyo de GGSM, en este trimestre  se encuentran en ejecución 5 ensayos de aptitud con finalización para el segundo semestre.</t>
  </si>
  <si>
    <t>El profesional del Grupo de Asistencia Técnica donde pertenece el proceso de ensayos de aptitud o a quien designe revisa y actualiza periódicamente la base de datos de interesados</t>
  </si>
  <si>
    <t>Durante los meses enero,febrero y marzo el riesgo no se materializó porque se ha mantenido actualizada la base de datos de la matriz de interesados.</t>
  </si>
  <si>
    <t>Durante los meses abril, mayo y junio el riesgo no se materializó porque se ha mantenido actualizada la base de datos de la matriz de interesados.</t>
  </si>
  <si>
    <t>Durante los meses julio, agosto y septiembre el riesgo no se materializó porque se ha mantenido actualizada la base de datos de la matriz de interesados.</t>
  </si>
  <si>
    <t>No se actualiza la base de datos de los interesados en los EA</t>
  </si>
  <si>
    <t>El profesional del Grupo de Asistencia Técnica donde pertenece el proceso de ensayos de aptitud o a quien designe realiza la solicitud de publicación del ensayo en la página web y redes sociales por medio de intranet o correo electrónico.</t>
  </si>
  <si>
    <t>Durante los meses enero,febrero y marzo el riesgo no se materializó porque se realizó la solicitud de la publicación de los ensayos de aptitud en la página web de ensayos de aptitud del INM y redes sociales.</t>
  </si>
  <si>
    <t>Durante los meses abril, mayo y junio el riesgo no se materializó porque se realizó la solicitud de la publicación de los ensayos de aptitud en la página web de ensayos de aptitud del INM y redes sociales.</t>
  </si>
  <si>
    <t>Durante los meses julio, agosto y septiembre el riesgo no se materializó porque se realizó la solicitud de la publicación de los ensayos de aptitud en la página web de ensayos de aptitud del INM y redes sociales.</t>
  </si>
  <si>
    <t>M05-R2</t>
  </si>
  <si>
    <t>Posibilidad de afectación reputacional por la generación de error en los valores calculados por parte del grupo técnico del EA en las hojas de cálculo usadas para el procesamiento debido a la falta de automatización en la captura de datos y procesamiento.</t>
  </si>
  <si>
    <t>Ausencia de un aplicativo que automatice los cálculos implicados en el desarrollo del ensayo de aptitud.</t>
  </si>
  <si>
    <t>Falta de automatización en la captura de datos y procesamiento.</t>
  </si>
  <si>
    <t xml:space="preserve">El profesional del Grupo de Asistencia Técnica donde pertenece el proceso de ensayos de aptitud o a quien designe realiza revisiones cruzadas en los cálculos de cada EA ejecutado a través de su respectiva hoja de calculo. </t>
  </si>
  <si>
    <t>Durante los meses enero,febrero y marzo el riesgo no se materializó porque aún no se han generado resultados en los ensayos de aptitud que se han iniciado.</t>
  </si>
  <si>
    <t>Durante los meses abril, mayo y junio el riesgo no se materializó porque aún no se han generado resultados en los ensayos de aptitud iniciados.</t>
  </si>
  <si>
    <t>Durante los meses julio, agosto y septiembre se realizó el análisis estadistico en las bases de datos de 3 ensayos de aptitud que se encuentran en esta etapa del proceso por parte de los expertos estadísticos con revisión y aprobación cruzada, no se materializó el riesgo.</t>
  </si>
  <si>
    <t>Insuficientes verificaciones, que permitan garantizar la detección de posibles errores en los cálculos</t>
  </si>
  <si>
    <t>El profesional del Grupo de Asistencia Técnica donde pertenece el proceso de ensayos de aptitud o a quien designe verifica los campos de las hojas de cálculo en cada ejecución de EA con el fin de validar su funcionamiento a través de la respectiva hoja de cálculo.</t>
  </si>
  <si>
    <t>Durante los meses abril, mayo y junio el riesgo no se materializó porque aún no se han generado resultados en los ensayos de aptitud que se han iniciado.</t>
  </si>
  <si>
    <t>Durante los meses julio, agosto y septiembre el riesgo no se materializó porque se realizó verificación en cada uno de los campos de las bases de datos de los 3 ensayos de aptitud que se encuentran en esta etapa del proceso junto con la verificación por medio del formato  lista verificación de protocolos e informes M-05-F-015, no se encontró fallas en la  automatización en la captura de datos y/o su procesamiento, no se materializó el riesgo.</t>
  </si>
  <si>
    <t>M05-R3</t>
  </si>
  <si>
    <t>Posibilidad de afectación reputacional por la generación de errores en los reportes de resultados por parte de los participantes en el ensayo de aptitud que evidencien el incumplimiento de los requisitos del numeral 4.6 de la ISO/IEC 17043 del INM como proveedor de EA, debido a la falta de rigurosidad en la revisión de los protocolos e instrucciones generados a los laboratorios para su participación y falta de verificación de los requisitos de participación.</t>
  </si>
  <si>
    <t>La información del protocolo e instrucciones para los participantes no son suficientemente claras</t>
  </si>
  <si>
    <t xml:space="preserve">Falta de rigurosidad en la revisión de los protocolos e instrucciones generados a los laboratorios para su participación en el EA y falta de verificación de los requisitos de participación. </t>
  </si>
  <si>
    <t>El profesional del Grupo de Asistencia Técnica donde pertenece el proceso de ensayos de aptitud o a quien designe solicita al experto técnico designado el diligenciamiento o revisión del protocolo final y sus anexos (instrucciones  e informe de resultados).</t>
  </si>
  <si>
    <t>Durante los meses enero,febrero y marzo el riesgo no se materializó porque se realizó la revisión del protocolo preliminar por parte del experto técnico de los ensayos aptitud correspondientes por solicitud mediante correo electrónico.</t>
  </si>
  <si>
    <t>Durante los meses abril, mayo y junio el riesgo no se materializó porque se realizó la revisión del protocolo y sus anexo por parte del experto técnico de los ensayos aptitud correspondientes sin reportar alguna novedad.</t>
  </si>
  <si>
    <t>Durante los meses julio, agosto y septiembre el riesgo no se materializó porque no se encontraron errores en los reportes de resultados por parte de los participantes en el ensayo de aptitud dada la rigurosidad de la revisión del protocolo final y sus anexos por parte del grupo técnico de cada ensayo de aptitud.</t>
  </si>
  <si>
    <t>Falta de competencia técnica del participante</t>
  </si>
  <si>
    <t xml:space="preserve">El profesional del Grupo de Asistencia Técnica donde pertenece el proceso de ensayos de aptitud o a quien designe  envía un correo a los participantes definiendo un tiempo para aclaración de dudas técnicas, tratamiento estadístico de resultados u operacionales según lo especificado en el protocolo final mediante correo electrónico. </t>
  </si>
  <si>
    <t>Durante los meses enero,febrero y marzo el riesgo no se materializó porque aún no se han generado protocolos finales en los ensayos de aptitud que se han iniciado.</t>
  </si>
  <si>
    <t>Durante los meses abril, mayo y junio el riesgo no se materializó porque se enviaron por correo electrónico a los laboratorios participantes los protocolos finales donde se especifica el tiempo para retroalimentar el documento enviado.</t>
  </si>
  <si>
    <t>Durante los meses julio, agosto y septiembre el riesgo no se materializó porque no se encontraron de errores en los reportes de resultados por parte de los participantes en el ensayo de aptitud ya que se les envío comunicación por correo definiendo los tiempos para aclaración de dudas técnicas con relación a la información del protocolo final y anexos en cada ensayo de aptitud.</t>
  </si>
  <si>
    <t>No cuentan con el sistema de medición adecuado para la participación.</t>
  </si>
  <si>
    <t>El profesional del Grupo de Asistencia Técnica donde pertenece el proceso de ensayos de aptitud o a quien designe revisa los protocolos en cuanto a que cuente con un lenguaje claro y requisitos de la NTC ISO/IEC 17043 por medio del formato de revisión (M-05-F-015).</t>
  </si>
  <si>
    <t>Durante los meses enero,febrero y marzo el riesgo no se materializó porque se realizó la revisión del protocolo preliminar mediante la lista de verificación para la revisión de protocolos e informes M-05-F-015.</t>
  </si>
  <si>
    <t>Durante los meses abril, mayo y junio el riesgo no se materializó porque se realizó la revisión de los protocolos mediante la lista de verificación para la revisión de protocolos e informes M-05-F-015.</t>
  </si>
  <si>
    <t>Durante los meses julio, agosto y septiembre el riesgo no se materializó porque no se encontraron errores en los reportes de resultados por parte de los participantes en el ensayo de aptitud dada la revisión de la lista verificación de protocolos e informes M-05-F-015 por parte de los integrantes del grupo EA en cada ensayo de aptitud.</t>
  </si>
  <si>
    <t>M05-R4</t>
  </si>
  <si>
    <t>Posibilidad de afectación reputacional por diseño del ensayo de aptitud inadecuado o incompleto debido a falta de conocimiento en la magnitud y de experiencia en el desarrollo de la etapa de diseño y planificación de un ensayo de aptitud.</t>
  </si>
  <si>
    <t>Falta de experiencia del personal en el desarrollo del ensayo de aptitud.</t>
  </si>
  <si>
    <t>Falta de conocimiento en la magnitud y de experiencia en el desarrollo de la etapa de diseño y planificación de un ensayo de aptitud</t>
  </si>
  <si>
    <t xml:space="preserve"> El profesional del Grupo de Asistencia Técnica donde pertenece el proceso de ensayos de aptitud o a quien designe verifica la idoneidad de los expertos a través de sus autorizaciones.</t>
  </si>
  <si>
    <t>Durante los meses enero,febrero y marzo el riesgo no se materializó porque se cuenta con las autorizaciones del Grupo técnico de cada uno de los ensayos de aptitud.</t>
  </si>
  <si>
    <t>Durante los meses abril, mayo y junio el riesgo no se materializó porque se cuenta con las autorizaciones de los integrantes del grupo técnico de los ensayos de aptitud.</t>
  </si>
  <si>
    <t>Durante los meses julio, agosto y septiembre el riesgo no se materializó porque el diseño del ensayo de aptitud fue adecuado, completo y se contó con el conocimiento en la magnitud y la experiencia en el desarrollo de la etapa de diseño y planificación  de los integrantes del grupo técnico de cada ensayo de aptitud por medio de la verificación de su idoneidad en las autorizaciones respectivas.</t>
  </si>
  <si>
    <t>Falta de conocimiento de la magnitud especifica.</t>
  </si>
  <si>
    <t xml:space="preserve"> El profesional del Grupo de Asistencia Técnica donde pertenece el proceso de ensayos de aptitud o a quien designe   solicita a los subdirectores de cada dependencia el apoyo de los expertos técnicos para cada ensayo de aptitud a inicio de la vigencia a través de correo electrónico  .</t>
  </si>
  <si>
    <t>Durante los meses enero,febrero y marzo el riesgo no se materializó porque se realizó la solicitud de autorización de apoyo de expertos técnicos para cada ensayo de aptitud al subdirector respectivo con respectiva respuesta de aprobación.</t>
  </si>
  <si>
    <t>Durante los meses abril, mayo y junio el riesgo no se materializó porque se realizó la solicitud de autorización de apoyo de expertos técnicos para cada ensayo de aptitud al subdirector respectivo con respectiva respuesta de aprobación.</t>
  </si>
  <si>
    <t>Durante los meses julio, agosto y septiembre el riesgo no se materializó porque el diseño del ensayo de aptitud fue adecuado, completo y se contó con el conocimiento en la magnitud y la experiencia en el desarrollo de la etapa de diseño y planificación  de los integrantes del grupo técnico de cada ensayo de aptitud dado que se solicitó por correo electrónico la designación de expertos por cada subdirector.</t>
  </si>
  <si>
    <t xml:space="preserve">No son claros los criterios en el formato de diseño y planificación del EA </t>
  </si>
  <si>
    <t xml:space="preserve"> El profesional del Grupo de Asistencia Técnica donde pertenece el proceso de ensayos de aptitud o a quien designe  revisa y ajusta (en el caso que sea pertinente) el formato de diseño y planificación M-05-F-011 y el Instructivo de Diseño y planificación del EA (M-05-I-001) en aplicativo ISOLUCION. Posteriormente verificar que el formato M-05-F-011 se encuentre debidamente diligenciado para que EA ofertado en la vigencia.
</t>
  </si>
  <si>
    <t>Durante los meses enero,febrero y marzo el riesgo no se materializó porque se ha diligenciado por el grupo técnico del ensayo de aptitud el formato diseño y planificación M-05-F-011 de acuerdo con lo establecido en el instructivo de Diseño y planificación M-05-I-001.</t>
  </si>
  <si>
    <t>Durante los meses abril, mayo y junio el riesgo no se materializó porque se ha diligenciado por el grupo técnico del ensayo de aptitud el formato diseño y planificación M-05-F-011 de acuerdo con lo establecido en el instructivo de Diseño y planificación M-05-I-001.</t>
  </si>
  <si>
    <t>Durante los meses julio, agosto y septiembre el riesgo no se materializó porque el diseño del ensayo de aptitud fue adecuado, completo y se contó con el conocimiento en la magnitud y la experiencia en el desarrollo de la etapa de diseño y planificación  de los integrantes del grupo técnico de cada ensayo de aptitud dando que se revisa el formato de diseño y planificación M-05-F-011 de acuerdo a lo establecido en el instructivo M-05-I-001 de ISOLUCION.</t>
  </si>
  <si>
    <t xml:space="preserve"> El profesional del Grupo de Asistencia Técnica donde pertenece el proceso de ensayos de aptitud o a quien designe verifica que el laboratorio que asignará el valor cuente con un método validado a través del diligenciamiento del formato de diseño y planificación M-05-F-011.</t>
  </si>
  <si>
    <t>Durante los meses enero,febrero y marzo el riesgo no se materializó porque se realizó el diligenciamiento del formato diseño y planificación M-05-F-011 de acuerdo con lo establecido en el instructivo de Diseño y planificación M-05-I-001 que el laboratorio de referencia cuente con un método validado para asignación de valor.</t>
  </si>
  <si>
    <t>Durante los meses abril, mayo y junio el riesgo no se materializó porque se realizó el diligenciamiento del formato diseño y planificación M-05-F-011 de acuerdo con lo establecido en el instructivo de Diseño y planificación M-05-I-001 que el laboratorio de referencia cuente con un método validado para asignación de valor.</t>
  </si>
  <si>
    <t>Durante los meses julio, agosto y septiembre el riesgo no se materializó porque el diseño del ensayo de aptitud fue adecuado, completo y se contó con el conocimiento en la magnitud y la experiencia en el desarrollo de la etapa de diseño y planificación  de los integrantes del grupo técnico de cada ensayo de aptitud dando que se verifica que los métodos estén validados por el laboratorio de refencia de acuerdo a lo establecido en la norma.</t>
  </si>
  <si>
    <t>M05-R5</t>
  </si>
  <si>
    <t>Posibilidad de afectación reputacional por Incumplimiento del tiempo pactado para la entrega del Informe final debido a Inadecuada planificación que considere factores externos e internos para el desarrollo de los EA.</t>
  </si>
  <si>
    <t xml:space="preserve">Factores  externos que se presentan en la ejecución del EA   en la ejecución del ejercicio </t>
  </si>
  <si>
    <t>Inadecuada planificación que considere factores externos e internos para el desarrollo de los EA.</t>
  </si>
  <si>
    <t xml:space="preserve"> El profesional del Grupo de Asistencia Técnica donde pertenece el proceso de ensayos de aptitud o a quien designe realiza el seguimiento a las fechas de emisión de protocolos e informes a través de Google calendar. </t>
  </si>
  <si>
    <t>Durante los meses enero,febrero y marzo el riesgo no se materializó porque se realiza seguimiento por el planner.</t>
  </si>
  <si>
    <t>Durante los meses abril, mayo y junio el riesgo no se materializó porque se realiza seguimiento por el planner.</t>
  </si>
  <si>
    <t>Durante los meses julio, agosto y septiembre el riesgo no se materializó porque se dió entrega a los informes finales de 3 ensayos de aptitud de acuerdo a la planificación de acuerdo con los requisitos de la norma ISO/IEC 17043, a través del seguimiento por planner de Microsoft.</t>
  </si>
  <si>
    <t>Inadecuada planificación interna de la ejecución del ensayo de aptitud</t>
  </si>
  <si>
    <t xml:space="preserve">El profesional del Grupo de Asistencia Técnica donde pertenece el proceso de ensayos de aptitud o a quien designe revisa los posibles riesgos de ejecución de los ensayos de aptitud y considera plazos adicionales en el formato de diseño y planificación (M-05-F-011). </t>
  </si>
  <si>
    <t xml:space="preserve">Durante los meses enero,febrero y marzo el riesgo no se materializó porque se identificaron los posible riesgos en ejecución del ensayo de aptitud en el momento </t>
  </si>
  <si>
    <t>Durante los meses abril, mayo y junio el riesgo no se materializó porque los ensayos de aptitud se encuentran en proceso ejecución, no se han emitido informes finales por lo que no ha sido necesario realizar ajustes al cronograma.</t>
  </si>
  <si>
    <t>Durante los meses julio, agosto y septiembre el riesgo no se materializó porque se dió entrega a los informes finales de 3 ensayos de aptitud de acuerdo a la planificación de acuerdo con los requisitos de la norma ISO/IEC 17043, dado que se revisan los riesgos considerando la modificación al cronograma de cada EA.</t>
  </si>
  <si>
    <t xml:space="preserve"> El profesional del Grupo de Asistencia Técnica donde pertenece el proceso de ensayos de aptitud o a quien designe envía una comunicación al cliente por correo electrónico cuando se presenten modificaciones al cronograma.</t>
  </si>
  <si>
    <t>Durante los meses enero,febrero y marzo el riesgo no se materializó porque los ensayos de aptitdu se encuentran en proceso de inscripción de los participantes, por lo que no ha sido necesario realizar ajustes al cronograma."</t>
  </si>
  <si>
    <t>Durante los meses julio, agosto y septiembre el riesgo no se materializó porque se dió entrega a los informes finales de 3 ensayos de aptitud de acuerdo a la planificación de acuerdo con los requisitos de la norma ISO/IEC 17043, a través del envío al cliente por correo electrónico informando la modificación de las fechas.</t>
  </si>
  <si>
    <t>M05-R6</t>
  </si>
  <si>
    <t>Posibilidad de afectación económica y reputacional por suspensión del ensayo de aptitud debido a la afectación de la integridad del Ítem de EA (falta de estabilidad,  daño o avería, entre otros) debido a debilidades en la definición de estrategias de cuidado, conservación de estabilidad del ítem durante el desarrollo del EA y  falta de competencia del laboratorio participante del EA.</t>
  </si>
  <si>
    <t xml:space="preserve">Falta claridad en las instrucciones de almacenamiento, manejo o transporte del ítem </t>
  </si>
  <si>
    <t xml:space="preserve">Debilidades en la definición de estrategias de cuidado, conservación de estabilidad del ítem durante el desarrollo del EA y  falta de competencia del laboratorio participante del EA. </t>
  </si>
  <si>
    <t xml:space="preserve">     Afectación menor a 10 SMLMV .</t>
  </si>
  <si>
    <t xml:space="preserve">El profesional del Grupo de Asistencia Técnica donde pertenece el proceso de ensayos de aptitud o a quien designe solicita al experto técnico designado el diligenciamiento o revisión del protocolo final y sus anexo 1 especificaciones manipulación, transporte y almacenamiento del ítem. </t>
  </si>
  <si>
    <t>Durante los meses abril, mayo y junio el riesgo no se materializó porque se realizaron los estudios de estabilidad y compatibilidad en los ensayos de aptitud por lo cual se evidencia que la integridad de item de EA no se afecto al cumplir las instrucciones de almacenamiento, manejo y transporte de los ítems. Adicional a esto se evidencia que la manipulación del ítem no generó cambios en las características del IEA.</t>
  </si>
  <si>
    <t>Durante los meses julio, agosto y septiembre el riesgo no se materializó porque no se presentó suspensión de ensayos de aptitud debido a la afectación de la integridad del IEA, dado que el grupo técnico realizó la revisión del protocolo final y anexos 1 de manipulación, transporte y almacenamiento del IEA antes del inicio de las mediciones por parte de los participantes.</t>
  </si>
  <si>
    <t xml:space="preserve">El tiempo de estudio de caracterización del ítem no fue suficiente según lo definido en la planificación. </t>
  </si>
  <si>
    <t>El profesional del Grupo de Asistencia Técnica donde pertenece el proceso de ensayos de aptitud o a quien designe realiza el análisis de estabilidad del ítem durante el desarrollo del EA según los tiempos definidos en la planificación. En el caso de detectar falta de estabilidad o variación en la misma, se evalúa la realización de comprobaciones adicionales durante la ronda.</t>
  </si>
  <si>
    <t>Durante los meses de enero, febrero y marzo, el riesgo no se materializó, ya que en los ensayos de aptitud iniciados aún no se han generado caracterizaciones de IEA, conforme a lo establecido en el diseño y planificación.</t>
  </si>
  <si>
    <t>Durante los meses de abril, mayo y junio, el riesgo no se materializó, ya que en los ensayos de aptitud iniciados las caracterizaciones de IEA, cumplieron con con la estabilidad y compatibilidad requerida en el diseño y planificación.</t>
  </si>
  <si>
    <t>Durante los meses julio, agosto y septiembre el riesgo no se materializó porque no se presentó suspensión de ensayos de aptitud debido a la afectación de la integridad del IEA, dado que el laboratorio de referencia cuenta con análisis de estabilidad, compatibilidad y homogenedidad cuando aplique.</t>
  </si>
  <si>
    <t>Incumplimiento  de las instrucciones de almacenamiento, manejo o transporte del ítem por parte del laboratorio participante</t>
  </si>
  <si>
    <t xml:space="preserve">El profesional del Grupo de Asistencia Técnica donde pertenece el proceso de ensayos de aptitud o a quien designe  revisa que los laboratorios que se inscriben en los EA cumplan con los requisitos de participación definidos en el protocolo preliminar, esta verificación se registra en el formato Revisión de Documentos M-05-F-014 para cada EA. </t>
  </si>
  <si>
    <t>Durante enero, febrero y marzo, el riesgo no se materializó, dado que los ensayos de aptitud están en etapa de inscripción y aún no se han registrado laboratorios participantes, conforme a los tiempos establecidos en el diseño y planificación de cada EA.</t>
  </si>
  <si>
    <t>Durante los meses abril, mayo y junio el riesgo no se materializó porque porque se realizaron los estudios de estabilidad y compatibilidad en los ensayos de aptitud realizados por lo cual se evidencia que las instrucciones de almacenamiento, manejo y trasnporte de los ítems fueron efectivos. Adicional a esto se evidencia que la manipulación del ítem no generó cambios de calibración.</t>
  </si>
  <si>
    <t>Durante los meses julio, agosto y septiembre el riesgo no se materializó porque no se presentó suspensión de ensayos de aptitud debido a la afectación de la integridad del IEA, dado que se revisa el cumplimiento de requisitos por parte de los laboratorios participantes establecidos en el protocolo preliminar regisrando dicha información en la pestaña 1 del formato seguimiento de operación y seguimiento M-05-F-012</t>
  </si>
  <si>
    <t>M05-R7</t>
  </si>
  <si>
    <t>Posibilidad de afectación reputacional por falta de Imparcialidad y conflicto de intereses debido a la no identificación desde la etapa de diseño y planificación del EA.</t>
  </si>
  <si>
    <t>Existen intereses particulares del grupo técnico y demás involucrados (entidades patrocinadoras, alta dirección, entre otros) en la evaluación de desempeño de los laboratorios participantes.</t>
  </si>
  <si>
    <t xml:space="preserve">Falta identificación de existencia de conflicto de interés según personal involucrado  desde la etapa diseño y planificación del EA  </t>
  </si>
  <si>
    <t>Fraude Interno</t>
  </si>
  <si>
    <t>Fraude</t>
  </si>
  <si>
    <t xml:space="preserve">El profesional del Grupo de Asistencia Técnica donde pertenece el proceso de ensayos de aptitud o a quien designe  indaga desde la etapa de diseño y planificación del EA la posible existencia de conflicto de interés en el grupo técnico o entidades patrocinadoras por medio del formato M-05-F-011. </t>
  </si>
  <si>
    <t>Durante enero, febrero y marzo, el riesgo no se materializó, dado que en la etapa de diseño y planificación de cada uno de los ensayos de aptitud inciados se identifico la posible existencia de conflicto de interés en el grupo técnico o entidades patrocinadoras por medio del diligenciamiento del formato M-05-F-011.</t>
  </si>
  <si>
    <t>Durante abril, mayo y junio, el riesgo no se materializó, dado que en la etapa de diseño y planificación de cada uno de los ensayos de aptitud inciados se identifico la posible existencia de conflicto de interés e imparcialidad en el grupo técnico o entidades patrocinadoras por medio del diligenciamiento del formato M-05-F-011.</t>
  </si>
  <si>
    <t>Durante los meses de julio, agosto y septiembre, el riesgo no se materializó, dado que en la etapa de diseño y planificación de cada uno de los ensayos de aptitud inciados se identifico la posible existencia de conflicto de interés e imparcialidad en el grupo técnico o entidades patrocinadoras por medio del diligenciamiento del formato M-05-F-011.</t>
  </si>
  <si>
    <t>No se identifica desde la planificación la posibilidad de existencia de conflicto de interés según los involucrados en el desarrollo del EA</t>
  </si>
  <si>
    <t xml:space="preserve">El profesional del Grupo de Asistencia Técnica donde pertenece el proceso de ensayos de aptitud o a quien designe declara la eventualidad en el caso que se presenten situaciones de conflicto de interés,  para darle un tratamiento adecuado de acuerdo a los lineamientos establecidos por el INM. </t>
  </si>
  <si>
    <t xml:space="preserve">
Durante enero, febrero y marzo, el riesgo no se materializó, ya que no se presentaron situaciones de conflicto de intereses.</t>
  </si>
  <si>
    <t>Durante los meses abril, mayo y junio el riesgo no se materializó porque desde el diseño y planificación de los ensayos de aptitud que se han iniciado se identificó que no hay conflicto de intereses ni peligro de imparcialidad desde el grupo técnico.</t>
  </si>
  <si>
    <t>Durante los meses julio, agosto y septiembre el riesgo no se materializó porque desde el diseño y planificación de los ensayos de aptitud que se han iniciado se identificó que no hay conflicto de intereses ni peligro de imparcialidad desde el grupo técnico.</t>
  </si>
  <si>
    <t xml:space="preserve">El profesional del Grupo de Asistencia Técnica donde pertenece el proceso de ensayos de aptitud o a quien designe realiza seguimiento al proceso de codificación del laboratorio participante y verifica que la información entregada al experto técnico conserve la amonificación de datos  de acuerdo con los lineamientos establecidos por el proceso de ensayo de aptitud para este tema. </t>
  </si>
  <si>
    <t>Durante los meses enero,febrero y marzo el riesgo no se materializó porque aún no se han generado inscripciones de participantes en los ensayos de aptitud que se han iniciado.</t>
  </si>
  <si>
    <t>Durante los meses abril, mayo y junio el riesgo no se materializó porque desde el diseño y planificación de los ensayos de aptitud que se han iniciado se identificó que no hay conflicto de intereses ni peligro de imparcialidad desde el grupo técnico con relación al proceso de codificacion de los laboratorios participantes.</t>
  </si>
  <si>
    <t>Durante los meses julio, agosto y septiembre el riesgo no se materializó porque desde el diseño y planificación de los ensayos de aptitud que se han iniciado se identificó la anonimización de los participantes por medio de los códigos de los participantes que evitan conflicto de intereses e imparcialidad desde el grupo técnico.</t>
  </si>
  <si>
    <t>M05-R8</t>
  </si>
  <si>
    <t>Posibilidad de afectación reputacional por  errores en la emisión del informe final debido a Inadecuada revisión (errores en la transcripción, entre otros)</t>
  </si>
  <si>
    <t>Desconocimiento sobre la norma ISO/IEC 17043 en cuanto a los componentes que debe tener la realización de informes de ensayo de aptitud (Numeral 4.8)
Tiempo insuficiente para la revisión del informe final.</t>
  </si>
  <si>
    <t>Inadecuada revisión del informe final (errores en la transcripción, entre otros)</t>
  </si>
  <si>
    <t>El profesional del Grupo de Asistencia Técnica donde pertenece el proceso de ensayos de aptitud o a quien designe realiza la revisión de los informes preliminares y finales haciendo uso de la lista de verificación para la revisión de protocolos e informes M-05-F-015.</t>
  </si>
  <si>
    <t>Durante los meses enero,febrero y marzo el riesgo no se materializó, porque aún no se han generado informes preliminares y finales en los ensayos de aptitud que se han iniciado.</t>
  </si>
  <si>
    <t>Durante los meses abril, mayo y junio el riesgo no se materializó, porque aún no se han generado informes finales en los ensayos de aptitud que se han iniciado.</t>
  </si>
  <si>
    <t xml:space="preserve">Durante los meses julio, agosto y septiembre el riesgo no se materializó, porque se diligenciaron las lista de verificación de forma cruzada de cada ensayo de aptitud para preliminares y finales. </t>
  </si>
  <si>
    <t>M05-R9</t>
  </si>
  <si>
    <t>Posibilidad de afectación reputacional y económica por subcontratación de servicios que no cumplan requisitos técnicos  debido a insuficiencia o falta de aplicación  de criterios en la selección de subcontratistas</t>
  </si>
  <si>
    <t>No aplicar criterios en la selección de subcontratistas
Insuficiente oferta de subcontratistas competentes</t>
  </si>
  <si>
    <t>Insuficiente o falta de aplicación   criterios en la selección de subcontratistas</t>
  </si>
  <si>
    <t>El profesional del Grupo de Asistencia Técnica donde pertenece el proceso de ensayos de aptitud o a quien designe aplica en el caso que se realice una subcontratación de una actividad, la lista de chequeo M-05-F-019 según los lineamientos establecidos en el instructivo de subcontratación M-05-I-005.</t>
  </si>
  <si>
    <t>Durante los meses enero,febrero y marzo el riesgo no se materializó, ya que en los ensayos de aptitud iniciados durante ese período no fue necesario contratar productos ni servicios externos.</t>
  </si>
  <si>
    <t>Durante los meses abril, mayo y junio el riesgo no se materializó, ya que en los ensayos de aptitud iniciados durante ese período no fue necesario contratar productos ni servicios externos.</t>
  </si>
  <si>
    <t>Durante los meses julio, agosto y septiembre el riesgo no se materializó, porque para los procesos de contratación de servicios o productos de los ensayos de aptitud que aplique se diligenciaron las lista de chequeo M-05-F-019 segun los lineamientos del manual de ensayos de aptitud M-05-M-001</t>
  </si>
  <si>
    <t>M02-R1</t>
  </si>
  <si>
    <t>(M-02)
Capacitación, Formación y Cultura Metrológica</t>
  </si>
  <si>
    <t>Posible afectación económica y reputacional, por no dictar las capacitaciones programadas, debido a fallas en la planificación y provisión de aspectos administrativos o técnicos requeridos, bajo responsabilidad del INM.</t>
  </si>
  <si>
    <t>Los cursos de capacitación no se dictan por situaciones fortuitas de resorte del INM.</t>
  </si>
  <si>
    <t>Cruce de actividades de responsables de laboratorio que afectan la realización de los cursos programados</t>
  </si>
  <si>
    <t>Mensualmente la Coordinadora del GGSM solicita al inicio de cada vigencia a los Subdirectores, la designación formal de al menos un (1) capacitador principal y un (1) suplente para cada uno de los cursos que forman parte de la oferta del INM. Una vez recibida la respuesta, se verifica que todos los cursos cuenten con capacitador principal y suplente. Lo anterior debe garantizar el cumplimiento de la programación anual de las capacitaciones.</t>
  </si>
  <si>
    <t>Sebastian Gil
Edgar Pinilla</t>
  </si>
  <si>
    <t>Se realizaron las dos capacitaciones de acuerdo a la programación establecida para el primer trimestre de la vigencia 2025</t>
  </si>
  <si>
    <t>Sebastian Gil
Juan Bernal</t>
  </si>
  <si>
    <t xml:space="preserve">
Se realizan las 9 capacitaciones de acuerdo a la programación establecida para el segundo trimestre.
¿Se identificó algún hallazgo para su proceso desde la auditoría de control interno?
Si, se identificó un hallazgo desde la auditoría de control interno al proceso, relacionado con el control. Sin embargo, al realizar el análisis de la redacción del riesgo con relación a la imposibilidad de prestar el servicio de capacitación, se encuentra que no se afectaron las capacitaciones programadas y ejecutadas. Hubo falla en la ejecución del control dado que no siempre se cuenta con el personal suficiente para cubrir el rol de suplente en cada curso. Si bien no hubo personal para cubrir este rol, si se prestaron las capacitaciones programadas y no se presentaron PQRSDF.</t>
  </si>
  <si>
    <t xml:space="preserve">Auditoria interna realizada por parte de la oficina de control interno al proceso, Plan de mejora 122 (NC# 1 del informe de auditoría de control interno) sobre el cual se realizará el monitoreo respectivo a este riesgo. </t>
  </si>
  <si>
    <t>Juan Andres Bernal Fino</t>
  </si>
  <si>
    <t xml:space="preserve">No se presentaron no conformidades ni trabajos no conformes en el trimestre.  
Se tenian programadas por parrilla 8 capacitaciones de las cuales se ejecutaron 7 y se reprogramó 1 por falta de inscritos Mínimos ("M. Par torsional").  Por demanda se programaron 2 adicionales ("Desarrollo de MR in House" y "Validación metodos Cualitativos").   En total se ejecutaron 9 capacitaciones. 
</t>
  </si>
  <si>
    <t>M02-R2</t>
  </si>
  <si>
    <t>Posible pérdida económica y reputacional por incumplimiento con características de calidad previstas como instalaciones, contenidos, competencia técnica de los instructores, debido a deficiencias en la adecuada planificación de los recursos técnicos y logísticos  para el desarrollo de los cursos de metrología y ausencia en la definición y verificación de las competencias técnicas por parte de los instructores</t>
  </si>
  <si>
    <t>Los cursos de capacitación no cumplen con características de calidad previstas como instalaciones, contenidos, competencia técnica de los instructores.</t>
  </si>
  <si>
    <t>Deficiencias en la adecuada planificación de los recursos técnicos y logísticos para el desarrollo de los cursos de metrología
Ausencia en la definición y verificación de las competencias técnicas por parte de los instructores.</t>
  </si>
  <si>
    <t>El mes de noviembre de la vigencia anterior la Coordinadora del GGSM envía un comunicado a las áreas responsables con la programación de los cursos para que estas mismas garanticen la provisión de los recursos, de acuerdo a su competencia.</t>
  </si>
  <si>
    <t>Desde el ultimo bimestre de la vigencia anterior, se realizó la programación de las capacitaciones para la vigencia 2025. Esto ha permitido la adquisición de los recursos materiales y logisticos requeridos para el desarrollo de los cursos.</t>
  </si>
  <si>
    <t>De acuerdo a las encuestas de satisfacción de servicio de las capacitaciones frente al componente técnico la calificación obtenida es en promedio superior a los 4.5 de 5, indicando que se cumple con la competencia técnica por parte de los capacitadores. No se ha requerido una nueva asignación tanto de recursos materiales y espacios diferentes a los definidos en el ultimo bimestre del año 2024.</t>
  </si>
  <si>
    <t>Sebastían Gil</t>
  </si>
  <si>
    <t>De acuerdo a las encuestas de satisfacción de servicio de las capacitaciones frente al componente técnico la calificación obtenida es en promedio superior a 4,7 de 5, indicando que se cumple con la competencia técnica por parte de los capacitadores. No se ha requerido una nueva asignación tanto de recursos materiales y espacios diferentes a los definidos para la presente vigencia.</t>
  </si>
  <si>
    <t>El mes de noviembre de la vigencia anterior la Coordinadora del GGSM envía un comunicado a las áreas responsables con la programación de los cursos para que estas mismas garanticen la provisión de los capacitadores, tanto principales como suplentes.</t>
  </si>
  <si>
    <t>Desde el último bimestre de la vigencia anterior, se realizó la programación de las capacitaciones para la vigencia 2025. Esto ha permitido la designación de los expertos técnicos competentes para el desarrollo de los cursos.</t>
  </si>
  <si>
    <t xml:space="preserve">
De acuerdo a las encuestas de satisfacción de servicio de las capacitaciones frente al componente técnico la calificación obtenida es en promedio superior a los 4.5 de 5, indicando que se cumple con la competencia técnica por parte de los capacitadores. No se ha requerido una nueva asignación de técnicos diferentes a los definidos en el ultimo bimestre del año 2024.</t>
  </si>
  <si>
    <t xml:space="preserve">
De acuerdo a las encuestas de satisfacción de servicio de las capacitaciones frente al componente técnico la calificación obtenida es en promedio superior a 4,7 de 5, indicando que se cumple con la competencia técnica por parte de los capacitadores. No se ha requerido una nueva asignación tanto de recursos materiales y espacios diferentes a los definidos para la presente vigencia.</t>
  </si>
  <si>
    <t>M02-R3</t>
  </si>
  <si>
    <t>Posible pérdida económica y reputacional  por ofertar cursos que no obedecen a las necesidades del país en metrología, debido a  deficiencias en la actualización de la oferta del servicio de capacitación.</t>
  </si>
  <si>
    <t>Ofertar cursos que no obedecen a las necesidades del país en metrología.</t>
  </si>
  <si>
    <t>Deficiencias en la actualización de la oferta del servicio de capacitación.</t>
  </si>
  <si>
    <t>La Coordinadora del GGSM en el mes de noviembre de la vigencia anterior con base en el comportamiento de la demanda, revisa con el área técnica la oferta de los cursos y ajusta de acuerdo con dicho análisis.</t>
  </si>
  <si>
    <t>Las capacitaciones desarrolladas en el primer trimestre de 2025, fueron enfocadas a participantes internos, por lo que su nivel de participación fue alto y satisfactorio.</t>
  </si>
  <si>
    <t>Durante el segundo trimestre se dictaron capacitaciones en metrologia atendiendo los compromisos en formación identificados en el CONPES 3957 y el estudio de brechas de capital humano realizado por el ministerio de trabajo.</t>
  </si>
  <si>
    <t>En noviembre de la vigencia anterior se definieron las capacitaciones que serian dictadas durante el año 2025, programación que se ha cumplido logrando así cerrar las brechas de formación en metrologia, esta programación se basa en el CONPES 3957 y el estudio de brechas de capital humano realizado por el ministerio de trabajo, en el comprotamiento historico de las capacitaciones dictadas por el INM, ademas se han realizado capacitaciones a demanda.</t>
  </si>
  <si>
    <t>En caso de detectar que un curso no se esta vendiendo o esta desactualizado en su contenido, el área técnica gestiona su actualización o retiro de la oferta de servicios de capacitación.</t>
  </si>
  <si>
    <t>Se realizaron mesas de trabajo con las subdirecciones técnicas en las que se estableció que las capacitaciones con un histórico bajo de participantes, solo se dictaran por demanda estableciendo un número minimo de asistentes para su apertura.</t>
  </si>
  <si>
    <t>Se esta realizando acompañamiento a los expertos técnicos por parte del proceso de capacitación con el fin de actualizar metodologica y pedagogicamente las capacitaciones, no se ha realizado ningun retiro de capacitación por falta de actualización o de demanda.</t>
  </si>
  <si>
    <t>M06-R1</t>
  </si>
  <si>
    <t>(M-06)
Red Colombiana de Metrología</t>
  </si>
  <si>
    <t xml:space="preserve">Posibilidad de afectación reputacional debido a un bajo impacto sobre los integrantes de la RCM por parte de las actividades y espacios dispuestos y gestionados por la RCM, dado que dichas actividades no se diseñan teniendo en cuenta necesidades de los integrantes. </t>
  </si>
  <si>
    <t>Deficiencia en la planificación y logística de las actividades</t>
  </si>
  <si>
    <t>Actividades no se diseñan teniendo en cuenta necesidades de los integrantes de la RCM</t>
  </si>
  <si>
    <t>El profesional universitario grado 07, o a quien designe, en coordinación con las áreas técnicas del INM, aplica encuestas de identificación de necesidades en los diferentes espacios de la RCM. Registro: Encuestas diligenciadas.</t>
  </si>
  <si>
    <t>En el primer trimestre el año se desarrollaron eventos de divulgación y se aplicaron encuestas de satisfacción cuyo resultado se conocerá al cierre del primer semestre del año</t>
  </si>
  <si>
    <t>En el segundo trimestre del año (abril, mayo, junio) se desarrollaron eventos de divulgación y se aplicaron encuestas de satisfacción cuyo resultado se conocerá al cierre del primer semestre del año</t>
  </si>
  <si>
    <t>Desde los grupos técnicos se han realizado la identificación de necesidades de las actividades a través de las encuestas diligenciadas.</t>
  </si>
  <si>
    <t>Insuficiente difusión de las actividades</t>
  </si>
  <si>
    <t>El profesional universitario grado 07, o a quien designe, solicita al proceso de comunicaciones la difusión de actividades a través de diferentes medios y canales del INM. Registro: Formato de solicitud de la comunicación.</t>
  </si>
  <si>
    <t xml:space="preserve">En el segundo trimestre del año (abril, mayo, junio) se desarrollaron eventos de divulgación y fueron difundidos a través de los canales del INM </t>
  </si>
  <si>
    <t>En el tercer trimestre del año (julio, agosto, septiembre) se desarrollaron eventos de divulgación y fueron difundidos a través de los canales del INM</t>
  </si>
  <si>
    <t xml:space="preserve">
Insuficiente personal capacitado para la ejecución de las actividades de la RCM
Insuficiente alcance en las regiones del país diferentes a Bogotá</t>
  </si>
  <si>
    <t>El profesional universitario grado 07 encargado de la coordinación de la Red Colombiana de Metrología, realiza gestión para la ejecución de actividades en otras regiones del país diferentes a Bogotá. Registro: Listas de asistencia en el caso de eventos o talleres y actas de las reuniones de los GTM, GTT y subredes sectoriales y temáticas.</t>
  </si>
  <si>
    <t xml:space="preserve">Los eventos realizados fueron divulgados con apoyo del grupo de comunicaciones y según los criterios empleados por ellos para este tipo de actividades. Estos eventos se divulgan por redes sociales y correo electrónico y promueven la participación de diferentes interesados sin importan la ubicación. Además los eventos se realizan principalmente de manera virtual para facilitar la participación de los actores nacionales.
</t>
  </si>
  <si>
    <t>Los eventos realizados fueron divulgados con apoyo del grupo de comunicaciones y según los criterios empleados por ellos para este tipo de actividades. Estos eventos se divulgan por redes sociales y correo electrónico y promueven la participación de diferentes interesados sin importan la ubicación. Además los eventos se realizan principalmente de manera virtual para facilitar la participación de los actores nacionales. Es importenta resaltar que la ubicación de los participantes se evidencia con el registro de asistencia</t>
  </si>
  <si>
    <t>Los eventos fueron divulgados con el apoyo del grupo de comunicaciones, siguiendo sus criterios establecidos para este tipo de actividades. La difusión se realizó principalmente a través de redes sociales y correo electrónico, promoviendo la participación de diversos actores sin importar su ubicación. Cabe destacar que la localización de los participantes se verifica mediante el registro de asistencia.</t>
  </si>
  <si>
    <t>Desconocimiento por parte de la ciudadanía de la Red Colombiana de Metrología</t>
  </si>
  <si>
    <t>El profesional universitario grado 07, o a quien designe, efectúa una evaluación de satisfacción sobre las actividades de divulgación, como eventos y talleres, a los integrantes que participan de estos. Registro: Formato M-06- F-007 evaluación de las actividades de la RCM.</t>
  </si>
  <si>
    <t>En el primer trimestre el año se desarrollaron eventos de divulgación y se aplicaron encuestas de satisfacción cuyo resultado se conocerá al cierre del primer semestre del año
Formato se reemplazo por la encuesta de satisfaccion de servicios metrologicos E-04-F-01</t>
  </si>
  <si>
    <t xml:space="preserve">Revisado, sin novedad alguna. </t>
  </si>
  <si>
    <t>En el segundo trimestre el año se desarrollaron eventos de divulgación y se aplicaron encuestas de satisfacción cuyo resultado se conocerá al cierre del primer semestre del año. Formato se reemplazo por la encuesta de satisfaccion de servicios metrologicos E-04-F-01</t>
  </si>
  <si>
    <t>Revisada la información del seguimiento, sin novedad o comentario alguno</t>
  </si>
  <si>
    <t>En el tercer trimestre el año se desarrollaron eventos de divulgación y se aplicaron encuestas de satisfacción cuyo resultado se evidenciará al cierre del segundo semestre del año. Formato se reemplazó por la encuesta de satisfacción de servicios metrológicos E-04-F-017</t>
  </si>
  <si>
    <t>M06-R2</t>
  </si>
  <si>
    <t>Posibilidad de afectación reputacional debido a la emisión de un documento técnico de la RCM que no cumpla requisitos establecidos dado por la inexistencia de lineamientos para la elaboración de documentos técnicos de la RCM.</t>
  </si>
  <si>
    <t>Desconocimiento del procedimiento M-06-P-001
Omisión del procedimiento M-06-P-001</t>
  </si>
  <si>
    <t>Inexistencia de lineamientos para la elaboración de documentos técnicos de la RCM</t>
  </si>
  <si>
    <t>El profesional universitario grado 07 socializa de manera periódica a los grupos de trabajo, el procedimiento M-06-P-001 o el que corresponda en dado caso. Registro: Acta de reunión.</t>
  </si>
  <si>
    <t>Las guías trabajadas desde los grupos de la RCM cumplieron el procedimiento definido y el profesional asignado realizó el acompañamiento para asegurar esto. Lo que implicó asegurar seguir el procedimiento establecido</t>
  </si>
  <si>
    <t xml:space="preserve">No se han elaborado guías desde los grupos de la RCM </t>
  </si>
  <si>
    <t>Se han generado guías desde los grupos temáticos de la RCM, las cuales cumplieron con el procedimiento establecido fueron publicadas en la página web, así mismo se han hecho reuniones con los expertos técnicos que proyectaran nuevas guías con base a los lineamientos estipulados.</t>
  </si>
  <si>
    <t>M06-R3</t>
  </si>
  <si>
    <t>Posibilidad de afectación reputacional debido a que la actividades en el marco de la USN no generan el impacto deseado de acuerdo con los requerimientos del país, por la inadecuada identificación de las necesidades de los sectores en temas de normalización</t>
  </si>
  <si>
    <t>Insuficiente seguimiento y control a las actividades de la USN</t>
  </si>
  <si>
    <t>Inadecuada identificación de la necesidad de normalización de los sectores.</t>
  </si>
  <si>
    <t xml:space="preserve">El profesional universitario grado 07 gestiona el cronograma de actividades establecido por los integrantes de la red de la Unidad Sectorial de Normalización. Dicho cronograma se elabora y se gestiona teniendo en cuenta las necesidades de los integrantes de la red de la USN. </t>
  </si>
  <si>
    <t>Existe un comité sectorial de normalización que define un plan de trabajo que es gestionado por la persona designada para apoyar las actividades de la USN
Actualmente la USN cuenta con un plan anual de normalización para la vigencia 2025</t>
  </si>
  <si>
    <t>Existe un comité sectorial de normalización que define un plan de trabajo que es gestionado por la persona designada para apoyar las actividades de la USN. Actualmente la USN cuenta con un plan anual de normalización para la vigencia 2025</t>
  </si>
  <si>
    <t>Existe un comité sectorial de normalización que define un plan de trabajo dentro un cronograma con etapas que es gestionado por la persona designada para apoyar las actividades de la USN. Actualmente la USN cuenta con un plan anual de normalización para la vigencia 2025</t>
  </si>
  <si>
    <t>Pérdida de interés de los integrantes de la USN</t>
  </si>
  <si>
    <t>El profesional universitario grado 07, o quien designe, solicita al grupo de comunicaciones la divulgación o difusión de las actividades y productos de la Unidad Sectorial de Normalización en los canales de comunicación debidos. Registro: Formatos de solicitud de comunicación</t>
  </si>
  <si>
    <t xml:space="preserve">Durante el periodo del reporte  se enviaron y publicaron documentos en consulta pública.
</t>
  </si>
  <si>
    <t>Durante el periodo del reporte  se enviaron y publicaron documentos en consulta pública.</t>
  </si>
  <si>
    <t>Acuerdo al procedimiento existente durante el periodo del reporte se enviaron y publicaron tres documentos a consulta pública, em la página  e- Collection de Icontec.</t>
  </si>
  <si>
    <t>Insuficiente difusión sobre las actividades y productos de la USN</t>
  </si>
  <si>
    <t>El profesional universitario grado 07, en conjunto con el Comité Técnico Sectorial, integrado por entidades externas que son partes interesadas del sector metrológico, construyen un Plan de normalización basado en las necesidades identificadas y presentadas por los mismos integrantes. Registro: Documento de Plan de Normalización de la USN.</t>
  </si>
  <si>
    <t>Existe un comité sectorial de normalización que define un plan de trabajo que es gestionado por la persona designada para apoyar las actividades de la USN</t>
  </si>
  <si>
    <t>Teniendo en cuenta que el plan de trabajo se construye una vez al año por el CTS, se ejecuta durante la vigencia</t>
  </si>
  <si>
    <t>Insuficiente planeación para la ejecución de las actividades de la USN
Insuficiente capacitación en temas de normalización</t>
  </si>
  <si>
    <t>El profesional universitario grado 07 y los contratistas que lideran los grupos de trabajo en normalización desde el INM, participan de actividades de capacitación prestadas por ICONTEC en metodologías de normalización en su función como Organismo Nacional de Normalización de Colombia. Registro: Listados de asistencia a las capacitaciones.</t>
  </si>
  <si>
    <t>Durante el periodo de reporte no fueron organizadas capacitaciones por el ICONTEC</t>
  </si>
  <si>
    <t>Durante el periodo la contratista que lidera USN fue capacitada en el “uso plataforma ISO” el día 4 de septiembre por la funcionario de ICONTEC Sonia Sarmiento.</t>
  </si>
  <si>
    <t>M06-R4</t>
  </si>
  <si>
    <t xml:space="preserve">Posibilidad de afectación reputacional debido a la emisión de un documento normativo que no cumpla requisitos establecidos en el procedimiento M-06-P-004 de normalización, dada la insuficiente capacitación en temas de normalización por parte de los gestores. </t>
  </si>
  <si>
    <t>Desconocimiento del procedimiento M-06-P-004
Omisión del procedimiento M-06-P-004</t>
  </si>
  <si>
    <t>Insuficiente capacitación en temas de normalización por parte de los gestores</t>
  </si>
  <si>
    <t xml:space="preserve">El profesional universitario grado 07, o quien designe, realiza socialización del procedimiento M-06-P-004 de normalización ante el CTS. </t>
  </si>
  <si>
    <t xml:space="preserve">Existe un comité sectorial de normalización que define un plan de trabajo que es gestionado por la persona designada para apoyar las activdiades de la USN, en ese sentido se asegura que se cumplan los pasos definidos en el procedimiento y fue socializado en 31  de marzo 2025 (GTN Volumen) </t>
  </si>
  <si>
    <t xml:space="preserve">Existe un comité sectorial de normalización que define un plan de trabajo que es gestionado por la persona designada para apoyar las actividades de la USN, en ese sentido se asegura que se cumplan los pasos definidos en el procedimiento y fue socializado en 29  de mayo 2025 (Reunión comite CTS),(24 abril GTN magnitudes y unidades) </t>
  </si>
  <si>
    <t xml:space="preserve">El procedimiento de normalización fue socializado al grupo de Masa cuyo tema fue “Contexto y etapas” el día 19 agosto. donde se abarcaron las principalles actividades del M-06-P-004
Identificación de necesidades, elaboración anteproyecto, estudio del anteproyecto, consulta publica, tratamiento de comentario y observaciones, aprobación para informe tecnico, </t>
  </si>
  <si>
    <t xml:space="preserve">El profesional universitario grado 07 y los contratistas que lideran los grupos de trabajo en normalización desde el INM, participan de actividades de capacitación prestadas por ICONTEC en metodologías de normalización en su función como Organismo Nacional de Normalización de Colombia. Lo anterior con el fin de fortalecer el conocimiento por parte del INM en metodologías de normalización. Registro: Listados de asistencia a las capacitaciones. </t>
  </si>
  <si>
    <t>La contratista cuenta con el conocimiento de los requisitos y garantiza que se deben cumplir con las normativas en los documentos para su publicación y difusión</t>
  </si>
  <si>
    <t>A01-R1</t>
  </si>
  <si>
    <t>(A-01)
Gestión Financiera</t>
  </si>
  <si>
    <t>Probabilidad de presentar cifras erradas en los Estados Financieros, además de recibir castigo en el PAC por no atención oportuna en el pago de obligaciones contractuales debido a desconocimiento del procedimiento para pagos e insuficiente cultura del autocontrol frente al cumplimiento estricto de los requisitos para efectuar pagos 
Frecuencia: En promedio se realizan 5001 pagos al año</t>
  </si>
  <si>
    <t>No atención oportuna en el pago de obligaciones contractuales</t>
  </si>
  <si>
    <t>Desconocimiento del procedimiento para pagos
Insuficiente cultura del autocontrol frente al cumplimiento estricto de los requisitos para efectuar pagos</t>
  </si>
  <si>
    <t>Financiero</t>
  </si>
  <si>
    <t>El Profesional Especializado con funciones de Tesorería solicita mensualmente por correo electrónico a todas las áreas ejecutoras de presupuesto la programación de pagos del mes siguiente (Evidencia: correo electrónico desde y hacia Tesorería.)</t>
  </si>
  <si>
    <t>Patricia Andrea Ayala Beltran
Stephanie Fernanda Herrera Niño
Jeimi Medina Walteros</t>
  </si>
  <si>
    <t>Se emite circular interna 001 del 23 de Enero 2025, donde se definen lineamientos respecto a la solicitud de PAC, se establece el calendario para remitir solicitudes de PAC y se imparten instrucciones en la materia para la vigencia 2025. Por otra parte, está circular fue socializada por el profesional especializado con funciones de tesorería el 29 de enero. 
Adicionalmente, durante el primer trimestre se realizó seguimiento al cumplimiento del calendario establecido en la circular, una vez se identificarón áreas con plazos vencidos, desde tesorería se requirió a través de correo electrónico la información estableciendo un nuevo plazo de entrega.</t>
  </si>
  <si>
    <t>Stephanie Fernanda Herrera Niño
Jeimi Medina Walteros</t>
  </si>
  <si>
    <t>Se emite circular interna 001 del 23 de Enero 2025, donde se definen lineamientos respecto a la solicitud de PAC y se establece el calendario para remitir solicitudes de PAC. 
Adicionalmente, durante el segundo trimestre se realizó seguimiento al cumplimiento del calendario establecido en la circular, una vez se identificaron áreas con plazos vencidos, desde tesorería se requirió a través de correo electrónico la información, estableciendo un nuevo plazo de entrega.</t>
  </si>
  <si>
    <t>Adriana Patricia Hurtado Correa
Maricela Rojas Marín
Jeimi Medina Walteros</t>
  </si>
  <si>
    <t>Se emite circular interna 001 del 23 de Enero 2025, donde se definen lineamientos respecto a la solicitud de PAC y se establece el calendario para remitir solicitudes de PAC. 
Adicionalmente, durante el tercer trimestre se realizó seguimiento al cumplimiento del calendario establecido en la circular, una vez se identificaron áreas con plazos vencidos, desde tesorería se requirió a través de correo electrónico la información, estableciendo un nuevo plazo de entrega.</t>
  </si>
  <si>
    <t>Luego de revisar la información registrada por el proceso, no se identifican novedades ni comentarios adicionales. Sin embargo, es necesario establecer fechas de actualización del riesgo. El cronograma con las fechas se puede consultar a través del plan de trabajo de riesgos de gestión en el project de la Oficina asesora de planeación.</t>
  </si>
  <si>
    <t>El Coordinador del Grupo interno de trabajo de Gestión financiera socializa anualmente y cada vez que se emitan nuevas directrices, la circular que emite el Ministerio de Hacienda y Crédito Público (Directrices para cierre de vigencia y apertura para Nueva vigencia)</t>
  </si>
  <si>
    <t>Durante el mes de enero 2025 se emitieron las circulares internas 001 Calendario de solicitud de PAC e instrucciones para la vigencia 2025 y la Circular 002 Instrucciones para trámite de pagos en la vigencia 2025. Por otra parte, se comunica que estas circulares se socializaron
Adicionalmente, dado que las directrices de cierre y apertura de vigencia se imparten de manera anual por el MHCP, la socialización de nuevas directrices no aplica para el presente periodo de seguimiento.</t>
  </si>
  <si>
    <t>Durante el segundo trimestre no se imparten nuevas directrices por parte del MHCP por lo tanto este control no aplica.</t>
  </si>
  <si>
    <t>Durante el tercer trimestre no se imparten nuevas directrices por parte del MHCP por lo tanto este control no aplica.</t>
  </si>
  <si>
    <t>El Funcionario encargado con funciones de contabilidad verifica uno a uno cada tramite para pago, revisando el cumplimiento de requisitos de acuerdo con lo establecido en el Procedimiento de pagos. (Evidencia: A-01-F-09 Control, recepción y pago de obligaciones presupuestales, Aplicativo SECOP (Procesos de contratación) y correo electrónico financiera@inm.gov.co (Acuerdo Marco de Precios), según corresponda.)</t>
  </si>
  <si>
    <t>Durante el primer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Por otra parte, en los casos donde se encontraron inconsistencias se devolvieron las solicitudes de pago informando por correo electrónico e incluyendo las observaciones para los ajustes correspondientes. Adicionalmente, se realizó una socialización el 20 de Marzo 2025, la cual tuvo como fin retroalimentar al personal.</t>
  </si>
  <si>
    <t>Durante el segundo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Por otra parte, en los casos donde se encontraron inconsistencias se devolvieron las solicitudes de pago informando por correo electrónico e incluyendo las observaciones para los ajustes correspondientes.</t>
  </si>
  <si>
    <t>Durante el tercer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Por otra parte, en los casos donde se encontraron inconsistencias se devolvieron las solicitudes de pago informando por correo electrónico e incluyendo las observaciones para los ajustes correspondientes.</t>
  </si>
  <si>
    <t>A01-R2</t>
  </si>
  <si>
    <t>Probabilidad de presentar cifras erradas en el rubro de Ingresos operacionales en los Estados Financieros por inconsistencias o errores involuntarios en los reportes de información de lo efectivamente recaudado debido a la inexistencia de sistemas de información que permitan un procedimiento automatizado por cifras sub o sobre valoradas
Frecuencia: En promedio se presentan 12 informes de los estados financieros al año (1 mensual)</t>
  </si>
  <si>
    <t xml:space="preserve"> Inconsistencias o errores involuntarios en los reportes de información de lo efectivamente recaudado </t>
  </si>
  <si>
    <t>Inexistencia de sistemas de información que permitan un procedimiento automatizado.</t>
  </si>
  <si>
    <t>Tecnológico</t>
  </si>
  <si>
    <t xml:space="preserve">     Entre 100 y 500 SMLMV </t>
  </si>
  <si>
    <t xml:space="preserve">El Subdirector de Servicios Metrológicos y de Relación con el Ciudadano, el Coordinador del Grupo de Servicios Metrológicos y el profesional con funciones de Tesorería desarrollan sesiones mensuales de trabajo de verificación y cruce de la información, identificando de los recaudos recibidos por los servicios metrológicos cuales se encuentran prestados y pendientes por prestar, así como cuales recaudos no cuentan con documento de recibo oficial de caja por falta de soportes, de lo cual queda como registro de la conciliación el E-02-F-005 Acta de Reunión.
</t>
  </si>
  <si>
    <t>Durante el primer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enero y febrero, la del mes de marzo se encuentra en proceso de elaboración. Las evidencias se encuentran de acuerdo con las TRD archivadas en el recurso compartido, ruta: Z:\230 GGF\TRD 2024\230.65.5 CONC INGRESO</t>
  </si>
  <si>
    <t>Durante el segundo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marzo, abril y mayo de 2025, la del mes de junio se encuentra en proceso de elaboración. Las evidencias se encuentran de acuerdo con las TRD archivadas en el recurso compartido, ruta: Z:\230 GGF\TRD 2024\230.65.5 CONC INGRESO</t>
  </si>
  <si>
    <t>Durante el tercer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junio, julio y agosto de 2025, la del mes de septiembre se encuentra en proceso de elaboración. Las evidencias se encuentran de acuerdo con las TRD archivadas en el recurso compartido, ruta: Z:\230 GGF\TRD 2024\230.65.5 CONC INGRESO</t>
  </si>
  <si>
    <t>A01-R3</t>
  </si>
  <si>
    <t>Probabilidad de presentar cifras no acordes con la realidad en lo relacionado con la cuenta de Ingresos operacionales en los Estados Financieros por errores o inconsistencias con respecto a los ingresos reales de la cuenta de la entidad debido a la carencia de control y seguimiento al recaudo anticipado frente a la prestación de servicios y los contratos suscritos con entidades estatales.
Frecuencia: En promedio se presentan 12 informes de los estados financieros al año (1 mensual)</t>
  </si>
  <si>
    <t>Errores o Inconsistencias con respecto a los ingresos reales de la cuenta de la entidad.</t>
  </si>
  <si>
    <t>Carencia de control y seguimiento al recaudo anticipado frente a la prestación de servicios y los contratos suscritos con entidades estatales.</t>
  </si>
  <si>
    <t xml:space="preserve">El Subdirector de Servicios Metrológicos y de Relación con el Ciudadano, el Coordinador del Grupo de Servicios Metrológicos y el profesional con funciones de Tesorería desarrollan sesiones mensuales de trabajo de verificación y cruce de la información, identificando de los recaudos recibidos por los servicios metrológicos cuales se encuentran prestados y pendientes por prestar, así como cuales recaudos no cuentan con documento de recibo oficial de caja por falta de soportes, de lo cual queda como registro de la conciliación el E-02-F-005 Acta de Reunión.
En caso de evidenciar inconsistencias en la información el profesional con funciones de Tesorería informa al coordinador del Grupo de Gestión financiera la inconsistencia detectada para que este a su vez informe al Secretario General y al Director para toma de decisiones. 
</t>
  </si>
  <si>
    <t xml:space="preserve">Durante el primer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enero y febrero, la del mes de marzo se encuentra en proceso de elaboración. Las evidencias se encuentran de acuerdo con las TRD archivadas en el recurso compartido, ruta: Z:\230 GGF\TRD 2024\230.65.5 CONC INGRESO
Por otra parte, No ha sido necesario escalar inconsistencias al Secretario General </t>
  </si>
  <si>
    <t xml:space="preserve">Durante el segundo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marzo, abril y mayo de 2025, la del mes de junio se encuentra en proceso de elaboración. Las evidencias se encuentran de acuerdo con las TRD archivadas en el recurso compartido, ruta: Z:\230 GGF\TRD 2024\230.65.5 CONC INGRESO
Por otra parte, No ha sido necesario escalar inconsistencias al Secretario General </t>
  </si>
  <si>
    <t xml:space="preserve">Durante el tercer trimestre 2025 se realizaron las respectivas sesiones de conciliación de ingresos con los responsables de la SSMRC, quedando como evidencia las actas de reunión en donde se registran y verifican los compromisos, de las cuales, a la fecha ya se tienen las relacionadas a los meses de junio, julio y agosto de 2025, la del mes de septiembre se encuentra en proceso de elaboración. Las evidencias se encuentran de acuerdo con las TRD archivadas en el recurso compartido, ruta: Z:\230 GGF\TRD 2024\230.65.5 CONC INGRESO
Por otra parte, No ha sido necesario escalar inconsistencias al Secretario General </t>
  </si>
  <si>
    <t>A01-R4</t>
  </si>
  <si>
    <t>Probabilidad de presentar cifras no acordes con la realidad en lo relacionado con la cuenta de Propiedad, planta y Equipo en los Estados Financieros por errores o inconsistencias en la información con respecto a los inventarios físicos de la cuenta de la entidad debido a la carencia o reporte inoportuno del listado de bienes de acuerdo a la toma de inventario física realizada durante la vigencia o errores en el reporte de la información por parte de los responsables.
Frecuencia: En promedio se presentan 12 informes de los estados financieros al año (1 mensual)</t>
  </si>
  <si>
    <t>Errores o inconsistencias en la información con respecto a los inventarios físicos de la cuenta de la entidad</t>
  </si>
  <si>
    <t>Carencia o reporte inoportuno del listado de bienes de acuerdo a la toma de inventario física realizada durante la vigencia.</t>
  </si>
  <si>
    <t>El profesional con funciones de almacenista anualmente establece un cronograma de actividades para la toma de inventarios y se realizan las actividades según lo programado previniendo que se incumplan las fechas para la toma de inventario físico. En caso de detectar que no se cumple el cronograma, se reprograma la actividad pendiente. (Evidencia: A-05-F-070 Cronograma Levantamiento de inventario físico de bienes)</t>
  </si>
  <si>
    <t>William Giraldo Puerta
Jeimi Medina Walteros</t>
  </si>
  <si>
    <t>Durante el primer trimestre del 2025 se elaboro durante el mes de marzo el cronograma levantamiento de inventario fisico de bienes Código: A-05-F-070 Versión 2, en el cual se programa iniciar con la verificación la ultima semana de abril.</t>
  </si>
  <si>
    <t>Durante el segundo trimestre del 2025 y en cumplimiento con el A-05-F-070cronograma levantamiento de inventario fisico de bienes, se realizó la toma fisica de inventario a las 10 áreas programadas. Durante el ejercicio se realizaron traslados los cuales llevaron a la actualización del listado general de activos Código:  A-05-F-062. Finalmente se concluye que para el segundo trimestre no se materializa el riesgo.</t>
  </si>
  <si>
    <t>Durante el tercer trimestre del 2025 y en cumplimiento con el A-05-F-070cronograma levantamiento de inventario fisico de bienes, se realizó la toma fisica de inventario a las 15 áreas programadas. Durante el ejercicio se realizaron traslados los cuales llevaron a la actualización del listado general de activos Código:  A-05-F-062. Finalmente se concluye que para el tercer trimestre no se materializa el riesgo.</t>
  </si>
  <si>
    <t>El profesional con funciones de contador junto con El profesional con funciones de almacenista desarrollan la conciliación mensual de ingresos propios de acuerdo con lo establecido en el Procedimiento A-01-P-015 Conciliaciones Contables, con el fin de prevenir que los estados financieros contengan información errada frente a los activos. En caso de detectar faltantes o sobrantes en el inventario, se informa al área de almacén para revisión, ajuste y depuración de inconsistencias. Si se cumplen los plazos dados por la Contaduría, se deja la nota de salvedad en las Revelaciones y se escala al Equipo Transversal de Sostenibilidad Contable debidamente soportado y justificado para la toma de decisión correspondiente. (Evidencia: Notas en los estados financieros y hojas de trabajo que permanecen en contabilidad)</t>
  </si>
  <si>
    <t>A la fecha se cuenta con el registro de los movimientos de almacén de los meses de Enero y Febrero, el correspondiente al mes de Marzo se encuentra en proceso de elaboración. Los registros cuentan con las respectivas observaciones cuando existe algún tipo de diferencia. 
Las evidencias se encuentran de acuerdo con las TRD archivadas en el recurso compartido, ruta: Z:\TRD 2024\230.65.2 CONC ALM\2025
Adicionalmente, se envia a través de correo al profesional con funciones de almacenista la confirmación del cruce de saldos adjuntando el registro en el formato A-01-F-020 Cruce de saldos cuentas de inventario, propiedad, planta y equipo e intangibles. En dicho correo de igual manera se informa que se finalizó el proceso de registro y conciliación de almacén, se notifica el registro de depreciación y se realizan solicitudes de verificación en caso de ser requerido.</t>
  </si>
  <si>
    <t xml:space="preserve">Revisado, falta la información de si se materializa o no el riesgo relacionado a este control. </t>
  </si>
  <si>
    <t>A la fecha se cuenta con el registro de los movimientos de almacén de los meses de marzo, abril y mayo, el correspondiente al mes de junio se encuentra en proceso de elaboración. Los registros cuentan con las respectivas observaciones cuando existe algún tipo de diferencia. 
Las evidencias se encuentran de acuerdo con las TRD archivadas en el recurso compartido, ruta: Z:\TRD 2024\230.65.2 CONC ALM\2025
Adicionalmente, se envia a través de correo al profesional con funciones de almacenista la confirmación del cruce de saldos adjuntando el registro en el formato A-01-F-020 Cruce de saldos cuentas de inventario, propiedad, planta y equipo e intangibles. En dicho correo de igual manera se informa que se finalizó el proceso de registro y conciliación de almacén, se notifica el registro de depreciación y se realizan solicitudes de verificación en caso de ser requerido.</t>
  </si>
  <si>
    <t xml:space="preserve">
Yaneth Andrea García
Jeimi Medina Walteros</t>
  </si>
  <si>
    <t>A la fecha se cuenta con el registro de los movimientos de almacén de los meses de junio, julio y agosto, el correspondiente al mes de septiembre se encuentra en proceso de elaboración. Los registros cuentan con las respectivas observaciones cuando existe algún tipo de diferencia. 
Las evidencias se encuentran de acuerdo con las TRD archivadas en el recurso compartido, ruta: Z:\TRD 2024\230.65.2 CONC ALM\2025
Adicionalmente, se envia a través de correo al profesional con funciones de almacenista la confirmación del cruce de saldos adjuntando el registro en el formato A-01-F-020 Cruce de saldos cuentas de inventario, propiedad, planta y equipo e intangibles. En dicho correo de igual manera se informa que se finalizó el proceso de registro y conciliación de almacén, se notifica el registro de depreciación y se realizan solicitudes de verificación en caso de ser requerido.</t>
  </si>
  <si>
    <t>A02-R1</t>
  </si>
  <si>
    <t>(A-02)
Defensa Judicial</t>
  </si>
  <si>
    <t>Probabilidad de afectación reputacional y presupuestal por falta de oportunidad y atención en los términos de ley debido a que el área responsable no allega a tiempo los documentos para dar respuesta o por pérdida de la información institucional</t>
  </si>
  <si>
    <t>Falta de oportunidad y atención en los términos de ley</t>
  </si>
  <si>
    <t>El área responsable no allega a tiempo los documentos para dar respuesta
Pérdida de la información institucional</t>
  </si>
  <si>
    <t>El Asesor de Dirección (funciones de cargo) , el Secretario General (función de Ley) o  profesionales en derecho (funciones del cargo), una vez conocida la existencia de algún proceso de alguna actuación judicial o extrajudicial requerirán mediante correo electrónico o memorando por sistema de radicación de la entidad al funcionario responsable de la información o custodio de la documentación la información peramente para dar respuesta de forma oportuna a la actuación judicial, estableciendo para el efecto términos o plazos de respuesta. De igual forma estas circunstancias se informan con respecto a los procesos judiciales al Comité de Conciliación o Defensa Judicial lo cual se documenta mediante las actas del Comité de Conciliación de la respectiva sesión o reunión</t>
  </si>
  <si>
    <t>Natalia del Pilar Ortiz Valencia
Paula Alejandra Oviedo Pacheco
Jeimi Medina Walteros</t>
  </si>
  <si>
    <t xml:space="preserve">Durante el primer trimestre 2025 se llevaron a cabo 6 sesiones del comité de conciliación y defensa judicial y extrajudicial (2 por mes), en las cuales se realizó seguimiento a los 14 procesos judiciales activos y se registran las actuaciones requeridas, evidenciando que estos han sido atendidos oportunamente y dentro de los términos de ley, de ello queda como soporte las actas de reunión. </t>
  </si>
  <si>
    <t>Paula Alejandra Oviedo P.
Jeimi Medina W.</t>
  </si>
  <si>
    <t>Durante el segundo trimestre 2025 se realizaron 6 sesiones del comité de defensa judical y extrajudicial (2 por mes), en las cuales se realizó el seguimiento a los 14 procesos activos, así como, se notifica el cierre de dos procesos, 1 en el mes de abril y otro en el mes de mayo, quedando a corte del 30 de junio doce (12) procesos activos. Por otra parte, se evidencia que los procesos han sido atendidos oportunamente y dentro de los términos de ley, de ello queda como soporte las actas del Comité.</t>
  </si>
  <si>
    <t>Durante el tercer trimestre 2025 se realizaron 6 sesiones del comité de defensa judical y extrajudicial (2 por mes), en las cuales se realizó el seguimiento a los 12 procesos activos. Por otra parte, se evidencia que los procesos han sido atendidos oportunamente y dentro de los términos de ley, de ello queda como soporte las actas del Comité.</t>
  </si>
  <si>
    <t>El Asesor de Dirección, Secretaria General, o  profesionales en derecho (funciones del cargo)y Apoderados externos realizan el control y seguimiento de procesos a través de la consulta semanal de la plataforma de la Rama Judicial y de la plataforma ekogui 
Periodicidad: Semanal, en el caso de requerir mayor información se realiza visita presencial a juzgados o Tribunales, con el fin de mantener actualizados los procesos y atender oportunamente dentro de los términos de ley las respectivas actuaciones propias de cada proceso. Lo cual, se verá reflejado en la información que se reporta al portal ekogui y en la información que reporta la rama judicial en su portal. (Evidencia: Información registrada en el ekogui y en el portal de la Rama Judicial, Acta de Comité de Conciliación)</t>
  </si>
  <si>
    <t>Durante el primer trimestre 2025 se llevaron a cabo 6 sesiones del comité de conciliación y defensa judicial y extrajudicial (2 por mes), en las cuales se realizó seguimiento a los 14 procesos judiciales activos y se registran las actuaciones requeridas, evidenciando que estos han sido atendidos oportunamente y dentro de los términos de ley, de ello queda como soporte las actas de reunión. 
Adicionalmente, se realizó el control y seguimiento a través del aplicativo ekogui y el portal de la Rama Judicial (tres veces por semana) y se actualizó la información de los procesos judiciales en los casos requeridos.</t>
  </si>
  <si>
    <t>Durante el segundo trimestre 2025 se realizaron 6 sesiones del comité de defensa judical y extrajudicial (2 por mes), en las cuales se realizó el seguimiento a los 14 procesos activos, así como, se notifica el cierre de dos procesos, 1 en el mes de abril y otro en el mes de mayo, quedando a corte del 30 de junio doce (12) procesos activos. Por otra parte, se evidencia que los procesos han sido atendidos oportunamente y dentro de los términos de ley, de ello queda como soporte las actas del Comité.
Por otra parte, se informa que se realizó de manera semanal (3 veces a la semana), el respectivo control y seguimiento a los proceso a través del aplicativo e-kogui y el portal de la rama judicial y se actualizó la información de los procesos judiciales que así lo requirieron.</t>
  </si>
  <si>
    <t>Durante el tercer trimestre 2025 se realizaron 6 sesiones del comité de defensa judical y extrajudicial (2 por mes), en las cuales se realizó el seguimiento a los 12 procesos activos. Por otra parte, se evidencia que los procesos han sido atendidos oportunamente y dentro de los términos de ley, de ello queda como soporte las actas del Comité.
Por otra parte, se informa que se realizó de manera semanal (3 veces a la semana), el respectivo control y seguimiento a los proceso a través del aplicativo e-kogui y el portal de la rama judicial y se actualizó la información de los procesos judiciales que así lo requirieron.</t>
  </si>
  <si>
    <t>A02-R2</t>
  </si>
  <si>
    <t>Posibilidad de pérdida reputacional por incumplir con la normatividad requerida para el adecuado desarrollo de las actividades debido al desconocimiento de las normas o legislación aplicable al proceso.</t>
  </si>
  <si>
    <t>Desconocimiento de las normas o legislación aplicable al proceso.</t>
  </si>
  <si>
    <t>El Asesor de Dirección, Secretaria General, funcionarios del Grupo de Gestión Jurídica con funciones de Representación judicial y apoderados externos (Si es el caso) realizan el control y seguimiento de procesos a través de la consulta semanal de la plataforma de la Rama Judicial y de la plataforma eKOGUI. 
Periodicidad: Semanal, en el caso de requerir mayor información se realiza visita presencial a juzgados o Tribunales o Altas Cortes, con el fin de mantener actualizados los procesos y atender oportunamente dentro de los términos de ley las respectivas actuaciones propias de cada proceso. Lo cual, se verá reflejado en la información que se reporta al portal eKOGUI y en la información que reporta la rama judicial en su portal. (Evidencia: Información registrada en el eKOGUI y en el portal de la Rama Judicial, Acta de Comité de Conciliación)</t>
  </si>
  <si>
    <t>Durante el primer trimestre 2025 se realizó por parte de los responsables, el respectivo seguimiento en el aplicativo ekogui y el portal de la Rama Judicial a los 14 procesos activos, de lo cual, quedó como evidencia el registro y actualización de los procesos que lo requirieron y el registro en la matriz interna de seguimiento de procesos judiciales.</t>
  </si>
  <si>
    <t>Durante el segundo trimestre 2025 se realizó de manera semanal (3 veces a la semana), el respectivo control y seguimiento de los proceso activos a través del aplicativo e-kogui y el portal de la rama judicial, de lo cual, quedó como evidencia el registro y actualización de los procesos  que lo requirieron y el registro en la matriz interna de seguimiento de procesos judiciales.</t>
  </si>
  <si>
    <t>Durante el tercer trimestre 2025 se realizó de manera semanal (3 veces a la semana), el respectivo control y seguimiento de los proceso activos a través del aplicativo e-kogui y el portal de la rama judicial, de lo cual, quedó como evidencia el registro y actualización de los procesos  que lo requirieron y el registro en la matriz interna de seguimiento de procesos judiciales.</t>
  </si>
  <si>
    <t>A03-R1</t>
  </si>
  <si>
    <t>(A-03)
Gestión Documental</t>
  </si>
  <si>
    <t xml:space="preserve">Probabilidad de Incumplimiento a la normatividad vigente en cuanto a Gestión Documental debido a la falta de identificación oportuna de las actualizaciones en cuanto a normatividad relacionada con Gestión Documental
</t>
  </si>
  <si>
    <t xml:space="preserve"> Incumplimiento a la normatividad vigente en cuanto a Gestión Documental </t>
  </si>
  <si>
    <t>Falta de identificación oportuna de las actualizaciones en cuanto a normatividad relacionada con Gestión Documental</t>
  </si>
  <si>
    <t>El Profesional de Gestión Documental verifica las actualizaciones normativas del Archivo General de la Nación realizando la revisión de la Publicación de actualizaciones de norma en la página WEB del Archivo General de la Nación y actualizando la matriz de requisitos legales y otros requisitos de manera trimestral</t>
  </si>
  <si>
    <t xml:space="preserve">Sandra Milena Sierra Cárdenas
Jeimi Medina Walteros </t>
  </si>
  <si>
    <t>Se realiza el seguimiento con el profesional responsable del proceso de Gestión Documental identificando que, en el seguimiento trimestral de requisitos legales para la presente vigencia el AGN no ha expedido nueva normatividad aplicable al proceso. Sin embargo, se informa que se esta revisando por parte del proceso la aplicabilidad del Acuerdo 001 de 2024.</t>
  </si>
  <si>
    <t>Sandra Milena Sierra C.
Jeimi Medina W.</t>
  </si>
  <si>
    <t>Durante el segundo trimestre 2025 se realiza el respectivo seguimiento a la normatividad emitida por el AGN a través de la página web, identificando que para la presente vigencia no se han emitido actualizaciones normativas. Adicionalmente, se informa que durante el mes de mayo se realizó una actualización a los requisitos legales que aplican al proceso de Gestión Documental incluyendo el Acuerdo 001 de 2024, lo cual se puede evidenciar en el Módulo de requisitos legales y otros requisitos de ISOLUCION.</t>
  </si>
  <si>
    <t xml:space="preserve">Durante el tercer trimestre 2025 se realiza el respectivo seguimiento a la normatividad emitida por el AGN a través de la página web, identificando que para la presente vigencia no se han emitido actualizaciones normativas. </t>
  </si>
  <si>
    <t>A03-R2</t>
  </si>
  <si>
    <t>Probabilidad de Pérdida de la información almacenada en el archivo central debido a deterioro por condiciones ambientales inadecuadas o extravío del documento o expediente por manejo inadecuado durante el préstamo de un documento</t>
  </si>
  <si>
    <t>Pérdida de la información almacenada en el archivo central</t>
  </si>
  <si>
    <t>Deterioro por condiciones ambientales inadecuadas o extravío del documento o expediente</t>
  </si>
  <si>
    <t xml:space="preserve">El Profesional de Gestión Documental controla según lo establecido en el documento A-03-D-002 Sistema integrado de conservación, las condiciones ambientales, plagas y demás factores que puedan afectar la integridad de los documentos o expediente que reposan en el archivo central, dejando como evidencia el certificado de la fumigación realizada, la planilla de aseo y la planilla de condiciones ambientales.
</t>
  </si>
  <si>
    <t>De acuerdo con el control establecido para el primer trimestre no aplica la fumigación dado que esta se realiza de manera anual. Por otra parte, se evidencia el cumplimiento en cuanto a la realiazación de aseo y medición de condiciones ambientales del Archivo Central, de lo cual se cuenta con el soporte de las planillas respectivas.</t>
  </si>
  <si>
    <t xml:space="preserve">Durante el segundo trimestre 2025 se realizó el respectivo seguimiento y control a las condiciones ambientales y aseo del archivo central, de lo cual queda como evidencia las planillas A-03-F-007 Condiciones ambientales y A-05-F-053 Planilla de control de aseo a los laboratorios. Con respecto a la fumigación, esta se llevo a cabo el 27 de junio en las instalaciones del INM, de lo cual, a la fecha se cuenta con el soporte del informe de Tecniservicios ítem 8, páginas 31 hasta la 33 se detalla el diagnóstico de fumigación y en el anexo de la página 39 se evidencia la fumigación del archivo central; el certificado se encuentra pendiente de expedición y entrega por parte del proveedor. </t>
  </si>
  <si>
    <t xml:space="preserve">Durante el tercer trimestre 2025 se realizó el respectivo seguimiento y control a las condiciones ambientales y aseo del archivo central, de lo cual queda como evidencia las planillas A-03-F-007 Condiciones ambientales y A-05-F-053 Planilla de control de aseo a los laboratorios.  </t>
  </si>
  <si>
    <t>El Profesional de Gestión Documental controla cada vez que se solicite un préstamo de documento, la devolución oportuna e integra de los expedientes a través de la confirmación de los documentos prestados al momento de su devolución (folios, carpetas, etc.) haciendo uso del formato A-03-F-02 "Control Préstamo de Documentos" el cual es diligenciado en el momento de realizar el préstamo o devolución.</t>
  </si>
  <si>
    <t>En cumplimiento con lo establecido en el procedimiento A-03-P-004 Prestamo y consulta de documentos durante el primer trimestre se llevo a cabo el préstamo de 9 Normas ICONTEC de la cuales han sido devueltas 7 quedando 2 normas pendientes las cuales se encuentran dentro del rango de tiempo de préstamo establecido. Como evidencia de lo anterior se encuentra el registro del formato A-03-F-010 Control Prestamo de Normas ICONTEC</t>
  </si>
  <si>
    <t xml:space="preserve">Durante el segundo trimestre 2025 se llevaron a cabo 41 prestamos de normas ICONTEC, de los cuales a corte del 30 de junio 2025 se encuentran pendientes la devolución de 2, las cuales, se encuentran dentro del rango de tiempo establecido. Como evidencia se cuenta con el registro del formato A-03-F-010 Control prestamo de normas ICONTEC.  </t>
  </si>
  <si>
    <t xml:space="preserve">Durante el tercer trimestre 2025 se llevaron a cabo los siguientes prestamos:
- 18 prestamos documentales, de los cuales a corte del 30 de septiembre 2025 todos fueron devueltos
- 37 prestamos de normas ICONTEC, de los cuales a corte del 30 de septiembre 2025 se encuentran pendientes la devolución 5
Los documetos pendientes de devolución se encuentran dentro del rango de tiempo establecido. Como evidencia de lo anterior se cuenta con el registro de los formatos: A-03-F-002 Control de prestamo de documentos y A-03-F-010 Control prestamo de normas ICONTEC.  </t>
  </si>
  <si>
    <t>A03-R3</t>
  </si>
  <si>
    <t>Probabilidad de almacenamiento inadecuado de la información debido a desconocimiento e incorrecta aplicación de las tablas de retención documental, por parte de los funcionarios y contratistas.</t>
  </si>
  <si>
    <t>Almacenamiento inadecuado de la información</t>
  </si>
  <si>
    <t>Desconocimiento e incorrecta aplicación de las tablas de retención documental, por parte de los funcionarios y contratistas.</t>
  </si>
  <si>
    <t xml:space="preserve">El Profesional de Gestión Documental revisa de manera semestral la aplicación TRD y el diligenciamiento de inventarios documentales. Adicionalmente, brinda capacitaciones en temas de gestión documental las cuales se encuentran incluidas en el Plan Institucional de Capacitación. (Registro: Cronograma de capacitación, Listados de asistencia y evaluaciones de capacitación)
</t>
  </si>
  <si>
    <t>Durante el mes de Marzo se elaboro el A-03-F-003 Cronograma de actividades de Gestión Documental con el fin de realizar revisión de los archivos de Gestión, aplicabilidad de las TRD, elaboración de Inventarios Documentales y depuración de documentos de apoyo. Como evidencia se cuenta con el cronograma y el listado de asistencia.</t>
  </si>
  <si>
    <t>Para el segundo trimestre 2025 se dicto una capacitación en Gestión documental, la cual abordo temas como: organización de los archivos de gestión, instrumentos archivistícos, instructivo de organización y manipulación de archivos, organización de documentos electrónicos, expedientes híbridos, entre otros; de esta queda como evidencia la presentación y el listado de asistencia. 
Por otra parte, durante el mes de mayo se elaboró y socializó el cronograma de trasferencias documentales y apoyo a la organización documental, el cual dio inicio el 19 de mayo y para el trimestre se llevaron a cabo 3 trasferencias documentales.</t>
  </si>
  <si>
    <t xml:space="preserve">Para el tercer trimestre 2025 se dicto una capacitación en Gestión documental (27 de agosto de 2025), la cual abordo temas como: organización de los archivos de gestión, instrumentos archivistícos, instructivo de organización y manipulación de archivos, organización de documentos electrónicos, expedientes híbridos, entre otros; de esta queda como evidencia la presentación y el listado de asistencia. 
Por otra parte, se dio cumplimiento a lo que estaba programado en el cronograma de apoyo a la organización documental, de lo cual queda como evidencia los inventarios documentales de los archivos de gestión.  </t>
  </si>
  <si>
    <t>A04-R1</t>
  </si>
  <si>
    <t>(A-04)
Gestión de Talento Humano</t>
  </si>
  <si>
    <t>Probabilidad de pérdida de la memoria laboral por extravío o pérdida física o digital del expediente de las historias laborales debido a condiciones de almacenamiento de los expedientes físicos inadecuadas y el no contar con un respaldo digital actualizado
PENDIENTE FORMULACIÓN</t>
  </si>
  <si>
    <t xml:space="preserve">Extravío o pérdida física o digital del expediente de las historias laborales </t>
  </si>
  <si>
    <t>Condiciones de almacenamiento de los expedientes físicos inadecuadas
No contar con un respaldo digital actualizado</t>
  </si>
  <si>
    <t>El Técnico Administrativo del Grupo interno de trabajo de Gestión del talento Humano semanalmente actualiza de manera física y digital las historias laborales dejando como evidencia de ello el registro en el cuadro de control -actualización de historias laborales (Archivo Excel) y la ruta digital (Z:\240 GTH\TRD 2020\240.125 HISTORIAS LABORALES)</t>
  </si>
  <si>
    <t xml:space="preserve">Alba Yaneth Niño Quintero
Jeimi Medina Walteros </t>
  </si>
  <si>
    <t xml:space="preserve">Durante el primer trimestre 2025 se realiza el respectivo archivo de las historias laborales (actividad diaria), las cuales se encuentran en el recurso compartido de Secretaria General y actualmente se esta trabajando en el archivo de las historias laborales según las TRD. Por otra parte, se enfatiza en que el archivo digital continúa con la dificultad de archivo electrónico acorde con los lineamientos del AGN, debido a que no se cuenta con un aplicativo SGDA en el cual se puedan llevar correctamente los archivos electrónicos. Por otra parte, se informa que se realiza el archivo en PDF pero no se cuenta con índice electrónico que permita tener un adecuado control de la información que reposa en cada expediente. En cuanto al archivo físico, se informa que desde el 16 de Enero 2025 se ha estado realizando la entrega por parte del funcionario que antes tenia el cargo, en donde se está revisando uno a uno cada expediente, la cantidad de folios y la fecha de inicio y la fecha final.
Se planea realizar a partir del segundo trimestre 2025:
1. Archivar los tipos documentales físicos en los expedientes que se encuentra en el archivo de gestión.
2. Reorganizar el archivo de acuerdo al año de creación de la tabla de retención documental, según la digitalización que se está haciendo de cada expendiente, el cual va en este momento desde la letra A a la C. 
3. Hacer el inventario documental de acuerdo al FIU aprabado por Gestión Documental del INM tanto de los expedientes físicos como electrónicos.
Adicionalmente, no se cuenta con un inventario documental ni con hojas de control lo cual dificulta decir si han existido perdidas de documentos. </t>
  </si>
  <si>
    <t xml:space="preserve">Es importante tener en cuenta el último comentario realizado en el seguimiento por parte del proceso para revisar si es necesario crear una actividad o cambiar la que se encuentra actualmente con los recursos necesarios para poder garantizar que no haya pérdida de documentos. </t>
  </si>
  <si>
    <t xml:space="preserve">Alba Yaneth Niño Quintero
Jeimi Medina W. </t>
  </si>
  <si>
    <t>Durante el segundo trimestre 2025 se realiza el respectivo archivo de las historias laborales (actividad diaria), las cuales se encuentran en el recurso compartido de Secretaria General y actualmente se esta trabajando en el archivo de las historias laborales según las TRD. Por otra parte, se está realizando el archivo en PDF pero este no cuenta con índice electrónico que permita tener un adecuado control de la información que reposa en cada expediente. En cuanto al archivo físico, se informa que ya se realizó la totalidad de la entrega por parte del funcionario que antes tenia el cargo, entrega que culminó el 11 de abril 2025.
Por otra parte, durante el segundo trimestre 2025:
1. Se finaliza el archivo de los tipos documentales físicos en los expedientes que se encontraban en el archivo de gestión.
2. Se trabajó en la reorganización del archivo de acuerdo al año de creación de la tabla de retención documental, según la digitalización que se está haciendo de cada expendiente, el cual va en este momento en la letra C. 
3. En el mes de junio se realizó con el apoyo de Gestión Documental la transferencia de 7 expedientes que corresponden a 5 funcionarios desvinculados del INM. 
4. Se trabajó en la elaboración del inventario documental de acuerdo al FIU aprabado por Gestión Documental del INM tanto de los expedientes físicos como electrónicos, el cual va en la letra C.
5. Se trabajó en la elaboración de las hojas de control de las historias laborales, de lo cual, se tiene como compromiso vigencia 2025 - 2026 avanzar en el 5%.</t>
  </si>
  <si>
    <t>Durante el tercer trimestre 2025 se realiza el respectivo archivo de las historias laborales (actividad diaria), las cuales se encuentran en el recurso compartido de Secretaria General y actualmente se esta trabajando en el archivo de las historias laborales según las TRD. Por otra parte se informa que no se ha materializado el riesgo dado que a la fecha no ha existido perdida información. </t>
  </si>
  <si>
    <t>A04-R2</t>
  </si>
  <si>
    <t xml:space="preserve">Probabilidad de interposición de reclamos por parte de los funcionarios del INM por incumplimiento y/o presencia de inconsistencias en el pago de nómina debido a errores en el registro de novedades de nómina en el aplicativo establecido. </t>
  </si>
  <si>
    <t>Incumplimiento y/o presencia de inconsistencias en el pago de nómina</t>
  </si>
  <si>
    <t>Errores en el registro de novedades de nómina en el aplicativo establecido.</t>
  </si>
  <si>
    <t>El Profesional Especializado del Grupo de Gestión de Talento Humano revisa y válida mensualmente cada una de las novedades por servidor público, las cuales se encuentran de manera física y digital. Adicionalmente, una vez verificada la información registra las novedades en el aplicativo de Nómina. (Evidencia: Documento de Nómina)</t>
  </si>
  <si>
    <t>Laudice Isabel Chitiva Bernal
Jeimi Medina Walteros</t>
  </si>
  <si>
    <t>Durante el primer trimestre 2025 no se presentaron quejas o reclamaciones en materia de Nómina. Adicionalmente, se tiene como soporte las listas de chequeo donde se verificaron los conceptos a tener en cuenta en la nómina antes de su remisión, las cuales incluyen todas las novedades.</t>
  </si>
  <si>
    <t>Laudice Isabel Chitiva Bernal
Jeimi Medina W.</t>
  </si>
  <si>
    <t>Durante el segundo trimestre 2025 no se presentaron quejas o reclamaciones en materia de Nómina. Adicionalmente, se tiene como soporte las listas de chequeo de los meses de Abril, mayo y junio, donde se verificaron los conceptos a tener en cuenta en la nómina antes de su remisión, las cuales incluyen todas las novedades.</t>
  </si>
  <si>
    <t>Durante el tercer trimestre 2025 no se presentaron quejas o reclamaciones en materia de Nómina. Adicionalmente, se tiene como soporte las listas de chequeo de los meses de Julio, agosto y septiembre, donde se verificaron los conceptos a tener en cuenta en la nómina antes de su remisión, las cuales incluyen todas las novedades.</t>
  </si>
  <si>
    <t>A04-R3</t>
  </si>
  <si>
    <t>Probabilidad de pérdida de la memoria institucional por fuga de conocimiento tácito o posible pérdida de conocimiento explícito debido a la aplicación de inadecuados mecanismos de entrega del cargo por parte del funcionario que se desvincula de la entidad o  la no socialización de temas que se generan a través de intercambios técnicos científicos.</t>
  </si>
  <si>
    <t>Fuga de conocimiento tácito o posible pérdida de conocimiento explícito</t>
  </si>
  <si>
    <t>Aplicación de inadecuados mecanismos de entrega del cargo por parte del funcionario que se desvincula de la entidad
No socialización de temas que se generan a través de intercambios técnicos científicos.</t>
  </si>
  <si>
    <t>El profesional de Talento Humano o el técnico Administrativo del Grupo de Gestión de Talento Humano cada vez que se desvincula un colaborador del INM comunica el acto administrativo de aceptación de renuncia al servidor público donde solicita diligenciar el Formato A-04-F-015 Acta de entrega de puesto de trabajo y A-04-F-014 Verificación de Entregables, registros en los cuales se busca dejar evidencia de la transferencia de conocimiento en cuanto a lo realizado en el desarrollo de sus funciones y la socialización al grupo de interés. (Evidencia: Formato A-04-F-015 Acta de entrega de puesto de trabajo y A-04-F-014 Verificación de Entregable)
El no transmitir el conocimiento adecuado para dar continuidad a la prestación del servicio, hará que el Jefe Inmediato solicité nuevamente llevar a cabo la corrección del acta y realizar nuevamente la socialización.</t>
  </si>
  <si>
    <t>Diego Felipe Ávilan
Jeimi Medina Walteros</t>
  </si>
  <si>
    <t>Durante el I Trimestre 2025 se llevaron a cabo las siguientes desvinculaciones:
- Profesional Especializado grado 14, Carolina Rodríguez Sanchez, quien realizo la entrega total de los documentos bajo radicado 1-2025-0153-1 2025-01-25, documentos que se encuentran archivados en la historia laboral
- Profesional Universitario grado 09, Leonor Gómez Barrera, quien realizo la entrega total de los documentos bajo radicado 1-2025-0292-1 2025-02-13, documentos que se encuentran archivados en la historia laboral 
- Profesional Universitario grado 9, Jessika Andrea Zapata Piratova, quien realizo la entrega total de los documentos bajo radicado 1-2025-0344-1 2025-02-20 documentos que se encuentran archivados en la historia laboral - Profesional Universitario grado 9, Luis Carlos Castro Camacho, quien realizo la entrega total de los documentos bajo radicado 1-2025-0438-1 2025-03-21 documentos que se encuentran archivados en la historia laboral 
- Secretaria ejecutiva grado 15, Diana Carolina Galindo Garcia con fecha de desvinculación el 2025-03-20 y de quien se encuentra pendiente de firmas la Evaluacion de Desempeño Laboral Definitiva</t>
  </si>
  <si>
    <t>Durante el II Trimestre 2025 se llevaron a cabo las siguientes desvinculaciones:
- Profesional Universitario grado 1, Andres Felipe González Pedraza con fecha de desvinculación del 2025-06-04 y de quien se encuentra pendiente la firma de la Evaluacion de Desempeño Laboral 
- Asesor grado 13, Edwin Arvey Cristancho Pinilla con fecha de desvinculación del 2025-06-24 y de quien se encuentra pendiente la firma de la Evaluacion de Desempeño Laboral 
- Y se informa que lo que se encontraba pendiente del primer trimestre frente a la desvinculación de la Secretaria ejecutiva grado 15, Diana Carolina Galindo Garcia con fecha de desvinculación el 2025-03-20 se finaliza y culmina su entrega bajo radicado 1-2025-957-1/ 2025-7-14</t>
  </si>
  <si>
    <t xml:space="preserve">Durante el III Trimestre 2025 se llevaron a cabo las siguientes desvinculaciones:
En relación a los que se encontraban pendientes por culminar 
- Profesional Universitario grado 1, Andres Felipe González Pedraza con fecha de desvinculación del 2025-06-04 y de quien se encuentra pendiente la firma de la Evaluacion de Desempeño Laboral 
- Asesor grado 13, Edwin Arvey Cristancho Pinilla con fecha de desvinculación del 2025-06-24 y de quien se encuentra pendiente la firma de la Evaluacion de Desempeño Laboral 
</t>
  </si>
  <si>
    <t>El Profesional Especializado del Grupo de Gestión de Talento Humano cada vez que se presenta una comisión de transferencia de conocimiento técnico científico, realiza el respectivo seguimiento en lo relacionado con la socialización al grupo de interés de los temas adquiridos o generados en las comisiones conferidas para llevar a cabo intercambios técnicos científicos mediante el control y registro de las comisiones en la Matriz de comisiones de servicio o autorización de desplazamiento. (Evidencia: A-04-F-053 Matriz de comisiones de servicio o autorización de desplazamiento)
Si la socialización es evaluada como no efectiva por el Grupo de Interés, el Grupo de Gestión de Talento Humano, solicitará que se profundice de acuerdo a lo evidenciado en la evaluación</t>
  </si>
  <si>
    <t>Maria Fernanda Larrota / Jeimy Medina</t>
  </si>
  <si>
    <t>Para el primer trimestre se realizo la gestión de una (01) comisión de intercambio de conocimiento técnico cientifico, la cual inicio el 26 de Febrero y finaliza el 31 de agosto. La evidencia se encuentra en el registro del formato  A-04-F-053</t>
  </si>
  <si>
    <t>Maria Fernanda Larrota
Jeimi Medina W.</t>
  </si>
  <si>
    <t>Durante el segundo trimestre 2025 se realizo la gestión de tres (3) comisiones de intercambio de conocimiento técnico cientifico, de las cuales, dos (2) ya realizaron la entrega de su informe, socialización y memorias de la comisión. La que se encuentra pendiente corresponde a "Capacitación en limite máximo de residuos", finalizada el 23 de mayo y de la cual se entrego el informe, pero se encuentra pendiente las evidencias de socialización y las memorias de la comisión, las cuales se solicitaran una vez la funcionaria retrone de su periodo de vacaciones.
La evidencia se encuentra en el registro del formato A-04-F-053 Matriz de comisiones de servicio o autorización de desplazamiento y los soportes de la comisión están archivados acorde con la TRD en la ruta: Z:\TRD 2024\240.175 Comisiones\240.175.1 Exterior\2025</t>
  </si>
  <si>
    <t>Durante el tercer trimestre 2025 se realizo la gestión de tres (3) comisiones de intercambio de conocimiento técnico cientifico, 
Por otra parte se informa que la comisión que se notifico como pendiente durante el segundo trimestre ya cuenta con las evidencias de socialización y las memorias de la comisión.
La evidencia se encuentra en el registro del formato A-04-F-053 Matriz de comisiones de servicio o autorización de desplazamiento y los soportes de la comisión están archivados acorde con la TRD en la ruta: Z:\TRD 2024\240.175 Comisiones\240.175.1 Exterior\2025</t>
  </si>
  <si>
    <t>A04-R4</t>
  </si>
  <si>
    <t xml:space="preserve">Posibilidad de pérdida económica y reputacional debido a la aplicación de las sanciones que correspondan por incumplimiento a la normatividad aplicable en seguridad y salud en el trabajo, debido a desconocimiento por parte de los profesionales dedicados al SG-SST o colaboradores en la aplicación de los lineamientos establecidos para la gestión del SG-SST, y/o falta de recursos. </t>
  </si>
  <si>
    <t>Insuficiente personal de apoyo para la gestión de las actividades del SG-SST.</t>
  </si>
  <si>
    <t>Desconocimiento por parte de los profesionales  dedicados al SG-SST o colaboradores en la aplicación de los lineamientos establecidos para la gestión del SG-SST, y/o falta de recursos.</t>
  </si>
  <si>
    <t xml:space="preserve">     Mayor a 500 SMLMV </t>
  </si>
  <si>
    <r>
      <rPr>
        <b/>
        <sz val="11"/>
        <color theme="1"/>
        <rFont val="Arial Narrow"/>
        <family val="2"/>
      </rPr>
      <t>Control 1:</t>
    </r>
    <r>
      <rPr>
        <sz val="11"/>
        <color theme="1"/>
        <rFont val="Arial Narrow"/>
        <family val="2"/>
      </rPr>
      <t xml:space="preserve"> Actualizar matriz de requisitos legales en Isolución
</t>
    </r>
    <r>
      <rPr>
        <b/>
        <sz val="11"/>
        <color theme="1"/>
        <rFont val="Arial Narrow"/>
        <family val="2"/>
      </rPr>
      <t>Responsable:</t>
    </r>
    <r>
      <rPr>
        <sz val="11"/>
        <color theme="1"/>
        <rFont val="Arial Narrow"/>
        <family val="2"/>
      </rPr>
      <t xml:space="preserve"> Profesional responsable del SG-SST 
</t>
    </r>
    <r>
      <rPr>
        <b/>
        <sz val="11"/>
        <color theme="1"/>
        <rFont val="Arial Narrow"/>
        <family val="2"/>
      </rPr>
      <t>¿Cómo se realiza la actividad de control?</t>
    </r>
    <r>
      <rPr>
        <sz val="11"/>
        <color theme="1"/>
        <rFont val="Arial Narrow"/>
        <family val="2"/>
      </rPr>
      <t xml:space="preserve">: Se actualiza la matriz de requisitos legales en Isolución, incluyendo los respectivos soportes de cumplimiento de las temáticas en SST. 
</t>
    </r>
    <r>
      <rPr>
        <b/>
        <sz val="11"/>
        <color theme="1"/>
        <rFont val="Arial Narrow"/>
        <family val="2"/>
      </rPr>
      <t xml:space="preserve">Propósito: </t>
    </r>
    <r>
      <rPr>
        <sz val="11"/>
        <color theme="1"/>
        <rFont val="Arial Narrow"/>
        <family val="2"/>
      </rPr>
      <t xml:space="preserve">Asegurar que el INM de cumplimiento a la normatividad legal vigente en materia de SST.
</t>
    </r>
    <r>
      <rPr>
        <b/>
        <sz val="11"/>
        <color theme="1"/>
        <rFont val="Arial Narrow"/>
        <family val="2"/>
      </rPr>
      <t>Periodicidad</t>
    </r>
    <r>
      <rPr>
        <sz val="11"/>
        <color theme="1"/>
        <rFont val="Arial Narrow"/>
        <family val="2"/>
      </rPr>
      <t xml:space="preserve">: Cuando se genere un cambio normativo. 
</t>
    </r>
    <r>
      <rPr>
        <b/>
        <sz val="11"/>
        <color theme="1"/>
        <rFont val="Arial Narrow"/>
        <family val="2"/>
      </rPr>
      <t>¿Qué pasa con las observaciones o desviaciones?:</t>
    </r>
    <r>
      <rPr>
        <sz val="11"/>
        <color theme="1"/>
        <rFont val="Arial Narrow"/>
        <family val="2"/>
      </rPr>
      <t xml:space="preserve"> En caso de identificar el incumplimiento al marco normativo, se establece las acciones de mejora respectivas para su cumplimiento.
En caso de falla del aplicativo Isolución durante la actualización de la matriz, informar el caso a OAP.
</t>
    </r>
    <r>
      <rPr>
        <b/>
        <sz val="11"/>
        <color theme="1"/>
        <rFont val="Arial Narrow"/>
        <family val="2"/>
      </rPr>
      <t xml:space="preserve">Evidencia de la ejecución del control: </t>
    </r>
    <r>
      <rPr>
        <sz val="11"/>
        <color theme="1"/>
        <rFont val="Arial Narrow"/>
        <family val="2"/>
      </rPr>
      <t xml:space="preserve">Matriz de requisitos legales actualizada en Isolución
</t>
    </r>
    <r>
      <rPr>
        <b/>
        <sz val="11"/>
        <color theme="1"/>
        <rFont val="Arial Narrow"/>
        <family val="2"/>
      </rPr>
      <t xml:space="preserve">Documentado: </t>
    </r>
    <r>
      <rPr>
        <sz val="11"/>
        <color theme="1"/>
        <rFont val="Arial Narrow"/>
        <family val="2"/>
      </rPr>
      <t>E-02-P-002 Gestión de requisitos legales y documentos externos</t>
    </r>
  </si>
  <si>
    <t>Sandra Milena Viviescas Vargas</t>
  </si>
  <si>
    <t xml:space="preserve">Una vez realizada la revisión de los requisitos legales que se encuentran en la matriz legal se evidencia la necesidad de Inactivar el decreto 1443 de 2014 Por el cual se dictan disposiciones para la implementación del Sistema de Gestión de la Seguridad y Salud en el Trabajo (SG-SST) , ya que ésta norma fue compilada en el decreto 1072 de 2015, así como de  editar la Resolución 1401 de 2007,  ya que se evidencia que hay errores en el objeto y la autoridad que lo emite, por lo cual se realiza la solicitud de edición a OAP y posteriormente realizaron la actualización parcial de la matriz ya que requirieron información a SST.
</t>
  </si>
  <si>
    <t>Se cargó en ISOLUCIÓN los siguientes requisitos legales:
Ley 2365 de 2024, este requisito fue cargado el 24/04/2025,  se encuentra en borrador ya que estamos trabajando en:
1.Política de prevención de acoso sexual. 2.Formato de denuncia de acoso laboral, sexual y violencia de género 3.Protocolo de actuación ante acoso laboral, sexual y violencia de género
Resolución 1843 de 2025, cargado el 15/05/2025, se encuentra en borrador ya que se encuentra en actualización el procedimiento A-04-P-008 PROCEDIMIENTO EXÁMENES MÉDICOS OCUPACIONALES. CONTRATO DE EXÁMENES MÉDICOS OCUPACIONALES y se envió para revisión del enlace de calidad.</t>
  </si>
  <si>
    <t>Se solicitaron a OAP ajustes de la matriz legal en ISOLUCIÓN relacionados a continuación:
-Decreto 1630 de 2021: El requisito legal se encuentra cargado en ISOLUCIÓN relacionando "PLAZO_VIGENTE" en el ítem"Cumplimiento Total", por lo cual se solicitó cambiar a "SI" ya que el requisito fue cumplido con el M-03-I-014 INSTRUCTIVO CODIFICACIÓN Y ETIQUETADO DE LOS MATERIALES DE REFERENCIA
-Decreto 55 de 2015: El requisito legal se encuentra cargado en ISOLUCIÓN relacionando los artículos 4 y 6,  sin embargo en el ítem 	
"Cumplimiento Total"  se encuentraba relacionado "NO" y se solicita cambiar a "SI" ya que los artículos fueron cumplidos con el A-04-P-001 SOLICITUD Y FORMALIZACIÓN DE PRÁCTICAS LABORALES Y/O JUDICATURAS AD-HONÓREM. 
Se carga en Isolución los requisitos legales relacionados a continuación:
-Decreto 0728 de 2025, Por el cual se adiciona el Capítulo 13 al Título 4 de la Parte 2 del Libro 2 del Decreto 1072 de 2015, Decreto Único Reglamentario del Sector Trabajo, para establecer acciones de promoción de la salud mental, prevención de problemas y trastornos mentales, y consumo de sustancias psicoactivas en el ámbito laboral, cargado el 10/Sept./2025
-RESOLUCIÓN 624 DE 2025, Por la cual se adopta el Manual para la señalización de los ambientes 100% libres de humo de tabaco y aerosoles emitidos por sus sucedáneos e imitadores, cargado el 15/Sept./2025</t>
  </si>
  <si>
    <r>
      <rPr>
        <b/>
        <sz val="11"/>
        <color theme="1"/>
        <rFont val="Arial Narrow"/>
        <family val="2"/>
      </rPr>
      <t>Control 2</t>
    </r>
    <r>
      <rPr>
        <sz val="11"/>
        <color theme="1"/>
        <rFont val="Arial Narrow"/>
        <family val="2"/>
      </rPr>
      <t xml:space="preserve"> : Registrar el seguimiento a la matriz de requisitos legales. 
</t>
    </r>
    <r>
      <rPr>
        <b/>
        <sz val="11"/>
        <color theme="1"/>
        <rFont val="Arial Narrow"/>
        <family val="2"/>
      </rPr>
      <t>Responsable</t>
    </r>
    <r>
      <rPr>
        <sz val="11"/>
        <color theme="1"/>
        <rFont val="Arial Narrow"/>
        <family val="2"/>
      </rPr>
      <t xml:space="preserve">: Profesional responsable del SG-SST 
</t>
    </r>
    <r>
      <rPr>
        <b/>
        <sz val="11"/>
        <color theme="1"/>
        <rFont val="Arial Narrow"/>
        <family val="2"/>
      </rPr>
      <t>¿Cómo se realiza la actividad de control?</t>
    </r>
    <r>
      <rPr>
        <sz val="11"/>
        <color theme="1"/>
        <rFont val="Arial Narrow"/>
        <family val="2"/>
      </rPr>
      <t xml:space="preserve">: hace la revisión y/o actualización del marco normativo tomando como base la información de las entidades externas que emiten nuevos lineamientos en materia legal.
</t>
    </r>
    <r>
      <rPr>
        <b/>
        <sz val="11"/>
        <color theme="1"/>
        <rFont val="Arial Narrow"/>
        <family val="2"/>
      </rPr>
      <t>Propósito</t>
    </r>
    <r>
      <rPr>
        <sz val="11"/>
        <color theme="1"/>
        <rFont val="Arial Narrow"/>
        <family val="2"/>
      </rPr>
      <t xml:space="preserve">: asegurar que el INM de cumplimiento a la normatividad legal vigente en materia de SST.
</t>
    </r>
    <r>
      <rPr>
        <b/>
        <sz val="11"/>
        <color theme="1"/>
        <rFont val="Arial Narrow"/>
        <family val="2"/>
      </rPr>
      <t>Periodicidad:</t>
    </r>
    <r>
      <rPr>
        <sz val="11"/>
        <color theme="1"/>
        <rFont val="Arial Narrow"/>
        <family val="2"/>
      </rPr>
      <t xml:space="preserve"> cada seis meses se realiza la revisión del marco normativo o cuando se genere un cambio. 
</t>
    </r>
    <r>
      <rPr>
        <b/>
        <sz val="11"/>
        <color theme="1"/>
        <rFont val="Arial Narrow"/>
        <family val="2"/>
      </rPr>
      <t>¿Qué pasa con las observaciones o desviaciones?:</t>
    </r>
    <r>
      <rPr>
        <sz val="11"/>
        <color theme="1"/>
        <rFont val="Arial Narrow"/>
        <family val="2"/>
      </rPr>
      <t xml:space="preserve"> En caso de no llegar a realizar la revisión deberá efectuarse a la mayor brevedad.
</t>
    </r>
    <r>
      <rPr>
        <b/>
        <sz val="11"/>
        <color theme="1"/>
        <rFont val="Arial Narrow"/>
        <family val="2"/>
      </rPr>
      <t>Evidencia de la ejecución del control:</t>
    </r>
    <r>
      <rPr>
        <sz val="11"/>
        <color theme="1"/>
        <rFont val="Arial Narrow"/>
        <family val="2"/>
      </rPr>
      <t xml:space="preserve"> E-02-F-043 Seguimiento a Requisitos legales y documentos externos. 
</t>
    </r>
    <r>
      <rPr>
        <b/>
        <sz val="11"/>
        <color theme="1"/>
        <rFont val="Arial Narrow"/>
        <family val="2"/>
      </rPr>
      <t>Documentado:</t>
    </r>
    <r>
      <rPr>
        <sz val="11"/>
        <color theme="1"/>
        <rFont val="Arial Narrow"/>
        <family val="2"/>
      </rPr>
      <t xml:space="preserve"> E-02-P-002 Gestión de requisitos legales y documentos externos</t>
    </r>
  </si>
  <si>
    <t>Una vez se identificaron los cambios normativos relacionados con SST, se realizó el registro en el formato E-02-F-043 Seguimiento requisitos legales/Documentos externos, de los cambios necesarios en la matriz legal  y se realizó el envío de éste por correo electrónico a profesional de la OAP el 21 de marzo de 2025</t>
  </si>
  <si>
    <t>Una vez se identificaron los cambios normativos relacionados con SST, se realizó el registro en el formato E-02-F-043 Seguimiento requisitos legales/Documentos externos, de los cambios necesarios en la matriz legal  y se realizó el envío de éste por correo electrónico a profesional de la OAP.</t>
  </si>
  <si>
    <t>El 2025/07/23 se envío correo electrónico la profesional de la OAP Linda Petro el formato E-02-F-043 Seguimiento requisitos legales/Documentos externos, en el cual se relacionaron los ajustes normativos requeridos en la matriz legal.</t>
  </si>
  <si>
    <r>
      <rPr>
        <b/>
        <sz val="11"/>
        <color theme="1"/>
        <rFont val="Arial Narrow"/>
        <family val="2"/>
      </rPr>
      <t>Control 3</t>
    </r>
    <r>
      <rPr>
        <sz val="11"/>
        <color theme="1"/>
        <rFont val="Arial Narrow"/>
        <family val="2"/>
      </rPr>
      <t xml:space="preserve">: Solicitar recursos para el cumplimiento de actividades del SG-SST en el anteproyecto de presupuesto.
</t>
    </r>
    <r>
      <rPr>
        <b/>
        <sz val="11"/>
        <color theme="1"/>
        <rFont val="Arial Narrow"/>
        <family val="2"/>
      </rPr>
      <t>Responsable</t>
    </r>
    <r>
      <rPr>
        <sz val="11"/>
        <color theme="1"/>
        <rFont val="Arial Narrow"/>
        <family val="2"/>
      </rPr>
      <t xml:space="preserve">: Profesional responsable del SG-SST 
</t>
    </r>
    <r>
      <rPr>
        <b/>
        <sz val="11"/>
        <color theme="1"/>
        <rFont val="Arial Narrow"/>
        <family val="2"/>
      </rPr>
      <t>¿Cómo se realiza la actividad de control?</t>
    </r>
    <r>
      <rPr>
        <sz val="11"/>
        <color theme="1"/>
        <rFont val="Arial Narrow"/>
        <family val="2"/>
      </rPr>
      <t xml:space="preserve">: Al elaborar la solicitud de recursos en el anteproyecto de presupuesto para desarrollar las actividades en el marco del plan de SST, verificar que todas las necesidades queden cubiertas.
</t>
    </r>
    <r>
      <rPr>
        <b/>
        <sz val="11"/>
        <color theme="1"/>
        <rFont val="Arial Narrow"/>
        <family val="2"/>
      </rPr>
      <t>Propósito</t>
    </r>
    <r>
      <rPr>
        <sz val="11"/>
        <color theme="1"/>
        <rFont val="Arial Narrow"/>
        <family val="2"/>
      </rPr>
      <t xml:space="preserve">: Asegurar que las necesidades de recursos queden identificadas.
</t>
    </r>
    <r>
      <rPr>
        <b/>
        <sz val="11"/>
        <color theme="1"/>
        <rFont val="Arial Narrow"/>
        <family val="2"/>
      </rPr>
      <t>Periodicidad</t>
    </r>
    <r>
      <rPr>
        <sz val="11"/>
        <color theme="1"/>
        <rFont val="Arial Narrow"/>
        <family val="2"/>
      </rPr>
      <t xml:space="preserve">: Anual
</t>
    </r>
    <r>
      <rPr>
        <b/>
        <sz val="11"/>
        <color theme="1"/>
        <rFont val="Arial Narrow"/>
        <family val="2"/>
      </rPr>
      <t>¿Qué pasa con las observaciones o desviaciones?</t>
    </r>
    <r>
      <rPr>
        <sz val="11"/>
        <color theme="1"/>
        <rFont val="Arial Narrow"/>
        <family val="2"/>
      </rPr>
      <t xml:space="preserve">: En caso de no recibir la notificación oportuna de la presentación de la solicitud de recursos, contar con la información de las necesidades en el primer bimestre del año.
</t>
    </r>
    <r>
      <rPr>
        <b/>
        <sz val="11"/>
        <color theme="1"/>
        <rFont val="Arial Narrow"/>
        <family val="2"/>
      </rPr>
      <t xml:space="preserve">Evidencia de la ejecución del control: </t>
    </r>
    <r>
      <rPr>
        <sz val="11"/>
        <color theme="1"/>
        <rFont val="Arial Narrow"/>
        <family val="2"/>
      </rPr>
      <t xml:space="preserve">Solicitud de recursos para el SST en el anteproyecto de presupuesto de la vigencia.
</t>
    </r>
    <r>
      <rPr>
        <b/>
        <sz val="11"/>
        <color theme="1"/>
        <rFont val="Arial Narrow"/>
        <family val="2"/>
      </rPr>
      <t>Documentado:</t>
    </r>
    <r>
      <rPr>
        <sz val="11"/>
        <color theme="1"/>
        <rFont val="Arial Narrow"/>
        <family val="2"/>
      </rPr>
      <t xml:space="preserve"> A-05-P-016 PLAN ANUAL DE ADQUISICIONES</t>
    </r>
  </si>
  <si>
    <t>Se alimentó el formato E-01-F-001 Formular Proyecto, con la necesidad de recursos requeridos para el buen funcionamiento del SG-SST para la vigencia 2026, el cual se  envío al coordinador del GIT GTH el 2025/03/17.</t>
  </si>
  <si>
    <t>Dado que el control establecido se ejecuta de manera anual para el presente periodo de seguimiento el control no aplica</t>
  </si>
  <si>
    <t>Dado que el control establecido se ejecuta de manera anual para el presente periodo de seguimiento el control no aplica.</t>
  </si>
  <si>
    <r>
      <rPr>
        <b/>
        <sz val="11"/>
        <color theme="1"/>
        <rFont val="Arial Narrow"/>
        <family val="2"/>
      </rPr>
      <t>Control 4</t>
    </r>
    <r>
      <rPr>
        <sz val="11"/>
        <color theme="1"/>
        <rFont val="Arial Narrow"/>
        <family val="2"/>
      </rPr>
      <t xml:space="preserve">:  Solicitar recursos para el cumplimiento de actividades del SG-SST posterior a la asignación de presupuesto al INM.
</t>
    </r>
    <r>
      <rPr>
        <b/>
        <sz val="11"/>
        <color theme="1"/>
        <rFont val="Arial Narrow"/>
        <family val="2"/>
      </rPr>
      <t xml:space="preserve">Responsable: </t>
    </r>
    <r>
      <rPr>
        <sz val="11"/>
        <color theme="1"/>
        <rFont val="Arial Narrow"/>
        <family val="2"/>
      </rPr>
      <t xml:space="preserve">Profesional responsable del SG-SST 
</t>
    </r>
    <r>
      <rPr>
        <b/>
        <sz val="11"/>
        <color theme="1"/>
        <rFont val="Arial Narrow"/>
        <family val="2"/>
      </rPr>
      <t>¿Cómo se realiza la actividad de control?:</t>
    </r>
    <r>
      <rPr>
        <sz val="11"/>
        <color theme="1"/>
        <rFont val="Arial Narrow"/>
        <family val="2"/>
      </rPr>
      <t xml:space="preserve"> Realizar la solicitud de recursos a Secretaría General en el mes de diciembre para atender las necesidades del SG-SST y realizar seguimiento a su asignación en el PAA de la siguiente vigencia.
</t>
    </r>
    <r>
      <rPr>
        <b/>
        <sz val="11"/>
        <color theme="1"/>
        <rFont val="Arial Narrow"/>
        <family val="2"/>
      </rPr>
      <t xml:space="preserve">Propósito: </t>
    </r>
    <r>
      <rPr>
        <sz val="11"/>
        <color theme="1"/>
        <rFont val="Arial Narrow"/>
        <family val="2"/>
      </rPr>
      <t xml:space="preserve">Garantizar que las necesidades del SG-SST sean atendidas en la asignación de recursos.
</t>
    </r>
    <r>
      <rPr>
        <b/>
        <sz val="11"/>
        <color theme="1"/>
        <rFont val="Arial Narrow"/>
        <family val="2"/>
      </rPr>
      <t>Periodicidad:</t>
    </r>
    <r>
      <rPr>
        <sz val="11"/>
        <color theme="1"/>
        <rFont val="Arial Narrow"/>
        <family val="2"/>
      </rPr>
      <t xml:space="preserve"> Anual
</t>
    </r>
    <r>
      <rPr>
        <b/>
        <sz val="11"/>
        <color theme="1"/>
        <rFont val="Arial Narrow"/>
        <family val="2"/>
      </rPr>
      <t>¿Qué pasa con las observaciones o desviaciones?:</t>
    </r>
    <r>
      <rPr>
        <sz val="11"/>
        <color theme="1"/>
        <rFont val="Arial Narrow"/>
        <family val="2"/>
      </rPr>
      <t xml:space="preserve"> si no es aprobada la propuesta total de recursos para el SG-SST, debe establecer prioridades en cuanto a las actividades a desarrollar con el presupuesto asignado.
</t>
    </r>
    <r>
      <rPr>
        <b/>
        <sz val="11"/>
        <color theme="1"/>
        <rFont val="Arial Narrow"/>
        <family val="2"/>
      </rPr>
      <t>Evidencia de la ejecución del control:</t>
    </r>
    <r>
      <rPr>
        <sz val="11"/>
        <color theme="1"/>
        <rFont val="Arial Narrow"/>
        <family val="2"/>
      </rPr>
      <t xml:space="preserve"> Solicitud de recursos y seguimiento a la misma para ejecutar las actividades del SG-SST.
</t>
    </r>
    <r>
      <rPr>
        <b/>
        <sz val="11"/>
        <color theme="1"/>
        <rFont val="Arial Narrow"/>
        <family val="2"/>
      </rPr>
      <t>Documentado:</t>
    </r>
    <r>
      <rPr>
        <sz val="11"/>
        <color theme="1"/>
        <rFont val="Arial Narrow"/>
        <family val="2"/>
      </rPr>
      <t xml:space="preserve"> A-05-P-016 PLAN ANUAL DE ADQUISICIONES</t>
    </r>
  </si>
  <si>
    <t>Dado que el control establecido se ejecuta de manera anual (Diciembre) para el presente periodo de seguimiento el control no aplica</t>
  </si>
  <si>
    <r>
      <rPr>
        <b/>
        <sz val="11"/>
        <color theme="1"/>
        <rFont val="Arial Narrow"/>
        <family val="2"/>
      </rPr>
      <t>Control 5:</t>
    </r>
    <r>
      <rPr>
        <sz val="11"/>
        <color theme="1"/>
        <rFont val="Arial Narrow"/>
        <family val="2"/>
      </rPr>
      <t xml:space="preserve"> Revisar y actualizar matriz de peligros, valoración y evaluación de riesgos.
</t>
    </r>
    <r>
      <rPr>
        <b/>
        <sz val="11"/>
        <color theme="1"/>
        <rFont val="Arial Narrow"/>
        <family val="2"/>
      </rPr>
      <t>Responsable</t>
    </r>
    <r>
      <rPr>
        <sz val="11"/>
        <color theme="1"/>
        <rFont val="Arial Narrow"/>
        <family val="2"/>
      </rPr>
      <t xml:space="preserve">: Profesional responsable del SG-SST
</t>
    </r>
    <r>
      <rPr>
        <b/>
        <sz val="11"/>
        <color theme="1"/>
        <rFont val="Arial Narrow"/>
        <family val="2"/>
      </rPr>
      <t>¿Cómo se realiza la actividad de control?:</t>
    </r>
    <r>
      <rPr>
        <sz val="11"/>
        <color theme="1"/>
        <rFont val="Arial Narrow"/>
        <family val="2"/>
      </rPr>
      <t xml:space="preserve">  Revisar y actualizar cuando aplique, la Matriz de Identificación de peligros, valoración y evaluación de riesgos  de acuerdo a la metodología establecida en el procedimiento A-04-P-010.
</t>
    </r>
    <r>
      <rPr>
        <b/>
        <sz val="11"/>
        <color theme="1"/>
        <rFont val="Arial Narrow"/>
        <family val="2"/>
      </rPr>
      <t>Propósito:</t>
    </r>
    <r>
      <rPr>
        <sz val="11"/>
        <color theme="1"/>
        <rFont val="Arial Narrow"/>
        <family val="2"/>
      </rPr>
      <t xml:space="preserve"> Asegurar que se realice la adecuada evaluación de todos los riesgos y peligros con la valoración de sus controles.
</t>
    </r>
    <r>
      <rPr>
        <b/>
        <sz val="11"/>
        <color theme="1"/>
        <rFont val="Arial Narrow"/>
        <family val="2"/>
      </rPr>
      <t>Periodicidad:</t>
    </r>
    <r>
      <rPr>
        <sz val="11"/>
        <color theme="1"/>
        <rFont val="Arial Narrow"/>
        <family val="2"/>
      </rPr>
      <t xml:space="preserve"> Anual
</t>
    </r>
    <r>
      <rPr>
        <b/>
        <sz val="11"/>
        <color theme="1"/>
        <rFont val="Arial Narrow"/>
        <family val="2"/>
      </rPr>
      <t>¿Qué pasa con las observaciones o desviaciones?:</t>
    </r>
    <r>
      <rPr>
        <sz val="11"/>
        <color theme="1"/>
        <rFont val="Arial Narrow"/>
        <family val="2"/>
      </rPr>
      <t xml:space="preserve"> en caso de encontrar materialización de un riesgo o peligro y que no se cuente con recurso, se debe proceder a generar alertas de la necesidad ante la secretaría general del INM, debido al impacto que puede generar esta materialización.
</t>
    </r>
    <r>
      <rPr>
        <b/>
        <sz val="11"/>
        <color theme="1"/>
        <rFont val="Arial Narrow"/>
        <family val="2"/>
      </rPr>
      <t>Evidencia de la ejecución del control:</t>
    </r>
    <r>
      <rPr>
        <sz val="11"/>
        <color theme="1"/>
        <rFont val="Arial Narrow"/>
        <family val="2"/>
      </rPr>
      <t xml:space="preserve"> Control de cambios en  A-04-F-038 Matriz de Identificación de peligros, valoración y evaluación de riesgos.
Correo electrónico de las alertas generadas a la secretaría general.
Documentado: A-04-P-010 IDENTIFICACIÓN DE PELIGROS, VALORACIÓN DEL RIESGO Y DETERMINACIÓN DE CONTROLES</t>
    </r>
  </si>
  <si>
    <t>Cumplimiento de actividades desarrolladas según el plan de trabajo de SST</t>
  </si>
  <si>
    <t>Se realiza actualización de la matriz de identificación de peligros, evaluación de peligros y valoración de los riesgos el 2025/01/27, de acuerdo a visitas realizadas en el segundo semestre de 2024 con apoyo de la ARL.</t>
  </si>
  <si>
    <t xml:space="preserve">Para el segundo trimestre la A-04-F-038 matriz de identificación de peligros, valoración y evaluación de riesgos no requirio actualizaciones.
Adicionalmente se realizaron socializaciones de la matriz a los siguientes grupos pertenecientes a la SMQB: Grupo de Trabajo de Grupo  Metrología en Alimentos, Grupo de Trabajo de Confirmación Metrológica en Química y Biología, Grupo de Trabajo de Metrología en Salud, Trabajo de Metrología en Materiales y Energía.
</t>
  </si>
  <si>
    <t xml:space="preserve">El 2025-09-16 se realiza un ajuste a la matriz A-04-F-038 de la SMQB en la pestaña del Grupo de Trabajo de Metrología en Alimentos, en las celdas C43 hasta la C53.
</t>
  </si>
  <si>
    <r>
      <rPr>
        <b/>
        <sz val="11"/>
        <color theme="1"/>
        <rFont val="Arial Narrow"/>
        <family val="2"/>
      </rPr>
      <t>Control 6</t>
    </r>
    <r>
      <rPr>
        <sz val="11"/>
        <color theme="1"/>
        <rFont val="Arial Narrow"/>
        <family val="2"/>
      </rPr>
      <t xml:space="preserve">: Ejecutar el cronograma de actividades del COPASST.
</t>
    </r>
    <r>
      <rPr>
        <b/>
        <sz val="11"/>
        <color theme="1"/>
        <rFont val="Arial Narrow"/>
        <family val="2"/>
      </rPr>
      <t>Responsable:</t>
    </r>
    <r>
      <rPr>
        <sz val="11"/>
        <color theme="1"/>
        <rFont val="Arial Narrow"/>
        <family val="2"/>
      </rPr>
      <t xml:space="preserve"> Presidente del COPASST
</t>
    </r>
    <r>
      <rPr>
        <b/>
        <sz val="11"/>
        <color theme="1"/>
        <rFont val="Arial Narrow"/>
        <family val="2"/>
      </rPr>
      <t>¿Cómo se realiza la actividad de control?:</t>
    </r>
    <r>
      <rPr>
        <sz val="11"/>
        <color theme="1"/>
        <rFont val="Arial Narrow"/>
        <family val="2"/>
      </rPr>
      <t xml:space="preserve"> planificar, ejecutar y rendir cuentas sobre el cronograma de actividades, generar hallazgos y recomendaciones de las inspecciones  y hacer el seguimiento a la gestión de acuerdo con el procedimiento A-04-P-017 Inspecciones de Seguridad y Salud en el Trabajo y Gestión Ambiental.
</t>
    </r>
    <r>
      <rPr>
        <b/>
        <sz val="11"/>
        <color theme="1"/>
        <rFont val="Arial Narrow"/>
        <family val="2"/>
      </rPr>
      <t>Propósito</t>
    </r>
    <r>
      <rPr>
        <sz val="11"/>
        <color theme="1"/>
        <rFont val="Arial Narrow"/>
        <family val="2"/>
      </rPr>
      <t xml:space="preserve">: Coordinar todo lo necesario para la buena marcha del comité.
</t>
    </r>
    <r>
      <rPr>
        <b/>
        <sz val="11"/>
        <color theme="1"/>
        <rFont val="Arial Narrow"/>
        <family val="2"/>
      </rPr>
      <t>Periodicidad:</t>
    </r>
    <r>
      <rPr>
        <sz val="11"/>
        <color theme="1"/>
        <rFont val="Arial Narrow"/>
        <family val="2"/>
      </rPr>
      <t xml:space="preserve"> Trimestral
</t>
    </r>
    <r>
      <rPr>
        <b/>
        <sz val="11"/>
        <color theme="1"/>
        <rFont val="Arial Narrow"/>
        <family val="2"/>
      </rPr>
      <t>¿Qué pasa con las observaciones o desviaciones?:</t>
    </r>
    <r>
      <rPr>
        <sz val="11"/>
        <color theme="1"/>
        <rFont val="Arial Narrow"/>
        <family val="2"/>
      </rPr>
      <t xml:space="preserve"> En caso de que un hallazgo sea reiterativo y no se hayan realizado las actividades establecidas para dar corrección, se debe realizar una mesa de trabajo con el responsable del hallazgo y con el subdirector, jefe de dependencia o coordinador a la que pertenece; con el fin de garantizar gestión adecuada de la corrección.
</t>
    </r>
    <r>
      <rPr>
        <b/>
        <sz val="11"/>
        <color theme="1"/>
        <rFont val="Arial Narrow"/>
        <family val="2"/>
      </rPr>
      <t>Evidencia de la ejecución del control:</t>
    </r>
    <r>
      <rPr>
        <sz val="11"/>
        <color theme="1"/>
        <rFont val="Arial Narrow"/>
        <family val="2"/>
      </rPr>
      <t xml:space="preserve"> Registro de verificación de los formatos A-05-F-031 Lista de Inspección Ambiental y de Seguridad y Salud en el Trabajo, E-02-F-011 Modelo de informe, Informe de rendición de cuentas, E-02-F-005 Acta de Reunión.
</t>
    </r>
    <r>
      <rPr>
        <b/>
        <sz val="11"/>
        <color theme="1"/>
        <rFont val="Arial Narrow"/>
        <family val="2"/>
      </rPr>
      <t>Documentado:</t>
    </r>
    <r>
      <rPr>
        <sz val="11"/>
        <color theme="1"/>
        <rFont val="Arial Narrow"/>
        <family val="2"/>
      </rPr>
      <t xml:space="preserve"> A-04-P-018 CONFORMACIÓN Y FUNCIONAMIENTO DEL COMITÉ PARITARIO DE SEGURIDAD Y SALUD EN EL TRABAJO - COPASST.</t>
    </r>
  </si>
  <si>
    <t>Se realizan reuniones mensuales del COPASST en las siguientes fechas: 30 de enero, 17 de febrero,  03 de marzo de 2025, de lo cual queda como evidencia las actas de reunión.
Se recibe seguimiento por correo electrónico a la ejecución del informe trimestral de inspección de parte del presidente del COPASST el  2025/04/01.</t>
  </si>
  <si>
    <t>Se realizan reuniones mensuales del COPASST en las siguientes fechas: 24 de abril, 19 de mayo, 19 de junio de 2025, de lo cual queda como evidencia las actas de reunión.
El informe trimestral de inspección se encuentra en elaboración.</t>
  </si>
  <si>
    <t>Se realizan reuniones mensuales del COPASST en las siguientes fechas: 25 de julio, 19 de agosto y 30 de septiembre de 2025, de lo cual queda como evidencia las actas de reunión.
Se recibe seguimiento por correo electrónico a la ejecución del informe trimestral de inspección de parte del presidente del COPASST el  2025/04/01.</t>
  </si>
  <si>
    <r>
      <rPr>
        <b/>
        <sz val="11"/>
        <color theme="1"/>
        <rFont val="Arial Narrow"/>
        <family val="2"/>
      </rPr>
      <t>Control 7</t>
    </r>
    <r>
      <rPr>
        <sz val="11"/>
        <color theme="1"/>
        <rFont val="Arial Narrow"/>
        <family val="2"/>
      </rPr>
      <t xml:space="preserve">: Realizar seguimiento al cumplimiento del plan anual de trabajo del SG-SST.
</t>
    </r>
    <r>
      <rPr>
        <b/>
        <sz val="11"/>
        <color theme="1"/>
        <rFont val="Arial Narrow"/>
        <family val="2"/>
      </rPr>
      <t>Responsable</t>
    </r>
    <r>
      <rPr>
        <sz val="11"/>
        <color theme="1"/>
        <rFont val="Arial Narrow"/>
        <family val="2"/>
      </rPr>
      <t xml:space="preserve">: Profesional responsable del SG-SST.
</t>
    </r>
    <r>
      <rPr>
        <b/>
        <sz val="11"/>
        <color theme="1"/>
        <rFont val="Arial Narrow"/>
        <family val="2"/>
      </rPr>
      <t>¿Cómo se realiza la actividad de control?</t>
    </r>
    <r>
      <rPr>
        <sz val="11"/>
        <color theme="1"/>
        <rFont val="Arial Narrow"/>
        <family val="2"/>
      </rPr>
      <t xml:space="preserve">: Hace seguimiento al cumplimiento del plan anual de trabajo del SG-SST, con el apoyo de la ARL y la intermediaria a través de las reuniones mensuales en donde se planifica la ejecución de las actividades establecidas en el cronograma.
</t>
    </r>
    <r>
      <rPr>
        <b/>
        <sz val="11"/>
        <color theme="1"/>
        <rFont val="Arial Narrow"/>
        <family val="2"/>
      </rPr>
      <t>Propósito</t>
    </r>
    <r>
      <rPr>
        <sz val="11"/>
        <color theme="1"/>
        <rFont val="Arial Narrow"/>
        <family val="2"/>
      </rPr>
      <t xml:space="preserve">: Asegurar el cumplimiento de actividades propuestas en el plan anual de trabajo del SG-SST.
</t>
    </r>
    <r>
      <rPr>
        <b/>
        <sz val="11"/>
        <color theme="1"/>
        <rFont val="Arial Narrow"/>
        <family val="2"/>
      </rPr>
      <t>Periodicidad:</t>
    </r>
    <r>
      <rPr>
        <sz val="11"/>
        <color theme="1"/>
        <rFont val="Arial Narrow"/>
        <family val="2"/>
      </rPr>
      <t xml:space="preserve"> Mensual.
</t>
    </r>
    <r>
      <rPr>
        <b/>
        <sz val="11"/>
        <color theme="1"/>
        <rFont val="Arial Narrow"/>
        <family val="2"/>
      </rPr>
      <t>¿Qué pasa con las observaciones o desviaciones?:</t>
    </r>
    <r>
      <rPr>
        <sz val="11"/>
        <color theme="1"/>
        <rFont val="Arial Narrow"/>
        <family val="2"/>
      </rPr>
      <t xml:space="preserve"> En caso de evidenciar el posible incumplimiento de actividades, acordar la reprogramación de éstas, de manera tal que la reprogramación conlleve a un mínimo impacto.
</t>
    </r>
    <r>
      <rPr>
        <b/>
        <sz val="11"/>
        <color theme="1"/>
        <rFont val="Arial Narrow"/>
        <family val="2"/>
      </rPr>
      <t>Evidencia de la ejecución del control:</t>
    </r>
    <r>
      <rPr>
        <sz val="11"/>
        <color theme="1"/>
        <rFont val="Arial Narrow"/>
        <family val="2"/>
      </rPr>
      <t xml:space="preserve"> Actas de reunión, Informes de actividades,  Solicitudes a través de correo electrónico en informe anual por parte de la ARL.
</t>
    </r>
    <r>
      <rPr>
        <b/>
        <sz val="11"/>
        <color theme="1"/>
        <rFont val="Arial Narrow"/>
        <family val="2"/>
      </rPr>
      <t>Documentado</t>
    </r>
    <r>
      <rPr>
        <sz val="11"/>
        <color theme="1"/>
        <rFont val="Arial Narrow"/>
        <family val="2"/>
      </rPr>
      <t>: A-04-P-018 CONFORMACIÓN Y FUNCIONAMIENTO DEL COMITÉ PARITARIO DE SEGURIDAD Y SALUD EN EL TRABAJO - COPASST.</t>
    </r>
  </si>
  <si>
    <t xml:space="preserve">Durante el primer trimestre 2025 se cumple con las 33 actividades programadas en el plan anual de trabajo, quedando como evidencia el reporte de seguimiento en Isolución a través del indicador "Cumplimiento de actividades desarrolladas según el plan de trabajo de SST", el registro y envío del seguimiento en el formato E-01-F-008 FORMULACIÓN Y SEGUIMIENTO AL PLAN DE ACCIÓN de la OAP y el informe trimestral enviado al coordinador del GIT GTH como soporte de cumplimiento del plan estratégico de talento humano. 
</t>
  </si>
  <si>
    <t xml:space="preserve">Durante el segundo trimestre de 2025 se cumple con las 39 actividades programadas para el trimestre en el plan anual de trabajo, quedando como evidencia el reporte de seguimiento en Isolución a través del indicador "Cumplimiento de actividades desarrolladas según el plan de trabajo de SST", el registro y envío del seguimiento en el formato E-01-F-008 FORMULACIÓN Y SEGUIMIENTO AL PLAN DE ACCIÓN de la OAP y el informe trimestral enviado al coordinador del GIT GTH como soporte de cumplimiento del plan estratégico de talento humano. </t>
  </si>
  <si>
    <t xml:space="preserve">Durante el tercer trimestre 2025 se cumplió con 40 de las 40 actividades planeadas. Al cierre del III trimestre el avance corresponde al 76,19% de lo programado para la vigencia, quedando como evidencia el reporte de seguimiento en Isolución a través del indicador "Cumplimiento de actividades desarrolladas según el plan de trabajo de SST", el registro y envío del seguimiento en el formato E-01-F-008 FORMULACIÓN Y SEGUIMIENTO AL PLAN DE ACCIÓN de la OAP y el informe trimestral enviado al coordinador del GIT GTH como soporte de cumplimiento del plan estratégico de talento humano. 
</t>
  </si>
  <si>
    <t>A05-R1</t>
  </si>
  <si>
    <t>(A-05)
Gestión Administrativa</t>
  </si>
  <si>
    <t>Posibilidad de deterioro de los equipos y de la infraestructura de la entidad por imposibilidad del funcionamiento de los equipos eléctricos, planta física y de climatización debido a recorte presupuestal.</t>
  </si>
  <si>
    <t>Imposibilidad del funcionamiento de los equipos eléctricos, planta física y de climatización</t>
  </si>
  <si>
    <t>Recorte presupuestal</t>
  </si>
  <si>
    <t xml:space="preserve">El profesional responsable del mantenimiento de la sede gestiona la contratación y supervisa los mantenimientos preventivos disminuyendo la probabilidad de falla en los equipos por medio de la programación y ejecución de mantenimiento preventivo, a través del diseño de especificaciones técnicas con base en las actividades mínimas de mantenimiento preventivo que recomienda cada fabricante y las recomendaciones y observaciones reportadas en los mantenimientos recientes, las cuales son la base para la elaboración de estudios de mercado, estudios previos e iniciar el proceso de contratación. Una vez firmada el acta de inicio se supervisa la ejecución de las actividades de mantenimiento conforme a los requerimientos técnicos.
Cuando los procesos contractuales con objeto relacionado al mantenimiento de equipos se declaran desiertos se realiza un análisis de causas, se revisa que el estudio de mercado este vigente y se radica nuevamente el proceso de contratación con los ajustes necesarios. 
Si la no ejecución del mantenimiento afecta la integridad del personal y la operatividad del INM se informa al Secretario General y la coordinación del Grupo de Gestión de Servicios Administrativos para la toma de decisiones y medidas necesarias. 
En el evento de no poder atenderse la necesidad por medio de contratación pública, se acudirá a la caja menor por el carácter de urgencia de dicha necesidad. 
(Evidencia: Hojas de vida de los equipos e informes finales de contratistas.) 
</t>
  </si>
  <si>
    <t>Javier Núñez 
Jeimi Medina Walteros</t>
  </si>
  <si>
    <t xml:space="preserve">Durante el primer trimestre no se llevó a cabo la ejecución de ningun contrato de mantenimiento, sin embargo se encontraban dentro del cronograma programados mantenimientos a los ascensores de carga y pasajeros, así como el lavados y desinfección de las trampas de grasas de las cafeterias. 
Se identifica que de no llevarse a cabo el mantenimiento de ascensores, éstos equipos pueden presentar fallas que imposibiliten su adecuado funcionamiento y por ende que el riesgo llegase a materializarce para el segundo trimestre. </t>
  </si>
  <si>
    <t>No apllica</t>
  </si>
  <si>
    <t xml:space="preserve">Revisado, según el seguimiento realizado por parte del proceso, se considera importante que se lleve un seguimiento riguroso proactivo y preventivo al crongoramada de los mantenimientos a los ascensores de carga y pasajeros, así como el lavados y desinfección de las trampas de grasas de las cafeterias. </t>
  </si>
  <si>
    <t>Javier Núñez 
Jesualdo Moya
Jeimi Medina Walteros</t>
  </si>
  <si>
    <t xml:space="preserve">Durante el segundo trimestre 2025 se llevó a cabo la ejecución de los contratos de mantenimiento a los ascensores de carga y pasajeros, lavado y desinfección de las trampas de grasas de las cafeterias, lavado de los tanques de agua potable, lavado y desinfección de pozos eyectores del edificio, y el mantenimiento preventivo de la red hidrosanitaria del edificio.
Por otra parte, se informa que durante el mes de junio se presentó una falla en el chiller, equipo que hace parte del sistema de climatización del INM, lo que generó inestabilidad en las condiciones ambientales de los laboratorios de corriente continua y alterna y el laboratorio de gases, de lo cual, se recibieron correos por parte de estos laboratorios manifestando la falla. Es importante aclarar que el mantenimiento del sistema se encontraba programado para el mes de Julio, sin embargo, dentro de las actividades del proceso de mantenimiento anualmente se realiza exclusión de algunas de estas debido a la disponibilidad de los recursos en el momento de la realización del proceso. </t>
  </si>
  <si>
    <t>Acción Correctiva 145</t>
  </si>
  <si>
    <t xml:space="preserve">Una vez revisada la información registrada por parte de primera líenz de defensa se identifican inquietudes de si se materializa o no el riesgo. </t>
  </si>
  <si>
    <t xml:space="preserve">
Sandra Milena Sierra C.
Sergio Garcia M
Jeimi Medina W.</t>
  </si>
  <si>
    <t>Durante el tercer trimestre se llevo a cabo la ejecución de 18 mantenimientos según lo establacido en el cronograma, los cuales fueron supervisados y de lo cual reposa como evidencia los informes de las actividades realizadas por los contratistas. Adicionalmente, se informa que dentro de este periodo no hubo ninguna afectación a la infraestructura.</t>
  </si>
  <si>
    <t xml:space="preserve">Luego de revisar la información registrada por el proceso, no se identifican novedades ni comentarios adicionales para el tercer trimestre de la vigencia. Sin embargo, es necesario establecer el plan de mejora para la acción correctiva 145 e iniciar el seguimiento a las actividades para dar tratamiento al riesgo materializado en el primer trimestre del año. </t>
  </si>
  <si>
    <t>El Profesional responsable del mantenimiento de la sede garantiza la ejecución de reuniones con el Secretario General (Gerente del Proyecto de Inversión) para verificar el cumplimiento del cronograma de mantenimiento preventivo vigente. Así mismo, informar los avances de las actividades programadas de acuerdo a los recursos disponibles y bloqueos presupuestales que se puedan presentar en la vigencia, igualmente para que se defina la priorización de las mismos, teniendo en cuenta la periodicidad de los mantenimientos y necesidades de las áreas del Instituto y genera un acta de reunión.
Adicionalmente, Se pretende abordar en las reuniones, cuando aplique, la solución frente a las necesidades generadas por deterioros sufridos en los equipos eléctricos, planta física y climatización de la entidad por el uso y paso de los años. En el evento de no poder atenderse la necesidad por medio de contratación pública, se acudirá a la caja menor por el carácter de urgencia de la necesidad.</t>
  </si>
  <si>
    <t>Durante el primer trimestre se realizaron reportes cualitativos para el seguimiento al cumplimiento del cronograma establecido para los mantenimientos, información que se envía para el seguimiento del plan de acción anual. Igualmente se realiza la medición a través del indicador "Actividades ejecutadas según el plan de mantenimiento de equipos eléctricos, planta física y climatización asegurando el adecuado y permanente funcionamiento de dichos equipos para aportar con la eficiencia y calidad de los procesos de la entidad" en ISOLUCIÓN.
Se identifica la necesidad de revisar y actualizar el control de éste riesgo.</t>
  </si>
  <si>
    <t>Durante el segundo trimestre 2025 se realizaron reportes cualitativos para el seguimiento al cumplimiento del cronograma establecido para los mantenimientos, información que se envía para el seguimiento del plan de acción anual. Igualmente se realiza la medición a través del indicador "Actividades ejecutadas según el plan de mantenimiento de equipos eléctricos, planta física y climatización asegurando el adecuado y permanente funcionamiento de dichos equipos para aportar con la eficiencia y calidad de los procesos de la entidad" en ISOLUCIÓN.</t>
  </si>
  <si>
    <t>Durante el tercer trimestre 2025 se realizó una reunión de seguimiento al cumplimiento del cronograma de mantenimientos de los cual queda como evidencia el acta de reunión del 01-08-2025. Igualmente se realiza la medición a través del indicador "Actividades ejecutadas según el plan de mantenimiento de equipos eléctricos, planta física y climatización asegurando el adecuado y permanente funcionamiento de dichos equipos para aportar con la eficiencia y calidad de los procesos de la entidad" en ISOLUCIÓN.</t>
  </si>
  <si>
    <t>A05-R2</t>
  </si>
  <si>
    <t>Probabilidad de presentación de cifras erradas en los Estados Financieros por errores involuntarios en el registro de la información u omisión de bienes en la verificación del inventario físico debido a la inexistencia de un medio digital o un software para la administración de bienes devolutivos.</t>
  </si>
  <si>
    <t>Errores involuntarios en el registro de la información u omisión de bienes en la verificación del inventario físico</t>
  </si>
  <si>
    <t>Inexistencia de un medio digital o un software para la administración de bienes devolutivos.</t>
  </si>
  <si>
    <t>El Profesional con funciones de almacenista revisa los inventarios Individualizados según cronograma, mediante verificación física y haciendo uso del formato A-05-F-065 Comprobante de Inventario por funcionario y en caso de aplicar actualiza el formato A-05-F-062 Listado General de Activos. En el evento de no poder realizar la revisión por ausencia del funcionario o contratista se reprograma la fecha de revisión. (Evidencia: Formatos A-05-F-071 Comprobante de verificación de inventario, A-05-F-065 Comprobante de Inventario por funcionario y formato A-05-F-062 Listado General de Activos diligenciados)</t>
  </si>
  <si>
    <t>Durante el primer trimestre del 2025 se elaboró durante el mes de marzo el cronograma levantamiento de inventario fisico de bienes Código: A-05-F-070, en el cual se programa iniciar con la verificación la última semana de abril.</t>
  </si>
  <si>
    <t>Durante el segundo trimestre del 2025 y en cumplimiento con el A-05-F-070cronograma levantamiento de inventario fisico de bienes, se realizó la toma fisica de inventario a las 10 áreas programadas. Durante el ejercicio se realizaron traslados los cuales llevaron a la actualización del listado general de activos Código: A-05-F-062, el A-05-F-065 Comprobante de inventario por funcionario y el A-05-F-063 Comprobante de traslado de bienes devolutivos, los cuales se encuentran archivados según TRD en el recurso compartido, ruta: Z:\210 GSA\TRD 2024\210.150.2 INV BIENES.
Finalmente se concluye que para el segundo trimestre no se materializa el riesgo.</t>
  </si>
  <si>
    <t>Durante el tercer trimestre del 2025 y en cumplimiento con el A-05-F-070cronograma levantamiento de inventario fisico de bienes, se realizó la toma fisica de inventario a las 15 áreas programadas. Durante el ejercicio se realizaron traslados los cuales llevaron a la actualización del listado general de activos Código: A-05-F-062, el A-05-F-065 Comprobante de inventario por funcionario y el A-05-F-063 Comprobante de traslado de bienes devolutivos, los cuales se encuentran archivados según TRD en el recurso compartido, ruta: Z:\210 GSA\TRD 2024\210.150.2 INV BIENES.
Finalmente se concluye que para el tercer trimestre no se materializa el riesgo.</t>
  </si>
  <si>
    <t>A05-R3</t>
  </si>
  <si>
    <t>Posibilidad de pérdida económica o reputacional debido a la aplicación de las sanciones que correspondan por incumplimiento a la normatividad ambiental aplicable debido al desconocimiento por parte de los colaboradores de los lineamientos establecidos para la gestión ambiental</t>
  </si>
  <si>
    <t xml:space="preserve">Falta de recursos.
Inadecuada formulación del plan de acción ambiental. </t>
  </si>
  <si>
    <t>Desconocimiento por parte de los colaboradores de los lineamientos establecidos para la gestión ambiental</t>
  </si>
  <si>
    <r>
      <rPr>
        <b/>
        <sz val="11"/>
        <color theme="1"/>
        <rFont val="Arial Narrow"/>
        <family val="2"/>
      </rPr>
      <t xml:space="preserve">Control 1 </t>
    </r>
    <r>
      <rPr>
        <sz val="11"/>
        <color theme="1"/>
        <rFont val="Arial Narrow"/>
        <family val="2"/>
      </rPr>
      <t xml:space="preserve">: Identificar los requisitos legales y otros requisitos ambientales aplicables. 
</t>
    </r>
    <r>
      <rPr>
        <b/>
        <sz val="11"/>
        <color theme="1"/>
        <rFont val="Arial Narrow"/>
        <family val="2"/>
      </rPr>
      <t>Responsable:</t>
    </r>
    <r>
      <rPr>
        <sz val="11"/>
        <color theme="1"/>
        <rFont val="Arial Narrow"/>
        <family val="2"/>
      </rPr>
      <t xml:space="preserve"> Profesional Universitario Líder de la Gestión Ambiental.
</t>
    </r>
    <r>
      <rPr>
        <b/>
        <sz val="11"/>
        <color theme="1"/>
        <rFont val="Arial Narrow"/>
        <family val="2"/>
      </rPr>
      <t>¿Cómo se realiza la actividad de control?</t>
    </r>
    <r>
      <rPr>
        <sz val="11"/>
        <color theme="1"/>
        <rFont val="Arial Narrow"/>
        <family val="2"/>
      </rPr>
      <t xml:space="preserve">: Realiza la revisión en fuentes de información oficial y se procede a actualizar la matriz de requisitos legales en ISOLUCIÓN, incluyendo los respectivos soportes que apliquen.
</t>
    </r>
    <r>
      <rPr>
        <b/>
        <sz val="11"/>
        <color theme="1"/>
        <rFont val="Arial Narrow"/>
        <family val="2"/>
      </rPr>
      <t>Propósito:</t>
    </r>
    <r>
      <rPr>
        <sz val="11"/>
        <color theme="1"/>
        <rFont val="Arial Narrow"/>
        <family val="2"/>
      </rPr>
      <t xml:space="preserve"> garantizar que se identifican los requisitos legales y otros requisitos ambientales aplicables al INM.
</t>
    </r>
    <r>
      <rPr>
        <b/>
        <sz val="11"/>
        <color theme="1"/>
        <rFont val="Arial Narrow"/>
        <family val="2"/>
      </rPr>
      <t>Periodicidad:</t>
    </r>
    <r>
      <rPr>
        <sz val="11"/>
        <color theme="1"/>
        <rFont val="Arial Narrow"/>
        <family val="2"/>
      </rPr>
      <t xml:space="preserve"> De acuerdo con lo establecido en el Procedimiento E-02-P-002 Gestión de Requisitos Legales y Documentos Externos.
</t>
    </r>
    <r>
      <rPr>
        <b/>
        <sz val="11"/>
        <color theme="1"/>
        <rFont val="Arial Narrow"/>
        <family val="2"/>
      </rPr>
      <t xml:space="preserve">¿Qué pasa con las observaciones o desviaciones?: </t>
    </r>
    <r>
      <rPr>
        <sz val="11"/>
        <color theme="1"/>
        <rFont val="Arial Narrow"/>
        <family val="2"/>
      </rPr>
      <t xml:space="preserve">
En caso de no identificar un requisito debe analizar las implicaciones y establecer la necesidad de formular un plan de mejora de acuerdo al E-03-P-003 Acciones correctivas y de mejora.
En caso de falla del aplicativo ISOLUCIÓN durante la actualización de la matriz, informar el caso a OAP (Oficina Asesora de Planeación).
Registrar de manera inmediata el requisito en ISOLUCION.
</t>
    </r>
    <r>
      <rPr>
        <b/>
        <sz val="11"/>
        <color theme="1"/>
        <rFont val="Arial Narrow"/>
        <family val="2"/>
      </rPr>
      <t>Evidencia de la ejecución del control:</t>
    </r>
    <r>
      <rPr>
        <sz val="11"/>
        <color theme="1"/>
        <rFont val="Arial Narrow"/>
        <family val="2"/>
      </rPr>
      <t xml:space="preserve"> Matriz de requisitos legales actualizada en ISOLUCIÓN.
</t>
    </r>
    <r>
      <rPr>
        <b/>
        <sz val="11"/>
        <color theme="1"/>
        <rFont val="Arial Narrow"/>
        <family val="2"/>
      </rPr>
      <t>Documentado</t>
    </r>
    <r>
      <rPr>
        <sz val="11"/>
        <color theme="1"/>
        <rFont val="Arial Narrow"/>
        <family val="2"/>
      </rPr>
      <t>: E-02-P-002 Gestión de requisitos legales y documentos externos</t>
    </r>
  </si>
  <si>
    <t>* Profesional Universitario 11 - Líder de la Gestión Ambiental</t>
  </si>
  <si>
    <t>25-12-2025</t>
  </si>
  <si>
    <t>Resultados de indicadores de programas ambientales del periodo en nivel satisfactorio.</t>
  </si>
  <si>
    <t>Jennifer Catherine Sáenz Rivera</t>
  </si>
  <si>
    <t>Durante el primer trimestre 2025 y a la fecha se está desarrollando la revisión de nueva normatividad aplicable en materia ambiental.</t>
  </si>
  <si>
    <t xml:space="preserve">Durante el trimestre se incluyó en el formato de SEGUIMIENTO MATRIZ DE REQUISITOS LEGALES / DOCUMENTOS EXTERNOS, los requisitos legales E-02-F-043 nuevos requisitos de orden legal: Ley 2387 de 2024, Resolución 839 de 2023, Resolución 40412 de 2024, </t>
  </si>
  <si>
    <t>Pendiente validar en la matriz de requisitos legales</t>
  </si>
  <si>
    <t>En el tercer trimestre del 2025 no se identifican requisitos legales nuevos a ingresar.</t>
  </si>
  <si>
    <r>
      <rPr>
        <b/>
        <sz val="11"/>
        <color theme="1"/>
        <rFont val="Arial Narrow"/>
        <family val="2"/>
      </rPr>
      <t>Control 2</t>
    </r>
    <r>
      <rPr>
        <sz val="11"/>
        <color theme="1"/>
        <rFont val="Arial Narrow"/>
        <family val="2"/>
      </rPr>
      <t xml:space="preserve">: Realizar el seguimiento al cumplimiento de requisitos legales y otros requisitos ambientales aplicables. 
</t>
    </r>
    <r>
      <rPr>
        <b/>
        <sz val="11"/>
        <color theme="1"/>
        <rFont val="Arial Narrow"/>
        <family val="2"/>
      </rPr>
      <t>Responsable</t>
    </r>
    <r>
      <rPr>
        <sz val="11"/>
        <color theme="1"/>
        <rFont val="Arial Narrow"/>
        <family val="2"/>
      </rPr>
      <t xml:space="preserve">: Profesional Universitario Líder de la Gestión Ambiental.
</t>
    </r>
    <r>
      <rPr>
        <b/>
        <sz val="11"/>
        <color theme="1"/>
        <rFont val="Arial Narrow"/>
        <family val="2"/>
      </rPr>
      <t>¿Cómo se realiza la actividad de control?</t>
    </r>
    <r>
      <rPr>
        <sz val="11"/>
        <color theme="1"/>
        <rFont val="Arial Narrow"/>
        <family val="2"/>
      </rPr>
      <t xml:space="preserve">: hace la revisión y/o actualización de los soportes que permitan evaluar el cumplimiento de requisitos legales y otros y se realiza el registro en  la Matriz de requisitos legales actualizada en ISOLUCIÓN. y el formato E-02-F-043 Seguimiento Requisitos Legales / Documentos Externos conforme a los lineamientos definidos en el Procedimiento E-02-P-002 Gestión de Requisitos Legales y Documentos Externos.
Cuando se presentan situaciones que requieren la intervención de la Alta Dirección se informa al Comité Institucional de Gestión y Desempeño para la toma de decisiones y establecimiento de acciones, adicionalmente al menos una vez al año durante la Revisión por la Dirección se presenta la gestión de los requisitos legales y otros requisitos en materia ambiental.
</t>
    </r>
    <r>
      <rPr>
        <b/>
        <sz val="11"/>
        <color theme="1"/>
        <rFont val="Arial Narrow"/>
        <family val="2"/>
      </rPr>
      <t>Propósito</t>
    </r>
    <r>
      <rPr>
        <sz val="11"/>
        <color theme="1"/>
        <rFont val="Arial Narrow"/>
        <family val="2"/>
      </rPr>
      <t xml:space="preserve">: Asegurar que el INM verifica el cumplimiento a los requisitos legales y otros requisitos en materia ambiental.
</t>
    </r>
    <r>
      <rPr>
        <b/>
        <sz val="11"/>
        <color theme="1"/>
        <rFont val="Arial Narrow"/>
        <family val="2"/>
      </rPr>
      <t>Periodicidad</t>
    </r>
    <r>
      <rPr>
        <sz val="11"/>
        <color theme="1"/>
        <rFont val="Arial Narrow"/>
        <family val="2"/>
      </rPr>
      <t xml:space="preserve">: De acuerdo con lo establecido en el Procedimiento E-02-P-002.
Gestión de Requisitos Legales y Documentos Externos.
</t>
    </r>
    <r>
      <rPr>
        <b/>
        <sz val="11"/>
        <color theme="1"/>
        <rFont val="Arial Narrow"/>
        <family val="2"/>
      </rPr>
      <t xml:space="preserve">¿Qué pasa con las observaciones o desviaciones?: 
</t>
    </r>
    <r>
      <rPr>
        <sz val="11"/>
        <color theme="1"/>
        <rFont val="Arial Narrow"/>
        <family val="2"/>
      </rPr>
      <t xml:space="preserve">En caso de no realizar el seguimiento a un requisito conforme a los lineamientos definidos en el Procedimiento E-02-P-002 Gestión de Requisitos Legales y Documentos Externos se analizarán las implicaciones y establecerá la necesidad de formular un plan de mejora de acuerdo al E-03-P-003 Acciones correctivas y de mejora.
Realizar el seguimiento y de manera inmediata registrarlo en ISOLUCION.
En caso de falla del aplicativo ISOLUCIÓN durante la actualización de la matriz, informar el caso a OAP.
</t>
    </r>
    <r>
      <rPr>
        <b/>
        <sz val="11"/>
        <color theme="1"/>
        <rFont val="Arial Narrow"/>
        <family val="2"/>
      </rPr>
      <t>Evidencia de la ejecución del control:</t>
    </r>
    <r>
      <rPr>
        <sz val="11"/>
        <color theme="1"/>
        <rFont val="Arial Narrow"/>
        <family val="2"/>
      </rPr>
      <t xml:space="preserve"> Matriz de requisitos legales actualizada en ISOLUCIÓN y registro en el formato E-02-F-043 Seguimiento Requisitos Legales / Documentos Externos.
</t>
    </r>
    <r>
      <rPr>
        <b/>
        <sz val="11"/>
        <color theme="1"/>
        <rFont val="Arial Narrow"/>
        <family val="2"/>
      </rPr>
      <t>Documentado</t>
    </r>
    <r>
      <rPr>
        <sz val="11"/>
        <color theme="1"/>
        <rFont val="Arial Narrow"/>
        <family val="2"/>
      </rPr>
      <t>: E-02-P-002 Gestión de requisitos legales y documentos externos</t>
    </r>
  </si>
  <si>
    <t>Se está desarrollando la revisión del cumplimiento de la normatividad, para el caso de las normas incluidas en el formato de SEGUIMIENTO MATRIZ DE REQUISITOS LEGALES / DOCUMENTOS EXTERNOS, los requisitos legales E-02-F-043, se realiza una revisión preliminar del cumplimiento normativo.</t>
  </si>
  <si>
    <t>Pendiente validar en la matriz de requisitos legales y el formato de seguimiento a RL y DE</t>
  </si>
  <si>
    <t>En el tercer trimestre del 2025 se revisan los requisitos legales de la matriz en ISOLUCION y se identifica que del cumplimiento reportado del 79.67% existen varios requisitos con plazo vigente, por lo que se procede a la revisión de la información y se determina que la mayoría de las obligaciones legales ya cuentan con elementos para establecer el cumplimiento y ajustar el reporte de las mismas con cumplimiento total.
Por lo anterior, durante la revisión se concluye un cumplimiento del 99% para los requisitos legales y otros requisitos, identificando un incumplimiento parcial Resolución 773 de 2021: numeral 21.1 del art. 21 relacionado al inventario actualizado de sustancias químicas (SMF, GSA), y la necesidad de actualizar el estado de los requisitos con estado “plazo vigente”.</t>
  </si>
  <si>
    <r>
      <rPr>
        <b/>
        <sz val="11"/>
        <color theme="1"/>
        <rFont val="Arial Narrow"/>
        <family val="2"/>
      </rPr>
      <t>Control 3</t>
    </r>
    <r>
      <rPr>
        <sz val="11"/>
        <color theme="1"/>
        <rFont val="Arial Narrow"/>
        <family val="2"/>
      </rPr>
      <t xml:space="preserve">: Formular el Plan de Acción Ambiental (PAAmb) incluyendo los recursos para el cumplimiento de actividades posterior a la asignación de presupuesto al INM.
</t>
    </r>
    <r>
      <rPr>
        <b/>
        <sz val="11"/>
        <color theme="1"/>
        <rFont val="Arial Narrow"/>
        <family val="2"/>
      </rPr>
      <t>Responsable:</t>
    </r>
    <r>
      <rPr>
        <sz val="11"/>
        <color theme="1"/>
        <rFont val="Arial Narrow"/>
        <family val="2"/>
      </rPr>
      <t xml:space="preserve"> Profesional Universitario Líder de la Gestión Ambiental.
</t>
    </r>
    <r>
      <rPr>
        <b/>
        <sz val="11"/>
        <color theme="1"/>
        <rFont val="Arial Narrow"/>
        <family val="2"/>
      </rPr>
      <t>¿Cómo se realiza la actividad de control?:</t>
    </r>
    <r>
      <rPr>
        <sz val="11"/>
        <color theme="1"/>
        <rFont val="Arial Narrow"/>
        <family val="2"/>
      </rPr>
      <t xml:space="preserve">
Realizar la solicitud de recursos al Secretario General al finalizar la vigencia para atender las necesidades del SGA de la siguiente vigencia y verifica su asignación en el Plan Anual de Adquisiciones (PAA).
Posterior a ello formula una propuesta del PAAmb al inicio de la vigencia que se remite al Secretario General para su revisión y posterior envío a la OAP para su aprobación en el CIGD.
</t>
    </r>
    <r>
      <rPr>
        <b/>
        <sz val="11"/>
        <color theme="1"/>
        <rFont val="Arial Narrow"/>
        <family val="2"/>
      </rPr>
      <t>Propósito</t>
    </r>
    <r>
      <rPr>
        <sz val="11"/>
        <color theme="1"/>
        <rFont val="Arial Narrow"/>
        <family val="2"/>
      </rPr>
      <t xml:space="preserve">: Identificar las necesidades del SGA con el fin de atender los requisitos legales y otros requisitos aplicables.
</t>
    </r>
    <r>
      <rPr>
        <b/>
        <sz val="11"/>
        <color theme="1"/>
        <rFont val="Arial Narrow"/>
        <family val="2"/>
      </rPr>
      <t>Periodicidad</t>
    </r>
    <r>
      <rPr>
        <sz val="11"/>
        <color theme="1"/>
        <rFont val="Arial Narrow"/>
        <family val="2"/>
      </rPr>
      <t xml:space="preserve">: Anual.
</t>
    </r>
    <r>
      <rPr>
        <b/>
        <sz val="11"/>
        <color theme="1"/>
        <rFont val="Arial Narrow"/>
        <family val="2"/>
      </rPr>
      <t xml:space="preserve">¿Qué pasa con las observaciones o desviaciones?: </t>
    </r>
    <r>
      <rPr>
        <sz val="11"/>
        <color theme="1"/>
        <rFont val="Arial Narrow"/>
        <family val="2"/>
      </rPr>
      <t xml:space="preserve">
Si no es aprobada la propuesta total de recursos para el SGA, debe establecer prioridades en cuanto a las actividades a desarrollar con el presupuesto asignado.
En caso de no solicitar algún recurso requerido, se informa de forma inmediata al Secretario General para que se revise la posibilidad de incluirlo en el PAA de acuerdo a la disponibilidad de recursos.
</t>
    </r>
    <r>
      <rPr>
        <b/>
        <sz val="11"/>
        <color theme="1"/>
        <rFont val="Arial Narrow"/>
        <family val="2"/>
      </rPr>
      <t>Evidencia de la ejecución del control:</t>
    </r>
    <r>
      <rPr>
        <sz val="11"/>
        <color theme="1"/>
        <rFont val="Arial Narrow"/>
        <family val="2"/>
      </rPr>
      <t xml:space="preserve"> PAAmb y PAA aprobado.
</t>
    </r>
    <r>
      <rPr>
        <b/>
        <sz val="11"/>
        <color theme="1"/>
        <rFont val="Arial Narrow"/>
        <family val="2"/>
      </rPr>
      <t>Documentado:</t>
    </r>
    <r>
      <rPr>
        <sz val="11"/>
        <color theme="1"/>
        <rFont val="Arial Narrow"/>
        <family val="2"/>
      </rPr>
      <t xml:space="preserve"> A-05-P-008 PLANIFICACIÓN DE ACCIONES, SEGUIMIENTO, MEDICIÓN, ANÁLISIS Y EVALUACIÓN AMBIENTAL</t>
    </r>
  </si>
  <si>
    <t>Posterior a la aprobación de Plan Anual de Adquisiciones (PAA) en el mes de enero se verifica que se encuentran incluídos los rubros para atender los procesos contractuales de Gestión Externa de RESPEL, caracterización de ARnD y Auditoría Energética.
Por otra parte, se formuló una propuesta del PAAmb al inicio de la vigencia  2025, la cual fue remitida al Secretario General para su revisión y envío a la OAP para su posterior aprobación en el CIGD mediante Acta No. 24-02 del 2024 2025-01-29 (Sesión 2) .</t>
  </si>
  <si>
    <t>Dado que el Plan de Acción Ambiental de formulo y aprobó en el mes de enero, para el presente periodo de seguimiento no aplica la ejecución de este control.</t>
  </si>
  <si>
    <r>
      <rPr>
        <b/>
        <sz val="11"/>
        <color theme="1"/>
        <rFont val="Arial Narrow"/>
        <family val="2"/>
      </rPr>
      <t>Control 4</t>
    </r>
    <r>
      <rPr>
        <sz val="11"/>
        <color theme="1"/>
        <rFont val="Arial Narrow"/>
        <family val="2"/>
      </rPr>
      <t xml:space="preserve">: Seguimiento a la ejecución del Plan de Acción Ambiental (PAAmb).
</t>
    </r>
    <r>
      <rPr>
        <b/>
        <sz val="11"/>
        <color theme="1"/>
        <rFont val="Arial Narrow"/>
        <family val="2"/>
      </rPr>
      <t xml:space="preserve">Responsable: </t>
    </r>
    <r>
      <rPr>
        <sz val="11"/>
        <color theme="1"/>
        <rFont val="Arial Narrow"/>
        <family val="2"/>
      </rPr>
      <t xml:space="preserve">Profesional Universitario Líder de la Gestión Ambiental.
</t>
    </r>
    <r>
      <rPr>
        <b/>
        <sz val="11"/>
        <color theme="1"/>
        <rFont val="Arial Narrow"/>
        <family val="2"/>
      </rPr>
      <t xml:space="preserve">¿Cómo se realiza la actividad de control?:
</t>
    </r>
    <r>
      <rPr>
        <sz val="11"/>
        <color theme="1"/>
        <rFont val="Arial Narrow"/>
        <family val="2"/>
      </rPr>
      <t xml:space="preserve">Elabora un informe de la ejecución del Plan de Acción Ambiental, cuando se requiere la intervención de la Alta Dirección, informa al Comité Institucional de Gestión y Desempeño para la toma de decisiones y establecimiento de acciones de mejora del desempeño ambiental.
</t>
    </r>
    <r>
      <rPr>
        <b/>
        <sz val="11"/>
        <color theme="1"/>
        <rFont val="Arial Narrow"/>
        <family val="2"/>
      </rPr>
      <t>Propósito</t>
    </r>
    <r>
      <rPr>
        <sz val="11"/>
        <color theme="1"/>
        <rFont val="Arial Narrow"/>
        <family val="2"/>
      </rPr>
      <t xml:space="preserve">: Asegurar que las acciones establecidas PAAmb para el cumplimiento a los requisitos legales y otros requisitos en materia ambiental se ejecuten.
</t>
    </r>
    <r>
      <rPr>
        <b/>
        <sz val="11"/>
        <color theme="1"/>
        <rFont val="Arial Narrow"/>
        <family val="2"/>
      </rPr>
      <t>Periodicidad:</t>
    </r>
    <r>
      <rPr>
        <sz val="11"/>
        <color theme="1"/>
        <rFont val="Arial Narrow"/>
        <family val="2"/>
      </rPr>
      <t xml:space="preserve"> Trimestral.
</t>
    </r>
    <r>
      <rPr>
        <b/>
        <sz val="11"/>
        <color theme="1"/>
        <rFont val="Arial Narrow"/>
        <family val="2"/>
      </rPr>
      <t xml:space="preserve">¿Qué pasa con las observaciones o desviaciones?: </t>
    </r>
    <r>
      <rPr>
        <sz val="11"/>
        <color theme="1"/>
        <rFont val="Arial Narrow"/>
        <family val="2"/>
      </rPr>
      <t xml:space="preserve">
En caso de no realizar el seguimiento analizarán las implicaciones y establecerá la necesidad de formular un plan de mejora de acuerdo al E-03-P-003 Acciones correctivas y de mejora.
En caso de no ejecutar alguna actividad, revisar la procedencia de reprogramación o retiro de la actividad en el cronograma.
</t>
    </r>
    <r>
      <rPr>
        <b/>
        <sz val="11"/>
        <color theme="1"/>
        <rFont val="Arial Narrow"/>
        <family val="2"/>
      </rPr>
      <t xml:space="preserve">Evidencia de la ejecución del control: </t>
    </r>
    <r>
      <rPr>
        <sz val="11"/>
        <color theme="1"/>
        <rFont val="Arial Narrow"/>
        <family val="2"/>
      </rPr>
      <t xml:space="preserve">Informe de seguimiento al PAAmb, acta de reunión del CIGD (cuando aplique).
</t>
    </r>
    <r>
      <rPr>
        <b/>
        <sz val="11"/>
        <color theme="1"/>
        <rFont val="Arial Narrow"/>
        <family val="2"/>
      </rPr>
      <t>Documentado</t>
    </r>
    <r>
      <rPr>
        <sz val="11"/>
        <color theme="1"/>
        <rFont val="Arial Narrow"/>
        <family val="2"/>
      </rPr>
      <t>: A-05-P-008 PLANIFICACIÓN DE ACCIONES, SEGUIMIENTO, MEDICIÓN, ANÁLISIS Y EVALUACIÓN AMBIENTAL</t>
    </r>
  </si>
  <si>
    <t>Durante el primer trimestre 2025, se realizó el seguimiento mensual a la ejecución del Plan de Acción Ambiental (PAAmb) registrado en el: https://metrologiainm.sharepoint.com/:x:/s/OAP/EdNzLRuSl0NAtTDjzyp9C9oBULyxRoTgP8EloMx7qVWLrw?CID=7aa4ac06-0b94-349f-4473-6f93972525c3&amp;e=t7BTVR.
Por otra parte, se elaboró un informe de la ejecución del Plan de Acción Ambiental el 2025-04-08 almacenado en la TRD 210.195.3.
Finalmente, en este periodo no se requiere la intervención de la Alta Dirección para la toma de decisiones y establecimiento de acciones de mejora del desempeño ambiental.</t>
  </si>
  <si>
    <t>Durante el segundo trimestre de 2025, se realizó el seguimiento mensual a la ejecución del PAAmb registrado en: https://metrologiainm.sharepoint.com/:x:/s/OAP/EZmk_Uze77tCnknmzM8vMzUBm9NJQu6GSJZGWzP5q8vUJw?CID=6bae48ca-1978-9947-4af2-bca2c3a8a9b3&amp;e=rQOcMV
Por otra parte, se elaboró un informe de la ejecución del PAAmb el 2025-07-11 almacenado en la TRD 201.195.3.
Finalmente, en este periodo no se requiere la intervencipon de la Alta Dirección para la toma de decisiones y establecimiento de acciones de mejora del desempeño ambiental.</t>
  </si>
  <si>
    <t>Durante el tercer trimestre de 2025, se realizó el seguimiento mensual a la ejecución del PAAmb registrado en: https://metrologiainm.sharepoint.com/:x:/s/OAP/EZmk_Uze77tCnknmzM8vMzUBm9NJQu6GSJZGWzP5q8vUJw?CID=6bae48ca-1978-9947-4af2-bca2c3a8a9b3&amp;e=rQOcMV
Por otra parte, se elaboró un informe de la ejecución del PAAmb el 2025-10-11 almacenado en la TRD 201.195.3.
Finalmente, en este periodo no se requiere la intervencipon de la Alta Dirección para la toma de decisiones y establecimiento de acciones de mejora del desempeño ambiental.</t>
  </si>
  <si>
    <t>A05-R4</t>
  </si>
  <si>
    <t>Posibilidad de afectación reputacional por daño al ambiente y a la comunidad circundante dadas las emisiones, derrames, vertimientos de sustancias químicas y residuos peligrosos, fugas de gases, explosión, incendio, etc., debido a fallas en las operaciones internas y/o errores humanos y/o amenazas externas.</t>
  </si>
  <si>
    <t xml:space="preserve">Desconocimiento del personal sobre los temas ambientales
Insuficiente personal para dar tratamiento sobre las emergencias que se puedan presentar. </t>
  </si>
  <si>
    <t>Fallas en las operaciones internas y/o errores humanos.</t>
  </si>
  <si>
    <t>Control: Aplicar las acciones establecidas en el Plan de Acción Ambiental (Lamb) para la prevención y preparación en la atención de emergencias ambientales.
Responsable: Profesional Universitario Líder de la Gestión Ambiental, responsable del SG-SST y Responsables de la Brigada de Emergencia.
¿Cómo se realiza la actividad de control?:
Ejecuta las actividades programadas en el Lamb para la prevención y preparación en la atención de emergencias ambientales. 
Incluir en el informe de seguimiento del Lamb la ejecución de las actividades programadas para la prevención y preparación en la atención de emergencias ambientales cuando aplique.
Cuando se requiere la intervención de la Alta Dirección, informa al Comité Institucional de Gestión y Desempeño para la toma de decisiones y establecimiento de acciones de mejora del frente a la atención y preparación de emergencias.
Propósito: Asegurar que se previene la generación de emergencias ambientales y que la entidad se encuentra preparada para atenderlas evitando o mitigando afectaciones al ambiente y a la comunidad.
Periodicidad: Trimestral.
¿Qué pasa con las observaciones o desviaciones?: 
En caso de no realizar el seguimiento a la ejecución analizarán las implicaciones y establecerá la necesidad de formular un plan de mejora de acuerdo al E-03-P-003 Acciones correctivas y de mejora.
En caso de no ejecutar alguna actividad, revisar la procedencia de reprogramación o retiro del cronograma.
Evidencia de la ejecución del control: Informe de seguimiento al Lamb, acta de reunión del CIGD (cuando aplique), informes de simulacros en el formato  A-05-F-028 Informe situación emergencia o accidente ambiental.
Documentado: A-05-P-008 PLANIFICACIÓN DE ACCIONES, SEGUIMIENTO, MEDICIÓN, ANÁLISIS Y EVALUACIÓN AMBIENTAL</t>
  </si>
  <si>
    <t>Brigada de emergencias
SG - SST
SGA</t>
  </si>
  <si>
    <t>2025-04-18
2025-07-17
2025-10-17
2026-01-16</t>
  </si>
  <si>
    <t>Resultados de indicadores de programas ambientales del periodo en nivel satisfactorio.
Accidentes presentados por derrame de sustancias químicas</t>
  </si>
  <si>
    <t>Durante el primer trimestre 2025, se realizó el seguimiento mensual a la ejecución del Plan de Acción Ambiental (PAAmb) registrado en el https://metrologiainm.sharepoint.com/:x:/s/OAP/EdNzLRuSl0NAtTDjzyp9C9oBULyxRoTgP8EloMx7qVWLrw?CID=7aa4ac06-0b94-349f-4473-6f93972525c3&amp;e=t7BTVR. (Capacitaciones en 25.03.21 Primeros auxilios / 25.02.25 Elementos para la atención de emergencias).
Por otra parte, se elaboró un informe de la ejecución del Plan de Acción Ambiental el 2025-04-08 almacenado en la TRD 210.195.3.
Finalmente, en este periodo no se requiere la intervención de la Alta Dirección para la toma de decisiones y establecimiento de acciones de mejora del desempeño ambiental.</t>
  </si>
  <si>
    <t>Durante el segundo trimestre de 2025, se realizó el seguimiento mensual a la ejecución del PAAmb registrado en: https://metrologiainm.sharepoint.com/:x:/s/OAP/EZmk_Uze77tCnknmzM8vMzUBm9NJQu6 (Simulacro en incendio y evacución parcial el 2025.05.25, curso virtual de primer respondiente IDIGER).
Por otra parte, se elaboró un informe de la ejecución del PAAmb el 2025-07-11 almacenado en la TRD 201.195.3.
Finalmente, en este periodo no se requiere la intervencipon de la Alta Dirección para la toma de decisiones y establecimiento de acciones de mejora del desempeño ambiental.</t>
  </si>
  <si>
    <t>Durante el tercer trimestre de 2025, se realizó el seguimiento mensual a la ejecución del PAAmb registrado en: https://metrologiainm.sharepoint.com/:x:/s/OAP/EZmk_Uze77tCnknmzM8vMzUBm9NJQu6 (Para este trimestre no se desarrollan actividades de capacitación en las temáticas, sin embargo, se informa por parte de SG-SST que se ejecutara para octubre en tema de derrames y entrenamiento en pista en incendios.).
Por otra parte, se elaboró un informe de la ejecución del PAAmb el 2025-10-11 almacenado en la TRD 201.195.3.
Finalmente, en este periodo no se requiere la intervencipon de la Alta Dirección para la toma de decisiones y establecimiento de acciones de mejora del desempeño ambiental.</t>
  </si>
  <si>
    <t>A06-R2</t>
  </si>
  <si>
    <t>(A-06)
Control Disciplinario</t>
  </si>
  <si>
    <t>Posibilidad de afectación económica y reputacional por quejas injustificadas o temerarias por parte de los colaboradores o usuarios de la entidad debido a la aplicación inadecuada del marco jurídico que rige la situación denunciada por parte del profesional que investiga la situación disciplinaria.</t>
  </si>
  <si>
    <t>Aplicación inadecuada del marco jurídico que rige la situación denunciada por parte del profesional que investiga la situación disciplinaria</t>
  </si>
  <si>
    <t>El Profesional especializado responsable del proceso de Control Disciplinario cada vez que se generan quejas injustificadas o temerarias por parte de los colaboradores o usuarios de la entidad realiza la revisión preliminar del marco jurídico que rige la situación denunciada determinando si la conducta está provista como falta disciplinaria
Si se identifica que se trata de quejas temerarias o injustificadas, se dará apertura disciplinaria contra el quejoso o informante.
(Evidencia de la ejecución del control: Documentación del proceso abierto al quejoso temerario.)</t>
  </si>
  <si>
    <t>Joam Aristizabal</t>
  </si>
  <si>
    <t>Durante el primer trimestre de 2025 no se presentaron quejas temerarias, motivo por el cual no se materializa el riesgo. 
Adicionalmente, diariamiente se hizo seguimiento a los canales habilitados para la asignación de noticias disciplinarias en el INM y si fuese el caso darle aplicabilidad a la normatividad correspondiente en materia disciplinaria.</t>
  </si>
  <si>
    <t>Joam Aristizabal
Jeimi Medina W.</t>
  </si>
  <si>
    <t xml:space="preserve">Durante el segundo trimestre 2025 no se presentaron quejas injustficadas ni temerarias, motivo por el cual no se materializa el riesgo.
Por otra parte, se realizó seguimiento a los canales del INM habilitados para la asignación de noticias disciplinarias y si fuese el caso aplicar la normatividad vigente en materia disciplinaria.
</t>
  </si>
  <si>
    <t xml:space="preserve">Durante el tercer trimestre 2025 no se presentaron quejas injustficadas ni temerarias, motivo por el cual no se materializa el riesgo.
Por otra parte, se realizó seguimiento a los canales del INM habilitados para la asignación de noticias disciplinarias y si fuese el caso aplicar la normatividad vigente en materia disciplinaria.
</t>
  </si>
  <si>
    <t xml:space="preserve">El Profesional especializado responsable del proceso de Control Disciplinario mínimo cada semestre realiza una capacitación a todo el personal del INM en derecho disciplinario. 
Evidencia de la ejecución del control: Evidencia de asistencia/ Evaluación de la capacitación para los servidores públicos. </t>
  </si>
  <si>
    <t>Se tiene programado para el segundo trimestre de 2025 iniciar las capacitaciones en materia disciplinaria al personal que labora en el INM. Sin embargo, durante el primer trimestre de 2025, a través del grupo de comunicaciones, por correos masivos y publicación en la INMTRANET se ha compartido material gráfico con el cual se socializa la normatividad disciplinaria y los canales de atención del INM para los asuntos disciplinarios internos.
Finalmente se comunica que el riesgo no se materializó.</t>
  </si>
  <si>
    <t xml:space="preserve">Durante el segundo trimestre 2025 se llevaron a cabo 9 capacitaciones las cuales abarcaron todas las dependencias del INM y de lo cual quedo como evidencia los listados de asistencia que reposan en el arcivo del proceso de Gestión de Talento Humano.  </t>
  </si>
  <si>
    <t xml:space="preserve">Para el tercer trimestre 2025 no se tenían programadas capacitaciones, por lo tanto para el presente periodo de seguimiento este control no aplica. </t>
  </si>
  <si>
    <t>A07-R1</t>
  </si>
  <si>
    <t>(A-07)
Contratación y Adquisición de Bienes y Servicios</t>
  </si>
  <si>
    <t xml:space="preserve">Posibilidad de incumplimiento de metas institucionales, por retrasos en el inicio de ejecución de los contratos debido a radicación de las solicitudes de contratación por fuera de los tiempos establecidos en el Plan anual de adquisiciones por parte de las áreas y/o revisión inoportuna de los documentos previos del proceso de contratación por parte del Grupo de Gestión Jurídica. Y/o por respuesta inoportuna por parte de las áreas y/o contratistas frente a solicitud de ajustes o documentación faltante. </t>
  </si>
  <si>
    <t>Retrasos en el inicio de ejecución de los contratos</t>
  </si>
  <si>
    <t>Radicación de las solicitudes de contratación por fuera de los tiempos establecidos en el Plan anual de adquisiciones por parte de las áreas
Revisión inoportuna de los documentos previos del proceso de contratación por parte del Grupo de Gestión Jurídica.
Respuesta inoportuna por parte de las áreas y/o contratistas frente a solicitud de ajustes o documentación faltante</t>
  </si>
  <si>
    <t>El coordinador del Grupo interno de trabajo de GJCD realiza seguimiento al Plan Anual de adquisiciones a través de un reporte mensual (Archivo Excel), el cual es enviado a través de correo electrónico a la Alta Dirección/Gerentes de proyecto de las diferentes áreas.</t>
  </si>
  <si>
    <t>Juana Maria Tovar Acero
Jeimi Medina Walteros</t>
  </si>
  <si>
    <t>De manera mensual se realizó seguimiento a la adquisición de bienes y servicios de conformidad con lo programado en el PAA. Así mismo, se le recordó a las áreas a través de correo electrónico las adquisiciones programadas para el siguiente mes. 
Por otra parte, aunque se detecta incumplimiento en la radicación de procesos acorde a lo programado en el PAA, no es posible establecer si el riesgo se materializa dado que no existe claridad sobre cuales son las metas institucionales establecidas, razón por la cual se debe revisar el riesgo.</t>
  </si>
  <si>
    <t>Juana Maria Tovar 
Jeimi Medina W.</t>
  </si>
  <si>
    <t>De manera mensual se realizó seguimiento a la adquisición de bienes y servicios de conformidad con lo programado en el PAA. Así mismo, se le recordó a las áreas a través de correo electrónico las adquisiciones programadas para el siguiente mes, de lo cual quedan las evidencias de los correos electrónicos enviados.  
Por otra parte, aunque se detecta incumplimiento en la radicación de procesos acorde a lo programado en el PAA, no es posible establecer si el riesgo se materializa dado que no existe claridad sobre cuales son las metas institucionales establecidas, razón por la cual se debe revisar el riesgo.</t>
  </si>
  <si>
    <t>Juana Maria Tovar 
Wanda Sandoval
Jeimi Medina W.</t>
  </si>
  <si>
    <t>De manera mensual se realizó seguimiento a la adquisición de bienes y servicios de conformidad con lo programado en el PAA. Así mismo, se le recordó a las áreas a través de correo electrónico las adquisiciones programadas para el siguiente mes, de lo cual quedan las evidencias de los correos electrónicos enviados.  
Por otra parte, aunque se detecta incumplimiento en la radicación de procesos acorde a lo programado en el PAA durante los meses, sin embargo el PAA es objeto de modificaciones permanentes y por ende no es posible establecer si el riesgo se materializa, razón por la cual se debe revisar este control establecido al riesgo.</t>
  </si>
  <si>
    <t>El Profesional asignado de contratación efectúa la revisión de la solicitud de contratación del Estudio y los documentos previos con el fin de validar la viabilidad de la contratación, cada vez que se radique en el grupo de GJCD y se generan las listas de chequeo según modalidad que corresponda y correos enviados al área solicitante para subsanar las observaciones realizadas durante la revisión</t>
  </si>
  <si>
    <t>Se informa que durante el I Trimestre 2025 se radicaron 94 solicitudes de contratación, frente a las cuales se realizó el respectivo proceso de revisión de la documentación, de lo cual queda como evidencia los correos, los documentos cargados y/o aprobados a través de SECOP II y los expedientes que se encuentran archivados de acuerdo con las TRD en el recurso compartido ruta:  Z:\220 GGJ\TRD-2024 y en los cuales reposan las listas de chequeo para cada proceso.</t>
  </si>
  <si>
    <t>Se informa que durante el II Trimestre 2025 se radicaron 48 solicitudes de contratación, frente a las cuales se realizó el respectivo proceso de revisión de la documentación, de lo cual queda como evidencia los correos, los documentos cargados y/o aprobados a través de SECOP II y los expedientes que se encuentran archivados de acuerdo con las TRD en el recurso compartido ruta:  Z:\220 GGJ\TRD-2024 y en los cuales reposan las listas de chequeo para cada proceso.</t>
  </si>
  <si>
    <t>Se informa que durante el III Trimestre 2025 se radicaron 50 solicitudes de contratación, frente a las cuales se realizó el respectivo proceso de revisión de la documentación, de lo cual queda como evidencia los correos, los documentos cargados y/o aprobados a través de SECOP II y los expedientes que se encuentran archivados de acuerdo con las TRD en el recurso compartido ruta:  Z:\220 GGJ\TRD-2024 y en los cuales reposan las listas de chequeo para cada proceso.</t>
  </si>
  <si>
    <t xml:space="preserve">El Coordinador del Grupo interno de trabajo de Gestión Jurídica cada 15 días realiza seguimiento a cada uno de los procesos de contratación asignados a los profesionales del Grupo interno de trabajo de GJCD. Se realiza seguimiento de las actividades realizadas por el profesional asignado de contratación en cuanto a cumplimiento de los términos establecidos en los procedimientos para cada modalidad de contratación de acuerdo a las solicitudes de contratación radicadas. (Evidencia: Seguimiento a la matriz A-07-F-25 Matriz de Contratos, Correo con los compromisos adquiridos durante la reunión de seguimiento.)
</t>
  </si>
  <si>
    <t>Se informa que durante el I Trimestre 2025 se realizaron tres reuniones de seguimiento con el fin de impartir lineamientos para la ejecución de la contratación de la vigencia, así como para verificar el estado actual de los procesos a cada uno de los abogados.</t>
  </si>
  <si>
    <t xml:space="preserve">Se informa que durante el II Trimestre 2025 se realizaron dos reuniones de seguimiento con el fin de verificar el estado actual de los procesos y los tiempos de respuesta por parte de los abogados asignados a cada uno de los proceso y de las áreas en cuanto a la subsanación de observaciones. De lo cual, queda como evidencia los listados de asistencia y el acta de reunión. </t>
  </si>
  <si>
    <t>Se informa que durante el III Trimestre 2025 se realizaron cuatro reuniones de seguimiento con el fin de verificar el estado actual de los procesos y los tiempos de respuesta por parte de los abogados asignados a cada uno de los procesos y de las áreas en cuanto a la subsanación de observaciones. De lo cual, queda como evidencia una matriz de seguimiento interno donde se establecen compromisos.</t>
  </si>
  <si>
    <t>A07-R2</t>
  </si>
  <si>
    <t>Posibilidad de materialización de hechos cumplidos y/o generación de hallazgos por parte de los entes de control internos/externos por radicación inoportuna de las solicitudes de modificación de los contratos por parte de los supervisores debido a una inadecuada actividad de supervisión.</t>
  </si>
  <si>
    <t>Radicación inoportuna de las solicitudes de modificación de los contratos por parte de los supervisores</t>
  </si>
  <si>
    <t>Inadecuada actividad de supervisión</t>
  </si>
  <si>
    <t>El Coordinador del Grupo interno de trabajo de GJCD trimestralmente realiza seguimiento las modificaciones radicadas versus las solicitudes de modificación realizadas dentro de los tiempos establecidos en  los procedimientos. (Evidencia: Seguimiento a la matriz A-07-F-25 Matriz de Contratos)</t>
  </si>
  <si>
    <t>Durante el primer trimestre 2025 no hubo materialización de hechos cumplidos ni generación de hallazgos por parte de los entes de control internos/externos por radicación inoportuna de las solicitudes de modificación de los contratos por parte de los supervisores. Sin embargo, en el seguimiento realizado se observa el incumplimiento de los terminos establecidos en los procedimientos para la realización de modificatorios contractuales, dado que se radicaron 10 solicitudes de las cuales 6 se realizaron dentro de los 10 días hábiles siguientes y 4 se realizaron por fuera de estos términos, lo cual obedecio al considerable volumen de trabajo y demoras en la subsanación de requerimientos por parte de las áreas.</t>
  </si>
  <si>
    <t>Durante el segundo trimestre 2025 se materializa el riesgo dado que se observa el incumplimiento de los terminos establecidos en los procedimientos para la realización de modificatorios contractuales por parte de los supervisores, dado que se radicaron 10 solicitudes de las cuales ninguna fue solicitada dentro de los 10 días hábiles establecidos.</t>
  </si>
  <si>
    <t xml:space="preserve">Acción Correctiva 146 </t>
  </si>
  <si>
    <t xml:space="preserve">Durante el tercer trimestre 2025 se materializa el riesgo dado que se observa el incumplimiento de los terminos establecidos en los procedimientos para la solicitud de modificatorios contractuales por parte de los supervisores, dado que se radicaron 29 solicitudes de las cuales 18 fueron solicitadas dentro de los 10 días hábiles establecidos en el procedimiento. Cabe resaltar que dada atención oportuna de las solicitudes por parte del GIT GJCD no se presentaron hechos cumplidos ni generación de hallazgos por parte de los entes de control internos/externos por la radicación inoportuna de las solicitudes de modificación de los contratos por parte de los supervisores. </t>
  </si>
  <si>
    <t xml:space="preserve">Luego de revisar la información registrada por el proceso, no se identifican novedades ni comentarios adicionales para el tercer trimestre de la vigencia. Sin embargo, es necesario establecer el plan de mejora para la acción correctiva 146 e iniciar el seguimiento a las actividades para dar tratamiento al riesgo materializado en el tercer trimestre del año. </t>
  </si>
  <si>
    <t xml:space="preserve">El grupo interno de GJCD realiza semestralmente sensibilizaciones a los supervisores de los contratos durante la vigencia, con el fin de mitigar los riesgos asociados a la ejecución contractual y a una inadecuada actividad de supervisión. (Evidencia: Lista de asistencia o constancia de correo electrónico.) 
</t>
  </si>
  <si>
    <t>Para el primer trimestre 2025 no se realizaron sensibilizaciones ni capacitaciónes dado que, estas se encuentran programadas a partir del segundo trimestre 2025</t>
  </si>
  <si>
    <t>Para el segundo trimestre 2025 se realizaron 3 sensibilizaciones y/o capacitaciónes los días: 21 de Abril 2025 - Tema: Supervisión de contratos; 20 de Mayo 2025 - Tema: Secop II y el 27 de Mayo 2025 - Tema: Elaboración de estudios previos. De lo cual queda como evidencia los listados de asistencia los cuales reposan en el GIT GTH</t>
  </si>
  <si>
    <t>Para el tercer trimestre 2025 se realizaron 3 sensibilizaciones y/o capacitaciónes los días: 11 de Julio 2025 - Tema: Contrato realidad; 31 de Julio 2025 - Tema: Responsabilidad en el desarrollo de la actividad contractual; 30 de septiembre 2025 - Tema: responsabilidad en trámites contractuales (incluyo responsabilidades de la supervisión durante la ejecución de contratos y sus consecuencias) y prevención del daño antijurídico; . De lo cual queda como evidencia los listados de asistencia, presentaciones y evaluación (según aplique), lo cual reposa en el archivo del GIT GTH</t>
  </si>
  <si>
    <t>A07-R3</t>
  </si>
  <si>
    <t>Posibilidad de Sanciones Disciplinarias por inoportunidad en el reporte de información a entes externos debido a falta de información en los expedientes contractuales y en la matriz de contratos del Grupo de GJCD</t>
  </si>
  <si>
    <t>Inoportunidad en el reporte de información a entes externos</t>
  </si>
  <si>
    <t>Falta de información en los expedientes contractuales y en la matriz de contratos del Grupo de GJCD</t>
  </si>
  <si>
    <t xml:space="preserve">El Coordinador del Grupo interno de trabajo de Gestión Jurídica Contractual y de Investigaciones de Carácter Disciplinario o a quien este asigne la tarea de reportar la información, verifica que la información a entregar se encuentre actualizada y acorde con lo requerido por cada entidad. En caso de no entregarse dentro del plazo previsto se reiterará la solicitud y se hablará con el responsable del proceso, así mismo se reportará al Secretario General para las acciones que estime pertinentes. (Evidencia: Constancia de cargue o correo electrónico) </t>
  </si>
  <si>
    <t>Se informa que durante el primer trimestre se realizo el reporte oportuno de la información a la Contraloría General de la Nación (SIRECI) de lo cual queda como evidencia el registro en aplicativo.
En cuanto al Reporte de contratos celebrados con personas inscritas en el (RUES) ante Cámara y comercio, este se encuentra en proceso de elaboración.</t>
  </si>
  <si>
    <t>Se informa que durante el segundo trimestre se realizo el reporte oportuno de la información a la Contraloría General de la Nación (SIRECI) de lo cual queda como evidencia el registro en aplicativo y el Reporte de contratos celebrados con personas inscritas en el (RUES) ante Cámara y comercio.</t>
  </si>
  <si>
    <t>Se informa que durante el tercer trimestre se realizo el reporte oportuno de la información a la Contraloría General de la Nación (SIRECI) de lo cual queda como evidencia el registro en aplicativo y el Reporte de contratos celebrados con personas inscritas en el (RUES) ante Cámara y comercio se encuentra en proceso de reporte el mes de septiembre 2025.</t>
  </si>
  <si>
    <t>A07-R4</t>
  </si>
  <si>
    <t>Posibilidad de pérdida económica y reputacional por incumplimiento en la aplicación de los cambios de las normas aplicables al proceso debido a que no se hace seguimiento al cambio del marco normativo para el desarrollo de las actividades del proceso.</t>
  </si>
  <si>
    <t>Desconocimiento del marco normativo legal para el desarrollo de las actividades del proceso</t>
  </si>
  <si>
    <t>No se hace seguimiento al cambio del marco normativo para el desarrollo de las actividades del proceso</t>
  </si>
  <si>
    <t>Los profesionales del grupo de gestión jurídica contractual de secretaría general revisan la información de todos los procesos contractuales que adelantan los abogados contratistas de los distintos procesos de la entidad. Dentro de la información revisada se encuentra la referencia del marco normativo o legal. 
Registro: Correo electrónico</t>
  </si>
  <si>
    <t xml:space="preserve">Durante el primer trimestre 2025 se suscribieron 94 contratos a los cuales se les realizó el respectivo proceso de revisión del marco normativo y se realizaron los respectivos ajustes y/o actualizaciones identificados, de lo cual queda como evidencia los estudios previos, los cuales se encuentran cargados en SECOP II y en los expedientes que se encuentran archivados de acuerdo con las TRD en el recurso compartido ruta: Z:\220 GGJ\TRD-2024 </t>
  </si>
  <si>
    <t xml:space="preserve">Durante el segundo trimestre 2025 se suscribieron 34 contratos a los cuales se les realizó el respectivo proceso de revisión del marco normativo y se realizaron los respectivos ajustes y/o actualizaciones identificados, de lo cual queda como evidencia los estudios previos, los cuales se encuentran cargados en SECOP II y en los expedientes que se encuentran archivados de acuerdo con las TRD en el recurso compartido ruta: Z:\220 GGJ\TRD-2024 </t>
  </si>
  <si>
    <t xml:space="preserve">Durante el tercer trimestre 2025 se suscribieron 32 contratos a los cuales se les realizó el respectivo proceso de revisión del marco normativo y se realizaron los respectivos ajustes y/o actualizaciones identificados, de lo cual queda como evidencia los estudios previos, los cuales se encuentran cargados en SECOP II y en los expedientes que se encuentran archivados de acuerdo con las TRD en el recurso compartido ruta: Z:\220 GGJ\TRD-2024 </t>
  </si>
  <si>
    <t>A08-R1</t>
  </si>
  <si>
    <t>(A-08)
Gestión de Servicios Metrológicos</t>
  </si>
  <si>
    <t xml:space="preserve">Posible pérdida económica y reputacional por una inapropiada gestión de los servicios demandados, debido a fallas en la comunicación entre usuarios y responsables de la gestión, insuficiente verificación de los documentos antes de emitir al cliente, fallas en el sistema e insuficiente capacidad. </t>
  </si>
  <si>
    <t>Inapropiada gestión de los servicios demandados</t>
  </si>
  <si>
    <t>Fallas en la comunicación entre usuarios y responsables de la gestión</t>
  </si>
  <si>
    <t>El Coordinador del GGSM y su profesional de apoyo realizan como mínimo de manera anual y al inicio de cada vigencia la revisión y actualización de la información del servicio en la página Web. Adicionalmente, cada que sea requerido, esta información es actualizada, con el apoyo de las áreas técnicas, con el objetivo de brindar información clara y oportuna a los usuarios. 
Registro: Página web y solicitudes de publicación de información al Grupo de Comunicaciones y Relación con el Ciudadano.</t>
  </si>
  <si>
    <t>Se evidencia actualización constante de la información de cada uno de los servicios tanto en la página web, como en el portal de servicios en línea. Adicionalmente se realizaron mesas de trabajo con el proceso de relación con el ciudadano y el webmaster para hacer revisiones periodicas de lo publicado en la página web.</t>
  </si>
  <si>
    <t xml:space="preserve">Se evidencia actualización en este trimestre de la información de diferentes servicios de capacitación y calibración tanto en la página web, como en el portal de servicios en línea. </t>
  </si>
  <si>
    <t>Sebastian Gil</t>
  </si>
  <si>
    <t>Luego de revisar la información registrada por el proceso, es necesario establecer fechas de actualización del riesgo. El cronograma con las fechas se puede consultar a través del plan de trabajo de riesgos de gestión en el project de la Oficina asesora de planeación.</t>
  </si>
  <si>
    <t>Insuficiente verificación de los documentos, antes de emitir al cliente</t>
  </si>
  <si>
    <t>El cliente realiza cada que solicita un servicio y antes de su confirmación a través del aplicativo BPMetro la previsualización de la carátula, con el objetivo de identificar posibles errores en la emisión del certificado de calibración. 
Registro: Aplicativo BPMetro.</t>
  </si>
  <si>
    <t>El aplicativo de servicios en línea ha mantenido para la vigencia 2025 dentro de su configuración, la posibilidad de revisión de la caratula del certificado de calibración por parte del cliente como medio de revisión de que la información registrada en la solicitud del servicio es correcta.</t>
  </si>
  <si>
    <t>El aplicativo de servicios en línea ha mantenido para el segundo trimestre de 2025 dentro de su configuración, la posibilidad de revisión de la caratula del certificado de calibración por parte del cliente como medio de revisión de que la información registrada en la solicitud del servicio es correcta.</t>
  </si>
  <si>
    <t>Fallas en el sistema</t>
  </si>
  <si>
    <t>Cada que se solicita un servicio y antes de emitir la cotización, el profesional del GGSM realiza la revisión previa de la información consignada por el cliente y de las tarifas aplicadas, con el objetivo de asegurar que tanto los datos del cliente y del equipo, así como la tarifa, estén correctas. De igual forma, también se verifica el costo de desplazamientos, si esto aplica.
Registro: Aplicativo BPMetro.</t>
  </si>
  <si>
    <t xml:space="preserve">Se evidencia que en lo corrido de la vigencia 2025, se ha ejecutado un punto de revisión y control  (Profesional de apoyo GSM) para todas las cotizaciones generadas para el servicio de calibración tal cómo se establece en el procedimiento de revisión de solicitudes, ofertas y contratos y como está parametrizado el aplicativo SASM. </t>
  </si>
  <si>
    <t xml:space="preserve">Se evidencia que en lo corrido del segundo trimestre de 2025, se ha ejecutado el punto de revisión y control  (Profesional de apoyo GSM) para todas las cotizaciones generadas para el servicio de calibración tal cómo se establece en el procedimiento de revisión de solicitudes, ofertas y contratos y como está parametrizado el aplicativo SASM. </t>
  </si>
  <si>
    <t xml:space="preserve">Se evidencia que en lo corrido del tercer trimestre de 2025, se ha ejecutado el punto de revisión y control  (Profesional de apoyo GSM) para todas las cotizaciones generadas para el servicio de calibración tal cómo se establece en el procedimiento de revisión de solicitudes, ofertas y contratos y como está parametrizado el aplicativo SASM. </t>
  </si>
  <si>
    <t>Cada que se solicita un servicio, el responsable del laboratorio revisa la solicitud a través del aplicativo BPMetro, verificando que los requisitos técnicos de los equipos a calibrar, los intervalos de medición, métodos de medición (si aplica) y la capacidad técnica con que cuenta el laboratorio (CMC), etc., cumplen con los requisitos del cliente, y que se cuenta con los recursos necesarios para prestar el servicio. 
Registro: Aplicativo BPMetro.</t>
  </si>
  <si>
    <t xml:space="preserve">Se evidencia que en lo corrido de la vigencia 2025, se realizó revisión por parte de lo profesionales de los laboratorios de las solicitudes de cotización del servicio de calibración tal cómo se establece en el procedimiento de revisión de solicitudes, ofertas y contratos y como está parametrizado el aplicativo SASM. </t>
  </si>
  <si>
    <t>Se evidencia que en lo corrido del segundo trimestre de la vigencia 2025, se realizó revisión por parte de lo profesionales de los laboratorios de todas las solicitudes de cotización del servicio de calibración tal cómo se establece en el procedimiento de revisión de solicitudes, ofertas y contratos y como está parametrizado el aplicativo SASM. 
Sin embargo, se identificó una falla en la cotización de un servicio de calibración en temperatura al ICA del 2024, que resultó en la ejecución de un servicio diferente al cotizado y cobrado a valor mas alto. Desde GSM identificamos el error en el segundo trimestre de 2025 y reportamos el TNC para que desde la SMF generaran el análisis y plan de acción correspondiente.</t>
  </si>
  <si>
    <t>Pendiente</t>
  </si>
  <si>
    <t xml:space="preserve">Se encuentra pendiente por parte del proceso, la validación de la corrección planteada, teniendo en cuenta el comentario realizado en el columna BJ. </t>
  </si>
  <si>
    <t xml:space="preserve">Se evidencia que en el tercer trimestre de la vigencia 2025, se realizó revisión por parte de lo profesionales de los laboratorios de las solicitudes de cotización del servicio de calibración tal cómo se establece en el procedimiento de revisión de solicitudes, ofertas y contratos y como está parametrizado el aplicativo SASM. </t>
  </si>
  <si>
    <t>Insuficiente capacidad para la prestación de servicios</t>
  </si>
  <si>
    <t>Al inicio de cada vigencia y cada que se solicita un servicio, el profesional del área responsable de su prestación revisa la capacidad para prestar el servicio (ensayos de aptitud, asistencia técnica, calibración, capacitación), de acuerdo con la oferta y cotización presentada al cliente. 
Registro: Oferta de servicios (página web), Cotización y Aplicativo BPMetro.</t>
  </si>
  <si>
    <t>A08-R2</t>
  </si>
  <si>
    <t>Posible pérdida económica por imposibilidad de la prestación de servicios de calibración en las instalaciones del cliente debido a incumplimiento de las condiciones por parte del cliente para la prestación de servicios de calibración en sitio.</t>
  </si>
  <si>
    <t xml:space="preserve">Imposibilidad de la prestación de servicios de calibración en las instalaciones del cliente.
</t>
  </si>
  <si>
    <t>Incumplimiento de las condiciones por parte del cliente para la prestación de servicios de calibración en sitio.</t>
  </si>
  <si>
    <t>El Coordinador del Grupo de Servicios Metrológicos antes de confirmar la prestación del servicio realiza comunicación previa de los requisitos para prestar servicios en sitio, informando al cliente de manera oportuna los términos y condiciones de la prestación del servicio antes de contratar el trabajo realizado, a través de los términos y condiciones especificadas en las cotizaciones y en la remisión de los formatos establecidos por cada uno de los laboratorios. Esto con el fin de que el cliente disponga lo necesario para la efectiva prestación del servicio. 
Soporte: Solicitud Cotización Servicio e Instrucciones para clientes, según el anexo aplicable a cada laboratorio.</t>
  </si>
  <si>
    <t xml:space="preserve">Se evidencia que durante el primer trimestre de la vigencia 2025, se prestó un servicio de calibración en sitio al cliente ICCLAB 25000310 y se emitieron las comunicaciones requeridas con el cliente garantizando el cumplimiento de las condiciones para una optima prestación del servicio. </t>
  </si>
  <si>
    <t>Se evidencia que durante el segundo trimestre de la vigencia 2025, se ejecutaron cuatro servicios de calibración en sitio y se emitieron las comunicaciones requeridas con el cliente garantizando el cumplimiento de las condiciones para una optima prestación del servicio. El detalle del servicio se encuentra disponible en el aplicativo SASM.</t>
  </si>
  <si>
    <t>Se evidencia que durante el tercer trimestre de la vigencia 2025, se ejecutaron seis servicios de calibración en sitio y se emitieron las comunicaciones requeridas con el cliente garantizando el cumplimiento de las condiciones para una optima prestación del servicio. El detalle del servicio se encuentra disponible en el aplicativo SASM.</t>
  </si>
  <si>
    <t>A08-R3</t>
  </si>
  <si>
    <t>Posible pérdida económica por recepción de equipos para realización de calibración con inconvenientes de funcionamiento, debido a falta o desconocimiento de especificaciones para recibir el equipo por parte de la persona encargada de efectuar dicha recepción.</t>
  </si>
  <si>
    <t>Recepción de equipos para realización de calibración con inconvenientes de funcionamiento</t>
  </si>
  <si>
    <t xml:space="preserve">Falta o desconocimiento de especificaciones para recibir el equipo por parte de la persona encargada de efectuar dicha recepción </t>
  </si>
  <si>
    <t>El técnico operativo del GSM en el caso de ser necesario y en el momento de recibir el equipo, solicita el apoyo de los expertos técnicos del laboratorio que corresponda, para la adecuada verificación del estado del equipo a recibir, con el fin de prevenir que se reciban equipos que no estén en condiciones para calibrar.
Soporte: Comprobante recepción y entrega de equipos.</t>
  </si>
  <si>
    <t>Se evidencia la realización de esta actividad por medio de los registros de recepción de equipos que reposan en las TRD del proceso.</t>
  </si>
  <si>
    <t>Se evidencia la realización de esta actividad durante el segundo trimestre de 2025 por medio de los registros de recepción de equipos que reposan en las TRD del proceso.</t>
  </si>
  <si>
    <t>Se evidencia la realización de esta actividad durante el tercer trimestre de 2025 por medio de los registros de recepción de equipos que reposan en las TRD del proceso.</t>
  </si>
  <si>
    <t>El Coordinador del GSM cada que sea requerido y con el apoyo de las áreas técnicas, revisa y actualiza el Instructivo de Inspección Visual, con el objetivo de establecer las instrucciones para verificar las condiciones y requisitos que deben cumplir los instrumentos entregados por el cliente para el servicio de calibración.
Soporte: Instructivo Inspección Visual.</t>
  </si>
  <si>
    <t>Se evidencia que en el mes de diciembre de la vigencia 2024, se realizó actualización del instructivo de inspección visual de acuerdo con la actualización de las instrucciones a tener en cuenta al momento de recibir item para calibración en las diferentes magnitudes.</t>
  </si>
  <si>
    <t xml:space="preserve">Se evidencia que la ultima actualización del instructivo de inspección visual se realizó en el mes de diciembre de la vigencia 2024. </t>
  </si>
  <si>
    <t>A08-R4</t>
  </si>
  <si>
    <t>Posible pérdida económica por ausencia de demanda de materiales de referencia, debido a desconocimiento de los clientes acerca del uso de los materiales de referencia</t>
  </si>
  <si>
    <t>Ausencia de demanda de materiales de referencia</t>
  </si>
  <si>
    <t>Desconocimiento de los clientes acerca del uso de los materiales de referencia</t>
  </si>
  <si>
    <t>La Coordinadora del Grupo Servicios Metrológicos y la Subdirectora de MQB, generar las actividades de promoción al principio de cada vigencia, con los comercializadores de materiales de referencia, en conjunto con la RCM, con el fin de evitar que no se venda el producto. 
Soporte: Página Web, eventos RCM. Descuentos establecidos en la Resolución de Tasas.</t>
  </si>
  <si>
    <t xml:space="preserve">Durante el primer trimestre de la vigencia 2025, no se han desarrollado eventos y actividades de la RCM que permitan la oferta de los servicios metrologicos del INM, incluyendo los materiales de referencia certificados. </t>
  </si>
  <si>
    <t xml:space="preserve">Durante el segundo trimestre de la vigencia 2025, se realizó una charla de uso de materiales de referencia en microbiología y química, en la cual se presentó la oferta de los servicios metrologicos del INM, incluyendo los materiales de referencia certificados. </t>
  </si>
  <si>
    <t xml:space="preserve">Durante el tercer trimestre de la vigencia 2025, se realizó una charla Principios básicos para el uso de cartas de control y su aplicación, en la cual se presentó la oferta de los servicios metrologicos del INM, incluyendo los materiales de referencia certificados. </t>
  </si>
  <si>
    <t>A08-R5</t>
  </si>
  <si>
    <t>Posible pérdida económica por condiciones ambientales de almacenamiento de MRC y equipos a calibración, fuera de control, debido a falta de planificación en los cambios presentados sobre la custodia de los MRC para comercialización e IBC, insuficiente definición de los criterios técnicos requeridos para asegurar el adecuado almacenamiento y desconocimiento técnico del personal de la SSM sobre las condiciones de almacenamiento de los MRC e IBC.</t>
  </si>
  <si>
    <t>Condiciones ambientales de almacenamiento de MRC y equipos a calibración, fuera de control.</t>
  </si>
  <si>
    <t>Falta de planeación en los cambios presentados sobre la custodia de los MRC para comercialización. e IBC.</t>
  </si>
  <si>
    <t>La Coordinadora del Grupo de Gestión de Servicios Metrológicos con apoyo del técnico de recepción y entrega de equipos, hace el registro diario de las condiciones ambientales de los puntos de almacenamiento de los MRC y equipos a calibrar con el objeto de informar a la SMQB y la SMF, sobre posibles desviaciones en los límites especificados de control, con el propósito de Evitar el daño de los MRC y equipos a calibrar. 
Soporte: Formato Condiciones ambientales y carta de control, Manipulación segura, transporte y almacenamiento de MR, Recepción, verificación y almacenamiento reactivos, materiales y consumibles</t>
  </si>
  <si>
    <t>Se evidencia el diligenciamiento y revisión de las condiciones ambientales (T y %Hr) del area de recepción y entrega de equipos durante el primer trimestre de la vigencia 2025</t>
  </si>
  <si>
    <t>Se evidencia el diligenciamiento y revisión de las condiciones ambientales (T y %Hr) del area de recepción y entrega de equipos durante el segundo trimestre de la vigencia 2025</t>
  </si>
  <si>
    <t>Se evidencia el diligenciamiento y revisión de las condiciones ambientales (T y %Hr) del area de recepción y entrega de equipos durante el tercer trimestre de la vigencia 2025</t>
  </si>
  <si>
    <t>Insuficiente definición de los criterios técnicos requeridos para asegurar el adecuado almacenamiento de los IBC y MR.</t>
  </si>
  <si>
    <t>La Coordinadora del Grupo de Gestión de Servicios Metrológicos con el apoyo de las áreas técnicas cada que sea requerido, revisa y actualiza el Procedimiento Recepción y Almacenamiento de Equipos, el cual incluye las actividades para asegurar el almacenamiento adecuado de los IBC y MR. 
Soporte: Procedimiento Recepción y Almacenamiento de IBC y MR.</t>
  </si>
  <si>
    <t>Se evidencia que el procedimiento de recepción, almacenamiento y entrega de equipos y/o MRC fue actualizado en noviembre 2023, y sigue vigente para el año 2025.</t>
  </si>
  <si>
    <t>Desconocimiento técnico del personal de la SSM sobre las condiciones de almacenamiento de los MRC e IBC.</t>
  </si>
  <si>
    <t>Anualmente la Coordinadora del Grupo de Gestión de Servicios Metrológicos define el Plan de Mantenimiento de Competencias, el cual incluye la socialización de los criterios técnicos para el almacenamiento adecuado de MRC e IBC, con el propósito de evitar el daño de los MRC y equipos a calibrar. 
Soporte: Plan de mantenimiento de competencias del personal.</t>
  </si>
  <si>
    <t>Se evidencia la documentación de la acción correctiva # 345 que busca actualizar las competencias del EREE e implementar el plan de mantenimiento de las mismas. No obstante esta actividad, no se han presentado daños en los IBC o MRC por mala manipulación del EREE.</t>
  </si>
  <si>
    <t>Se definio el plan de competencias para el EREE, se realizaron los entrenamientos en temperatura y humeda, fuerza, volumen, longitud, analisis espetrofotometrico, corriente continua y alterna y masa, quedando pendiente 9 entrenamientos adicionales. A la fecha no se han presentado daños en los IBC o MRC por mala manipulación del EREE.</t>
  </si>
  <si>
    <t>A08-R6</t>
  </si>
  <si>
    <t>Posibilidad de pérdida económica y reputacional por incumplimiento de requisitos del nuevo producto o servicio diseñado, debido a la falta de un análisis adecuado de las entradas del diseño para determinar los requisitos del mismo y las características para su cumplimiento.</t>
  </si>
  <si>
    <t>El nuevo producto o servicio diseñado no cumple requisitos para ser ofertado al cliente.</t>
  </si>
  <si>
    <t>No se hace un análisis adecuado de las entradas del diseño para determinar los requisitos del mismo y las características para el cumplimiento.</t>
  </si>
  <si>
    <t>Cada que se identifica la necesidad de diseñar un nuevo producto o servicio, se realiza la verificación por parte de la Coordinadora de Servicios Metrológicos de la adecuada documentación de la ficha técnica del diseño de productos y servicios, con el objetivo de asegurar que todas las entradas al diseño hayan sido identificadas y verificadas. 
Soporte: Ficha Técnica diseño de producto o servicio</t>
  </si>
  <si>
    <t xml:space="preserve">No se materializa el riesgo dado que a pesar que no hubo revisión por parte del GSM de los servicios aprobados en el primer trimestre del 2025, si se han realizado revisión y seguimiento por parte de la MTTC y EATC, es decir, se cubrieron estas instancias para la revisión y aprobación de los servicios. </t>
  </si>
  <si>
    <t xml:space="preserve">Revisado, tomando como base la revisión del proceso, es importante tener en el radar la actualización del procedimiento y el impacto que tiene con este riesgo. Lo anterior dado a que a hoy, se esta incumpliendo el procedimiento pero no se está materializando el riesgo tampoco. Se recomienda actualizar el procedimiento y control respectivo. </t>
  </si>
  <si>
    <t xml:space="preserve">No se materializa el riesgo dado que a pesar que no hubo revisión por parte del GSM de los servicios aprobados en el segundo trimestre del 2025, si se han realizado revisión y seguimiento por parte de la MTTC y EATC, es decir, se cubrieron estas instancias para la revisión y aprobación de los servicios. </t>
  </si>
  <si>
    <t xml:space="preserve">No se materializa el riesgo dado que a pesar que no hubo revisión por parte del GSM de los servicios aprobados en el tercer trimestre del 2025, si se han realizado revisión y seguimiento por parte de la MTTC y EATC, es decir, se cubrieron estas instancias para la revisión y aprobación de los servicios. </t>
  </si>
  <si>
    <t>Antes que se apruebe el diseño del producto o servicio, el área responsable desarrolla la gestión del cambio , cuya ficha es revisada y aprobada por la alta dirección, con el objetivo de prevenir que se oferten productos o servicios sin contar con la capacidad técnica y operativa para cumplir los requisitos del cliente. 
Soporte: Solicitud de Cambio.</t>
  </si>
  <si>
    <t>Los servicios nuevos cuentan con aprobación de la MTTC de cada subdirección, la EATC y el CIGD antes de su publicación en oferta y en resolución oficial de tasas.</t>
  </si>
  <si>
    <t>A08-R7</t>
  </si>
  <si>
    <t>Posible pérdida económica y reputacional por cancelación o suspensión de una línea o tipo de producto o servicio sin la debida justificación, ocasionado por desconocimiento y falta de aplicación del procedimiento Reprogramación, Suspensión, Cancelación o Reincorporación de Productos y Servicios en la Oferta del INM.</t>
  </si>
  <si>
    <t>Cancelación o suspensión de una línea o tipo de producto o servicio sin la debida justificación</t>
  </si>
  <si>
    <t>Desconocimiento y falta de aplicación del procedimiento Reprogramación, Suspensión, Cancelación o Reincorporación de Productos y Servicios en la Oferta del INM.</t>
  </si>
  <si>
    <t>Cada que sea requerido y antes de solicitar o comunicar la necesidad de reprogramación, suspensión, cancelación o reincorporación de productos y servicios en la Oferta del INM a la SSM, el responsable del servicio analiza internamente con su equipo, la necesidad de la actuación y el impacto de cara al cliente. Involucra en dicho análisis otras dependencias, de ser requerido.
Soporte: Correo electrónico o solicitud de cambio, según aplique.</t>
  </si>
  <si>
    <t>Durante el primer trimestre de la vigencia 2025 no se presentaron ni cancelaciones, ni suspensiones de servicios metrológicos</t>
  </si>
  <si>
    <t>Durante el segundo trimestre de la vigencia 2025, se han presentado reprogramaciones de servicio, en los cuales el impacto ha sido mínimo y por otro lado no se han presentado ni cancelaciones, ni suspensiones de servicios metrológicos</t>
  </si>
  <si>
    <t>Durante el tercer trimestre de la vigencia 2025, se han presentado reprogramaciones de servicio, en los cuales el impacto ha sido mínimo y por otro lado no se han presentado ni cancelaciones, ni suspensiones de servicios metrológicos</t>
  </si>
  <si>
    <t>Cada que sea requerido y antes de aprobar una reprogramación, suspensión, cancelación o reincorporación de productos y servicios en la Oferta del INM, la Alta Dirección revisa y aprueba la solicitud, sea por parte del Subdirector del área correspondiente o el CIGD, según sea requerido, con el objetivo de prevenir que se modifique la oferta del INM sin la debida revisión previa. 
Soporte: Correo electrónico o Solicitud de cambio, según aplique.</t>
  </si>
  <si>
    <t>Durante el segundo trimestre de la vigencia 2025 no se presentaron ni cancelaciones, ni suspensiones de servicios metrológicos</t>
  </si>
  <si>
    <t>Durante el tercer trimestre de la vigencia 2025 se realizaron suspensiones en algunos servicios de calibración, sin embargo, el control fue aplicado correctamente de acuerdo al procedimiento y no se materializó el riesgo.</t>
  </si>
  <si>
    <t>Cada que sea requerido y antes de aprobar una suspensión, cancelación o reincorporación de productos y servicios en la Oferta del INM, se verifica y aprueba la gestión del cambio, por parte de la Alta Dirección, con el objetivo de asegurar la coherencia estratégica de dicha necesidad. 
Soporte: Solicitud de cambio.</t>
  </si>
  <si>
    <t>Durante el primer segundo de la vigencia 2025 no se presentaron ni cancelaciones, ni suspensiones de servicios metrológicos</t>
  </si>
  <si>
    <t>A08-R8</t>
  </si>
  <si>
    <t>Posible pérdida económica y reputacional  por  demora en la prestación del servicio de calibración debido a realizar entrada de los equipos fuera de las fechas establecidas por el laboratorio a causa de la demora del cliente o a que el equipo del cliente no cumple con los requisitos de calibración, pero se le da la opción de arreglar el problema y presentarlo de nuevo en días diferentes no programados.</t>
  </si>
  <si>
    <t>Demora en la prestación del servicio de calibración</t>
  </si>
  <si>
    <t>Realizar entrada de los equipos fuera de las fechas establecidas por el laboratorio a causa de la demora del cliente.</t>
  </si>
  <si>
    <t>Después de la solicitud del cliente y en el momento que se emite la cotización, La Coordinadora del GGSM en los términos y condiciones se informa al cliente que el ítem de calibración debe llegar a las instalaciones del INM el día programado para su recepción, en las condiciones solicitadas de limpieza preservación y/o funcionamiento, contando con los accesorios y elementos solicitados en la programación de servicios enviada, según aplique. Si un ítem de calibración programado para un servicio, llega hasta 15 días calendario, antes de la fecha de programación, se realiza el ingreso del ítem de calibración, dejando constancia en la casilla de “Observaciones” del formato A-08-F-005 Comprobante de recepción de equipos.
Soporte: Cotización de Servicios de Calibración</t>
  </si>
  <si>
    <t xml:space="preserve">Se evidencia que durante el primer trimestre de 2025, se informó por medio de la cotización y en algunos casos con correos electronicos adicionales, el requisito de cumplimiento de la fecha establecida para recepción de los items a calibrar tal cómo se establece en el procedimiento de revisión de solicitudes, ofertas y contratos y como está parametrizado el aplicativo SASM. </t>
  </si>
  <si>
    <t xml:space="preserve">Se evidencia que durante el segundo trimestre de 2025, se informó por medio de la cotización y en algunos casos con correos electronicos adicionales, el requisito de cumplimiento de la fecha establecida para recepción de los items a calibrar tal cómo se establece en el procedimiento de revisión de solicitudes, ofertas y contratos y como está parametrizado el aplicativo SASM. </t>
  </si>
  <si>
    <t xml:space="preserve">Se evidencia que durante el tercer trimestre de 2025, se informó por medio de la cotización y en algunos casos con correos electronicos adicionales, el requisito de cumplimiento de la fecha establecida para recepción de los items a calibrar tal cómo se establece en el procedimiento de revisión de solicitudes, ofertas y contratos y como está parametrizado el aplicativo SASM. </t>
  </si>
  <si>
    <t>El equipo del cliente no cumple con los requisitos de calibración pero se le da la opción de arreglar el problema y presentarlo de nuevo en días diferentes no programados</t>
  </si>
  <si>
    <t>Según la programación de recepción de IBC, el EREE informa al cliente que dado que se ha pasado de la fecha de entrega del IBC, no se mantiene la programación inicial y se evaluará la posibilidad de generar una nueva programación, con el propósito de evitar un impacto negativo en la programación de las prestación de servicio en los laboratorios debido a la demora de entrega de equipos.
Soporte: Correo electrónico con la comunicación al cliente.</t>
  </si>
  <si>
    <t xml:space="preserve">Se evidencia que durante el primer trimestre de 2025, cuando se presentaron incumplimientos en la fecha de recepción de los IBC, se informó al cliente esta novedad y se generaron nuevas programaciones del servicio tal cómo se establece en el procedimiento de revisión de solicitudes, ofertas y contratos. </t>
  </si>
  <si>
    <t xml:space="preserve">Se evidencia que durante el segundo trimestre de 2025, cuando se presentaron incumplimientos en la fecha de recepción de los IBC, se informó al cliente esta novedad y se generaron nuevas programaciones del servicio tal cómo se establece en el procedimiento de revisión de solicitudes, ofertas y contratos. </t>
  </si>
  <si>
    <t xml:space="preserve">Se evidencia que durante el tercer trimestre de 2025, cuando se presentaron incumplimientos en la fecha de recepción de los IBC, se informó al cliente esta novedad y se generaron nuevas programaciones del servicio tal cómo se establece en el procedimiento de revisión de solicitudes, ofertas y contratos. </t>
  </si>
  <si>
    <t>Previo a la solicitud del cliente y en el momento de solicitar la cotización, la Coordinadora del GGS; informa al cliente en el Formato de Cotización que cuando el servicio de calibración se presta en el INM, antes del envío del ítem de calibración, el usuario realiza las actividades de limpieza, mantenimiento, reparaciones y ajustes necesarios, al mismo, para garantizar su correcto funcionamiento. 
Evidencia: Cotización Servicio de Calibración (Términos y condiciones).</t>
  </si>
  <si>
    <t xml:space="preserve">Se evidencia que durante el primer trimestre de 2025, se informó por medio de la cotización, los requisitos de limpieza de los items a calibrar tal cómo se establece en el procedimiento de revisión de solicitudes, ofertas y contratos y como está parametrizado el aplicativo SASM. </t>
  </si>
  <si>
    <t xml:space="preserve">Se evidencia que durante el segundo trimestre de 2025, se informó por medio de la cotización, los requisitos de limpieza de los items a calibrar tal cómo se establece en el procedimiento de revisión de solicitudes, ofertas y contratos y como está parametrizado el aplicativo SASM. </t>
  </si>
  <si>
    <t xml:space="preserve">Se evidencia que durante el tercer trimestre de 2025, se informó por medio de la cotización, los requisitos de limpieza de los items a calibrar tal cómo se establece en el procedimiento de revisión de solicitudes, ofertas y contratos y como está parametrizado el aplicativo SASM. </t>
  </si>
  <si>
    <t>C01-R1</t>
  </si>
  <si>
    <t>(C-01)
Evaluación, acompañamiento y asesoría al Sistema de Control Interno</t>
  </si>
  <si>
    <t xml:space="preserve">Posibilidad de afectación en la ejecución del Plan de Auditorías por desarticulación del equipo que realiza labores de auditoría de Control Interno debido a Imposiciones administrativas. Conflicto de intereses en la suscripción de contratos y/o con ocasión de la rotación de personal a partir de modificaciones del Manual de Funciones y de la planta global
</t>
  </si>
  <si>
    <t>Desarticulación del equipo que realiza labores de auditoría de Control Interno</t>
  </si>
  <si>
    <t>Imposiciones administrativas. Conflicto de intereses en la suscripción de contratos y/o con ocasión de la rotación de personal a partir de modificaciones del Manual de Funciones y de la planta global</t>
  </si>
  <si>
    <t>El Jefe de Control Interno, cada vez que se distribuya la planta global de personal por parte del Representante Legal, dentro de los cinco días hábiles posteriores verificará que el grupo de la Oficina de Control Interno está conformado por mínimo 3 servidores públicos (diferentes al Jefe de Control Interno), de no ser así se solicitará al Representante Legal su debida conformación. Si el Representante Legal no atiende o hace caso omiso a la solicitud informar a las instancias pertinentes acerca del potencial incumpliendo legal de adoptar el Sistema de Control Interno en su componente de evaluación. La información se registra en un Acta de Comité adicional a las comunicaciones formales en caso de ser desarticulación del equipo de la Oficina</t>
  </si>
  <si>
    <t>Luz Marina Doria</t>
  </si>
  <si>
    <t>Durante el primer trimestre de 2025, el equipo de la oficina de control interno se mantuvo completo, lo que contribuyó a la no materialización de riesgos.</t>
  </si>
  <si>
    <t>El equipo de la Oficina de Control Interno (OCI) permaneció completo y funcional durante el segundo trimestre de 2025, conformado por: un Jefe de Oficina, dos profesionales de planta, una secretaria de planta y una contratista, en cumplimiento de lo establecido en la Resolución Número 042 del 05 de febrero de 2021, “Por la cual se distribuye la planta global de personal del Instituto Nacional de Metrología (INM) atendiendo el decreto de modificación de planta”.  En consecuencia, no se materalizó el riesgo.</t>
  </si>
  <si>
    <t>Durante el tercer trimestre de 2025 el equipo de la Oficina de Control Interno (OCI) estuvo conformado por: un (1) Jefe de Oficina y (2) dos profesionales de planta. De acuerdo con   lo establecido en la Resolución Número 042 del 05 de febrero de 2021, “Por la cual se distribuye la planta global de personal del Instituto Nacional de Metrología (INM) atendiendo el decreto de modificación de planta”, el grupo de trabajo para la OCI es de cuatro (4) personas.  Es de anotar que en este periodo la Secretaria de la OCI se encuentra en Licencia de Maternidad hasta mediados del mes de noviembre de 2025, periodo en el cual no se surtió reemplazo. En consecuencia, se materalizó el riesgo.</t>
  </si>
  <si>
    <t xml:space="preserve">El plan de mejoramiento se encuentra en proceso de elaboración. </t>
  </si>
  <si>
    <t>Teniendo en cuenta la reunión llevada a cabo el 2025-10-28 entre primera y segunda línea de defensa, en donde se aclaró el registro de la información de la primera línea, se llega a la siguiente conclusión y propuesta de cambio de redacción en el seguimiento a este riesgo: 
Durante el tercer trimestre de 2025, la Oficina de Control Interno presentó una afectación parcial en la ejecución del Plan de Auditorías debido a la reducción temporal del equipo de trabajo. En el periodo, no se contó con el técnico de la oficina y de los cuatro funcionarios previstos solo permanecieron tres activos, además de la incapacidad temporal de una auditora durante una semana.
Esta situación generó desarticulación parcial en la planeación y ejecución de las auditorías y seguimientos programados, derivada de limitaciones en la disponibilidad de personal, por lo cual el riesgo se considera materializado parcialmente.
En consecuencia, el informe de “Seguimiento al cumplimiento de las normas de Carrera Administrativa y del Plan Anual de Vacantes”, con fecha límite de entrega el 30 de septiembre de 2025, no fue comunicado en el plazo establecido en el Plan Anual de Auditorias, encontrándose en proceso de elaboración.</t>
  </si>
  <si>
    <t>C01-R2</t>
  </si>
  <si>
    <t>Posibilidad de sesgo en los informes u omisión de información por subjetividad en la ejecución de auditorías debido a falta y/o fallas en la comunicación</t>
  </si>
  <si>
    <t>Subjetividad en la ejecución de auditorías</t>
  </si>
  <si>
    <t xml:space="preserve">Falta y/o fallas en la comunicación 
</t>
  </si>
  <si>
    <t>El Jefe de Control Interno o quien haga sus veces cada vez que realiza la programación de las actividades mensuales indagará con el equipo de auditores si existe incompatibilidades para el desarrollo de las actividades previstas a designar. En el evento en que alguno de los integrantes del grupo se manifieste, proceder concertar y re asignar las actividades. El auditor al elaborar un hallazgo debe verificar que todos cumplan con los siguientes 5 atributos: condición, criterio, causa, consecuencia o efecto y recomendación. El informe siempre es revisado por el Jefe de Control Interno el cual debe verificar que se cumplen con estos 5 criterios, de no tenerlos y detectarlo posteriormente se dará el debido alcance e informará a los interesados. Evidencia: informes de auditoría y comunicaciones de alcance</t>
  </si>
  <si>
    <t>Evitar</t>
  </si>
  <si>
    <t>Las auditorías y seguimientos realizados durante el primer trimestre de 2025 cuentan con soportes documentales, y sus conclusiones se fundamentan en evidencias. En consecuencia, el riesgo no se materializó</t>
  </si>
  <si>
    <t>Durante el periodo evaluado, los informes de auditoría y seguimiento elaborados por la Oficina de Control Interno contienen las evidencias correspondientes que sustentan de manera objetiva las no conformidades, observaciones y oportunidades de mejora identificadas. En consecuencia, no se materializó el riesgo relacionado con la subjetividad en la emisión de dichos hallazgos, ya que estos se fundamentaron en pruebas verificables, conforme a los principios de objetividad e imparcialidad que rigen la función de auditoría interna.</t>
  </si>
  <si>
    <t>Durante el tercer trimestre de 2025 el equipo de la Oficina de Control Interno (OCI), generó los informes de auditoría y seguimiento, de acuerdo con lo establecido en el Plan Anual de Auditorias (PAA) de la vigencia 2025. 
Los informes se pueden verificar en el link: https://inm.gov.co/control-interno/ - Ruta: Gestión - Control Interno - Informes de Evaluación y Auditoria (Julio, Agosto y Septiembre). 
En consecuencia, no se materializó el riesgo.</t>
  </si>
  <si>
    <t>C01-R3</t>
  </si>
  <si>
    <t>Posibilidad de Incumplimiento de carácter legal e institucional por Presentación inoportuna y/o inexacta de informes y/o reportes de ley debido a Errores humanos y/o fallas en los sistemas de información</t>
  </si>
  <si>
    <t>Presentación inoportuna y/o inexacta de informes y/o reportes de ley</t>
  </si>
  <si>
    <t>Errores humanos y/o fallas en los sistemas de información</t>
  </si>
  <si>
    <t>El Jefe de la Oficina de Control Interno verifica semanalmente a partir de la estructuración del cronograma mensual de actividades, fecha y tiempo para la presentación, elaboración, revisión y/o ajustes a los informes de ley que elaboran los auditores o en su defecto a la información que es objeto de reporte a entes externos y lo deja consignado como seguimiento en el archivo Excel del cronograma mensual. De no presentarse de manera oportuna se deberá reportar al Director General el incumplimiento normativo y sus incidencias para la toma de decisiones. Evidencia: correo electrónico mensual de comunicación de actividad a realizar.</t>
  </si>
  <si>
    <t>Durante el primer trimestre de 2025, se presentaron todos los informes de ley dentro de los plazos establecidos por la normatividad vigente. En consecuencia, el riesgo no se materializó</t>
  </si>
  <si>
    <t>Duante el segundo trimestre de 2025, se comunicaron al CICCI los siguientes informe de ley: Vinculación de personas en condición de discapacidad (Mayo 19); Austeridad del gasto primer trimestre de 2025 (Abril 30); Reporte FURAG ( Abril 25). Todos estos informes pueden ser verificables en el siguientte link - año 2025: https://inm.gov.co/control-interno/  En consecuencia no se materializo el riesgo.</t>
  </si>
  <si>
    <t>Duante el tercer trimestre de 2025 se comunicaron los siguientes Informe de Ley: 
1. Riesgos de Gestión Diseño y Efectividad (Julio 3 de 2025); 2. Riesgos de Seguridad de la Información (Julio 4 de 2025); 3. Arqueo Caja Menor (Julio 16 de 2025); 4. Verificación Especial Propiedad, Planta y Equipo (Julio 17 de 2025); 5. Evaluación Independiente del Sistema de Control Inteno (Julio 2 de 2025); 6. Austeridad del Gasto II Trimestre (Julio 31 de 2025); 7. Seguimiento al Plan de Mejoramiento suscrito con la CGR I y II Semestre (Agosto de 2025); 8. Informe de PQRSD (Agosto 6 de 2025); y 9. Verificación a la publicación de Planes Institucionales del INM (Agosto 19 de 2025). 
Los informes se pueden verificar en el link: https://inm.gov.co/control-interno/ - Ruta: Gestión - Control Interno - Informes de Evaluación y Auditoria (Julio, Agosto y Septiembre). Sin embargo, el Informe de "Seguimiento al cumplimiento de las normas de Carrera Administrativa y del Plan Anual de Vacantes." con fecha de presentación en el mes de septiembre de 2025, se encuentra en proceso de elaboración para posterior publicación en la página web de la entidad en el mes de septiembre de 2025. En consecuencia, se materializó parcialmente el riesgo debido a la presentación inoportuna del informe en los tiempos establecidos.</t>
  </si>
  <si>
    <t>Teniendo en cuenta la reunión llevada a cabo el 2025-10-28 entre primera y segunda línea de defensa, en donde se aclaró el registro de la información de la primera línea, se llega a la siguiente conclusión y propuesta de cambio de redacción en el seguimiento a este riesgo:
Durante el tercer trimestre de 2025 se presentaron oportunamente los informes de ley correspondientes a los meses de julio y agosto:
Durante el tercer trimestre de 2025 se comunicaron los siguientes informes de ley:
Riesgos de Gestión, Diseño y Efectividad (3 de julio de 2025).
Riesgos de Seguridad de la Información (4 de julio de 2025).
Arqueo de Caja Menor (16 de julio de 2025).
Verificación Especial de Propiedad, Planta y Equipo (17 de julio de 2025).
Evaluación Independiente del Sistema de Control Interno (2 de julio de 2025).
Austeridad del Gasto – II Trimestre (31 de julio de 2025).
Seguimiento al Plan de Mejoramiento suscrito con la CGR – I y II Semestre (agosto de 2025).
Informe de PQRSD (6 de agosto de 2025).
Verificación a la publicación de Planes Institucionales del INM (19 de agosto de 2025).
Los informes pueden verificarse en el enlace: https://inm.gov.co/control-interno/
Ruta: Gestión → Control Interno → Informes de Evaluación y Auditoría (julio, agosto y septiembre).
Dado lo anterior, se concluye que el riesgo no se materializa y se cambia su estado en la columna BW.</t>
  </si>
  <si>
    <t>C01-R4</t>
  </si>
  <si>
    <t>Posibilidad de Hallazgos de auditoria y reprocesos administrativo por pérdida de información del Sistema de Seguimientos de Planes de Mejoramiento debido a fallas de seguridad de la información</t>
  </si>
  <si>
    <t>Pérdida de información del Sistema de Seguimientos de Planes de Mejoramiento</t>
  </si>
  <si>
    <t>Fallas de seguridad de la información</t>
  </si>
  <si>
    <t>Leve</t>
  </si>
  <si>
    <t>El apoyo administrativo de control interno verifica mensualmente la información registrada en el SISEPM y genera base de datos donde se registra si cuenta con soportes, comentarios o cambios para cada uno de los planes e informa los integrante de la Oficina de Control Interno; de encontrar alguna inconsistencia se informa al la Oficina de tecnologías para el debido seguimiento y reportar nuevamente para que se vuelva a cargar la información por parte de los responsables. Evidencia: correo electrónico con la respectiva base de datos.</t>
  </si>
  <si>
    <t xml:space="preserve">Durante el primer trimestre de 2025, no se presentaron fallas en el aplicativo SISEPM. Por lo tanto, el riesgo no se materializó
</t>
  </si>
  <si>
    <t>En el periodo evaluado, no hubo afectación a la información que la Oficina de Control Interno maneja en el aplicativo SISEPM. En consecuencia, no se materializó el riesgo.</t>
  </si>
  <si>
    <t>Durante el tercer trimestre, no hubo afectación en la pérdida de información que la Oficina de Control Interno maneja en el aplicativo SISEPM. En consecuencia, no se materializó el riesgo.</t>
  </si>
  <si>
    <t>C01-R5</t>
  </si>
  <si>
    <t>Probabilidad de Sanciones fiscales y disciplinarias por Inoportunidad en la trasmisión de información a entes de control debido a Indebida interpretación normativa.</t>
  </si>
  <si>
    <t>Inoportunidad en la trasmisión de información a entes de control</t>
  </si>
  <si>
    <t>Indebida interpretación normativa.</t>
  </si>
  <si>
    <t>El Jefe de Control Interno cada vez que sea expedido un nuevo requerimiento del ente de control fiscal, verifica en SIRECI dentro de los cinco primeros días hábiles siguientes las novedades, cambios, modificaciones en materia legal cuando el propósito del precepto legal tenga relación directa con la rendición de información a entes de control y máximo al quinto día hábil siguiente a través de correo electrónico comunica a los responsables ratificando e indicando  de forma exacta las fechas para dar oportuno cumplimiento al deber u obligación. Si la información no es trasmitida por los responsables se informa al Director (a) General. Evidencia correo electrónico y certificación de soporte de trasmisión de información</t>
  </si>
  <si>
    <t>Durante el primer trimestre de 2025, se presentaron oportunamente los informes requeridos ante la Contraloría General de la República, en cumplimiento de lo dispuesto en la Resolución 066 de 2024, expedida por dicho ente de control, y conforme a las fechas establecidas por el mismo. En consecuencia, el riesgo identificado no se materializó.</t>
  </si>
  <si>
    <t>La OCI,  realizó segumiento al reporte por parte del INM de los informes mensuales de gestión contractual, obras civiles inclusas al aplicativo SIRECI de la Contraloría General de la República así como el trimestral denominado Informe Nacional Focalizado - Enfoque diferencial. Todos estos informes pueden ser verificables en el siguiente link - año 2025: https://inm.gov.co/control-interno. En conscuencia no se materializó el riesgo.</t>
  </si>
  <si>
    <t>Durante el tercer trimestre la Oficina de Control Interno, realizó seguimiento al reporte por parte del INM  en el aplicativo SIRECI de los informes mensuales  de: Obras civiles inconclusas o sin uso y Gestión Contractual. Los informes se pueden verificar en el link: https://inm.gov.co/control-interno/ - Ruta: Gestión - Control Interno - Informes de Evaluación y Auditoria (Julio, Agosto y Septiembre). En consecuencia no se materializó el riesgo.</t>
  </si>
  <si>
    <t>Durante el tercer trimestre la Oficina de Control Interno, realizó seguimiento al reporte de los informes mensuales parte del INM de: Obras civiles inclusas o sin uso y Gestión Contractual en el aplicativo SIRECI de la Contraloría General de la República.
Los informes se pueden verificar en el link: https://inm.gov.co/control-interno/ - Ruta: Gestión - Control Interno - Informes de Evaluación y Auditoria (Julio, Agosto y Septiembre).
En consecuencia no se materializó el riesgo.</t>
  </si>
  <si>
    <t>E05-R01</t>
  </si>
  <si>
    <t>(E-05)
Gestión de las Tecnologías de la Información</t>
  </si>
  <si>
    <t>Posibilidad de afectación económica y reputacional por el uso de software obsoleto o desactualizado para la operación de los procesos del INM debido a fallas en la administración del software implementado.</t>
  </si>
  <si>
    <t>Incompatibilidad del software con aplicaciones que están diseñadas para trabajar solamente con versiones actualizadas
No se detecta a tiempo y/o no se comunica oportunamente a la OIDT la necesidad de mantenimiento, ajuste o mejora de los software utilizados en los diferentes procesos de la entidad</t>
  </si>
  <si>
    <t>Fallas en la administración del software implementado</t>
  </si>
  <si>
    <t>El profesional asignado por el Jefe de la OIDT hace seguimiento a través del inventario de software implementado en el INM con el fin de evitar el uso no intencionado de software desactualizado e identificar necesidades de actualización del mismo
La OIDT cuenta con el procedimiento Atención de Requerimientos de Mantenimiento de Software (E-05-P-001) donde establece los criterios para la presentación, estudio y atención de requerimientos de mantenimiento, ajuste o mejoramiento de aplicativos de software desarrollados por el INM</t>
  </si>
  <si>
    <r>
      <rPr>
        <sz val="11"/>
        <color rgb="FF000000"/>
        <rFont val="Verdana"/>
        <family val="2"/>
      </rPr>
      <t xml:space="preserve">Mónica Alejandra Gutiérrez Cifuentes - Enlace calidad OIDT.
</t>
    </r>
    <r>
      <rPr>
        <b/>
        <sz val="11"/>
        <color rgb="FF000000"/>
        <rFont val="Verdana"/>
        <family val="2"/>
      </rPr>
      <t>EVIDENCIA:</t>
    </r>
    <r>
      <rPr>
        <sz val="11"/>
        <color rgb="FF000000"/>
        <rFont val="Verdana"/>
        <family val="2"/>
      </rPr>
      <t xml:space="preserve"> 
Última actualización del inventario de software realizada el pasado mes de agosto de 2024.
Lista de requerimientos GLPI relacionados con mantenimiento, ajustes o mejoramiento de aplicativos de software desarrollados por el INM, recibidos durante el periodo de seguimiento.</t>
    </r>
  </si>
  <si>
    <t>Se dispone de un inventario de software cuya última consolidación corresponde al seguimiento realizado en el mes de octubre de 2024. Este recurso se actualiza permanentemente conforme se generan novedades en las adquisiciones o novedades asociadas a los sistemas de información en operación. Durante el primer trimestre de 2025 no se han registrado cambios.
Sumado a lo anterior, el documento E-05-P-003 PROCEDIMIENTO GESTIÓN DE INCIDENTES Y REQUERIMIENTOS DE SERVICIOS DE TI V.02 (2023-05-31), publicado en ISOLUCION, establece los mecanismos para solicitar mantenimiento, ajustes o mejoras a los aplicativos de software desarrollados por el INM a través del aplicativo GLPI.</t>
  </si>
  <si>
    <r>
      <rPr>
        <b/>
        <sz val="11"/>
        <color rgb="FF000000"/>
        <rFont val="Verdana"/>
      </rPr>
      <t xml:space="preserve">Mónica Gutiérrez Cifuentes - Enlace Calidad OIDT.
</t>
    </r>
    <r>
      <rPr>
        <sz val="11"/>
        <color rgb="FF000000"/>
        <rFont val="Verdana"/>
      </rPr>
      <t xml:space="preserve">
Evidencia: Inventario de software propio actualizada. Julio 2025.
Inventario de software comercial contratado por la entidad. Julio 2025.
Lista de requerimientos gestionados a través de GLPI relacionados con solicitudes de desarrollo o mantenimiento de aplicativos en operación.</t>
    </r>
  </si>
  <si>
    <r>
      <rPr>
        <sz val="11"/>
        <color rgb="FF000000"/>
        <rFont val="Verdana"/>
      </rPr>
      <t xml:space="preserve">El inventario de software propio y licencias de aplicativos tercerizados cuenta con su más reciente actualización a corte del mes de julio de 2025. No se registran novedades ni alertas tempranas relacionadas con la administración o adquisición de estos softwares. En el inventario de software de terceros, aquellos que están etiquetados como "vencida", corresponden a productos digitales que se encuentran fuera de uso o fueron reemplazados por aplicativos con mejores propiedades.
Sumado a lo anterior, se continúan gestionando las solicitudes a través de la herramienta GLPI relacionadas con las necesidades de desarrollo o mantenimiento de software, permitiendo de esta forma mantener comunicación permanente con los usuarios y dar trámite a las necesidades relacionadas con las actualizaciones o funcionalidades particulares requeridas para los aplicativos a su disposición.
Los inventarios se encuentran disponibles a través de las siguientes rutas:
</t>
    </r>
    <r>
      <rPr>
        <b/>
        <sz val="11"/>
        <color rgb="FF000000"/>
        <rFont val="Verdana"/>
      </rPr>
      <t xml:space="preserve">Inventario de licencias y software de terceros
</t>
    </r>
    <r>
      <rPr>
        <sz val="11"/>
        <color rgb="FF000000"/>
        <rFont val="Verdana"/>
      </rPr>
      <t xml:space="preserve">
https://metrologiainm-my.sharepoint.com/personal/jatorres_inm_gov_co/Lists/Listado%20de%20Aplicaciones%20INM/AllItems.aspx?CT=1753130563027&amp;OR=OWA-NT-Mail&amp;CID=07129037-0494-c306-bb43-38b853f429b3&amp;e=3%3A2147861c85a34af0bc670570bd158c86&amp;sharingv2=true&amp;fromShare=true&amp;at=9
</t>
    </r>
    <r>
      <rPr>
        <b/>
        <sz val="11"/>
        <color rgb="FF000000"/>
        <rFont val="Verdana"/>
      </rPr>
      <t xml:space="preserve">Inventario de software propio
</t>
    </r>
    <r>
      <rPr>
        <sz val="11"/>
        <color rgb="FF000000"/>
        <rFont val="Verdana"/>
      </rPr>
      <t xml:space="preserve">
Z:\120 OIDT\TRD 2024\120.150.4 Inven recursos disponibles TI
</t>
    </r>
  </si>
  <si>
    <r>
      <rPr>
        <b/>
        <sz val="11"/>
        <color rgb="FF000000"/>
        <rFont val="Verdana"/>
      </rPr>
      <t xml:space="preserve">Mónica Gutiérrez Cifuentes - Enlace Calidad OIDT.
</t>
    </r>
    <r>
      <rPr>
        <sz val="11"/>
        <color rgb="FF000000"/>
        <rFont val="Verdana"/>
      </rPr>
      <t xml:space="preserve">
</t>
    </r>
  </si>
  <si>
    <r>
      <rPr>
        <b/>
        <sz val="11"/>
        <color rgb="FF000000"/>
        <rFont val="Verdana"/>
      </rPr>
      <t xml:space="preserve">Juan Camilo T.
</t>
    </r>
    <r>
      <rPr>
        <sz val="11"/>
        <color rgb="FF000000"/>
        <rFont val="Verdana"/>
      </rPr>
      <t xml:space="preserve">
Durante el tercer trimestre se realizó el levantamiento y la revisión de la documentación por parte de las instancias técnicas y jurídicas, en el marco del proceso pre-contractual para la adquisición y renovación de licencias de software para la próxima vigencia.
En atención a que actualmente el Área de Almacén y la OIDT mantienen inventarios de software independientes, se proyecta consolidar la información en una única base de datos que integre los registros de ambas dependencias, durante el cuarto trimestre del año. Esta acción permitirá fortalecer el control, facilitar el monitoreo y optimizar la administración de los activos de software institucionales.
No se reportan modificaciones en los aplicativos dispuestos para la operación del Instituto, los cuales permanecen disponibles en la misma ubicación de referencia:
</t>
    </r>
    <r>
      <rPr>
        <b/>
        <sz val="11"/>
        <color rgb="FF000000"/>
        <rFont val="Verdana"/>
      </rPr>
      <t xml:space="preserve">Inventario de licencias y software de terceros
</t>
    </r>
    <r>
      <rPr>
        <sz val="11"/>
        <color rgb="FF000000"/>
        <rFont val="Verdana"/>
      </rPr>
      <t xml:space="preserve">
https://metrologiainm-my.sharepoint.com/personal/jatorres_inm_gov_co/Lists/Listado%20de%20Aplicaciones%20INM/AllItems.aspx?CT=1753130563027&amp;OR=OWA-NT-Mail&amp;CID=07129037-0494-c306-bb43-38b853f429b3&amp;e=3%3A2147861c85a34af0bc670570bd158c86&amp;sharingv2=true&amp;fromShare=true&amp;at=9
</t>
    </r>
    <r>
      <rPr>
        <b/>
        <sz val="11"/>
        <color rgb="FF000000"/>
        <rFont val="Verdana"/>
      </rPr>
      <t xml:space="preserve">Inventario de software propio
</t>
    </r>
    <r>
      <rPr>
        <sz val="11"/>
        <color rgb="FF000000"/>
        <rFont val="Verdana"/>
      </rPr>
      <t xml:space="preserve">
Z:\120 OIDT\TRD 2024\120.150.4 Inven recursos disponibles TI
</t>
    </r>
  </si>
  <si>
    <t xml:space="preserve">Luego de revisar la información registrada por el proceso, no se identifican novedades ni comentarios adicionales.
</t>
  </si>
  <si>
    <t>E05-R02</t>
  </si>
  <si>
    <t>Posibilidad de afectación económica y reputacional por el uso de hardware obsoleto o desactualizado para la operación de los procesos del INM debido a una baja gestión en el seguimiento y control del estado del hardware utilizado</t>
  </si>
  <si>
    <t>Se encuentra vencido el ciclo de vida de equipos de cómputo, impresoras, servidores, telefonía, switches y demás elementos tecnológicos</t>
  </si>
  <si>
    <t xml:space="preserve">
Baja gestión en el seguimiento y control del estado del hardware utilizado</t>
  </si>
  <si>
    <t>El profesional asignado por el Jefe de la OIDT revisa el inventario del hardware del INM donde se evidencian los ciclos de vida de los equipos y elementos tecnológicos con el fin de visualizar el soporte y periodo de vida de los equipos informáticos</t>
  </si>
  <si>
    <r>
      <rPr>
        <sz val="11"/>
        <color rgb="FF000000"/>
        <rFont val="Verdana"/>
        <family val="2"/>
      </rPr>
      <t xml:space="preserve">Mónica Alejandra Gutiérrez Cifuentes - Enlace calidad OIDT.
</t>
    </r>
    <r>
      <rPr>
        <b/>
        <sz val="11"/>
        <color rgb="FF000000"/>
        <rFont val="Verdana"/>
        <family val="2"/>
      </rPr>
      <t xml:space="preserve">EVIDENCIA: 
</t>
    </r>
    <r>
      <rPr>
        <sz val="11"/>
        <color rgb="FF000000"/>
        <rFont val="Verdana"/>
        <family val="2"/>
      </rPr>
      <t xml:space="preserve">
Inventario de equipos de cómputo y consumibles. Inventario de equipos de seguridad.</t>
    </r>
  </si>
  <si>
    <r>
      <rPr>
        <sz val="11"/>
        <color rgb="FF000000"/>
        <rFont val="Verdana"/>
        <family val="2"/>
      </rPr>
      <t>Se cuenta con inventario de equipos de cómputo y de consumibles con última consolidación del año 2025. Con la revisión anual</t>
    </r>
    <r>
      <rPr>
        <sz val="11"/>
        <color rgb="FFFF0000"/>
        <rFont val="Verdana"/>
        <family val="2"/>
      </rPr>
      <t xml:space="preserve"> </t>
    </r>
    <r>
      <rPr>
        <sz val="11"/>
        <color rgb="FF000000"/>
        <rFont val="Verdana"/>
        <family val="2"/>
      </rPr>
      <t>de equipos se hace verificación del estado de funcionamiento del dispositivo y periodo de ciclo de vida de acuerdo al modelo del equipo. Con el ánimo de mitigar el riesgo descrito, y de conformidad a los resultados del inventario, se definen estrategias operativas para evitar el uso de hardware que limite o comprometa el avance de las operaciones.</t>
    </r>
  </si>
  <si>
    <r>
      <rPr>
        <b/>
        <sz val="11"/>
        <color rgb="FF000000"/>
        <rFont val="Verdana"/>
      </rPr>
      <t xml:space="preserve">Mónica Gutiérrez Cifuentes - Enlace Calidad OIDT.
</t>
    </r>
    <r>
      <rPr>
        <sz val="11"/>
        <color rgb="FF000000"/>
        <rFont val="Verdana"/>
      </rPr>
      <t xml:space="preserve">
Evidencia: Inventario de Equipos OIDT 2025, Inventario de Mantenimiento de equipos OIDT 2025.</t>
    </r>
  </si>
  <si>
    <t>Anualmente se realiza una actualización general de inventario de equipos, y a partir de este insumo se programan los servicios de mantenimiento preventivo, considerando la intervención en materia de software (actualización de aplicativos y sistemas operativos) y hardware (limpieza y verificación de funcionamiento físico). 
Como soporte del desarrollo de estas actividades se encuentra disponible el inventario de equipos y Actas de servicios de mantenimiento del ejercicio 2024 en la siguiente ubicación:
https://metrologiainm-my.sharepoint.com/personal/mesadeayuda_inm_gov_co/_layouts/15/onedrive.aspx?id=%2Fpersonal%2Fmesadeayuda%5Finm%5Fgov%5Fco%2FDocuments%2FDocumentos%20Mesa%20de%20ayuda%202025&amp;CT=1753132637017&amp;OR=OWA%2DNT%2DMail&amp;CID=cb6a56df%2D6514%2D452b%2D97a8%2De52f0702eab5&amp;e=5%3A19c8b4e7d21d4c3c9c4d3d22b28fb1a0&amp;sharingv2=true&amp;fromShare=true&amp;at=9&amp;FolderCTID=0x0120000AA566771661EB4B8D597A7A255606FC</t>
  </si>
  <si>
    <t xml:space="preserve">Mónica Gutiérrez Cifuentes - Enlace Calidad OIDT.
</t>
  </si>
  <si>
    <r>
      <rPr>
        <b/>
        <sz val="11"/>
        <color rgb="FF000000"/>
        <rFont val="Verdana"/>
      </rPr>
      <t xml:space="preserve">Ferney Rojas.
</t>
    </r>
    <r>
      <rPr>
        <sz val="11"/>
        <color rgb="FF000000"/>
        <rFont val="Verdana"/>
      </rPr>
      <t xml:space="preserve">
Durante el tercer trimestre se desarrollaron actividades de actualización del inventario general de equipos administrados por la OIDT, como fase preparatoria para la programación del mantenimiento preventivo anual. En este ejercicio se contempla el cruce de información con el inventario del Área de Almacén, recientemente actualizado mediante el proceso de plaqueteo de equipos, con el propósito de garantizar la coherencia de los registros entre ambas dependencias y asegurar la inclusión de todos los equipos sujetos a revisión en el cronograma de mantenimiento.
Adicionalmente, el equipo de la Mesa de Soporte elaboró el Informe de Vida Útil de Equipos, remitido el pasado 15 de octubre a la Secretaría Técnica y al Área de Almacén, el cual servirá como insumo para el desarrollo del próximo comité de bajas, de conformidad a lo indicado para el cumplimiento de ciclo de vida de los equipos.
</t>
    </r>
  </si>
  <si>
    <t>No se detecta a tiempo y/o no se comunica oportunamente a la OIDT la necesidad de mantenimiento, ajuste o mejora del hardware utilizado en los diferentes procesos de la entidad</t>
  </si>
  <si>
    <t>Baja gestión en el seguimiento y control del estado del hardware utilizado</t>
  </si>
  <si>
    <t>El profesional asignado por el Jefe de la OIDT genera reporte del estado del Hardware utilizado en el INM con el fin de visualizar el soporte y periodo de vida en equipos informáticos</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</si>
  <si>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 xml:space="preserve">
Informe concepto técnico baja de equipos de cómputo 2023</t>
    </r>
  </si>
  <si>
    <t>Con base en los resultados de la actualización de inventarios de equipos y consumibles, se evalúa la necesidad de la generación de informes técnicos al identificar equipos cuya obsolescencia pueda afectar el desempeño operativo. Dichos informes incluyen diagnóstico, ubicación, características de los dispositivos, modelos y recomendaciones desde Mesa de Servicios de la OIDT.
Para el periodo actual no fue necesario emitir un nuevo informe, ya que no se identificaron riesgos de obsolescencia significativos asociados. No obstante, se conserva el informe emitido en el primer semestre de 2023, el cual respaldó la adquisición de nuevos equipos en el segundo semestre de 2023 y la respectiva asignación a colaboradores en el año 2024.</t>
  </si>
  <si>
    <r>
      <rPr>
        <b/>
        <sz val="11"/>
        <color rgb="FF000000"/>
        <rFont val="Verdana"/>
        <family val="2"/>
      </rPr>
      <t xml:space="preserve">Mónica Gutiérrez Cifuentes - Enlace Calidad OIDT.
</t>
    </r>
    <r>
      <rPr>
        <sz val="11"/>
        <color rgb="FF000000"/>
        <rFont val="Verdana"/>
        <family val="2"/>
      </rPr>
      <t xml:space="preserve">
Evidencia: Inventario de Equipos OIDT 2025, Inventario de Mantenimiento de equipos OIDT 2025.</t>
    </r>
  </si>
  <si>
    <t xml:space="preserve">Resultado del ejercicio de mantenimiento preventivo, se hace una evaluación a la capacidad tecnológica instalada en la organización y posibles necesidades de renovación del equipamiento tecnológico. Si bien hoy en día se identifican equipos en condiciones de obsolescencia (atribuible al tiempo de operación, principalmente), los mantenimientos preventivos anuales e intervenciones técnicas por parte del equipo de la OIDT permiten mantener las condiciones de operación de los dispositivos a disposición de los usuarios mientras surte el proceso de asignación de recursos y compra de nuevos equipos. 
Como último reporte se mantiene el realizado durante el primer semestre de 2023. De acuerdo al resultado que arroje el próximo ejercicio de mantenimiento preventivo (segundo semestre 2025), se podrá hacer el balance y determinar necesidad de generar un nuevo reporte de estado del parque tecnológico para actualización.
</t>
  </si>
  <si>
    <r>
      <rPr>
        <b/>
        <sz val="11"/>
        <color rgb="FF000000"/>
        <rFont val="Verdana"/>
      </rPr>
      <t xml:space="preserve">Ferney Rojas/Juan Camilo T.
</t>
    </r>
    <r>
      <rPr>
        <sz val="11"/>
        <color rgb="FF000000"/>
        <rFont val="Verdana"/>
      </rPr>
      <t xml:space="preserve">
Se elaboró el Informe Técnico de Equipos con Obsolescencia con fecha del 2025-05-12, como insumo para la suscripción del contrato de adquisición de equipos previsto para ejecución en el cuarto trimestre de 2025. A la fecha de este seguimiento, dicho contrato se encuentra en etapa pre-contractual, con proyección de ejecución para el mes de noviembre de 2025. Con su implementación, se espera la adquisición de nuevos equipos y repuestos que contribuirán al fortalecimiento del parque tecnológico de la entidad.
Adicionalmente, se tiene previsto ejecutar las labores de mantenimiento preventivo durante el cuarto trimestre de 2025. Los resultados de esta actividad servirán como base para la elaboración del siguiente Informe Técnico de Equipos con Obsolescencia, el cual incluirá también los equipos que sean incorporados mediante el proceso de adquisición, con el fin de definir el estado global del equipamiento tecnológico de la entidad.
No se registra materialización del riesgo para el periodo de evaluación.</t>
    </r>
  </si>
  <si>
    <t xml:space="preserve">El contratista designado realiza mantenimiento preventivo a la infraestructura tecnológica del INM anualmente con el fin de detectar la necesidad de mantenimiento, ajuste o mejora del hardware utilizado en los diferentes procesos de la entidad
La OIDT cuenta con el procedimiento gestión de Incidentes y Requerimientos de Servicios de TI (E-05-P-003) que especifica el proceso para comunicar de manera oportuna a la Mesa de Servicio del INM  la necesidad de mantenimiento, ajuste o mejora del hardware utilizado en los diferentes procesos de la entidad </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</si>
  <si>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 xml:space="preserve">
Informe de Mantenimiento equipos de cómputo 2024</t>
    </r>
  </si>
  <si>
    <t>Como medida preventiva, se realiza mantenimiento anual a los equipos de cómputo, con el fin de identificar oportunamente necesidades de intervención asociadas al estado del hardware. El informe correspondiente al último ciclo de mantenimiento fue emitido en diciembre de 2024. En sus resultados no se identifica la materialización de riesgos derivados de la obsolescencia o desactualización de los equipos.
Sumado a lo anterior, el procedimiento E-05-P-003 PROCEDIMIENTO
GESTIÓN DE INCIDENTES Y REQUERIMIENTOS DE SERVICIOS DE TI V.02 (2023-05-31)  se encuentra publicado en ISOLUCION, y documenta los mecanismos para solicitar la intervención por parte del equipo de Mesa de Servicios ante cualquier eventualidad que comprometa el buen funcionamiento de los equipos de cómputo o sus accesorios. El anexo 1 del documento lista los eventos relacionados con hardware (equipos de cómputo, accesorios, redes y conectividad).</t>
  </si>
  <si>
    <r>
      <rPr>
        <b/>
        <sz val="11"/>
        <color rgb="FF000000"/>
        <rFont val="Verdana"/>
        <family val="2"/>
      </rPr>
      <t xml:space="preserve">Mónica Gutiérrez Cifuentes - Enlace Calidad OIDT.
</t>
    </r>
    <r>
      <rPr>
        <sz val="11"/>
        <color rgb="FF000000"/>
        <rFont val="Verdana"/>
        <family val="2"/>
      </rPr>
      <t xml:space="preserve">
Evidencia: Estudios previos, asignación presupuestal.
Listado casos GLPI con solicitudes de mantenimiento o intervención en hardware de equipos.</t>
    </r>
  </si>
  <si>
    <t xml:space="preserve">De acuerdo a la información suministrada por el Enlace Financiero de la OIDT, se prevee la suscripción del nuevo contrato de mantenimiento de equipos para el mes de agosto de 2025, consistente con la periodicidad anual proyectada. 
De forma complementaria, el equipo de Mesa de Ayuda está en condiciones de brindar la primera atención a equipos que requieran una intervención básica en materia de hardware. Los casos se presentan a través de la plataforma GLPI por parte de los usuarios que así lo requieran, de conformidad a los lineamientos que establece el procedimiento E-05-P-003 PROCEDIMIENTO DE GESTIÓN DE INCIDENTES Y REQUERIMIENTOS DE SERVIICOS T.I V.02 (2023-05-31)
</t>
  </si>
  <si>
    <r>
      <rPr>
        <b/>
        <sz val="11"/>
        <color rgb="FF000000"/>
        <rFont val="Verdana"/>
      </rPr>
      <t xml:space="preserve">Ferney Rojas /Juan Camilo Trujillo/ Santiago Molina.
</t>
    </r>
    <r>
      <rPr>
        <sz val="11"/>
        <color rgb="FF000000"/>
        <rFont val="Verdana"/>
      </rPr>
      <t xml:space="preserve">
Durante el tercer trimestre del año se desarrolló la etapa pre-contractual para la adquisición de los servicios de mantenimiento preventivo de los equipos tecnológicos administrados por la OIDT. A la fecha de este reporte, avanza el proceso de evaluación de proveedores, y se estima la programación de las actividades para el mes de noviembre de 2025.
Así mismo, durante el trimestre se efectuaron labores de mantenimiento a la infraestructura de seguridad y firewalls institucionales. El informe de resultados de esta intervención se presenta sin novedades relevantes. No obstante, se registraron algunas recomendaciones de actualización que actualmente se encuentran en gestión por parte del proveedor, quien deberá ejecutar las acciones de atención correspondientes.</t>
    </r>
  </si>
  <si>
    <t>E05-R03</t>
  </si>
  <si>
    <t>Posibilidad de afectación económica y reputacional por inexistencia de soporte técnico para las herramientas tecnológicas del INM debido a la baja planificación y control sobre la infraestructura tecnológica de la entidad</t>
  </si>
  <si>
    <t>La entidad no cuenta con personal suficiente que brinde soporte técnico
El INM cuenta con herramientas tecnológicas obsoletas
No se cuenta con soporte técnico externo para algunas herramientas tecnológicas
No se tiene un inventario de las herramientas tecnológicas con las que cuenta el INM</t>
  </si>
  <si>
    <t>Baja planificación y control sobre la infraestructura tecnológica de la entidad</t>
  </si>
  <si>
    <t>El profesional asignado por el Jefe de la OIDT define y actualiza dentro de su proceso de TI, políticas de soporte para las herramientas tecnológicas del INM con el fin de mejorar la planificación en cuanto al soporte</t>
  </si>
  <si>
    <t>Mónica Gutiérrez Cifuentes - Enlace Calidad OIDT</t>
  </si>
  <si>
    <r>
      <rPr>
        <sz val="11"/>
        <color rgb="FF000000"/>
        <rFont val="Verdana"/>
        <family val="2"/>
      </rPr>
      <t xml:space="preserve">El documento E-05-P-003 PROCEDIMIENTO GESTIÓN DE INCIDENTES Y REQUERIMIENTOS DE SERVICIOS DE TI V.02 (2023-05-31) se encuentra publicado en ISOLUCION y establece los lineamientos para la atención de incidentes y requerimientos de servicios TIC. En el apartado 6.3 del procedimiento se detallan los criterios de clasificación para la planificación del soporte técnico, mientras que el Anexo 1, titulado </t>
    </r>
    <r>
      <rPr>
        <i/>
        <sz val="11"/>
        <color rgb="FF000000"/>
        <rFont val="Verdana"/>
        <family val="2"/>
      </rPr>
      <t>Matriz de Escalamiento y Tiempos de Respuesta</t>
    </r>
    <r>
      <rPr>
        <sz val="11"/>
        <color rgb="FF000000"/>
        <rFont val="Verdana"/>
        <family val="2"/>
      </rPr>
      <t>, define los tiempos de respuesta en función de la categoría y subcategoría del evento registrado. Este enfoque permite implementar una estrategia de atención efectiva, garantizando un soporte adecuado y oportuno para los usuarios internos
Para el momento del seguimiento al control, el documento se encuentra en proceso de revisión y actualización, previéndose la publicación de su nueva versión durante el segundo semestre de 2025.</t>
    </r>
  </si>
  <si>
    <r>
      <rPr>
        <b/>
        <sz val="11"/>
        <color rgb="FF000000"/>
        <rFont val="Verdana"/>
        <family val="2"/>
      </rPr>
      <t xml:space="preserve">Mónica Gutiérrez Cifuentes - Enlace Calidad OIDT.
</t>
    </r>
    <r>
      <rPr>
        <sz val="11"/>
        <color rgb="FF000000"/>
        <rFont val="Verdana"/>
        <family val="2"/>
      </rPr>
      <t xml:space="preserve">
Evidencia: Soportes de sesiones de trabajo y avances en acuerdos ANS.</t>
    </r>
  </si>
  <si>
    <t xml:space="preserve">Continúan vigentes los lienamientos establecidos por el documento E-05-P-003 GESTION DE INCIDENTES Y REQUERIMIENTOS DE SERVICIOS DE TI V.02 (2023-05-31), permitiendo un proceso de atención diferencial (de acuerdo a la criticidad del evento) y oportuno al usuario solicitante.
En el marco de la actualización del Anexo 1 del documento de referencia, desde el equipo de Infraestructura y Mesa de Servicios de la OIDT se han adelantado mesas de trabajo y acciones conducentes a diferenciar las operaciones que adelanta el equipo de la OIDT de otros procesos que también hacen uso de este aplicativo para mejorar el seguimiento y control de los casos. Una vez se cuente con la estructura tecnológica lista, se procederá con la actualización y divulgación documental bajo los nuevos parámetros de trabajo. Se espera avanzar con esta labor en el curso del segundo semestre del año 2025. 
</t>
  </si>
  <si>
    <r>
      <rPr>
        <b/>
        <sz val="11"/>
        <color rgb="FF000000"/>
        <rFont val="Verdana"/>
      </rPr>
      <t xml:space="preserve">Juan Camilo T. y Andrés Jaimes.
</t>
    </r>
    <r>
      <rPr>
        <sz val="11"/>
        <color rgb="FF000000"/>
        <rFont val="Verdana"/>
      </rPr>
      <t xml:space="preserve">
Para el periodo de seguimiento, avanza el desarrollo de la segunda versión del aplicativo GLPI. En el marco de este proceso, ya se tiene en versión final el borrador del Anexo 1 del procedimiento E-05-P-003 “Gestión de Incidentes y Requerimientos de Servicios de TI”, el cual se actualizará cuando la nueva estructura del sistema de gestión entre en ambiente de producción. Este anexo incluye los nuevos ANS, y tendrá un alcance exclusivo de los servicios prestados directamente por la OIDT.
Tras el seguimiento realizado, se acordó con el equipo de trabajo avanzar en la consolidación de la documentación técnica del desarrollo, conforme a lo establecido en el procedimiento E-05-P-013 “Adquisición, Desarrollo y Mantenimiento de Software y Automatización de Mediciones”. Esta fase incluye la elaboración de la nueva versión del Manual de Usuario para GLPI V2.0, el desarrollo de los formularios en línea faltantes según los servicios definidos, y la definición del usuario llamado a recibir el desarrollo solicitado por el equipo de Manufactura para la gestión de sus propios requerimientos, de acuerdo a la solicitud presentada en el curso del segundo trimestre del año.</t>
    </r>
  </si>
  <si>
    <t>E05-R05</t>
  </si>
  <si>
    <t>Posibilidad de afectación económica y reputacional por fallas en los aplicativos del INM debido a que no se garantizan los requisitos mínimos (infraestructura, seguridad de la información, requerimientos de software) durante el desarrollo de estos.</t>
  </si>
  <si>
    <t>No evaluar y aprobar de manera correcta los desarrollos de software.</t>
  </si>
  <si>
    <t>No se garantizan los requisitos mínimos (infraestructura, seguridad de la información, requerimientos de software) durante el desarrollo de los aplicativos de la entidad</t>
  </si>
  <si>
    <t>El profesional asignado por el Jefe de la OIDT, cada vez que se realiza un cambio o desarrollo nuevo, configura los ambientes de desarrollo y pruebas en el servidor de aplicaciones principal y alterno, restringe el acceso a la Información y actualiza y mantiene el sistema de respaldo (Backups) de los aplicativos de la entidad con el fin de mitigar las fallas de los aplicativos en los ambientes de producción
La OIDT cuenta con el instructivo metodología para el Ciclo de Vida de Desarrollo de Software de INM (E-05-I-021) donde se establecen los requisitos para evaluar y aprobar de manera correcta los requisitos mínimos para el desarrollo de software</t>
  </si>
  <si>
    <t>Mónica Gutiérrez Cifuentes - Enlace Calidad OIDT
EVIDENCIA:
 Informe inventario aplicativos de Lab de Densidad (en revisión).
Ejemplo de cumplimiento a lo indicado en el E-05-I-021 INSTRUCTIVO METODOLOGÍA PARA EL CICLO DE VIDA DE DESARROLLO DE SOFTWARE DEL INM V.01 (2021-06-30) con respecto al proceso seguido para evaluar y aprobar los requisitos mínimos para el desarrollo o mantenimiento del software. Caso 1: Requerimientos de firmado digital de documentos en SISEPM del 2025-04-08</t>
  </si>
  <si>
    <t>Se cuenta con el documento E-05-I-021 INSTRUCTIVO METODOLOGÍA PARA EL CICLO DE VIDA DE DESARROLLO DE SOFTWARE DEL INM V.01 (2021-06-30) que, en su capítulo 7.3, indica de manera expresa la ejecución de cambios en ambientes de desarrollo e integración, con el objetivo de minimizar riesgos asociados al acceso no autorizado al código fuente y prevenir modificaciones no intencionales sobre funcionalidades en fase de prueba. Adicional a lo anterior, y en concordancia con lo dispuesto en el documento E-05-P-002 PROCEDIMIENTO BACKUPS Y RESTAURACIÓN DE INFORMACIÓN EN EQUIPOS DE CÓMPUTO Y SERVIDORES V.02 (2024-05-23), se generan copias de respaldo con la periodicidad definida según la criticidad de la información, especialmente para los aplicativos en ambientes productivos, como medida para reducir el riesgo de pérdida de datos durante procesos de mantenimiento o mejora.
También se cuenta con lo establecido por el numeral 7.1 del documento E-05-I-021 INSTRUCTIVO METODOLOGÍA PARA EL CICLO DE VIDA DE DESARROLLO DE SOFTWARE DEL INM V.01 (2021-06-30). Con la etapa de análisis allí descrita se espera reunir y validar las necesidades del solicitante, e integrarlas a  los requsitos específicos de la seguridad de la información y otros elementos que apliquen según las características del desarrollo o mantenimiento solicitado.
En respuesta a la oportunidad de mejora AUD 251 (2025-01-09), se realizó en abril de 2025 un diagnóstico a los softwares del laboratorio de Densidad, identificando que uno de ellos opera desde su desarrollo en ambiente editable para garantizar la interoperabilidad con los dispositivos conectados. A la fecha, no se han registrado modificaciones accidentales, el uso del aplicativo está restringido a personal autorizado y los usuarios son conscientes del riesgo y cuentan con la instrucción del correcto uso del software. Actualmente, está en el elaboración un plan de trabajo orientado al desarrollo de una solución tecnológica que erradique la situación identificada a través de la implementación de un desarrollo con un nuevo lenguaje de programación.</t>
  </si>
  <si>
    <t>Revisado, para este caso registrado, se realizará seguimiento desde la oportunidad de mejora AUD 251. Sin embargo, queda la inquietud del porqué se materializa el riesgo.</t>
  </si>
  <si>
    <t>Mónica Gutiérrez Cifuentes - Enlace Calidad OIDT.</t>
  </si>
  <si>
    <t>Continúan vigentes los lienamientos establecidos por el documento E-05-I-021 INSTRUCTIVO METODOLOGÍA PARA EL CICLO DE VIDA DE DESARROLLO DE SOFTWARE DEL INM V.01 y E-05-P-002 PROCEDIMIENTO DE BACKUPS Y RESTAURACIÓN DE INFORMACIÓN EN EQUIPOS DE COMPUTO Y SERVIDORES V.02.
En el marco del proceso de actualización del procedimiento para el desarrollo de soluciones tecnológicas, y con el objetivo de integrar los principios de arquitectura empresarial, durante los meses de marzo, abril y junio se realizaron sesiones de trabajo con los equipos de Infraestructura y Automatización de Mediciones de la OIDT. Estas sesiones estuvieron orientadas a la transferencia, apropiación del conocimiento y comprensión conjunta del contenido relacionado con los procedimientos E-05-I-021 "Instructivo Metodología para el Ciclo de Vida de Desarrollo de Software del INM" y E-05-P-013 "Procedimiento de Adquisición, Desarrollo y Mantenimiento de Software y Automatización de Mediciones" considerando la ejecución de las diferentes etapas del desarrollo, desde el levantamiento de requisitos hasta la entrega de productos. Estas actividades contribuyen al fortalecimiento del control sobre el riesgo asociado.</t>
  </si>
  <si>
    <r>
      <rPr>
        <b/>
        <sz val="11"/>
        <color rgb="FF000000"/>
        <rFont val="Verdana"/>
      </rPr>
      <t xml:space="preserve">Jhon Torres / Santiago Molina.
</t>
    </r>
    <r>
      <rPr>
        <sz val="11"/>
        <color rgb="FF000000"/>
        <rFont val="Verdana"/>
      </rPr>
      <t xml:space="preserve">
Actualmente, opera un grupo de servidores destinados al procesamiento y alojamiento de datos asociados a los ambientes de aseguramiento de calidad (ClusterQA.inm.local). De acuerdo con la llegada de solicitudes, los desarrollos se registran inicialmente en el entorno de pruebas y, una vez aprobados, se trasladan al cluster CLHYPERV.inm.local para su etapa de implementación.
Como ejemplo de la estrategia de diferenciación de ambientes de prueba y desarrollo, durante el trimestre de seguimiento se encuentra en curso el proyecto de medición de condiciones ambientales, el cual se aloja en el servidor SRVAM01, correspondiente al entorno de pruebas de desarrollo.
</t>
    </r>
  </si>
  <si>
    <t>Daños físicos sobre la infraestructura tecnológica</t>
  </si>
  <si>
    <t xml:space="preserve">El profesional asignado por el Jefe de la OIDT ubica y protege los equipos tecnológicos, elementos de protección y control ambiental e implementa un perímetro de seguridad física de los mismos y realiza seguimiento mensual </t>
  </si>
  <si>
    <r>
      <rPr>
        <sz val="11"/>
        <color rgb="FF000000"/>
        <rFont val="Verdana"/>
        <family val="2"/>
      </rPr>
      <t xml:space="preserve">Mónica Gutiérrez Cifuentes - Enlace Calidad OIDT
</t>
    </r>
    <r>
      <rPr>
        <sz val="11"/>
        <color rgb="FFFF0000"/>
        <rFont val="Verdana"/>
        <family val="2"/>
      </rPr>
      <t>Evidencia: Santiago. Inventario de equipos tecnológicos, datacenter y complementos. Contraseñas, acceso biometrico para ingreso a servidores. Actualizaciones, contratos de mantenimiento. Lista de personal autorizado y visitantes al Datacenter. Registro fotográfico accesos y seguridad.
Pantallazos o configuraciones del firewall en protección perimetral, y seguridad de los aplicativos administrados por terceros o elementos externos publicados fuera del instituto.</t>
    </r>
  </si>
  <si>
    <t xml:space="preserve">Se cuenta con inventario actualizado de equipos tecnológicos, dispositivos del datacenter y sus complementos. Como medida preventiva, se dispone de contratos de mantenimiento para los dispositivos. En materia de seguridad, el acceso a los aplicativos está protegido mediante contraseñas, el ingreso a los servidores se controla con sistemas biométricos, y se mantiene una lista actualizada de personal y visitantes autorizados para el acceso al datacenter. Adicionalmente, se preservan condiciones ambientales favorables mediante un sistema de aire acondicionado tipo mini-split, lo cual contribuye a la estabilidad operativa de los equipos alojados.
En materia de seguridad digital, se han implementado mecanismos de seguridad con la operación del sistema firewall en protección perimetral, y mecanismos de seguridad de los aplicativos administrados por terceros, o para los elementos externos publicados fuera de la infraestructura tecnológica del Instituto.
</t>
  </si>
  <si>
    <t xml:space="preserve">En la actualidad se mantienen los esquemas de control de acceso. Opera el sistema biométrico para el ingreso a las instalaciones del INM, así como el de la zonas protegidas como laboratorios y datacenter con uso de tarjetas magnéticas y llaves con seguro. Se concede ingreso únicamente a personal autorizado centros de cableado. No se identifican novedades en los registros de las planillas de registro de ingresos al DataCenter en el formato E-05-F-012 PLANILLA DE CONTROL DE ENTRADA Y SALIDA DE PERSONAL AL DATACENTER. 
Adicional a lo anterior, el datacenter cuenta con control de temperatura con ayuda de un enfriador que mantiene las condicones ambientales para su adecuado funcionamiento. El más recente cambio de la planta eléctrica fue en el curso del año 2024, y se cuenta con una red de energía regulada para asegurar el suministro seguro y permanente de energía a los equipos. 
</t>
  </si>
  <si>
    <r>
      <rPr>
        <b/>
        <sz val="11"/>
        <color rgb="FF000000"/>
        <rFont val="Verdana"/>
      </rPr>
      <t xml:space="preserve">Santiago Molina /Juan Camilo T.
</t>
    </r>
    <r>
      <rPr>
        <sz val="11"/>
        <color rgb="FF000000"/>
        <rFont val="Verdana"/>
      </rPr>
      <t xml:space="preserve">
Se mantienen los esquemas de control de acceso y el acondicionamiento ambiental en las áreas críticas de gestión de infraestructura tecnológica.
Durante el tercer trimestre se realizó el mantenimiento al sistema de control de incendios ubicado en el Datacenter. Estas labores fueron programadas como parte del mantenimiento a los mecanismos de control de incendios del Instituto, a cargo del Área Administrativa. La OIDT brindó el acompañamiento necesario para la autorización de ingreso del contratista. No se registraron novedades en la ejecución de las actividades de revisión.
Se requiere establecer acuerdos con el Área Administrativa para definir roles y responsabilidades en la programación de mantenimientos de infraestructura y seguridad, incluyendo: climatización, control de incendios en el Datacenter y adecuaciones físicas relacionadas con el cableado en puestos de trabajo. Es necesario definir la responsable de liderar estas intervenciones, con el fin de garantizar la correcta programación y ejecución de los procesos y atender oportunamente los hallazgos identificados en la auditoría interna del SG-SI, particularmente en lo relacionado con la disposición de cableado y periodicidad en la programación de los mantenimientos preventivos.</t>
    </r>
  </si>
  <si>
    <t xml:space="preserve"> Ataques informáticos</t>
  </si>
  <si>
    <t xml:space="preserve">El profesional especializado asignado por el Jefe de la OIDT garantiza el soporte y atención de las posibles fallas que se puedan presentar en los aplicativos desarrollados en el INM y los desarrollados por terceros y garantiza que se cuente con manuales de los aplicativos y/o documentos equivalentes que ayuden a dar soporte debido a algún incidente o falla </t>
  </si>
  <si>
    <r>
      <rPr>
        <sz val="11"/>
        <color rgb="FF000000"/>
        <rFont val="Verdana"/>
        <family val="2"/>
      </rPr>
      <t xml:space="preserve">Mónica Gutiérrez Cifuentes - Enlace Calidad OIDT
</t>
    </r>
    <r>
      <rPr>
        <b/>
        <sz val="11"/>
        <color rgb="FF000000"/>
        <rFont val="Verdana"/>
        <family val="2"/>
      </rPr>
      <t xml:space="preserve">EVIDENCIA: 
</t>
    </r>
    <r>
      <rPr>
        <sz val="11"/>
        <color rgb="FFFF0000"/>
        <rFont val="Verdana"/>
        <family val="2"/>
      </rPr>
      <t xml:space="preserve">
</t>
    </r>
    <r>
      <rPr>
        <sz val="11"/>
        <color rgb="FF000000"/>
        <rFont val="Verdana"/>
        <family val="2"/>
      </rPr>
      <t>Pantallazo de ubicación de los manuales en la Intranet. Caso1: Manual Usuario en Módulo Ayuda SASM. Ejemplo de Manuales Caso2: SISEPM</t>
    </r>
  </si>
  <si>
    <t xml:space="preserve">El documento E-05-P-003 PROCEDIMIENTO GESTIÓN DE INCIDENTES Y REQUERIMIENTOS DE SERVICIOS DE TI V.02 (2023-05-31) se encuentra publicado en ISOLUCION y establece los lineamientos para la atención de incidentes y requerimientos de servicios TIC. En el numeral 6. del documento se presentan las generalidades para la presentación de solicitudes y requerimientos relacionados con licencias, adquisición, desarrollo o mantenimiento de software. 
Para el caso de los desarrollos de software propios, el documento E-05-I-021 en su apartado 7.7 indica la elaboración de los manuales correspondientes del software, que garanticen la correcta administración y operación del aplicativo respectivo. Los manuales de softawre propio se encuentran disponibles en el menú de opciones de los aplicativos y la siguiente ruta del servidor: \\192.168.10.2\oidt\Doc Apoyo\DocumentacionLaureano\2. Aplicaciones\.
</t>
  </si>
  <si>
    <r>
      <rPr>
        <b/>
        <sz val="11"/>
        <color rgb="FF000000"/>
        <rFont val="Verdana"/>
        <family val="2"/>
      </rPr>
      <t xml:space="preserve">Mónica Gutiérrez Cifuentes - Enlace Calidad OIDT.
</t>
    </r>
    <r>
      <rPr>
        <sz val="11"/>
        <color rgb="FF000000"/>
        <rFont val="Verdana"/>
        <family val="2"/>
      </rPr>
      <t xml:space="preserve">
Evidencia: Informes de Gestión Mesa de Servicio Abr-May-Jun 2025, publicación de manuales de aplicativos propios.</t>
    </r>
  </si>
  <si>
    <t>Se mantienen vigentes los lineamientos definidos en el documento GESTION DE INCIDENTES Y REQUERIMIENTOS DE SERVICIOS DE TI V.02 (2023-05-31), los cuales establecen el procedimiento para el reporte, registro, seguimiento y confirmación de cierre de los incidentes relacionados con aplicativos en operación.
Según los informes de gestión mensuales emitidos por la Mesa de Servicio de la OIDT, la categoría "Sistemas de Información Institucional" ha concentrado la mayor proporción de casos registrados en la plataforma GLPI, con una participación que ha variado entre el 27 % y el 37 % del total de solicitudes recibidas durante el periodo de seguimiento.
En respuesta a los incidentes , el indicador de gestión No. 514 – Porcentaje de incidencias atendidas en entornos productivos de servicios tecnológicos arroja un 100 % de atención a los casos recibidos durante los meses de mayo y junio de 2025, lo que refleja la capacidad operativa de la OIDT para dar respuesta oportuna a fallos en los aplicativos de uso institucional.</t>
  </si>
  <si>
    <r>
      <rPr>
        <b/>
        <sz val="11"/>
        <color rgb="FF000000"/>
        <rFont val="Verdana"/>
      </rPr>
      <t xml:space="preserve">Ferney Rojas / Jhon Torres
</t>
    </r>
    <r>
      <rPr>
        <sz val="11"/>
        <color rgb="FF000000"/>
        <rFont val="Verdana"/>
      </rPr>
      <t xml:space="preserve">
Con respecto a la disponibilidad de los Manuales de Usuario, se identifica que los documentos se encuentran almacenados y disponibles en la TRD habilitada para su custodia:Z:\120 OIDT\TRD 2024\120.135.9 Info de Adqui, Des y Mant de Soft y Auto Med\Manuales. Para el cuarto trimestre, se tiene programada la revisión de códigos y el versionamiento de los formatos en los cuales está registrada la información.
Según los informes de gestión mensuales emitidos por la Mesa de Servicio de la OIDT, la categoría “Sistemas de Información Institucional” continúa registrando la mayor proporción de casos en la plataforma GLPI, con una participación que ha variado entre el 34 % y el 41 % del total de solicitudes recibidas durante el periodo de seguimiento.
De las solicitudes registradas, aquellas con tendencia a no alcanzar el cierre efectivo en los tiempos de atención acordados corresponden principalmente a casos que requieren escalamiento a proveedores externos o que están relacionados con ajustes en sistemas de información y solicitudes de desarrollo en la página web, las cuales demandan un mayor despliegue para su correcta implementación. Los avances quedan registrados en GLPI y se realiza monitoreo de cierre para cada corte mensual a través de la emisión del informe de gestión de Mesa de Soporte.
Los casos registrados en GLPI están asociados con mejoras o nuevos atributos requeridos para optimizar los sistemas conforme a la experiencia deseada por el usuario. Ninguno de los registros corresponde a fallas sustanciales ni a interrupciones de los sistemas de gestión para este periodo de evaluación.
</t>
    </r>
  </si>
  <si>
    <t>E05-R06</t>
  </si>
  <si>
    <t>Posibilidad de afectación reputacional por acceso de personal no autorizado a sistemas de información, servicios tecnológicos e infraestructura tecnológica del INM debido al uso incorrecto por parte de los usuarios de las credenciales asignadas por la entidad y por Phishing (Suplantación)</t>
  </si>
  <si>
    <t>Ausencia de Políticas de Contraseñas Seguras
Ausencia o Desconocimiento de Políticas de Seguridad de la Información
Ausencia de Controles de Acceso</t>
  </si>
  <si>
    <t xml:space="preserve">Uso incorrecto por parte de los usuarios de las credenciales asignadas por el instituto </t>
  </si>
  <si>
    <t>El Profesional de Seguridad de la información concientiza a los usuarios en el uso adecuado de las credenciales asignadas por el INM, con el fin de mitigar fallas en seguridad de la información 
La OIDT cuenta con el procedimiento Administración de Usuarios para Servicios y Sistemas de información (E-05-002) donde se establecen los Controles de Acceso a la Información</t>
  </si>
  <si>
    <t xml:space="preserve">Mónica Gutiérrez Cifuentes - Enlace Calidad OIDT
</t>
  </si>
  <si>
    <t>El Plan de Trabajo de Seguridad de la Información 2025 contempla actividades de capacitación y sensibilización orientadas al uso adecuado de credenciales, así como a la correcta administración de contraseñas y claves de acceso a los aplicativos. Estas actividades se programan a partir del mes de mayo de 2025. 
Sumado a lo anterior, se cuenta con el documento E-05-P-011 CONTROL DE ACCESO A LOS SERVICIOS TECNOLÓGICOS Y SISTEMAS DE INFORMACIÓN DEL INM V.02 (2023-06-31), publicado en ISOLUCION, el cual establece los lineamientos y procedimientos necesarios para asegurar que el acceso a los servicios tecnológicos y sistemas de información esté debidamente autorizado y alineado con los requisitos de los procesos y las políticas de Seguridad de la Información de la Entidad. El numeral 6.2 describe las políticas específicas para el control de acceso a la información.</t>
  </si>
  <si>
    <r>
      <rPr>
        <b/>
        <sz val="11"/>
        <color rgb="FF000000"/>
        <rFont val="Verdana"/>
        <family val="2"/>
      </rPr>
      <t xml:space="preserve">Mónica Gutiérrez Cifuentes - Enlace Calidad OIDT
</t>
    </r>
    <r>
      <rPr>
        <sz val="11"/>
        <color rgb="FF000000"/>
        <rFont val="Verdana"/>
        <family val="2"/>
      </rPr>
      <t xml:space="preserve">
Evidencia: Reporte casos GLPI Acceso a recursos compartidos. Listado de asistencia capacitación seguridad de la información. </t>
    </r>
  </si>
  <si>
    <t>Continúan vigentes los lineamientos establecidos por el documento E-05-P-011 CONTROL DE ACCESO A LOS SERVICIOS TECNOLÓGICOS Y SISTEMAS DE INFORMACIÓN DEL INM V.02 (2023-06-31). 
En el marco de desarrollo del Plan de trabajo de Seguridad de la Información se realiza ejercicio de sensibilización a nivel institucional el día 19 de junio, liderado por la profesional responsable del Sistema de Gestión de Seguridad de la Información, en relación a los lineamientos de seguridad y gestión adecuada de los activos de la información. 
Las solicitudes de acceso a recursos compartidos son gestionadas a través del recurso GLPI, por medio del cual se tramitan las validaciones (aprobaciones) necesarias para la atención y cierre efectiva de los casos correspondientes a estas categorías.</t>
  </si>
  <si>
    <r>
      <rPr>
        <b/>
        <sz val="11"/>
        <color rgb="FF000000"/>
        <rFont val="Verdana"/>
      </rPr>
      <t xml:space="preserve">Santiago Molina
</t>
    </r>
    <r>
      <rPr>
        <sz val="11"/>
        <color rgb="FF000000"/>
        <rFont val="Verdana"/>
      </rPr>
      <t xml:space="preserve">
En el trimestre no se presentó novedad alguna de seguridad que afectara los esquemas de seguridad de la información dispuestos por la entidad.
Para el periodo de seguimiento se realizaron actividades de capacitación en materia de seguridad de la información y buenas prácticas dirigidas a la OIDT y equipo de colaboradores durante los días 2025-07-23 y 2025-08-28.</t>
    </r>
  </si>
  <si>
    <t>E05-R08</t>
  </si>
  <si>
    <t xml:space="preserve">Posibilidad de afectación reputacional por intermitencias en la prestación de servicios de TI prestados por terceros debido al incumplimiento de las obligaciones contractuales  </t>
  </si>
  <si>
    <t>Desconocimiento del proceso de contratación
Ausencia o desconocimiento de los controles a aplicar a terceros
La supervisores de contrato no realizan un adecuado seguimiento a los contratistas
No se contratan terceros idóneos que satisfagan las necesidades de la entidad</t>
  </si>
  <si>
    <t xml:space="preserve">Incumplimiento de las obligaciones 
contractuales </t>
  </si>
  <si>
    <t>Fraude Externo</t>
  </si>
  <si>
    <t>Los supervisores de contrato realizan mensualmente seguimiento de los acuerdos de servicio establecidos (ANS) con las herramientas de monitoreo correspondientes, a los servicios críticos "internet, correo" prestados por terceros (obligaciones contractuales), con el fin de monitorear la calidad de los servicios.
Para la contratación y seguimiento de los contratistas, todos los procesos de la entidad aplican lo establecido en el proceso de Contratación.</t>
  </si>
  <si>
    <r>
      <rPr>
        <sz val="11"/>
        <color rgb="FF000000"/>
        <rFont val="Verdana"/>
        <family val="2"/>
      </rPr>
      <t xml:space="preserve">Mónica Gutiérrez Cifuentes - Enlace Calidad OIDT
</t>
    </r>
    <r>
      <rPr>
        <b/>
        <sz val="11"/>
        <color rgb="FF000000"/>
        <rFont val="Verdana"/>
        <family val="2"/>
      </rPr>
      <t>EVIDENCIA:</t>
    </r>
    <r>
      <rPr>
        <sz val="11"/>
        <color rgb="FF000000"/>
        <rFont val="Verdana"/>
        <family val="2"/>
      </rPr>
      <t xml:space="preserve"> 
Informe de Servicio Ophelia-Suite, primer pago. Sustenta el incumplimiento a las condiciones contractuales del aplicativo SGDA. </t>
    </r>
  </si>
  <si>
    <t xml:space="preserve">El seguimiento a la condición de prestación de servicios de otros proveedores está sujeta a la locación principal del proveedor y alcance de los servicios ofertados. En varios casos, se realizan pagos únicos al inicio del contrato suscrito por lo cual no es aplicable la solicitud de informes de gestión específicos para servicios de operatividad o conectividad que operan a nivel mundial. Sin embargo, para estos casos, las condiciones de seguimiento y atención se aseguran a través de mecanismos virtuales para la gestión de eventos o irregularidades para su debido trámite en jornada contínua, matrices de escalamiento y acuerdos de prestación de servicios de mantenimiento ante situaciones no esperadas. De ser posible, se exige la presentación de un informe de gestión previo al proceso de facturación, donde se demuestra el cumplimiento a los acuerdos.
Para la operación del aplicativo SGDA se elaboran informes de gestión mensuales por parte del proveedor. Para este aplicativo en particular, se suscribe contrato en el mes de marzo de 2025 y se generó un primer reporte para esta mensualidad. A la fecha, se registra el incumplimiento de las condiciones establecidas para la prestación de servicios. Conforme a los términos contractuales, se aplicó una penalización de tipo económico para el primer pago. Se encuentra en curso el seguimiento correspondiente para evaluar la atención a las fallas reportadas y determinar la necesidad de posibles acciones adicionales de corte jurídico.
 </t>
  </si>
  <si>
    <r>
      <rPr>
        <b/>
        <sz val="11"/>
        <color rgb="FF000000"/>
        <rFont val="Verdana"/>
        <family val="2"/>
      </rPr>
      <t xml:space="preserve">Mónica Gutiérrez Cifuentes - Enlace Calidad OIDT
</t>
    </r>
    <r>
      <rPr>
        <sz val="11"/>
        <color rgb="FF000000"/>
        <rFont val="Verdana"/>
        <family val="2"/>
      </rPr>
      <t xml:space="preserve">
</t>
    </r>
  </si>
  <si>
    <t>La información relacionada con el seguimiento a contratos se encuentra alojada en las carpetas del servidor de la OIDT en la siguiente ubicación: \\192.168.10.2\oidt\Doc Apoyo\Adquisiciones\2025\PROVEEDORES. Para el periodo de seguimiento se cuenta con informes de servicio e informes de supervisión de los proveedores DigitalWare-SGDEA y DigitalWare-Kactus, para los proveedores de correo electrónico y Nube se realizan únicos pagos al inicio del periodo como condición para la prestación del servicio, pero mantienen los canales de comunicación habilitados para la presentación y atención de solicitudes en caso de ser necesario.
Para este periodo no se registran novedades en el seguimiento a cumplimiento de los ANS por parte de los proveedores asocados a las actividades ejecutadas por la OIDT.</t>
  </si>
  <si>
    <r>
      <rPr>
        <b/>
        <sz val="11"/>
        <color rgb="FF000000"/>
        <rFont val="Verdana"/>
      </rPr>
      <t xml:space="preserve">Jhon Torres /Santiago Molina
</t>
    </r>
    <r>
      <rPr>
        <sz val="11"/>
        <color rgb="FF000000"/>
        <rFont val="Verdana"/>
      </rPr>
      <t xml:space="preserve">
La información relacionada con el seguimiento a contratos se encuentra alojada en las carpetas del servidor de la OIDT, en la siguiente ubicación:
\\192.168.10.2\oidt\Doc Apoyo\Adquisiciones\2025\PROVEEDORES.
En cuanto a los reportes mensuales del proveedor DIGITAL WARE (KAKTUS, OFELIA SGDEA), actualmente no se han registrado nuevos incumplimientos que requieran seguimiento adicional o de la aplicación de penalizaciones.No se identifican afectaciones ni situaciones que indiquen incumplimiento de las condiciones contractuales por su parte durante el periodo de seguimiento.
Con respecto a ETB, no se reportan novedades en la prestación de servicio de telefonía y conectividad.
</t>
    </r>
  </si>
  <si>
    <t>E05-R09</t>
  </si>
  <si>
    <t xml:space="preserve">Posibilidad de afectación económica por exposición (daño o pérdida) de dispositivos informáticos a condiciones e instalaciones inadecuadas debido a la baja gestión en el seguimiento y control de los mismos. </t>
  </si>
  <si>
    <t>Falta o incumplimiento de políticas y buenas prácticas
Desconocimiento por parte de los colaboradores del INM de las buenas prácticas para el uso de los dispositivos informáticos</t>
  </si>
  <si>
    <t>Baja gestión en el seguimiento y control de los dispositivos informáticos</t>
  </si>
  <si>
    <t xml:space="preserve">Mónica Gutiérrez Cifuentes - Enlace Calidad OIDT.
</t>
  </si>
  <si>
    <t>En cuanto a seguridad física, se han implementado diversas medidas para proteger la infraestructura tecnológica. Se dispone de RACKs para la protección de los switches en los centros de cableado y en el Datacenter. Además, se cuenta con una conexión a la red regulada, que garantiza el suministro continuo de energía durante cortes no programados, complementada por un estabilizador de picos de voltaje para prevenir daños técnicos en la infraestructura electrónica. También se han instalado llaves de seguridad en las áreas donde se ubican dispositivos tecnológicos clave en TI y señalización de riesgo de choque eléctrico, asegurando un entorno seguro para el personal y los equipos.
Adicional a lo anterior, durante la atención a solicitudes relacionadas con la instalación  o habilitación de equipos de cómputo para puestos de trabajo, el profesional asignado mediante inspección visual  evalúa las condiciones de ubicación, conectividad y suministro seguro de energía antes de proceder con la respectiva instalación.</t>
  </si>
  <si>
    <t>No se registran novedades o actividades adicionales a las relacionadas con los mecanismos de seguridad física instalados: Racks para la protección de switches en los centros de cableado y DataCenter, operación de la red regulada, y mecanismos de seguridad electrónicos se encuentran instalados y en operación.
La verificación de condiciones adecuadas para la ubicación o reubicación de equipos continúa siendo parte de los criterios de instalación por parte del equipo de Mesa de Servicio de la OIDT durante la atención a los casos GLPI recibidos.</t>
  </si>
  <si>
    <r>
      <rPr>
        <b/>
        <sz val="11"/>
        <color rgb="FF000000"/>
        <rFont val="Verdana"/>
      </rPr>
      <t xml:space="preserve">Mónica Gutiérrez Cifuentes - Enlace Calidad OIDT
</t>
    </r>
    <r>
      <rPr>
        <sz val="11"/>
        <color rgb="FF000000"/>
        <rFont val="Verdana"/>
      </rPr>
      <t xml:space="preserve">
</t>
    </r>
  </si>
  <si>
    <r>
      <rPr>
        <b/>
        <sz val="11"/>
        <color rgb="FF000000"/>
        <rFont val="Verdana"/>
      </rPr>
      <t xml:space="preserve">Ferney Rojas /Juan Camilo T.
</t>
    </r>
    <r>
      <rPr>
        <sz val="11"/>
        <color rgb="FF000000"/>
        <rFont val="Verdana"/>
      </rPr>
      <t xml:space="preserve">
No se registran novedades ni actividades adicionales a las relacionadas con los mecanismos de seguridad física instalados, que incluyen: racks para la protección de switches en los centros de cableado y DataCenter, operación de la red regulada y mecanismos de seguridad electrónicos, todos ellos instalados y en operación.
La verificación de condiciones adecuadas para la ubicación o reubicación de equipos continúa siendo parte de los criterios de instalación aplicados por el equipo de Mesa de Servicio de la OIDT durante la atención a los casos registrados en GLPI.
El proceso de adquisición de repuestos avanza conforme a lo planificado, y se tiene programada la entrega de los elementos durante el cuarto trimestre del año. En este periodo también se realizarán adecuaciones en los cuartos de cableado, procurando generar el menor impacto posible en los servicios</t>
    </r>
  </si>
  <si>
    <t>E05-R10</t>
  </si>
  <si>
    <t xml:space="preserve">Posibilidad de afectación económica por la incorporación de tecnología en los diferentes procesos del INM que no cumplen con los requerimientos para garantizar la conectividad con la plataforma tecnológica existente debido a que no existe una adecuada interrelación entre los diferentes procesos de la entidad con la OIDT </t>
  </si>
  <si>
    <t>No se informa a la OIDT antes y durante la contratación y/o adquisición de equipos, infraestructura tecnológica, licenciamientos y desarrollos vulnerables
No evaluar y aprobar de manera correcta la adquisición de nuevas tecnologías</t>
  </si>
  <si>
    <t>No existe una adecuada interrelación entre los diferentes procesos de la entidad con la OIDT</t>
  </si>
  <si>
    <t>El profesional asignado por el Jefe de la OIDT, atiende las solicitudes de nuevos proyectos con el fin de evitar la adquisición de sistemas no compatibles  
La OIDT cuenta con el procedimiento Atención de Requerimientos de Mantenimiento de Software (E-05-P-001) donde establece los criterios para la presentación, estudio y atención de requerimientos de mantenimiento, ajuste o mejoramiento de aplicativos de software desarrollados por el INM y el instructivo metodología para el Ciclo de Vida de Desarrollo de Software de INM (E-05-I-021) donde se establecen los requisitos para evaluar y aprobar de manera correcta los requisitos mínimos para el desarrollo de software</t>
  </si>
  <si>
    <r>
      <rPr>
        <sz val="11"/>
        <color rgb="FF000000"/>
        <rFont val="Verdana"/>
        <family val="2"/>
      </rPr>
      <t xml:space="preserve">Mónica Gutiérrez Cifuentes - Enlace Calidad OIDT.
</t>
    </r>
    <r>
      <rPr>
        <sz val="11"/>
        <color rgb="FFFF0000"/>
        <rFont val="Verdana"/>
        <family val="2"/>
      </rPr>
      <t>EVIDENCIA: Inventario y asignación de licencias 2025</t>
    </r>
  </si>
  <si>
    <r>
      <rPr>
        <sz val="11"/>
        <color rgb="FF000000"/>
        <rFont val="Verdana"/>
        <family val="2"/>
      </rPr>
      <t xml:space="preserve">En materia de software, se ha identificado que, en general, las licencias de software tipo web disponibles comercialmente vienen adquiriendo propiedades de compatibilidad con los sistemas operativos existentes. 
Según lo establecido en el documento E-05-P-013 PROCEDIMIENTO ADQUISICIÓN, DESARROLLO Y MANTENIMIENTO DE SOFTWARE Y AUTOMATIZACIÓN DE
MEDICIONES V01 (2023-06-30), en el capítulo 6., toda implementación de software debe ser analizada y gestionada por la OIDT para garantizar condiciones de accesibilidad, compatibilidad y seguridad, mientras que el documento E-05-P-012 PROCEDIMIENTO ADQUISICIÓN, ADMINISTRACIÓN Y CONTROL DE USO DE LICENCIAS DE SOFTWARE, en sus apartados 6.1 y 6.2 establece los lineamientos de administración y control sobre software libre y software licenciado. 
El </t>
    </r>
    <r>
      <rPr>
        <sz val="11"/>
        <color rgb="FFFF0000"/>
        <rFont val="Verdana"/>
        <family val="2"/>
      </rPr>
      <t xml:space="preserve">inventario de licencias de software </t>
    </r>
    <r>
      <rPr>
        <sz val="11"/>
        <color rgb="FF000000"/>
        <rFont val="Verdana"/>
        <family val="2"/>
      </rPr>
      <t>del que trata el capítulo 6.2 del documento E-05-P-012 se mantiene con el fin de controlar su uso y pertinencia, y asegurar el cumplimento a los requisitos mínimos de seguridad, como antivirus y operación de componentes autorizados. Incluye los siguientes atributos de control: Programa, nombre o identificación, estado, tipo, localización, Número de serie, Número de inventario, usuario, grupos, comentarios, archivos adjuntos, versión en uso, fecha de activación, fecha de caducidad, correo asociado a la licencia, número de contrato, proveedor.
Como parte del seguimiento, se identifica información que da cuenta del proceso de contatación de servicios de licenciamiento, por medio del cual se gestionó la compra de licencias de software para el INM, incluyendo la negociación con el proveedor, la gestión de la orden de compra y la entrega de las licencias al INM, bajo consideraciones y especificaciones técnicas específicas definidas por la OIDT.</t>
    </r>
  </si>
  <si>
    <t>Se mantienen vigentes los lineamientos establecidos en los documentos E-05-P-013 Adquisición, Desarrollo y Mantenimiento de Software y Automatización de Mediciones y E-05-P-012 Adquisición, Administración y Control de Uso de Licencias de Software, relacionados con la identificación y etapa de levantamiento de requerimientos considerando las especificaciones técnicas y de seguridad en el proceso para el desarrollo adquisición de aplicativos de gestión.
El inventario de licencias y software de terceros recibió su más reciente actualización a corte del mes de julio de 2025.</t>
  </si>
  <si>
    <r>
      <rPr>
        <b/>
        <sz val="11"/>
        <color rgb="FF000000"/>
        <rFont val="Verdana"/>
      </rPr>
      <t xml:space="preserve">Juan Camilo Trujillo
</t>
    </r>
    <r>
      <rPr>
        <sz val="11"/>
        <color rgb="FF000000"/>
        <rFont val="Verdana"/>
      </rPr>
      <t xml:space="preserve">
No tenemos reportes al momento de incidentes por fallas o incompatibilidad de software empleado por los diferentes procesos en la enbtidad.
Se mantienen vigentes los lineamientos establecidos en los documentos E-05-P-013 Adquisición, Desarrollo y Mantenimiento de Software y Automatización de Mediciones y E-05-P-012 Adquisición, Administración y Control de Uso de Licencias de Software</t>
    </r>
  </si>
  <si>
    <t>E05-R11</t>
  </si>
  <si>
    <t>Posibilidad de afectación económica y reputacional por imposibilidad de recuperación de información en los diferentes procesos de la entidad debido al poco control sobre las directrices descritas en los procedimientos, instructivos y/o guías establecidas en el proceso de TI</t>
  </si>
  <si>
    <t>Desconocimiento u omisión de las Políticas de Seguridad de la Información y Buenas Prácticas de almacenamiento y respaldo de información establecidas en el INM
No hay continuidad de los procesos al existir alta rotación del personal (colaboradores y contratistas del INM)</t>
  </si>
  <si>
    <t>Poco control sobre las directrices descritas en los procedimientos, instructivos y/o guías establecidas en el proceso de TI</t>
  </si>
  <si>
    <t>El profesional de Seguridad de la información  refuerza el conocimiento y  aplicación de políticas y buenas prácticas de respaldo de la información con el fin de minimizar el riesgo de pérdida de  información 
El profesional asignado por el Jefe de la OIDT realiza copias de respaldo de la información de acuerdo con lo establecido en el procedimiento Backups y  Restauración de Información en Equipos de Cómputo y Servidores (E-05-P-002)</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</si>
  <si>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 xml:space="preserve">
Pantallazos de aplicativo de generación de backups de servidores.</t>
    </r>
  </si>
  <si>
    <t>El Plan de Trabajo de Seguridad de la Información 2025 contempla actividades de capacitación y sensibilización orientadas a las buenas prácticas de custodia y generación de respaldo de información. Estas actividades se programan a partir del mes de mayo de 2025.
Se cuenta con registro de generación de copias de seguridad conforme a lo establecido en el documento E-05-P-002 PROCEDIMIENTO BACKUPS Y RESTAURACIÓN DE INFORMACIÓN EN EQUIPOS DE CÓMPUTO Y SERVIDORES V.02 (2024-05-23). Estas copias son aplicables a Usuarios de dominio (correo electrónico y nube) y los servidores en operación. 
Las herramientas tecnológicas implementadas incluyen tiempos de almacenamiento o puntos de restauración según la criticidad de los datos. Se realizan pruebas aleatorias de restauración de información desde las copias generadas a los servidores para verificar la integridad de los respaldos. Una vez finalizada la copia, desde la OIDT se remite confirmación vía correo electrónico, invitando al usuario a validar la correcta generación del backup a manera de control.</t>
  </si>
  <si>
    <r>
      <rPr>
        <b/>
        <sz val="11"/>
        <color rgb="FF000000"/>
        <rFont val="Verdana"/>
        <family val="2"/>
      </rPr>
      <t xml:space="preserve">Mónica Gutiérrez Cifuentes - Enlace Calidad OIDT
</t>
    </r>
    <r>
      <rPr>
        <sz val="11"/>
        <color rgb="FF000000"/>
        <rFont val="Verdana"/>
        <family val="2"/>
      </rPr>
      <t xml:space="preserve">
Evidencia: Indicadores de gestión OIDT - Isolución.</t>
    </r>
  </si>
  <si>
    <t>Se mantienen vigentes los lineamientos establecidos por el procedimiento E-05-P-002 BACKUPS Y RESTAURACIÓN DE INFORMACIÓN EN EQUIPOS DE CÓMPUTO Y SERVIDORES. 
De conformidad a los resultados que arroja el indicador No. 528 Tasa de restauraciones de datos exitosas, publicado en ISOLUCION,  los registros correspondientes al primer semestre de 2025 evidencian un cumplimiento del 100 % en la atención de las solicitudes presentadas para la restauración de datos, lo que representa un resultado positivo y demuestra la adecuada gestión, administración y custodia de las copias de respaldo por parte del equipo de la OIDT.
En el marco de desarrollo del Plan de trabajo de Seguridad de la Información se realiza ejercicio de sensibilización a nivel institucional el día 19 de junio, liderado por la profesional responsable del Sistema de Gestión de Seguridad de la Información, en relación a los lineamientos de seguridad y gestión adecuada de los activos de la información. Para el 23 de julio de 2025, se dispone de nueva agenda para una sesión de capacitación en lineamientos de seguridad de la información, específica para los miembros de la OIDT.</t>
  </si>
  <si>
    <r>
      <rPr>
        <b/>
        <sz val="11"/>
        <color rgb="FF000000"/>
        <rFont val="Verdana"/>
      </rPr>
      <t xml:space="preserve">Santiago Molina
</t>
    </r>
    <r>
      <rPr>
        <sz val="11"/>
        <color rgb="FF000000"/>
        <rFont val="Verdana"/>
      </rPr>
      <t xml:space="preserve">
Se han presentado solicitudes de restauración, las cuales se han ejecutado exitosamente. Para el siguiente semestre, se generará el reporte del indicador semestral asociado a estas actividades.
Las copias y restauraciones de backups continúan realizándose conforme a los lineamientos generales establecidos. Se sugiere actualizar el procedimiento correspondiente para definir los elementos relevantes de cara al aseguramiento de la información, implementando niveles de criticidad que permitan optimizar el proceso y priorizar los recursos de manera efectiva.
Incluir jornadas de capacitación en seguridad de la información realizadas en este periodo.</t>
    </r>
  </si>
  <si>
    <t>E05-R12</t>
  </si>
  <si>
    <t>Posibilidad de afectación reputacional por atención de requerimientos de TI y  habilitación de roles de acceso a la información por fuera del perfil del usuario debido al poco control sobre las directrices descritas en los procedimientos, instructivos y/o guías establecidas en el proceso de TI</t>
  </si>
  <si>
    <t>Roles no actualizados
Inconformismos y/o intereses particulares 
Falta o incumplimiento de políticas</t>
  </si>
  <si>
    <t xml:space="preserve">El profesional de Seguridad de la Información define e implementa políticas para la seguridad de la información y la  documentación asociada a los controles de acceso con el fin de habilitar los roles de acceso dentro del perfil de usuario a través de las políticas de seguridad de la información y el protocolo respectivo
La OIDT cuenta con el procedimiento Administración de Usuarios para Servicios y Sistemas de información (E-05-002) donde se establece el proceso a seguir para la habilitación de roles de acceso a la información       </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</si>
  <si>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 xml:space="preserve">
 Casos GLPI requerimientos permisos acceso TRD</t>
    </r>
  </si>
  <si>
    <t>Se cuenta con el documento E-05-P-015 PROCEDIMIENTO CREACIÓN Y DESHABILITACIÓN DE USUARIOS EN EL DIRECTORIO ACTIVO V02.  (2024-02-13), publicado en ISOLUCION, el cual establece los lineamientos para la creación, modificación y deshabilitación de usuarios de dominio en el sistema. Según el numeral 6.2, las solicitudes relacionadas con creación de usuarios, cambios de permisos u otros ajustes de accesibilidad deben ser gestionadas por el jefe inmediato, supervisor o Talento Humano, a través de la herramienta GLPI.</t>
  </si>
  <si>
    <r>
      <rPr>
        <b/>
        <sz val="11"/>
        <color rgb="FF000000"/>
        <rFont val="Verdana"/>
      </rPr>
      <t xml:space="preserve">Mónica Gutiérrez Cifuentes - Enlace Calidad OIDT
</t>
    </r>
    <r>
      <rPr>
        <sz val="11"/>
        <color rgb="FF000000"/>
        <rFont val="Verdana"/>
      </rPr>
      <t xml:space="preserve">
Evidencia: Relación Casos GLPI para la gestión de recursos compartidos.</t>
    </r>
  </si>
  <si>
    <t>Sumado a los lineamientos establecidos por el documento E-05-P-015 Creación y Deshabilitación de Usuarios en el Directorio Activo, se cuenta también con los siguientes documentos, los cuales definen las actividades y requisitos para la correcta administración de accesos a recursos digitales de los colaboradores de la entidad:
- E-05-P-011 PROCEDIMIENTO CONTROL DE ACCESO A LOS SERVICIOS TECNOLÓGICOS Y SISTEMAS DE INFORMACIÓN DEL INM. Este documento establece los lineamientos y actividades necesarias para asegurar el acceso a los servicios tecnológicos y sistemas de información contando con las autorizaciones y acorde a los requisitos de los procesos se seguridad de la información.
-E-05-I-010 INSTRUCTIVO CONFIGURACIÒN DE RECURSOS COMPARTIDOS. El documento contiene la información requerida para configurar y habilitar los recursos a ser compartidos entre funcioarios y contratistas del INM, alojados en las carpetas de servidores del INM.
Las solicitudes relacionadas con accesos a aplicativos o recursos compartidos son gestionadas a través de GLPI, herramienta que permite hacer seguimiento y dejar registro de las aprobaciones necesarias para dar atención efectiva a las solicitdes.</t>
  </si>
  <si>
    <r>
      <rPr>
        <b/>
        <sz val="11"/>
        <color rgb="FF000000"/>
        <rFont val="Verdana"/>
      </rPr>
      <t xml:space="preserve">Juan Camilo T. / Andrés Jaimes.
</t>
    </r>
    <r>
      <rPr>
        <sz val="11"/>
        <color rgb="FF000000"/>
        <rFont val="Verdana"/>
      </rPr>
      <t xml:space="preserve">
Para el momento de seguimiento a este riesgo, se mantiene la vigencia de los lineamientos asociados a validación de permisos y gestión de recursos compartidos aplicables en el tema. Las solicitudes relacionadas con accesos a aplicativos o recursos compartidos continúan gestionándose a través de GLPI, herramienta que permite hacer seguimiento y dejar registro de las aprobaciones necesarias para dar atención efectiva a las solicitdes y conceder los accesos a los colaboradores autorizados.</t>
    </r>
  </si>
  <si>
    <t>E05-R13</t>
  </si>
  <si>
    <t>Posibilidad de afectación reputacional por no dar respuesta oportuna a  los incidentes y requerimientos de servicios de TI, reportados por los usuarios internos a la Mesa de Servicio del INM debido a una mala gestión de los Incidentes y Requerimientos de TI por parte del líder de la Mesa de Servicio</t>
  </si>
  <si>
    <t>Clasificación errada (grupo, categoría y subcategoría) del incidente o requerimiento por parte del personal de la mesa de servicio
No se hace seguimiento al trabajo realizado por lo técnicos a los cuales se les asignan los casos
Mal uso de la herramienta GLPI</t>
  </si>
  <si>
    <t>Mala gestión de los Incidentes y Requerimientos de TI por parte del líder de 
la Mesa de Servicio</t>
  </si>
  <si>
    <t>Los profesionales de la Mesa de Servicio resuelven los incidentes y/o requerimientos de servicio de TI,  de acuerdo con los ANS establecidos por la entidad en el Anexo 2 Matriz de Prioridad, Escalamiento y Tiempos de Respuesta del procedimiento 
E-05-P-003 Gestión de Incidentes y Requerimientos de Servicios de TI
Los incidentes o requerimientos son tratados y resueltos por medio de la Mesa de Servicio mediante la herramienta GLPI la cual se encuentra debidamente parametrizada</t>
  </si>
  <si>
    <r>
      <rPr>
        <sz val="11"/>
        <color rgb="FF000000"/>
        <rFont val="Verdana"/>
        <family val="2"/>
      </rPr>
      <t xml:space="preserve">Mónica Gutiérrez Cifuentes - Enlace Calidad OIDT.
</t>
    </r>
    <r>
      <rPr>
        <b/>
        <sz val="11"/>
        <color rgb="FF000000"/>
        <rFont val="Verdana"/>
        <family val="2"/>
      </rPr>
      <t>EVIDENCIA:</t>
    </r>
    <r>
      <rPr>
        <sz val="11"/>
        <color rgb="FF000000"/>
        <rFont val="Verdana"/>
        <family val="2"/>
      </rPr>
      <t xml:space="preserve"> 
Informes de gestión GLPI meses de enero,  febrero y marzo de 2025</t>
    </r>
  </si>
  <si>
    <t>El equipo de Mesa de Servicios de la OIDT elabora informes de gestión mensuales que consolidan los resultados y estadísticas de atención a los incidentes y requerimientos registrados a través de la herramienta GLPI. El informe más reciente corresponde al periodo de marzo de 2025. Los informes correspondientes al periodo de seguimiento indican un porcentaje de atención a los requerimientos en cumplimiento a los ANS por encima del 90% (resultado favorable según la interpretación del indicador de gestión), con tendencia al incremento.</t>
  </si>
  <si>
    <r>
      <rPr>
        <b/>
        <sz val="11"/>
        <color rgb="FF000000"/>
        <rFont val="Verdana"/>
        <family val="2"/>
      </rPr>
      <t xml:space="preserve">Mónica Gutiérrez Cifuentes - Enlace Calidad OIDT
</t>
    </r>
    <r>
      <rPr>
        <sz val="11"/>
        <color rgb="FF000000"/>
        <rFont val="Verdana"/>
        <family val="2"/>
      </rPr>
      <t xml:space="preserve">
Evidencia: Informes de Gestión Mesa de Servicio Abr-May-Jun 2025</t>
    </r>
  </si>
  <si>
    <t>Los informes de Mesa de Servicios generados para el periodo de seguimiento, indican un desempeño satisfactorio en la atención a incidentes en entornos productivos de servicios tecnológicos reportados por los usuarios a través de la plataforma GLPI (Indicador Isolucion No. 514). Se alcanzó un desempeño del 100% de casos atendidos en lo corrrido de los meses de mayo y junio. Si bien en el mes de abril se observa un descenso en el indicador, este se mantiene dentro de los rangos considerados aceptables, sin comprometer el estándar de calidad establecido. 
Con respecto a los servicios de soporte en tecnología atendidos dentro de los tiempos establecidos en los ANS (Indicador Isolucion No. 520) los resultados evidencian una tendencia positiva en el cumplimiento de los tiempos establecidos por los Acuerdos de Nivel de Servicio (ANS), alcanzando un 99 % de efectividad al cierre del primer semestre de 2025. Este desempeño responde, en gran medida, a la disponibilidad operativa del equipo completo de soporte en Tecnologías de la Información, así como al fortalecimiento del seguimiento de los casos clasificados bajo las categorías de “sistemas de información institucional” y “accesos y permisos”, las cuales concentran el mayor volumen de solicitudes presentadas por los usuarios.</t>
  </si>
  <si>
    <r>
      <rPr>
        <b/>
        <sz val="11"/>
        <color rgb="FF000000"/>
        <rFont val="Verdana"/>
      </rPr>
      <t xml:space="preserve">Ferney Rojas.
</t>
    </r>
    <r>
      <rPr>
        <sz val="11"/>
        <color rgb="FF000000"/>
        <rFont val="Verdana"/>
      </rPr>
      <t xml:space="preserve">
Los servicios de soporte en tecnología son atendidos dentro de los tiempos establecidos en los ANS. Los resultados del Indicador Isolucion No. 520 evidencian resultados positivos en el cumplimiento de los tiempos establecidos por los Acuerdos de Nivel de Servicio (ANS), alcanzando un 98 % de efectividad promedio para el tercer trimestre. GLPI se mantiene como la herramienta de gestión de incidentes y requerimientos de la oficina.</t>
    </r>
  </si>
  <si>
    <t>E05-R14</t>
  </si>
  <si>
    <t>Posibilidad de afectación económica y reputacional por afectación en la Seguridad de la Información al realizarse trabajo en casa debido a  la falta o incumplimiento de políticas y buenas prácticas de Seguridad de la información relacionadas con el Trabajo en Casa.</t>
  </si>
  <si>
    <t>Pérdida o daño de los computadores utilizados por los funcionarios para desarrollar actividades de trabajo en casa. 
No se tiene control sobre el manejo que dan los colaboradores del INM a la información
Algunos colaboradores y contratistas de la entidad deben utilizar los computadores personales</t>
  </si>
  <si>
    <t>Falta o incumplimiento de políticas y buenas prácticas de Seguridad de la información relacionadas con el Trabajo en Casa</t>
  </si>
  <si>
    <t>El Profesional de Seguridad de la Información concientiza a los usuarios sobre los riesgos de pérdida o daño de los computadores utilizados por los funcionarios para desarrollar actividades de trabajo en casa</t>
  </si>
  <si>
    <t xml:space="preserve">El Plan de Trabajo de Seguridad de la Información 2025 contempla actividades de capacitación y sensibilización frente a los riesgos de pérdida o daño de los computadores utilizados para el desarrollo de trabajo en casa. Estas actividades se programan a partir del mes de mayo de 2025. 
</t>
  </si>
  <si>
    <t>En el marco de desarrollo del Plan de trabajo de Seguridad de la Información se realiza ejercicio de sensibilización a nivel institucional el día 19 de junio, liderado por la profesional responsable del Sistema de Gestión de Seguridad de la Información, en relación a los lineamientos de seguridad y gestión adecuada de los activos de la información. 
En el curso del segundo semestre de 2025 se proyecta avanzar en la formalización de los lienamientos por medio de los cuales se establezcan las condiciones de prestación de servicios tecnológicos por parte de la OIDT para colaboradores que realicen labores fuera de las instalaciones de la entidad. Lo anterior dando alcance a la Resolución 495 del 30 de diciembre del 2024, “Por la cual se adopta la Política Interna de Teletrabajo en el Instituto Nacional de Metrología de Colombia – INM – y se dictan otras disposiciones”.</t>
  </si>
  <si>
    <r>
      <rPr>
        <b/>
        <sz val="11"/>
        <color rgb="FF000000"/>
        <rFont val="Verdana"/>
      </rPr>
      <t xml:space="preserve">Santiago Molina.
</t>
    </r>
    <r>
      <rPr>
        <sz val="11"/>
        <color rgb="FF000000"/>
        <rFont val="Verdana"/>
      </rPr>
      <t xml:space="preserve">
En el curso del tercer trimestre, sesiona el comité técnico del Teletrabajo. El objetivo es el de concretar en las mesas de trabajo lo necesario para la ejecución del plan piloto de implementación de esta modalidad de trabajo.
La OIDT participa de los espacios de trabajo, e inicia con el análisis de los elementos clave a manera de preparción para integrarse en este ejerciccio. Se proyecta la elaboración de los documentos por medio de los cuales se formalice el alcance y responsabilidades de la OIDT, como oficina facilitadora de recursos de tecnología, para el desarrollo de las labores desde casa en el curso del cuarto trimestre del año. </t>
    </r>
  </si>
  <si>
    <t>El Profesional de Seguridad de la Información periódicamente concientiza a los usuarios sobre buenas prácticas de Seguridad de la Información relacionadas con el Trabajo en Casa</t>
  </si>
  <si>
    <t>El Plan de Trabajo de Seguridad de la Información 2025 contempla actividades de capacitación acerca de las buenas prácticas de seguridad de la información, incluidas aquellas aplicables a la modalidad de trabajo en casa. Estas actividades se programan a partir del mes de mayo de 2025.</t>
  </si>
  <si>
    <r>
      <rPr>
        <b/>
        <sz val="11"/>
        <color rgb="FF000000"/>
        <rFont val="Verdana"/>
      </rPr>
      <t xml:space="preserve">Liliana Pineda.
</t>
    </r>
    <r>
      <rPr>
        <sz val="11"/>
        <color rgb="FF000000"/>
        <rFont val="Verdana"/>
      </rPr>
      <t xml:space="preserve">
Para el periodo de seguimiento se realizaron actividades de capacitación en materia de seguridad de la información y buenas prácticas dirigidas a la OIDT y equipo de colaboradores durante los días 2025-07-23 y 2025-08-28.</t>
    </r>
  </si>
  <si>
    <t>E05-R15</t>
  </si>
  <si>
    <t>Posibilidad de afectación económica y reputacional al realizarse una inadecuada Calificación de la Confidencialidad, Integridad y Disponibilidad de la Información en la gestión de los Activos de información debido a una errónea identificación, clasificación y valoración del activo de información por parte del dueño y custodios de los activos de información</t>
  </si>
  <si>
    <t>Desconocimiento por parte de los colaboradores del INM de las directrices establecidas por la entidad para la calificación de los activos de información
Falta de compromiso por parte de los procesos de la entidad en la calificación de los activos de información
Falta de liderazgo por parte del Profesional de Seguridad de la Información</t>
  </si>
  <si>
    <t>Errónea identificación, clasificación y valoración del activo de información por parte del dueño y custodios de los activos de información</t>
  </si>
  <si>
    <t>El Profesional de Seguridad de la Información capacita a todo el personal del INM sobre la clasificación y valoración de los activos de Información con el fin de mitigar las fallas en la identificación y valoración de los mismos. 
La OIDT cuenta con el procedimiento Gestión de Activos de información 
( E-05-P-004) en el cual se establecen los  lineamientos y actividades necesarias para la gestión de activos de información dentro del marco de seguridad y privacidad de la información del INM</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</si>
  <si>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Última actualización de Matriz de activos v.2024.</t>
    </r>
  </si>
  <si>
    <t>Como parte de la programación anual, se realiza la orientación al personal sobre la clasificación y valoración de los activos de información, en el marco de las actividades de revisión, reclasificación y actualización del inventario institucional. Para la vigencia actual, esta actividad está programada para octubre de 2025, de acuerdo a lo contenido en el Plan de trabajo de Seguridad de la Información.
Adicionalmente, se cuenta con el documento E-05-P-004 PROCEDIMIENTO GESTIÓN ACTIVOS DE INFORMACIÓN V.05 (2024-12-30), publicado en ISOLUCIÓN, el cual establece los lineamientos y actividades necesarias para la adecuada gestión de los activos de información de la Entidad, particularmente en lo contenido en el numeral 6.2, donde se inlcuyen las obligaciones dirigidas a los funcionarios y contratistas de la Entidad que se benefician de su uso.</t>
  </si>
  <si>
    <t xml:space="preserve">En el marco de desarrollo del Plan de trabajo de Seguridad de la Información se realiza ejercicio de sensibilización a nivel institucional el día 19 de junio, liderado por la profesional responsable del Sistema de Gestión de Seguridad de la Información, en relación a los lineamientos de seguridad y gestión adecuada de los activos de la información. 
Continúan vigentes los lineamientos establecidos por el documento
Se cuenta con la última actualización de la Matriz de Inventario de Activos del 2024-11-15, encontrándose en estado vigente para el periodo de seguimiento.
</t>
  </si>
  <si>
    <r>
      <rPr>
        <b/>
        <sz val="11"/>
        <color rgb="FF000000"/>
        <rFont val="Verdana"/>
      </rPr>
      <t xml:space="preserve">Liliana Pineda
</t>
    </r>
    <r>
      <rPr>
        <sz val="11"/>
        <color rgb="FF000000"/>
        <rFont val="Verdana"/>
      </rPr>
      <t xml:space="preserve">
Se mantiene la programación de la actualización del Inventario de Activos de la Información para el mes de octubre de 2025. Los lineamientos de gestión de activos se mantienen de conformidad a lo documentado en el SG-SI de la entidad.</t>
    </r>
  </si>
  <si>
    <t>E05-R16</t>
  </si>
  <si>
    <t xml:space="preserve">Posibilidad de afectación económica y reputacional al afectarse la Seguridad de la información de la entidad (integridad, disponibilidad y confidencialidad) debido a no contar con licencias suficientes para asignar Google Suite a todos los colaboradores del INM </t>
  </si>
  <si>
    <t>Aumento inesperado de contratistas para la vigencia 2022
No existe una adecuada interrelación entre los diferentes procesos de la entidad con la OIDT
Algunos colaboradores y contratistas de la entidad utilizan los computadores personales</t>
  </si>
  <si>
    <t>No se cuenta con licencias suficientes para otorgar dentro de la Suite de Google las cuentas de correo a los colaboradores del INM</t>
  </si>
  <si>
    <t>Cuando ingresa personal a la entidad, el supervisor del contrato, jefe de oficina o subdirector solicita todas las credenciales necesarias por el colaborador para el desempeño de su labor, entre esas la cuenta de Google, de acuerdo con lo descrito en el procedimiento Administración de Usuarios para Servicios y Sistemas de información (E-05-002)</t>
  </si>
  <si>
    <r>
      <rPr>
        <sz val="11"/>
        <color rgb="FF000000"/>
        <rFont val="Verdana"/>
        <family val="2"/>
      </rPr>
      <t xml:space="preserve">Mónica Gutiérrez Cifuentes - Enlace Calidad OIDT
</t>
    </r>
    <r>
      <rPr>
        <b/>
        <sz val="11"/>
        <color rgb="FF000000"/>
        <rFont val="Verdana"/>
        <family val="2"/>
      </rPr>
      <t xml:space="preserve">EVIDENCIA: 
</t>
    </r>
    <r>
      <rPr>
        <sz val="11"/>
        <color rgb="FF000000"/>
        <rFont val="Verdana"/>
        <family val="2"/>
      </rPr>
      <t>Correos electrónicos de solicitud de creación de perfil de Usuarios de Dominio.</t>
    </r>
  </si>
  <si>
    <t xml:space="preserve">Sumado a los lineamientos establecidos por el documento E-05-P-015 Creación y Deshabilitación de Usuarios en el Directorio Activo, se cuenta también con el documento E-05-P-011 PROCEDIMIENTO CONTROL DE ACCESO A LOS SERVICIOS TECNOLÓGICOS Y SISTEMAS DE INFORMACIÓN DEL INM. Este documento establece los lineamientos y actividades necesarias para asegurar el acceso a los servicios tecnológicos y sistemas de información contando con las autorizaciones y acorde a los requisitos de los procesos se seguridad de la información.
Las solicitudes relacionadas con accesos a aplicativos son gestionadas a través de GLPI, herramienta que permite hacer seguimiento y dejar registro de las aprobaciones necesarias para dar atención efectiva a las solicitdes.
</t>
  </si>
  <si>
    <r>
      <rPr>
        <b/>
        <sz val="11"/>
        <color rgb="FF000000"/>
        <rFont val="Verdana"/>
      </rPr>
      <t xml:space="preserve">Jhon Torres / Juan Camilo Trujillo.
</t>
    </r>
    <r>
      <rPr>
        <sz val="11"/>
        <color rgb="FF000000"/>
        <rFont val="Verdana"/>
      </rPr>
      <t xml:space="preserve">
A la fecha, y considerando el comportamiento esperado en la gestión de talento humano, se dispone de licencias suficientes para cubrir el cierre del año, quedando pendiente la suscripción del nuevo contrato de adquisición de licencias para la siguiente vigencia.</t>
    </r>
  </si>
  <si>
    <t>CATÁLOGO INDICATIVO DE PUNTOS DE RIESGO FISCAL</t>
  </si>
  <si>
    <t>Id Referencia </t>
  </si>
  <si>
    <r>
      <t>Puntos de Riesgo Fiscal</t>
    </r>
    <r>
      <rPr>
        <sz val="10"/>
        <rFont val="Arial Narrow"/>
        <family val="2"/>
      </rPr>
      <t> </t>
    </r>
  </si>
  <si>
    <r>
      <t>Circunstancia Inmediata</t>
    </r>
    <r>
      <rPr>
        <sz val="10"/>
        <rFont val="Arial Narrow"/>
        <family val="2"/>
      </rPr>
      <t> </t>
    </r>
  </si>
  <si>
    <r>
      <t>Actividad en la que potencialmente se origina el riesgo fiscal</t>
    </r>
    <r>
      <rPr>
        <sz val="10"/>
        <rFont val="Arial Narrow"/>
        <family val="2"/>
      </rPr>
      <t> </t>
    </r>
  </si>
  <si>
    <r>
      <t xml:space="preserve">Situación </t>
    </r>
    <r>
      <rPr>
        <b/>
        <i/>
        <u/>
        <sz val="10"/>
        <color rgb="FF000000"/>
        <rFont val="Arial Narrow"/>
        <family val="2"/>
      </rPr>
      <t>por la que</t>
    </r>
    <r>
      <rPr>
        <i/>
        <sz val="10"/>
        <color rgb="FF000000"/>
        <rFont val="Arial Narrow"/>
        <family val="2"/>
      </rPr>
      <t xml:space="preserve"> se presenta el riesgo</t>
    </r>
    <r>
      <rPr>
        <sz val="10"/>
        <color rgb="FF000000"/>
        <rFont val="Arial Narrow"/>
        <family val="2"/>
      </rPr>
      <t> </t>
    </r>
  </si>
  <si>
    <t>1 </t>
  </si>
  <si>
    <t>Cumplimiento de las normas y obligaciones ante autoridades   </t>
  </si>
  <si>
    <t>Pago de multas, cláusulas penales o cualquier tipo de sanción </t>
  </si>
  <si>
    <t>2 </t>
  </si>
  <si>
    <t>Cumplimiento de obligaciones  </t>
  </si>
  <si>
    <t>Pago de Intereses moratorios </t>
  </si>
  <si>
    <t>3 </t>
  </si>
  <si>
    <t>Desplazamientos de los funcionarios y de los contratistas a lugares diferentes al domicilio de la entidad.   </t>
  </si>
  <si>
    <t>Pago de viáticos, honorarios o gastos de desplazamiento sin justificación o por encima de los valores establecidos normativamente </t>
  </si>
  <si>
    <t>4 </t>
  </si>
  <si>
    <t>Liquidación de impuestos </t>
  </si>
  <si>
    <t>Mayor valor pagado por concepto de impuestos </t>
  </si>
  <si>
    <t>5 </t>
  </si>
  <si>
    <t>Operaciones, actas o actos en los que se reconocen saldos a favor de la entidad  </t>
  </si>
  <si>
    <t>Saldos o recursos a favor no cobrados </t>
  </si>
  <si>
    <t>6 </t>
  </si>
  <si>
    <t>Custodiar de los bienes muebles de la entidad </t>
  </si>
  <si>
    <t>Pérdida, extravío, hurto, robo o declaratoria de bienes faltantes pertenecientes a la Entidad </t>
  </si>
  <si>
    <t>7 </t>
  </si>
  <si>
    <t>Avalúos a bienes inmuebles de la entidad  </t>
  </si>
  <si>
    <t>Error en los avalúos, afectando el valor de venta y/o negociación de un bien público </t>
  </si>
  <si>
    <t>8 </t>
  </si>
  <si>
    <t>Daño en bienes muebles de propiedad de la entidad </t>
  </si>
  <si>
    <t>9 </t>
  </si>
  <si>
    <t>Suscripción de contratos cuyo objeto es o incluye la representación judicial o extrajudicial de la entidad   </t>
  </si>
  <si>
    <t>Valor pagado por concepto de honorarios de apoderado cuando ocurre vencimiento de términos en los procesos judiciales o cualquier otra omisión del apoderado </t>
  </si>
  <si>
    <t>10 </t>
  </si>
  <si>
    <t>Pago de sentencias y conciliaciones  </t>
  </si>
  <si>
    <t>Intereses moratorios por pago tardío de sentencias y conciliaciones </t>
  </si>
  <si>
    <t>11 </t>
  </si>
  <si>
    <t>Instrucción del Comité de Conciliación para iniciar acción de repetición  </t>
  </si>
  <si>
    <t>Caducidad de la acción de repetición o falencias en el ejercicio de esta acción, generando la imposibilidad de recuperar los recursos pagados por el Estado </t>
  </si>
  <si>
    <t>12 </t>
  </si>
  <si>
    <t>Informe que acredite o anuncie la existencia de perjuicios generados a la entidad  </t>
  </si>
  <si>
    <t>Omisión en la obligación de impulsar acción judicial para cobrar clausula penal u otros perjuicios  </t>
  </si>
  <si>
    <t>13 </t>
  </si>
  <si>
    <t>Contratación de bienes o servicios  </t>
  </si>
  <si>
    <t>Contratación de bienes y servicios no relacionados con las funciones de la Entidad y que no generan utilidad  </t>
  </si>
  <si>
    <t>14 </t>
  </si>
  <si>
    <t>Contratación de bienes  </t>
  </si>
  <si>
    <t>Compra o inversión en bienes innecesarios o suntuosos </t>
  </si>
  <si>
    <t>15 </t>
  </si>
  <si>
    <t>Contratación de estudios y diseños  </t>
  </si>
  <si>
    <t>Estudios y diseños recibidos y pagados y que no cumplen condiciones de calidad </t>
  </si>
  <si>
    <t>16 </t>
  </si>
  <si>
    <t>Suscripción de contratos de estudios y diseños </t>
  </si>
  <si>
    <t>Estudios y diseños con amparo de calidad vencido al momento de contratar la obra y/o al momento de la ocurrencia </t>
  </si>
  <si>
    <t>17 </t>
  </si>
  <si>
    <t>Suscripción de contratos </t>
  </si>
  <si>
    <t>Sobrecostos en precios contractuales  </t>
  </si>
  <si>
    <t>18 </t>
  </si>
  <si>
    <t>Pagos efectuados a causa de riesgos previsibles que debieron ser asignados al contratista en la matriz de riesgos previsibles y no se le asignaron     </t>
  </si>
  <si>
    <t>19 </t>
  </si>
  <si>
    <t>No incluir en el contrato de seguros -amparo de bienes de la entidad- todos los bienes muebles e inmuebles de la entidad  </t>
  </si>
  <si>
    <t>20 </t>
  </si>
  <si>
    <t>No exigir garantía única de cumplimiento contractual  </t>
  </si>
  <si>
    <t>21 </t>
  </si>
  <si>
    <t>Suscripción de contratos respecto de los cuales la ley establece un cubrimiento mínimo en los amparos de la garantía única de cumplimiento  </t>
  </si>
  <si>
    <t>Exigir garantía única de cumplimiento contractual con un cubrimiento inferior al exigido por la ley  </t>
  </si>
  <si>
    <t>22 </t>
  </si>
  <si>
    <t>Pagos efectuados a contratistas  </t>
  </si>
  <si>
    <t>Pagar bienes, servicios u obras a pesar de no cumplir las condiciones de calidad.  </t>
  </si>
  <si>
    <t>23 </t>
  </si>
  <si>
    <t>Constancias de recibo a satisfacción de bienes, servicios u obras, firmadas por supervisor o interventor  </t>
  </si>
  <si>
    <t>Bienes, servicios u obras inconclusos, infuncionales y/o que no brindan utilidad o beneficio </t>
  </si>
  <si>
    <t>24 </t>
  </si>
  <si>
    <t> Modificaciones contractuales firmadas  </t>
  </si>
  <si>
    <t>Modificaciones contractuales cuyas causas son imputables al contratista total o parcialmente y cuyos costos colaterales asume la Entidad contratante </t>
  </si>
  <si>
    <t>25 </t>
  </si>
  <si>
    <t>Giros efectuados por concepto de anticipo contractual  </t>
  </si>
  <si>
    <t>Mal manejo o fallas en la legalización de anticipos, no amortización del anticipo </t>
  </si>
  <si>
    <t>26 </t>
  </si>
  <si>
    <t>Giros efectuados por concepto de anticipo contractual </t>
  </si>
  <si>
    <t>Rendimientos financieros de recursos de anticipo o de cualquier recurso público no devueltos al tesoro público </t>
  </si>
  <si>
    <t>27 </t>
  </si>
  <si>
    <t>Reconocimiento y pago de desequilibrio contractual </t>
  </si>
  <si>
    <t>Reconocimiento y pago de desequilibrio contractual por causa imputable a la Entidad </t>
  </si>
  <si>
    <t>28 </t>
  </si>
  <si>
    <t>Firma de actas contractuales de recibo parcial o final  </t>
  </si>
  <si>
    <t>Errores o imprecisiones en las actas de recibo parcial o final </t>
  </si>
  <si>
    <t>29 </t>
  </si>
  <si>
    <t>Firma de adiciones de ítems, actividades o productos no previstos (contratos adicionales) </t>
  </si>
  <si>
    <t>Adición de ítem, actividad o producto no previsto sin estudio de mercado y/o con sobrecosto </t>
  </si>
  <si>
    <t>30 </t>
  </si>
  <si>
    <t>Firma de adiciones de ítems, actividades o productos inicialmente previstos (adiciones) </t>
  </si>
  <si>
    <t>Mayores cantidades reconocidas y pagadas con valores unitarios superiores al pactado en el contrato </t>
  </si>
  <si>
    <t>31 </t>
  </si>
  <si>
    <t>Actos administrativos sancionatorios contractuales emitidos y ejecutoriados  </t>
  </si>
  <si>
    <t>Cuantificación errada de multa o clausula penal  </t>
  </si>
  <si>
    <t>32 </t>
  </si>
  <si>
    <t>Obras recibidas a satisfacción  </t>
  </si>
  <si>
    <t>Colapso o fallas en la estabilidad de la obra </t>
  </si>
  <si>
    <t>33 </t>
  </si>
  <si>
    <t>Pagos finales efectuados a contratistas </t>
  </si>
  <si>
    <t>Ejecución de un alcance inferior al contratado y pago total del contrato </t>
  </si>
  <si>
    <t>34 </t>
  </si>
  <si>
    <t>Actas de recibo final a satisfacción firmadas  </t>
  </si>
  <si>
    <t>Infuncionalidad de lo ejecutado </t>
  </si>
  <si>
    <t>35 </t>
  </si>
  <si>
    <t>Contratos finalizados  </t>
  </si>
  <si>
    <t>Bienes, servicios u obras inconclusas y/o que no brindan utilidad o beneficio </t>
  </si>
  <si>
    <t>36 </t>
  </si>
  <si>
    <t>Inadecuada deducción de impuestos, tasas o contribuciones al contratista  </t>
  </si>
  <si>
    <t>37 </t>
  </si>
  <si>
    <t>Pagos por concepto de comisión a éxito  </t>
  </si>
  <si>
    <t>Pago de comisiones a éxito sin debida justificación </t>
  </si>
  <si>
    <t>38 </t>
  </si>
  <si>
    <t>Actas de liquidación suscritas  </t>
  </si>
  <si>
    <t>Suscripción de acta de liquidación con imprecisiones de fondo </t>
  </si>
  <si>
    <t>39 </t>
  </si>
  <si>
    <t>Actas de liquidación suscritas </t>
  </si>
  <si>
    <t>Suscripción de acta de liquidación sin relacionar las sanciones impuestas al contratistas  </t>
  </si>
  <si>
    <t>40 </t>
  </si>
  <si>
    <t>Contratos finalizados en los que se contemplaba o requería liquidación. </t>
  </si>
  <si>
    <t>Pérdida de competencia para liquidar por vencimiento del plazo legal, con saldos a favor de la Entidad </t>
  </si>
  <si>
    <t>41 </t>
  </si>
  <si>
    <t>Liquidación de mutuo acuerdo con recibo a satisfacción, habiendo imprecisiones o falsedades </t>
  </si>
  <si>
    <t>42 </t>
  </si>
  <si>
    <t>Bienes u obras recibidas a satisfacción  </t>
  </si>
  <si>
    <t>Deterioro del bien u obra por indebido mantenimiento </t>
  </si>
  <si>
    <t>43 </t>
  </si>
  <si>
    <t>Actas de recibo final a satisfacción firmadas </t>
  </si>
  <si>
    <t>Suscripción de acta de recibo final  con imprecisiones de fondo </t>
  </si>
  <si>
    <t>Reintegro de saldos a favor de la entidad o pagos por parte de deudores  </t>
  </si>
  <si>
    <t>Reintegro de saldos a favor de la entidad sin indexación (reintegro sin actualización del dinero en el tiempo) </t>
  </si>
  <si>
    <t>44 </t>
  </si>
  <si>
    <t>Predios adquiridos  </t>
  </si>
  <si>
    <t>Adquisición de predios sin las especificaciones técnicas requeridas </t>
  </si>
  <si>
    <t>45 </t>
  </si>
  <si>
    <t>Pérdida de tenencia de bienes de la entidad  </t>
  </si>
  <si>
    <t>Pérdida de la tenencia de bienes inmuebles de la Entidad </t>
  </si>
  <si>
    <t>46 </t>
  </si>
  <si>
    <t>Pago de subsidios, transferencias o beneficios a particulares  </t>
  </si>
  <si>
    <t>Bases de datos con falencias de información que genera pagos de subsidios u otros beneficios sin el cumplimiento de requisitos y condiciones </t>
  </si>
  <si>
    <t>47 </t>
  </si>
  <si>
    <t>Pago de subsidios, transferencias o beneficios a particulares </t>
  </si>
  <si>
    <t>Pago de subsidio u otros beneficios a personas fallecidas </t>
  </si>
  <si>
    <t>48 </t>
  </si>
  <si>
    <t>Pago de subsidios u otros beneficios a personas que no tienen derecho a los mismos a la luz de requisitos de ley </t>
  </si>
  <si>
    <t>49 </t>
  </si>
  <si>
    <t>Pago de subsidios por encima del beneficio otorgado </t>
  </si>
  <si>
    <t>50 </t>
  </si>
  <si>
    <t>Deudas a favor de la entidad  </t>
  </si>
  <si>
    <t>Vencimiento de plazos para la labor de cobro directo (persuasivo o coactivo) o judicial  </t>
  </si>
  <si>
    <t>Formulación del plan de contingencia</t>
  </si>
  <si>
    <t>SEGUIMIENTOS</t>
  </si>
  <si>
    <t>ID</t>
  </si>
  <si>
    <t>Catálogo indicativo y enunciativo para riesgos fiscales</t>
  </si>
  <si>
    <r>
      <rPr>
        <b/>
        <sz val="11"/>
        <color rgb="FF000000"/>
        <rFont val="Arial Narrow"/>
        <family val="2"/>
      </rPr>
      <t xml:space="preserve">Impacto  
¿Qué?:
</t>
    </r>
    <r>
      <rPr>
        <sz val="11"/>
        <color rgb="FF000000"/>
        <rFont val="Arial Narrow"/>
        <family val="2"/>
      </rPr>
      <t>Las consecuencias que puede ocasionar al INM materialización del riesgo.</t>
    </r>
    <r>
      <rPr>
        <b/>
        <sz val="11"/>
        <color rgb="FF000000"/>
        <rFont val="Arial Narrow"/>
        <family val="2"/>
      </rPr>
      <t xml:space="preserve"> </t>
    </r>
  </si>
  <si>
    <r>
      <t xml:space="preserve">Causa inmediata ¿Cómo?:
</t>
    </r>
    <r>
      <rPr>
        <sz val="11"/>
        <color theme="1"/>
        <rFont val="Arial Narrow"/>
        <family val="2"/>
      </rPr>
      <t>Circunstancias bajo las cuales se presenta el riesgo, pero no
constituyen la causa principal o base para que se presente el riesgo.</t>
    </r>
  </si>
  <si>
    <r>
      <t xml:space="preserve">Causa raíz ¿Por qué?: 
</t>
    </r>
    <r>
      <rPr>
        <sz val="11"/>
        <color theme="1"/>
        <rFont val="Arial Narrow"/>
        <family val="2"/>
      </rPr>
      <t xml:space="preserve">Causa principal o básica,
corresponde a las razones por la cual se puede presentar el riesgo
</t>
    </r>
  </si>
  <si>
    <r>
      <t xml:space="preserve">Descripción del Riesgo. </t>
    </r>
    <r>
      <rPr>
        <sz val="11"/>
        <color theme="1"/>
        <rFont val="Arial Narrow"/>
        <family val="2"/>
      </rPr>
      <t>Efecto dañoso que se causa sobre los objetivos del INM, debido a eventos potenciales.</t>
    </r>
  </si>
  <si>
    <t>Descrpción de la acción</t>
  </si>
  <si>
    <t xml:space="preserve">Acciones que se formulan a seguir, para el evento en que se materialice el riesgo, en tanto se reestablece su estado natural el desarrollo de la actividad </t>
  </si>
  <si>
    <r>
      <t xml:space="preserve">Puntos de riesgo fiscal </t>
    </r>
    <r>
      <rPr>
        <sz val="12"/>
        <rFont val="Arial"/>
        <family val="2"/>
      </rPr>
      <t>Registre el(os) número (s) del Cátalogo de puntos riesgo fiscal</t>
    </r>
  </si>
  <si>
    <r>
      <t>Circunstancia inmediata</t>
    </r>
    <r>
      <rPr>
        <sz val="12"/>
        <rFont val="Arial"/>
        <family val="2"/>
      </rPr>
      <t xml:space="preserve">  Registre el (os) número (s) del Cátalogo de puntos riesgo fiscal</t>
    </r>
  </si>
  <si>
    <t>Enlace a la evidencia de ejecución del control en la carpeta del sharepoint</t>
  </si>
  <si>
    <t>A01-RF1</t>
  </si>
  <si>
    <t>1,2,3,4,5,9,10,25,26,36,43</t>
  </si>
  <si>
    <t xml:space="preserve">Por el requerimiento de oficios de justificación con relación a los soportes de pagos o liquidaciones realizadas por parte  cualquiera de los entes de control, fiscalización, proveedores o contratistas. </t>
  </si>
  <si>
    <t xml:space="preserve">Hacer omisión a la normatividad vigente para los plazos, descuentos o pagos tributarios que se deban realizar por parte del instituto. </t>
  </si>
  <si>
    <t xml:space="preserve">Posibilidad de efecto dañoso sobre los recursos del INM en el  desarrollo de las actividades del proceso de gestión financiera, sin el cumplimiento de los requisitos y no ejecutar los controles establecidos en la normatividad vigente por parte del grupo de gestión financiera. </t>
  </si>
  <si>
    <t>Ejecución y administración de procesos</t>
  </si>
  <si>
    <t>Fiscal</t>
  </si>
  <si>
    <r>
      <rPr>
        <b/>
        <sz val="10"/>
        <color rgb="FF000000"/>
        <rFont val="Arial Narrow"/>
        <family val="2"/>
      </rPr>
      <t>Control 1</t>
    </r>
    <r>
      <rPr>
        <sz val="10"/>
        <color rgb="FF000000"/>
        <rFont val="Arial Narrow"/>
        <family val="2"/>
      </rPr>
      <t xml:space="preserve">: Revisar en SECOP o los documentos asociados a la solicitud de pago contra la matriz base de obligaciones contables. 
</t>
    </r>
    <r>
      <rPr>
        <b/>
        <sz val="10"/>
        <color rgb="FF000000"/>
        <rFont val="Arial Narrow"/>
        <family val="2"/>
      </rPr>
      <t>Responsable:</t>
    </r>
    <r>
      <rPr>
        <sz val="10"/>
        <color rgb="FF000000"/>
        <rFont val="Arial Narrow"/>
        <family val="2"/>
      </rPr>
      <t xml:space="preserve"> Profesional universitario 1 con funciones de contabilidad.
</t>
    </r>
    <r>
      <rPr>
        <b/>
        <sz val="10"/>
        <color rgb="FF000000"/>
        <rFont val="Arial Narrow"/>
        <family val="2"/>
      </rPr>
      <t>Periodicidad:</t>
    </r>
    <r>
      <rPr>
        <sz val="10"/>
        <color rgb="FF000000"/>
        <rFont val="Arial Narrow"/>
        <family val="2"/>
      </rPr>
      <t xml:space="preserve"> Cada vez que se radique el pago.
</t>
    </r>
    <r>
      <rPr>
        <b/>
        <sz val="10"/>
        <color rgb="FF000000"/>
        <rFont val="Arial Narrow"/>
        <family val="2"/>
      </rPr>
      <t>Propósito</t>
    </r>
    <r>
      <rPr>
        <sz val="10"/>
        <color rgb="FF000000"/>
        <rFont val="Arial Narrow"/>
        <family val="2"/>
      </rPr>
      <t xml:space="preserve">: Validar que la radicación cuente con todos los documentos y requisitos que se necesitan para la gestión del pago. 
</t>
    </r>
    <r>
      <rPr>
        <b/>
        <sz val="10"/>
        <color rgb="FF000000"/>
        <rFont val="Arial Narrow"/>
        <family val="2"/>
      </rPr>
      <t>¿Cómo se realiza el control?</t>
    </r>
    <r>
      <rPr>
        <sz val="10"/>
        <color rgb="FF000000"/>
        <rFont val="Arial Narrow"/>
        <family val="2"/>
      </rPr>
      <t xml:space="preserve">: Diligenciar la base de datos de obligaciones. 
</t>
    </r>
    <r>
      <rPr>
        <b/>
        <sz val="10"/>
        <color rgb="FF000000"/>
        <rFont val="Arial Narrow"/>
        <family val="2"/>
      </rPr>
      <t>Qué pasa con las observaciones o desviaciones:</t>
    </r>
    <r>
      <rPr>
        <sz val="10"/>
        <color rgb="FF000000"/>
        <rFont val="Arial Narrow"/>
        <family val="2"/>
      </rPr>
      <t xml:space="preserve"> En caso de encontrar inconsistencias en la revisión de los documentos, se devuelve por correo electrónico con las observaciones respectivas para los ajustes correspondientes. 
</t>
    </r>
    <r>
      <rPr>
        <b/>
        <sz val="10"/>
        <color rgb="FF000000"/>
        <rFont val="Arial Narrow"/>
        <family val="2"/>
      </rPr>
      <t>Evidencias o soportes de la ejecución</t>
    </r>
    <r>
      <rPr>
        <sz val="10"/>
        <color rgb="FF000000"/>
        <rFont val="Arial Narrow"/>
        <family val="2"/>
      </rPr>
      <t xml:space="preserve">: Formato Base de datos de obligaciones y correos electrónicos. 
</t>
    </r>
    <r>
      <rPr>
        <b/>
        <sz val="10"/>
        <color rgb="FF000000"/>
        <rFont val="Arial Narrow"/>
        <family val="2"/>
      </rPr>
      <t>Documentado</t>
    </r>
    <r>
      <rPr>
        <sz val="10"/>
        <color rgb="FF000000"/>
        <rFont val="Arial Narrow"/>
        <family val="2"/>
      </rPr>
      <t>: Procedimiento A-01-P-009 Pagos</t>
    </r>
  </si>
  <si>
    <t xml:space="preserve">Actualizar el procedimiento A-01-P-009 	PAGOS haciendo la inclusión del formato base de obligaciones y la descripción respectiva a la ejecución del control 1.  </t>
  </si>
  <si>
    <t xml:space="preserve">Profesional especializado 15 con funciones de tesorería y Profesional especializado 18 con funciones de contador. </t>
  </si>
  <si>
    <t xml:space="preserve">Ingresos de Servicios Metrológicos registrados oportunamente dentro del mes respectivo para la gestión eficiente, oportuna, transparente y permanente de los recursos financieros del INM fortaleciendo la capacidad administrativa y desempeño institucional. </t>
  </si>
  <si>
    <t>Patricia Andrea Ayala Beltran
Stephanie Fernanda Herrera Niño 
Jeimi Medina Walteros</t>
  </si>
  <si>
    <t>Durante el primer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Por otra parte, en los casos donde se encontraron inconsistencias se devolvieron las solicitudes de pago informando por correo electrónico e incluyendo las observaciones para los ajustes correspondientes. Adicionalmente, se realizó una socialización el 20 de Marzo 2025, la cual tuvo como fin retroalimentar al personal.
Finalmente se informa que este riesgo no se materializó.</t>
  </si>
  <si>
    <t>https://metrologiainm-my.sharepoint.com/shared?id=%2Fsites%2FOAP%2FDocumentos%20compartidos%2FSIG%2FGesti%C3%B3n%20del%20riesgo%2F2025%2F4%2E%20Seguimientos%20trimestrales%20%28evidencias%20ejecuci%C3%B3n%20de%20controles%29%2FEvidencias%20riesgos%20fiscales%2FGesti%C3%B3n%20financiera%2FA01%2DRF1&amp;listurl=https%3A%2F%2Fmetrologiainm%2Esharepoint%2Ecom%2Fsites%2FOAP%2FDocumentos%20compartidos&amp;login_hint=lkpetro%40inm%2Egov%2Eco&amp;source=waffle</t>
  </si>
  <si>
    <t xml:space="preserve">¿Se identificó algún hallazgo por auditoría interna y/o auditoría externa?
¿Se identificó algún trabajo (salida) no conforme?
¿Hubo alguna PQRSD?
¿Hubo algún resultado en nivel aceptable o crítico en la medición de los indicadores de gestión de los procesos?
¿Se tiene evidencia del control ejecutado para los riesgos de nivel: alto o catastrófico?
¿Se presentó algún resultado desfavorable distinto a los mencionados anteriormente por lo cual se genere la materialización del riesgo dado este control implementado?
¿Se identificó algún hallazgo para su proceso desde la auditoría de control interno?
¿Se identificó algún hallazgo con presunta incidencia fiscal identificados por el ente de control fiscal? 
¿Se presentó algún fallo con responsabilidad fiscal en firme relacionados con hechos de la entidad?  </t>
  </si>
  <si>
    <t>Stephanie Fernanda Herrera Niño 
Jeimi Medina Walteros</t>
  </si>
  <si>
    <t>Durante el segundo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Adicionalmente, en los casos donde se encontraron inconsistencias se devolvieron las solicitudes de pago informando por correo electrónico e incluyendo las observaciones para los ajustes correspondientes.
Por otra parte, en abril de 2025 se identificó que en diciembre de 2024 se dio trámite al pago #3 del la CAO 005-2024 sin haberse tramitado el pago #2, situación que genera la disposición de recursos no planeados en el presupuesto de la vigencia actual para el reconocimiento de este pago, situación que materializó este riesgo.</t>
  </si>
  <si>
    <t>Materialización de Riesgos</t>
  </si>
  <si>
    <t>AC # 142</t>
  </si>
  <si>
    <t>https://metrologiainm.sharepoint.com/:f:/s/OAP/Eo_4rShqBYFBktw-KYRyEd4B-7LjYzFvqZMsnuyW4R1g8Q?e=L0Gxte</t>
  </si>
  <si>
    <t xml:space="preserve">Con relación a este riesgo materializado, se elevó la consulta al departamento adminsitrativo de la función pública - DAFP, para confirmar si se materializa o no este riesgo. Lo anterior, dado que hay dudas sobre que se debe gestionar de aqui en adelante si se materializa este riesgo fiscal y las posibles implicaciones que esto conlleva. 
En respuesta a la consulta por parte del INM, el DAFP propone revisar el tema de manera presencial en las instalaciones del INM. Para ello, se esta gestionando con ellos, la fecha tentativa de la visita. </t>
  </si>
  <si>
    <t>Adriana Hurtado
Jeimi Medina Walteros</t>
  </si>
  <si>
    <t>Durante el tercer trimestre se lleva a cabo la revisión de requisitos de todos los documentos asociados a la solicitud de cada uno de los pagos contra la matriz base de obligaciones contables, quedando como evidencia de ello el registro en el formato A-01-F-009 Control, recepción y pago de obligaciones presupuestales. Adicionalmente, en los casos donde se encontraron inconsistencias se devolvieron las solicitudes de pago con copia a financiera@inm.gov.co informando por correo electrónico e incluyendo las observaciones para los ajustes correspondientes.</t>
  </si>
  <si>
    <t>Luego de revisar la información registrada por el proceso para el tercer trimestre, no se identifican novedades ni comentarios adicionales.
Con relación al riesgo materializado en el segundo trimestre, se ha conversado con el proceso de gestión financiera y se ha venido trabajando en la actualización del procedimiento de pagos.</t>
  </si>
  <si>
    <t>Diligenciamiento obligatorio</t>
  </si>
  <si>
    <r>
      <rPr>
        <b/>
        <sz val="10"/>
        <color rgb="FF000000"/>
        <rFont val="Arial Narrow"/>
        <family val="2"/>
      </rPr>
      <t>Control 2</t>
    </r>
    <r>
      <rPr>
        <sz val="10"/>
        <color rgb="FF000000"/>
        <rFont val="Arial Narrow"/>
        <family val="2"/>
      </rPr>
      <t xml:space="preserve">: Revisar los documentos asociados al pago contra la obligación presupuestal. 
</t>
    </r>
    <r>
      <rPr>
        <b/>
        <sz val="10"/>
        <color rgb="FF000000"/>
        <rFont val="Arial Narrow"/>
        <family val="2"/>
      </rPr>
      <t>Responsable</t>
    </r>
    <r>
      <rPr>
        <sz val="10"/>
        <color rgb="FF000000"/>
        <rFont val="Arial Narrow"/>
        <family val="2"/>
      </rPr>
      <t xml:space="preserve">: Profesional especializado 15 con funciones de tesorería.
</t>
    </r>
    <r>
      <rPr>
        <b/>
        <sz val="10"/>
        <color rgb="FF000000"/>
        <rFont val="Arial Narrow"/>
        <family val="2"/>
      </rPr>
      <t>Periodicidad</t>
    </r>
    <r>
      <rPr>
        <sz val="10"/>
        <color rgb="FF000000"/>
        <rFont val="Arial Narrow"/>
        <family val="2"/>
      </rPr>
      <t xml:space="preserve">: Cada vez que se radique el pago.
</t>
    </r>
    <r>
      <rPr>
        <b/>
        <sz val="10"/>
        <color rgb="FF000000"/>
        <rFont val="Arial Narrow"/>
        <family val="2"/>
      </rPr>
      <t>Propósito</t>
    </r>
    <r>
      <rPr>
        <sz val="10"/>
        <color rgb="FF000000"/>
        <rFont val="Arial Narrow"/>
        <family val="2"/>
      </rPr>
      <t xml:space="preserve">: Validar que la obligación presupuestal y los documentos cuenten con todos los requisitos que se necesitan para la gestión del pago. 
</t>
    </r>
    <r>
      <rPr>
        <b/>
        <sz val="10"/>
        <color rgb="FF000000"/>
        <rFont val="Arial Narrow"/>
        <family val="2"/>
      </rPr>
      <t>¿Cómo se realiza el control?:</t>
    </r>
    <r>
      <rPr>
        <sz val="10"/>
        <color rgb="FF000000"/>
        <rFont val="Arial Narrow"/>
        <family val="2"/>
      </rPr>
      <t xml:space="preserve"> Aprobar la orden pago presupuestal a través de SIIF.  
</t>
    </r>
    <r>
      <rPr>
        <b/>
        <sz val="10"/>
        <color rgb="FF000000"/>
        <rFont val="Arial Narrow"/>
        <family val="2"/>
      </rPr>
      <t xml:space="preserve">Qué pasa con las observaciones o desviaciones: </t>
    </r>
    <r>
      <rPr>
        <sz val="10"/>
        <color rgb="FF000000"/>
        <rFont val="Arial Narrow"/>
        <family val="2"/>
      </rPr>
      <t xml:space="preserve">En caso de encontrar inconsistencias en la revisión de los documentos, se devuelve por correo electrónico con las observaciones respectivas para los ajustes correspondientes. 
</t>
    </r>
    <r>
      <rPr>
        <b/>
        <sz val="10"/>
        <color rgb="FF000000"/>
        <rFont val="Arial Narrow"/>
        <family val="2"/>
      </rPr>
      <t>Evidencias o soportes de la ejecución</t>
    </r>
    <r>
      <rPr>
        <sz val="10"/>
        <color rgb="FF000000"/>
        <rFont val="Arial Narrow"/>
        <family val="2"/>
      </rPr>
      <t xml:space="preserve">: Listado de ordenes de pago en estado aprobado o pagado en SIIF. 
</t>
    </r>
    <r>
      <rPr>
        <b/>
        <sz val="10"/>
        <color rgb="FF000000"/>
        <rFont val="Arial Narrow"/>
        <family val="2"/>
      </rPr>
      <t>Documentado</t>
    </r>
    <r>
      <rPr>
        <sz val="10"/>
        <color rgb="FF000000"/>
        <rFont val="Arial Narrow"/>
        <family val="2"/>
      </rPr>
      <t>: Procedimiento A-01-P-009 Pagos</t>
    </r>
  </si>
  <si>
    <t xml:space="preserve">Actualizar el procedimiento A-01-P-009 	PAGOS con la descripción respectiva a la ejecución del control 2.  </t>
  </si>
  <si>
    <t xml:space="preserve">Durante el primer trimestre se lleva a cabo la revisión de los documentos asociados al pago contra la obligación presupuestal quedando como evidencia el Listado de ordenes de pago en estado pagado en SIIF. En los casos donde se encontraton inconsistencias se devolvieron por correo electrónico con las observaciones respectivas para los ajustes correspondientes. 
</t>
  </si>
  <si>
    <t xml:space="preserve">Durante el segundo trimestre se lleva a cabo la revisión de los documentos asociados al pago contra la obligación presupuestal quedando como evidencia el Listado de ordenes de pago en estado pagado en SIIF. En los casos donde se encontraton inconsistencias se devolvieron por correo electrónico con las observaciones respectivas para los ajustes correspondientes. </t>
  </si>
  <si>
    <t>Maricela Rojas Marín 
Jeimi Medina Walteros</t>
  </si>
  <si>
    <t xml:space="preserve">Durante el tercer trimestre se lleva a cabo la revisión de los documentos asociados al pago contra la obligación presupuestal quedando como evidencia el Listado de ordenes de pago en estado pagado en SIIF. En los casos donde se encontraton inconsistencias se devolvieron por correo electrónico con las observaciones respectivas para los ajustes correspondientes. </t>
  </si>
  <si>
    <t>https://metrologiainm.sharepoint.com/:f:/s/OAP/EjgnhzabT6FDloXNUnvV2_UB_vE4YB1Z_I2Q5FxoTJiHHg?e=dZnWer</t>
  </si>
  <si>
    <r>
      <rPr>
        <b/>
        <sz val="10"/>
        <color rgb="FF000000"/>
        <rFont val="Arial Narrow"/>
        <family val="2"/>
      </rPr>
      <t>Control 3</t>
    </r>
    <r>
      <rPr>
        <sz val="10"/>
        <color rgb="FF000000"/>
        <rFont val="Arial Narrow"/>
        <family val="2"/>
      </rPr>
      <t xml:space="preserve">: Revisar el Formato de solicitud de Certificado de Disponibilidad Presupuestal.
</t>
    </r>
    <r>
      <rPr>
        <b/>
        <sz val="10"/>
        <color rgb="FF000000"/>
        <rFont val="Arial Narrow"/>
        <family val="2"/>
      </rPr>
      <t>Responsable</t>
    </r>
    <r>
      <rPr>
        <sz val="10"/>
        <color rgb="FF000000"/>
        <rFont val="Arial Narrow"/>
        <family val="2"/>
      </rPr>
      <t xml:space="preserve">: Profesional especializado 16 con funciones de Presupuesto.
</t>
    </r>
    <r>
      <rPr>
        <b/>
        <sz val="10"/>
        <color rgb="FF000000"/>
        <rFont val="Arial Narrow"/>
        <family val="2"/>
      </rPr>
      <t>Periodicidad:</t>
    </r>
    <r>
      <rPr>
        <sz val="10"/>
        <color rgb="FF000000"/>
        <rFont val="Arial Narrow"/>
        <family val="2"/>
      </rPr>
      <t xml:space="preserve"> Cada vez se allegue una solicitud de CDP.
</t>
    </r>
    <r>
      <rPr>
        <b/>
        <sz val="10"/>
        <color rgb="FF000000"/>
        <rFont val="Arial Narrow"/>
        <family val="2"/>
      </rPr>
      <t>Propósito</t>
    </r>
    <r>
      <rPr>
        <sz val="10"/>
        <color rgb="FF000000"/>
        <rFont val="Arial Narrow"/>
        <family val="2"/>
      </rPr>
      <t xml:space="preserve">: Prevenir errores en el diligenciamiento de la solicitud y garantizar la pertinencia en la ejecución de los recursos.
</t>
    </r>
    <r>
      <rPr>
        <b/>
        <sz val="10"/>
        <color rgb="FF000000"/>
        <rFont val="Arial Narrow"/>
        <family val="2"/>
      </rPr>
      <t>¿Cómo se realiza el control?</t>
    </r>
    <r>
      <rPr>
        <sz val="10"/>
        <color rgb="FF000000"/>
        <rFont val="Arial Narrow"/>
        <family val="2"/>
      </rPr>
      <t xml:space="preserve">: Verificar que el formato de solicitud este diligenciado en su totalidad
</t>
    </r>
    <r>
      <rPr>
        <b/>
        <sz val="10"/>
        <color rgb="FF000000"/>
        <rFont val="Arial Narrow"/>
        <family val="2"/>
      </rPr>
      <t>Qué pasa con las observaciones o desviaciones</t>
    </r>
    <r>
      <rPr>
        <sz val="10"/>
        <color rgb="FF000000"/>
        <rFont val="Arial Narrow"/>
        <family val="2"/>
      </rPr>
      <t xml:space="preserve">: En caso de encontrar inconsistencias en la revisión del CDP, se devuelve al área que radicó la solicitud mediante correo electrónico, para que corrija la información.
</t>
    </r>
    <r>
      <rPr>
        <b/>
        <sz val="10"/>
        <color rgb="FF000000"/>
        <rFont val="Arial Narrow"/>
        <family val="2"/>
      </rPr>
      <t>Evidencias o soportes de la ejecución</t>
    </r>
    <r>
      <rPr>
        <sz val="10"/>
        <color rgb="FF000000"/>
        <rFont val="Arial Narrow"/>
        <family val="2"/>
      </rPr>
      <t xml:space="preserve">: A-01-F-001 Solicitud de Certificado de Disponibilidad Presupuestal.
Correo electrónico de aviso de devolución del documento de solicitud.
</t>
    </r>
    <r>
      <rPr>
        <b/>
        <sz val="10"/>
        <color rgb="FF000000"/>
        <rFont val="Arial Narrow"/>
        <family val="2"/>
      </rPr>
      <t xml:space="preserve">Documentado: </t>
    </r>
    <r>
      <rPr>
        <sz val="10"/>
        <color rgb="FF000000"/>
        <rFont val="Arial Narrow"/>
        <family val="2"/>
      </rPr>
      <t xml:space="preserve">A-01-P-002 </t>
    </r>
    <r>
      <rPr>
        <b/>
        <sz val="10"/>
        <color rgb="FF000000"/>
        <rFont val="Arial Narrow"/>
        <family val="2"/>
      </rPr>
      <t xml:space="preserve"> </t>
    </r>
    <r>
      <rPr>
        <sz val="10"/>
        <color rgb="FF000000"/>
        <rFont val="Arial Narrow"/>
        <family val="2"/>
      </rPr>
      <t>EXPEDICIÓN DE CERTIFICADO DE DISPONIBLIDAD PRESUPUESTAL</t>
    </r>
  </si>
  <si>
    <t xml:space="preserve">Revisar y actualizar el procedimiento A-01-P-002 EXPEDICIÓN DE CERTIFICADO DE DISPONIBLIDAD PRESUPUESTAL. </t>
  </si>
  <si>
    <t xml:space="preserve">Profesional especializado 16 con funciones de presupuesto. </t>
  </si>
  <si>
    <t xml:space="preserve">Expedición de CDP dentro de las 24 horas posteriores a la solicitud recibida para la gestión eficiente, oportuna, transparente y permanente de los recursos financieros del INM fortaleciendo la capacidad administrativa y de desempeño institucional. </t>
  </si>
  <si>
    <t>Juan Alberto López Piranique
Jeimi Medina Walteros</t>
  </si>
  <si>
    <t>Durante el primer trimestre 2025 se solicitaron y expidieron 255 CDP, según lo establecido en el procedimiento A-01-P-002 Expedición de Certificados de Disponibilidad presupuestal, para lo cual las evidencias se encuentran en el correo electrónico del Secretario General, Profesional grado 16 con funciones de presupuesto y las TRD del proceso de Gestión financiera ruta: Y:\230 GGF\TRD 2024\230.45 CDP donde se encuentran todos los CDP expedidos y firmados. Se selecciona de manera aleatoria un proceso desde la solicitud hasta la expedición de CDP (6625 Correspondiente a Enero, 22425 correspondiente a febrero y 24125 Correspondiente a marzo ) y se adjuntan las respectivas evidencias en la carpeta de Seguimientos trimestrales compartida or la OAP, link: https://metrologiainm.sharepoint.com/:f:/s/OAP/Ek64vAYYUflEvKwZdx63NNoBWf5dMRgJlH3jHdtv6fwSpg?e=o2lpFO.
Finalmente, se informa que el riesgo no se materializó.</t>
  </si>
  <si>
    <t>Juan Alberto López P.
Jeimi Medina W.</t>
  </si>
  <si>
    <t>Durante el segundo trimestre 2025 se solicitaron y expidieron 59 CDP, los cuales fueron revisados y expedidos acorde a lo establecido en el procedimiento A-01-P-002 Expedición de certificados de disponibilidad presupuestal, de lo cual reposan las evidencias en los correos electrónicos institucionales a través de los cuales se gestiona el trámite y las TRD del proceso de Gestión Financiera, ruta: Y:\230 GGF\TRD 2024\230.45 CDP\2025.
Para el presente periodo de seguimiento, se seleccionaron de manera aleatoria un proceso desde la solicitud hasta la expedición de CDP (26225 correspondiente al mes de Abril, 27825 correspondiente al mes de Mayo y 28325 correspondiente al mes de Junio) y se adjuntan los respectivos soportes en la carpeta de evidencias de ejecución de los controles compartida por la OAP, Link de acceso: https://metrologiainm.sharepoint.com/:f:/s/OAP/Eo_4rShqBYFBktw-KYRyEd4B-7LjYzFvqZMsnuyW4R1g8Q?e=OcyG5B</t>
  </si>
  <si>
    <t>Durante el tercer trimestre 2025 se solicitaron y expidieron 90 CDP, los cuales fueron revisados y expedidos acorde a lo establecido en el procedimiento A-01-P-002 Expedición de certificados de disponibilidad presupuestal, de lo cual reposan las evidencias en los correos electrónicos institucionales a través de los cuales se gestiona el trámite y las TRD del proceso de Gestión Financiera, ruta: Y:\230 GGF\TRD 2024\230.45 CDP\2025.
Para el presente periodo de seguimiento, se seleccionaron de manera aleatoria un proceso desde la solicitud hasta la expedición de CDP ( 29225 correspondiente al mes de Julio, 30625 correspondiente al mes de Agosto y 32325 correspondiente al mes de Septiembre) y se adjuntan los respectivos soportes en la carpeta de evidencias de ejecución de los controles compartida por la OAP, Link de acceso: https://metrologiainm.sharepoint.com/:f:/s/OAP/EjRrBCZ7U3RFtQExmGCiEPQBmKoPg5vJWjFgDOQgXv832w?e=Jgc9aP</t>
  </si>
  <si>
    <t>https://metrologiainm.sharepoint.com/:f:/s/OAP/EjgnhzabT6FDloXNUnvV2_UB_vE4YB1Z_I2Q5FxoTJiHHg?e=gBRnWu</t>
  </si>
  <si>
    <t>Control 4: Revisar y aprobar el Formato de solicitud de Certificado de Disponibilidad Presupuestal.
Responsable: Secretario General
Periodicidad: Cada vez se allegue una solicitud de CDP.
Propósito: Prevenir errores en el diligenciamiento de la solicitud y garantizar la pertinencia en la ejecución de los recursos.
¿Cómo se realiza el control?: Validar que el formato de solicitud este diligenciado en su totalidad y cuente con el visto bueno por parte del profesional especializado 16 con funciones de Presupuesto
Qué pasa con las observaciones o desviaciones: En caso de encontrar inconsistencias en la revisión del CDP, se devuelve al área y al Profesional especializado 16 con funciones de Presupuesto, que radicó la solicitud mediante correo electrónico, para que corrija la información.
Evidencias o soportes de la ejecución: A-01-F-001 Solicitud de Certificado de Disponibilidad Presupuestal.
Correo electrónico de aviso de devolución del documento de solicitud.
Documentado: A-01-P-002  EXPEDICIÓN DE CERTIFICADO DE DISPONIBLIDAD PRESUPUESTAL</t>
  </si>
  <si>
    <t xml:space="preserve">Actualizar el procedimiento A-01-P-002 EXPEDICIÓN DE CERTIFICADO DE DISPONIBLIDAD PRESUPUESTAL con la actualización respectiva del control 4. </t>
  </si>
  <si>
    <t>Control 5: Revisar y aprobar el formato de la expedición de registros presupuestales aplicando los lineamientos establecidos en los procedimientos  A-01-P-003 EXPEDICIÓN DE REGISTROS PRESUPUESTALES
Responsable: Secretario General
Periodicidad: Cada vez se allegue los documentos para la asignación de registro presupuestal.
Propósito: Prevenir errores en la asignación del registro presupuestal a la contratación de bienes y servicios y en la ejecución de los recursos.
¿Cómo se realiza el control?: Validar el contenido de la información de los documentos de la solicitud corresponda con la información contenida en el certificado de disponibilidad presupuestal y demas información pertinente de los proveedores con la información registrada en SECOP. 
Qué pasa con las observaciones o desviaciones: En caso de encontrar inconsistencias en la revisión de los documentos, se devuelve al área solicitante para que se corrija la información.
Evidencias o soportes de la ejecución: Correo electrónico de aviso de devolución del documento de solicitud.
Documentado: A-01-P-003 EXPEDICIÓN DE REGISTROS PRESUPUESTALES</t>
  </si>
  <si>
    <t>Durante el primer trimestre del año 2025 se revisaron por parte del profesional especializado grado 16 con funciones de presuesto, 162 solicitudes de asignación de registro presupuestal y se generaron los respectivos RP por medio del SIIF NACION II. Una vez generados, se revisaron y enviaron para firma del Secretario General. Para lo cual las evidencias se encuentran en el correo electrónico del Secretario General, Profesional grado 16 con funciones de presupuesto y las TRD del proceso de Gestión financiera ruta: Y:\230 GGF\TRD 2024\230.240 RP\2025 donde se encuentran todos los RP expedidos y firmados. Se selecciona de manera aleatoria un proceso desde la solicitud hasta la expedición del RP ( 725 Correspondiente a Enero,  10925 correspondiente a febrero y 15725 Correspondiente a marzo ) y se adjuntan las respectivas evidencias en la carpeta de Seguimientos trimestrales compartida or la OAP, link: https://metrologiainm.sharepoint.com/:f:/s/OAP/Ek64vAYYUflEvKwZdx63NNoBWf5dMRgJlH3jHdtv6fwSpg?e=o2lpFO.
Finalmente, se informa que el riesgo no se materializó.</t>
  </si>
  <si>
    <t>Durante el segundo trimestre 2025 se revisaron por parte del profesional especializado grado 16 un total de 106 solicitudes de asignación de RP, los cuales se generaron en el SIIF Nación. Una vez generados se revisaron y aprobaron por el Secretario General acorde con lo establecido en el procedimiento A-01-P-003 Expedición de Registros Presupuestales, de lo cual reposan las evidencias en los correos electrónicos institucionales a través de los cuales se gestiona el trámite y las TRD del proceso de Gestión Financiera, ruta: Y:\230 GGF\TRD 2024\230.240 RP\2025
Para el presente periodo de seguimiento, se seleccionaron de manera aleatoria un proceso desde la solicitud hasta la expedición del RP (18825 correspondiente al mes de Abril,  23125 correspondiente al mes de Mayo y 25925 correspondiente al mes de Junio) y se adjuntan los respectivos soportes en la carpeta de evidencias de ejecución de los controles compartida por la OAP, Link de acceso: https://metrologiainm.sharepoint.com/:f:/s/OAP/Eo_4rShqBYFBktw-KYRyEd4B-7LjYzFvqZMsnuyW4R1g8Q?e=YPRrbm</t>
  </si>
  <si>
    <t>Durante el tercer trimestre 2025 se revisaron por parte del profesional especializado grado 16 un total de 146 solicitudes de asignación de RP, los cuales se generaron en el SIIF Nación. Una vez generados se revisaron y aprobaron por el Secretario General acorde con lo establecido en el procedimiento A-01-P-003 Expedición de Registros Presupuestales, de lo cual reposan las evidencias en los correos electrónicos institucionales a través de los cuales se gestiona el trámite y las TRD del proceso de Gestión Financiera, ruta: Y:\230 GGF\TRD 2024\230.240 RP\2025
Para el presente periodo de seguimiento, se seleccionaron de manera aleatoria un proceso desde la solicitud hasta la expedición del RP (28225 correspondiente al mes de Julio, 33125 correspondiente al mes de Agosto y 38125 correspondiente al mes de Septiembre) y se adjuntan los respectivos soportes en la carpeta de evidencias de ejecución de los controles compartida por la OAP, Link de acceso: https://metrologiainm.sharepoint.com/:f:/s/OAP/Eo_4rShqBYFBktw-KYRyEd4B-7LjYzFvqZMsnuyW4R1g8Q?e=YPRrbm</t>
  </si>
  <si>
    <t>Control 6: Aplicar los lineamientos establecidos en los procedimientos   A-01-P-006 CONSTITUCIÓN DEL REZAGO PRESUPUESTAL
Responsable: Secretario General - Ordenador del Gasto - Subdirectores, Jefes de Oficina, Supervisores de contratos y responsables de la ejecución de recursos de funcionamiento o recursos de inversión.
Periodicidad: Cada vez se allegue los documentos de autorización para marcar las reservas presupuestalesl.
Propósito: Prevenir errores en la constitución de las reservas presupuestales aprobadas por el ordenador del gasto al cierre de la vigencia.
¿Cómo se realiza el control?: Validar el contenido de la información de los documentos de autorización la constitución de los valores de la reserva presupuestal vs.  la información registrada en saldos de registros presupuestales por obligar en SIIF NACION II. En caso de encontrar inconsistencias en la revisión de los documentos, se devuelve al área solicitante para que se corrija la información.
Evidencias o soportes de la ejecución: Correos electrónicos e informe final de constitución de las reservas presupuestalesl de cierre de vigencia 
Documentado: A-01-P-006 CONSTITUCIÓN DEL REZAGO PRESUPUESTAL</t>
  </si>
  <si>
    <t>Al cierre del mes de enero de 2025 se registraron reservas presupuestales y reservas inducidas por un valor total de $2.313.839.438,93. Los soportes de las reservas presupuestales se encuentran archivados según TRD en la ruta: Y:\230 GGF\Documentos de Apoyo\1. Presupuesto\PRESUPUESTO AÑO 2024\RESERVAS PTALES CIERRE AÑO 2024</t>
  </si>
  <si>
    <t>Las reservas presupuestales autirizadas al cierre de la vigencia 2024 se constituyeron en el mes de Enero 2025 y a la fecha se encuentran en ejecución de acuerdo al recibido de los bienes y servicios contratados. Por lo anterior, para el presente periodo de seguimiento no aplica la constitución de reservas presupuestales.</t>
  </si>
  <si>
    <t>Las reservas presupuestales autorizadas al cierre de la vigencia 2024 se constituyeron en el mes de Enero 2025 y a la fecha se encuentran en ejecución de acuerdo al recibido de los bienes y servicios contratados. Por lo anterior, para el presente periodo de seguimiento no aplica la constitución de reservas presupuestales.</t>
  </si>
  <si>
    <t>No aplica dado que no se constituyeron reservas durante el tercer trimestre 2025</t>
  </si>
  <si>
    <t>A07-RF1</t>
  </si>
  <si>
    <t>13,14,17,18,20,21</t>
  </si>
  <si>
    <t>Reclamaciones de terceros
Auditorias de los entes de control</t>
  </si>
  <si>
    <t>Investigaciones de los entes de control</t>
  </si>
  <si>
    <t xml:space="preserve">Posibilidad de efecto dañoso sobre los recursos del INM debido a investigaciones de los entes de control, por no cumplir con los requisitos establecidos en la normatividad vigente para la etapa precontractual. </t>
  </si>
  <si>
    <t>Control 1: Elaborar y estructurar los estudios previos y los documentos jurídicos relacionados con la etapa precontractual. 
Responsable: Profesionales o contratistas de cada dependencia junto con los abogados estructuradores asignados a cada proceso de contratación. 
Periodicidad: Cada vez que se radique una solicitud de contrato.
Propósito: Validar por parte del abogado estructurador que la radicación cuente con todos los documentos y requisitos que se necesitan para la gestión adecuada de la etapa pre contractual. 
¿Cómo se realiza el control?: El abogado estructurador verifica la necesidad de la contratación y analizar el valor del contrato, el objeto de la contratación se encuentre acorde con el plan anual de adquisiciones, determinar la modalidad de contratación más adecuada conforme a la Ley. Una vez definida la modalidad, el abogado debe establecer las condiciones específicas del proceso de contratación, asegurando que se ajusten a los principios de transparencia, eficiencia y economía que rigen el marco normativo.
Qué pasa con las observaciones o desviaciones: En caso de que el abogado estructurador encuentre inconsistencias en la revisión en los documentos, envia por correo electrónico las observaciones para los ajustes correspondientes por parte de cada área responsable del proceso de contratación. 
Evidencias o soportes de la ejecución: Correos electrónicos y el registro del radicado en contratos. 
Documentado: Procedimiento A-07-P-001 ETAPA PRE-CONTRACTUAL.</t>
  </si>
  <si>
    <t xml:space="preserve">Acción: Actualizar el procedimiento A-07-P-001 ETAPA PRE-CONTRACTUAL, con el fin de incluir la descripción respectiva de la ejecución del control 1.  
</t>
  </si>
  <si>
    <t xml:space="preserve">Responsable: Profesional especializado 18. </t>
  </si>
  <si>
    <t xml:space="preserve">Procesos a contratar radicados dentro de los términos establecidos en el Plan Anual de Adquisiciones para garantizar la ejecución presupuestal, asignada anualmente al INM. </t>
  </si>
  <si>
    <t xml:space="preserve">1. Determinar el alcance del problema
2. Tomar decisiones con relacion al alcance del problema 
3. Informar a las partes interesadas (proveedores, contratistas) en caso de que el error unicamente implique una corrección documental deberá corregirse de inmediato y cumplir con el principio de transparencia y publicidad. En caso de que el error implique una decisión administrativa, deberá tomarse las medidas jurídicas correspondientes para emitir el acto administrativo respectivo. </t>
  </si>
  <si>
    <t xml:space="preserve">Juana Maria Tovar Acero
Leidy Yineth Bernal Rey
Jeimi Medina Walteros </t>
  </si>
  <si>
    <t>Se informa que durante el primer trimestre 2025 se suscribieron 94 contratos, para lo cual el abogado estructurador durante la etapa pre contractual verificó en cada proceso la necesidad de la contratación, el objeto acorde con el plan anual de adquisiciones, determinó la modalidad de contratación más adecuada conforme a la Ley. Realizó la revisión previa de cada uno de los documentos en virtud del proceso de contratación, de conformidad con la normatividad vigente aplicable. La evidencia de la radicación de los procesos y su seguimiento se encuentra en la hoja de seguimiento que reposa en el registro del formato A-07-F-025 Matriz de contratos.
Adicionalmente, los expedientes contractuales donde se encuentra toda la documentación reposan en el recurso compartido del INM de acuerdo con las TRD, Ruta: Z:\220 GGJ\TRD-2024
Finalmente, se observa que las evidencias relacionadas en el control 1 deben ser actualizadas.</t>
  </si>
  <si>
    <t xml:space="preserve">Juana Maria Tovar 
Jeimi Medina W. </t>
  </si>
  <si>
    <t>Se informa que durante el segundo trimestre 2025 se suscribieron 34 contratos, para lo cual el abogado estructurador asignado, durante la etapa pre contractual verifica en cada proceso la necesidad de la contratación, el objeto acorde con el plan anual de adquisiciones, la modalidad de contratación más adecuada conforme a la Ley. Realiza la revisión previa de cada uno de los documentos en virtud del proceso de contratación, de conformidad con la normatividad vigente aplicable. La evidencia de la radicación de los procesos y su seguimiento se encuentra en la hoja de seguimiento que reposa en el registro del formato A-07-F-025 Matriz de contratos (Hoja 1).
Adicionalmente, los expedientes contractuales donde se encuentra toda la documentación reposan en el recurso compartido del INM de acuerdo con las TRD, Ruta: Z:\220 GGJ\TRD-2024</t>
  </si>
  <si>
    <t>https://metrologiainm.sharepoint.com/:x:/s/OAP/EesxYgVSjGZMv-iRbKC4mPkBKJThWFoR7N8WzGcFBOUUxQ?e=0q1EYL</t>
  </si>
  <si>
    <t xml:space="preserve">Juana Maria Tovar 
Wanda Sandoval
Jeimi Medina W. </t>
  </si>
  <si>
    <t>Se informa que durante el tercer trimestre 2025 se suscribieron 32 contratos, para lo cual el abogado estructurador asignado, durante la etapa pre contractual verifica en cada proceso la necesidad de la contratación, el objeto acorde con el plan anual de adquisiciones, la modalidad de contratación más adecuada conforme a la Ley. Realiza la revisión previa de cada uno de los documentos en virtud del proceso de contratación, de conformidad con la normatividad vigente aplicable. La evidencia de la radicación de los procesos y su seguimiento se encuentra en la hoja de seguimiento que reposa en el registro del formato A-07-F-025 Matriz de contratos (Hoja 1).
Adicionalmente, los expedientes contractuales donde se encuentra toda la documentación reposan en el recurso compartido del INM de acuerdo con las TRD, Ruta: Z:\220 GGJ\TRD-2024</t>
  </si>
  <si>
    <t>https://metrologiainm.sharepoint.com/:f:/s/OAP/Etxd1vwco1dPuAPi7X65kpwBmY6fOG033TbdMEntYlcJMw?e=Gsw1wS</t>
  </si>
  <si>
    <t xml:space="preserve">Control 2: Revisar que todos los documentos que componen la etapa precontractual cumplan con los requisitos normativos y lo establecido en el procedimiento A-07-P-001 ETAPA PRE-CONTRACTUAL. 
Responsable: Profesional o contratista del grupo interno de trabajo de gestión jurídica contractual y de investigaciones de carácter disciplinario que actua como abogado revisor.  
Periodicidad: Cada vez que se requiera la revisión del proceso.
Propósito: Validar que los documentos y requisitos que se necesitan para la gestión adecuada de la etapa pre contractual, esten cumpletos y acordes con los requisitos normativos y lo establecido en el procedimiento A-07-P-001 ETAPA PRE-CONTRACTUAL. 
¿Cómo se realiza el control?: El abogado revisor verifica uno a uno los documentos del proceso de contratación, validando la pertinencia, adecuación y el cumplimiento del marco juídico, asegurando que se ajusten a los principios de transparencia, eficiencia y economía que rigen el marco normativo.
Qué pasa con las observaciones o desviaciones: En caso de que el abogado revisor encuentre inconsistencias en la validación de los documentos, envia por correo electrónico al abogado estructurador, las observaciones para los ajustes correspondientes.  
Evidencias o soportes de la ejecución: Correos electrónicos.
Documentado: Procedimiento A-07-P-001 ETAPA PRE-CONTRACTUAL. </t>
  </si>
  <si>
    <t xml:space="preserve">Acción: Actualizar el procedimiento A-07-P-001 ETAPA PRE-CONTRACTUAL, con el fin de incluir la descripción respectiva de la ejecución del control 2.  </t>
  </si>
  <si>
    <t>Se informa que durante el primer trimestre 2025 se suscribieron 94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(Matriz contratos I Trimestre 2025). 
Finalmente, se observa que las evidencias relacionadas en el control 2 deben ser actualizadas.</t>
  </si>
  <si>
    <t>Se informa que durante el segundo trimestre 2025 se suscribieron 34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(Matriz contratos II Trimestre 2025, Hoja 2).</t>
  </si>
  <si>
    <t>Se informa que durante el tercer trimestre 2025 se suscribieron 32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(A-07-F-025 Matriz de contratos III Trimestre 2025, Hoja 2 (CD) y Hoja 3 (MC-CDI)).</t>
  </si>
  <si>
    <t>M08-RF1</t>
  </si>
  <si>
    <t>8, 42, 45</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</si>
  <si>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t>
  </si>
  <si>
    <t>a causa de una inadecuada manipulación, mantenimiento, almacenamiento, transporte, demora en la prestación del servicio de trazabilidad metrológica del proveedor externo de los patrones y sistemas de medición y/o falta de seguimiento a los planes de trazabilidad y de aseguramiento de la validez de los resultados.</t>
  </si>
  <si>
    <t>Posibilidad de efecto dañoso sobre el interés patrimonial, bien y el recurso del INM por la inadecuada ejecución de las actividades de aseguramiento de la validez de los resultados, trazabilidad metrológica externa, e inter/intra laboratorio, a causa de una inadecuada manipulación, mantenimiento, almacenamiento, transporte y/o demora en la prestación del servicio de trazabilidad metrológica del proveedor interno o externo de los patrones y sistemas de medición.</t>
  </si>
  <si>
    <r>
      <t>Control 1</t>
    </r>
    <r>
      <rPr>
        <sz val="10"/>
        <color rgb="FF000000"/>
        <rFont val="Arial"/>
        <family val="2"/>
      </rPr>
      <t xml:space="preserve">: Establecer, ejecutar y hacer seguimiento a la planificación de las actividades de mantenimiento preventivo.
</t>
    </r>
    <r>
      <rPr>
        <b/>
        <sz val="10"/>
        <color rgb="FF000000"/>
        <rFont val="Arial"/>
        <family val="2"/>
      </rPr>
      <t xml:space="preserve">Responsable: </t>
    </r>
    <r>
      <rPr>
        <sz val="10"/>
        <color rgb="FF000000"/>
        <rFont val="Arial"/>
        <family val="2"/>
      </rPr>
      <t xml:space="preserve">El responsable del laboratorio
</t>
    </r>
    <r>
      <rPr>
        <b/>
        <sz val="10"/>
        <color rgb="FF000000"/>
        <rFont val="Arial"/>
        <family val="2"/>
      </rPr>
      <t>Cómo se realiza la actividad</t>
    </r>
    <r>
      <rPr>
        <sz val="10"/>
        <color rgb="FF000000"/>
        <rFont val="Arial"/>
        <family val="2"/>
      </rPr>
      <t xml:space="preserve">: a través de los soportes disponibles en el aplicativo hoja de vida de equipos metrológicos, relacionados en el M-08-M-001 Manual de Gestión de equipamiento, en el M-01-M-001 Manual Técnico de los servicios de calibración y medición metrológica y el M-03-M-001 Producción de materiales de referencia y actividades de la SMQB​. 
</t>
    </r>
    <r>
      <rPr>
        <b/>
        <sz val="10"/>
        <color rgb="FF000000"/>
        <rFont val="Arial"/>
        <family val="2"/>
      </rPr>
      <t>Propósito</t>
    </r>
    <r>
      <rPr>
        <sz val="10"/>
        <color rgb="FF000000"/>
        <rFont val="Arial"/>
        <family val="2"/>
      </rPr>
      <t xml:space="preserve">: Asegurar el funcionamiento adecuado del equipamiento para el desarrollo de las actividades del laboratorio.
</t>
    </r>
    <r>
      <rPr>
        <b/>
        <sz val="10"/>
        <color rgb="FF000000"/>
        <rFont val="Arial"/>
        <family val="2"/>
      </rPr>
      <t>Periodicidad</t>
    </r>
    <r>
      <rPr>
        <sz val="10"/>
        <color rgb="FF000000"/>
        <rFont val="Arial"/>
        <family val="2"/>
      </rPr>
      <t xml:space="preserve">: Anualmente
</t>
    </r>
    <r>
      <rPr>
        <b/>
        <sz val="10"/>
        <color rgb="FF000000"/>
        <rFont val="Arial"/>
        <family val="2"/>
      </rPr>
      <t>Qué pasa con las observaciones o desviaciones</t>
    </r>
    <r>
      <rPr>
        <sz val="10"/>
        <color rgb="FF000000"/>
        <rFont val="Arial"/>
        <family val="2"/>
      </rPr>
      <t xml:space="preserve">: En caso de que alguno de los equipos identificados en la planificación de las actividades de mantenimiento preventivo no pueda recibir dicho mantenimiento, se evaluará el impacto de no realizar el mantenimiento preventivo. Si es necesario, el equipo será etiquetado como fuera de servicio. 
</t>
    </r>
    <r>
      <rPr>
        <b/>
        <sz val="10"/>
        <color rgb="FF000000"/>
        <rFont val="Arial"/>
        <family val="2"/>
      </rPr>
      <t>Evidencia de la ejecución del control</t>
    </r>
    <r>
      <rPr>
        <sz val="10"/>
        <color rgb="FF000000"/>
        <rFont val="Arial"/>
        <family val="2"/>
      </rPr>
      <t xml:space="preserve">: Soportes en HVE, M-08-F-009 Plan de trazabilidad SMF, algunos formatos para laboratorios (SMF), M-03-F-022 Plan de gestión de laboratorios (SMQB)
</t>
    </r>
    <r>
      <rPr>
        <b/>
        <sz val="10"/>
        <color rgb="FF000000"/>
        <rFont val="Arial"/>
        <family val="2"/>
      </rPr>
      <t xml:space="preserve">Documentado: </t>
    </r>
    <r>
      <rPr>
        <sz val="10"/>
        <color rgb="FF000000"/>
        <rFont val="Arial"/>
        <family val="2"/>
      </rPr>
      <t>M-08-M-001 Manual de Gestión de equipamiento</t>
    </r>
  </si>
  <si>
    <t xml:space="preserve">Realizar una jornada de revisión de información que se encuentra cargada en el aplicativo de hoja de vida de equipos, con el fin de validar la adecuación de la información. </t>
  </si>
  <si>
    <t>Coordinador de grupo interno de la SMF</t>
  </si>
  <si>
    <t xml:space="preserve">Aseguramiento de la validez de los resultados con cumplimiento de criterios preestablecidos que permita tomar acciones oportunas para evitar impactos negativos en los resultados 	
Aseguramiento de la validez de los resultados con cumplimiento de las actividades planificadas permitiendo analizar y controlar que las mismas se ejecuten 
Trazabilidad (interna/externa) con cumplimiento de las actividades planificadas permitiendo analizar, controlar y ajustar según sea necesario para mantener la trazabilidad metrológica de los resultados de sus mediciones al SI 	</t>
  </si>
  <si>
    <t>2025-04-10
2025-04-21</t>
  </si>
  <si>
    <t>Diana Jimena Camargo
Yineth Paola Ochoa - SMF
Daisy Janneth Vásquez Acosta - SMQB</t>
  </si>
  <si>
    <t>SMF: En el periodo evaluado no se presentó materialización del riesgo asociado con incumplimiento de planes de mantenimiento. Los laboratorios reportaron en la matriz los mantenimientos que se hubiesen realizado.
SMQB: Durante el primer trimestre de 2025 se realizaron las actividades planeadas de los mantenimientos preventivos  alos equipos de la subdirección de acuerdo con lo planeado en el plan de gestión de laboratorios, por lo anterior no se materializó el riesgo</t>
  </si>
  <si>
    <t>Matriz de trazabilidad
https://metrologiainm.sharepoint.com/:x:/s/TrazabilidadSMF2/ETq3jN1lwfdAgESCNTXiPjwBld7-A0WPNA78dHMcJHHFuw
https://metrologiainm.sharepoint.com/sites/OAP/Documentos%20compartidos/Forms/AllItems.aspx</t>
  </si>
  <si>
    <t>18/07/2025
2025-07-21</t>
  </si>
  <si>
    <t>SMF: En el trimestre evaluado no se presenta materialización del riesgo. Los laboratorios reportan los mantenimientos realizados en el plan de trazabilidad. En el trimestre se realizó mantenimiento del sistema de medición del laboratorio flujo de gas.
SMQB:En el trimestre evaluado no se presenta materialización del riesgo. Los laboratorios de la SMQB realizaron los mantenimientos preventivos programados de acuerdo con el pland e gestión de laboratorios. entre lso meses de abril a junio se realizaron 23 Mantenimientos de equipos.</t>
  </si>
  <si>
    <t>https://metrologiainm.sharepoint.com/:x:/s/TrazabilidadSMF2/ETq3jN1lwfdAgESCNTXiPjwBld7-A0WPNA78dHMcJHHFuw
https://metrologiainm.sharepoint.com/:x:/r/sites/OAP/_layouts/15/Doc.aspx?sourcedoc=%7BB20B8444-0A8C-41A9-BEEB-6BA5E1884883%7D&amp;file=M-03-F-022Plandegestiondelaboratorios%202025%20vf.xlsm&amp;action=default&amp;mobileredirect=true</t>
  </si>
  <si>
    <t>SMQB: 09/10/2025</t>
  </si>
  <si>
    <t>SMQB: Juliana Serna Saiz - Revisa daisy Vásquez</t>
  </si>
  <si>
    <t>SMQB:En el trimestre evaluado no se presenta materialización del riesgo. Los laboratorios de la SMQB realizaron los mantenimientos preventivos programados de acuerdo con el plan de gestión de laboratorios. Entre los meses de julio a septiembre se realizaron 29 mantenimientos de equipos.</t>
  </si>
  <si>
    <t xml:space="preserve">M-03-F-022 Plan de gestion de laboratorios 2025 </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</si>
  <si>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
</t>
  </si>
  <si>
    <r>
      <t xml:space="preserve">Control 2: </t>
    </r>
    <r>
      <rPr>
        <sz val="10"/>
        <color rgb="FF000000"/>
        <rFont val="Arial Narrow"/>
        <family val="2"/>
      </rPr>
      <t xml:space="preserve"> Realizar seguimiento periódico a las condiciones ambientales.
</t>
    </r>
    <r>
      <rPr>
        <b/>
        <sz val="10"/>
        <color rgb="FF000000"/>
        <rFont val="Arial Narrow"/>
        <family val="2"/>
      </rPr>
      <t>Responsable:</t>
    </r>
    <r>
      <rPr>
        <sz val="10"/>
        <color rgb="FF000000"/>
        <rFont val="Arial Narrow"/>
        <family val="2"/>
      </rPr>
      <t xml:space="preserve"> El Responsable del laboratorio o a quien designe.
</t>
    </r>
    <r>
      <rPr>
        <b/>
        <sz val="10"/>
        <color rgb="FF000000"/>
        <rFont val="Arial Narrow"/>
        <family val="2"/>
      </rPr>
      <t xml:space="preserve">Cómo se realiza la actividad:  </t>
    </r>
    <r>
      <rPr>
        <sz val="10"/>
        <color rgb="FF000000"/>
        <rFont val="Arial Narrow"/>
        <family val="2"/>
      </rPr>
      <t xml:space="preserve">Se tienen en cuenta los lineamientos establecidos en los documentos de los laboratorios del INM para el almacenamiento y conservación de los patrones.
</t>
    </r>
    <r>
      <rPr>
        <b/>
        <sz val="10"/>
        <color rgb="FF000000"/>
        <rFont val="Arial Narrow"/>
        <family val="2"/>
      </rPr>
      <t xml:space="preserve">Propósito: </t>
    </r>
    <r>
      <rPr>
        <sz val="10"/>
        <color rgb="FF000000"/>
        <rFont val="Arial Narrow"/>
        <family val="2"/>
      </rPr>
      <t xml:space="preserve">Garantizar la conservación e integridad del equipamiento durante su almacenamiento en las instalaciones del laboratorio.
</t>
    </r>
    <r>
      <rPr>
        <b/>
        <sz val="10"/>
        <color rgb="FF000000"/>
        <rFont val="Arial Narrow"/>
        <family val="2"/>
      </rPr>
      <t xml:space="preserve">Periodicidad: </t>
    </r>
    <r>
      <rPr>
        <sz val="10"/>
        <color rgb="FF000000"/>
        <rFont val="Arial Narrow"/>
        <family val="2"/>
      </rPr>
      <t xml:space="preserve">Continua
</t>
    </r>
    <r>
      <rPr>
        <b/>
        <sz val="10"/>
        <color rgb="FF000000"/>
        <rFont val="Arial Narrow"/>
        <family val="2"/>
      </rPr>
      <t xml:space="preserve">Qué pasa con las observaciones o desviaciones: </t>
    </r>
    <r>
      <rPr>
        <sz val="10"/>
        <color rgb="FF000000"/>
        <rFont val="Arial Narrow"/>
        <family val="2"/>
      </rPr>
      <t xml:space="preserve">Los laboratorios que no hacen uso del software para el control de las condiciones ambientales establecido por el INM, cuentan con un software diferente con el cual se realiza el seguimiento al comportamiento de las variables de temperatura y humedad.  
</t>
    </r>
    <r>
      <rPr>
        <b/>
        <sz val="10"/>
        <color rgb="FF000000"/>
        <rFont val="Arial Narrow"/>
        <family val="2"/>
      </rPr>
      <t>Evidencia de la ejecución del control:</t>
    </r>
    <r>
      <rPr>
        <sz val="10"/>
        <color rgb="FF000000"/>
        <rFont val="Arial Narrow"/>
        <family val="2"/>
      </rPr>
      <t xml:space="preserve"> Registros de seguimiento de condiciones ambientales del laboratorio.
Documentado: M-08-M-001 Manual de gestión de equipamiento.</t>
    </r>
  </si>
  <si>
    <t>2025-04-10
2025-04-22</t>
  </si>
  <si>
    <t>SMF: En el periodo evaluado no se presentó materialización del riesgo asociado con realizar seguimiento a las condiciones ambientales por parte de los laboratorios para asegurar la conservación de los patrones.
SMQB: durante el primer trimestre de 2025 no se materializó el riesgo de daño de patrones o sistemas de medición debido a inadecuadas condiciones ambientales para su almacenamiento y manipulación. Los laboratorios hacen seguimiento periodico a las condiciones ambientales a través del uso de los formatos M-03-F-027 Condiciones ambientales y en los registros de usop de equipos, según corresponda.</t>
  </si>
  <si>
    <t>https://metrologiainm.sharepoint.com/:f:/s/OAP/ErzOreqqD2VLqosII6l69MkBGAWSscvL6v4308ywuNDHxA?e=OBFpck</t>
  </si>
  <si>
    <t>18/07/2025
2025-07-21</t>
  </si>
  <si>
    <t>SMF: En el trimestre evaluado no se presenta materialización del riesgo. Los laboratorios realizan seguimiento a las condiciones ambientales de acuerdo con los lineamientos establecidos en los documentos internos. No se presentó afectación del equipamiento por esta causa.
SMQB:durante el segundo trimestre no se presenta materialización del riesgo. Los laboratorios realizan seguimiento a las condiciones ambientales de acuerdo con los lineamientos establecidos en los documentos internos. No se presentó afectación del equipamiento por esta causa.</t>
  </si>
  <si>
    <t xml:space="preserve">https://metrologiainm.sharepoint.com/:f:/s/OAP/ElUn1TI-malFpwDdq-K_tcUBwVUYnyQ6g0y5XDgmHwmAHQ?e=zOUKzU
</t>
  </si>
  <si>
    <t>SMQB: en el tercer trimestre no se presenta materialización del riesgo. Los laboratorios realizaron seguimiento a las condiciones ambientales de acuerdo con los lineamientos establecidos en los documentos internos. No se presentó afectación del equipamiento por esta causa</t>
  </si>
  <si>
    <t>Condiciones ambientales laboratorios</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</si>
  <si>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
-Fin de la vida útil del patrón o sistema de medición.
- Daño fortuito</t>
  </si>
  <si>
    <r>
      <t>Control 3: R</t>
    </r>
    <r>
      <rPr>
        <sz val="10"/>
        <color rgb="FF000000"/>
        <rFont val="Arial Narrow"/>
        <family val="2"/>
      </rPr>
      <t xml:space="preserve">ealizar mediante el análisis de brechas en la hoja 2 del formato A-04-F-008, la evaluación del cumplimiento de la descripción de competencias técnicas ideales identificadas en la actividad 1 del procedimiento A-04-P-002, con el fin de determinar las necesidades de entrenamiento para el rol o las actividades a realizar. 
</t>
    </r>
    <r>
      <rPr>
        <b/>
        <sz val="10"/>
        <color rgb="FF000000"/>
        <rFont val="Arial Narrow"/>
        <family val="2"/>
      </rPr>
      <t xml:space="preserve">Responsable: </t>
    </r>
    <r>
      <rPr>
        <sz val="10"/>
        <color rgb="FF000000"/>
        <rFont val="Arial Narrow"/>
        <family val="2"/>
      </rPr>
      <t xml:space="preserve">El Coordinador o quien se delegue
</t>
    </r>
    <r>
      <rPr>
        <b/>
        <sz val="10"/>
        <color rgb="FF000000"/>
        <rFont val="Arial Narrow"/>
        <family val="2"/>
      </rPr>
      <t xml:space="preserve">
Cómo se realiza la actividad: </t>
    </r>
    <r>
      <rPr>
        <sz val="10"/>
        <color rgb="FF000000"/>
        <rFont val="Arial Narrow"/>
        <family val="2"/>
      </rPr>
      <t xml:space="preserve">a través de los formatos A-04-F-008 y A-04-F-009, teniendo en cuenta los lineamientos establecidos en el procedimiento A-04-P-002 Mantenimiento y desarrollo de las competencias del personal técnico.
</t>
    </r>
    <r>
      <rPr>
        <b/>
        <sz val="10"/>
        <color rgb="FF000000"/>
        <rFont val="Arial Narrow"/>
        <family val="2"/>
      </rPr>
      <t xml:space="preserve">
Propósito: </t>
    </r>
    <r>
      <rPr>
        <sz val="10"/>
        <color rgb="FF000000"/>
        <rFont val="Arial Narrow"/>
        <family val="2"/>
      </rPr>
      <t xml:space="preserve">Identificar las áreas en las que el personal evaluado pueda requerir capacitación, entrenamiento o formación adicional con el fin de mejorar la eficiencia y la eficacia en la competencia técnica.  
</t>
    </r>
    <r>
      <rPr>
        <b/>
        <sz val="10"/>
        <color rgb="FF000000"/>
        <rFont val="Arial Narrow"/>
        <family val="2"/>
      </rPr>
      <t xml:space="preserve">
Periodicidad: </t>
    </r>
    <r>
      <rPr>
        <sz val="10"/>
        <color rgb="FF000000"/>
        <rFont val="Arial Narrow"/>
        <family val="2"/>
      </rPr>
      <t xml:space="preserve">Anualmente, cada vez que se vincule personal nuevo a los laboratorios, o cuando se identifique la necesidad de actualización.
</t>
    </r>
    <r>
      <rPr>
        <b/>
        <sz val="10"/>
        <color rgb="FF000000"/>
        <rFont val="Arial Narrow"/>
        <family val="2"/>
      </rPr>
      <t xml:space="preserve">
Qué pasa con las observaciones o desviaciones:  </t>
    </r>
    <r>
      <rPr>
        <sz val="10"/>
        <color rgb="FF000000"/>
        <rFont val="Arial Narrow"/>
        <family val="2"/>
      </rPr>
      <t xml:space="preserve">Si el resultado de la evaluación de brechas  indica que "se ajusta" o "se ajusta con observaciones" a la Descripción de las competencias requeridas, se puede emitir la autorización formal. En caso de ajustarse con observaciones, se puede emitir autorización con restricciones y seguir las recomendaciones o enfocarse en cubrir las brechas identificadas. 
Si concluye que "no se ajusta" a la Descripción de las competencias requeridas, el Coordinador o a quien se delegue, iniciara el registro del A-04-F-009 Plan y evaluación mantenimiento y desarrollo competencias del personal técnico, registrando las actividades iniciales a desarrollar para su posterior autorización.
</t>
    </r>
    <r>
      <rPr>
        <b/>
        <sz val="10"/>
        <color rgb="FF000000"/>
        <rFont val="Arial Narrow"/>
        <family val="2"/>
      </rPr>
      <t xml:space="preserve">
Evidencia de la ejecución del control: </t>
    </r>
    <r>
      <rPr>
        <sz val="10"/>
        <color rgb="FF000000"/>
        <rFont val="Arial Narrow"/>
        <family val="2"/>
      </rPr>
      <t xml:space="preserve"> Formatos A-04-F-008 y A-04-F-009 diligenciados.
</t>
    </r>
    <r>
      <rPr>
        <b/>
        <sz val="10"/>
        <color rgb="FF000000"/>
        <rFont val="Arial Narrow"/>
        <family val="2"/>
      </rPr>
      <t>Documentado:  A-04-P-002 Mantenimiento y desarrollo de las competencias del personal técnico</t>
    </r>
  </si>
  <si>
    <t>Socializar la versión 5 del procedimiento A-04-P-002 MANTENIMIENTO Y DESARROLLO DE LAS COMPETENCIAS DEL PERSONAL TÉCNICO</t>
  </si>
  <si>
    <t>*Enlaces de calidad de la SMF
*Profesional del grupo del SIG de la OAP</t>
  </si>
  <si>
    <t>SMF: En el periodo evaluado no se presentó materialización del riesgo asociado con incumplimiento de actividades de trazabilidad y aseguramiento por competencias del personal. Durante el primer trimestre se solicitó a laboratorios el diligenciamiento de los formatos A-04-F-008 y A-04-F-009 para la vigencia 2025.
SMQB: No se materializa el riesgo debido a inadecuada competencia del personal para actividades de trazabilidad y aseguramiento. Los laboratorios cuentan con el diligenciamiento de los formatos A-04-F-008 y A-04-F-009 para el personal de los laboratorios, de acuerdo con lo programado en el plan de gestión de laboratorios.</t>
  </si>
  <si>
    <t>https://metrologiainm.sharepoint.com/:f:/s/OAP/Emh9IgSbhKVIrf0Ek-hFHhMBh_87kAJl_bt_YvuRFWbOeg?e=OMjt70</t>
  </si>
  <si>
    <t>SMF: En el trimestre evaluado no se presenta materialización del riesgo de cumplimiento a planes de trazabilidad o aseguramiento por competencias del personal. En el segundo trimestre los laboratorios enviaron los formatos A-04-F-008 y A-04-F-009 diligenciados incluyendo actividades de aseguramiento de la validez.
SMQB: No se materializa el riesgo debido a inadecuada competencia del personal para actividades de trazabilidad y aseguramiento. Los laboratorios cuentan con el diligenciamiento delos formatos A-04-F-008 y A-04-F-009 para el personal de los olaboratorios, de acuerdo con lo programado en el plan de gestión d elaboratorios.</t>
  </si>
  <si>
    <t>https://metrologiainm.sharepoint.com/:f:/s/OAP/Es0jzfR09slNg1BNsCAPenoBUS1PagHZ6o5KP-n-XiLJbQ?e=9JfZy7</t>
  </si>
  <si>
    <t xml:space="preserve">
SMQB:durante el tercer trimestre no se materializa el riesgo de inadecuada competencia del personal para actividades de trazabilidad y aseguramiento. Los laboratorios cuentan con el diligenciamiento de los formatos A-04-F-008 y A-04-F-009 para el personal</t>
  </si>
  <si>
    <t>Formatos A-04-F-008 y A-04-F-009</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</si>
  <si>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resultados.Fin de la vida útil del patrón o sistema de medición
</t>
  </si>
  <si>
    <r>
      <rPr>
        <b/>
        <sz val="10"/>
        <color rgb="FF000000"/>
        <rFont val="Arial Narrow"/>
        <family val="2"/>
      </rPr>
      <t xml:space="preserve">Control 4: </t>
    </r>
    <r>
      <rPr>
        <sz val="10"/>
        <color rgb="FF000000"/>
        <rFont val="Arial Narrow"/>
        <family val="2"/>
      </rPr>
      <t xml:space="preserve">verificar que los instrumentos de medición que estuvieron fuera de su control, cumplen con los requisitos especificados, antes de reincorporarlos al proceso.
</t>
    </r>
    <r>
      <rPr>
        <b/>
        <sz val="10"/>
        <color rgb="FF000000"/>
        <rFont val="Arial Narrow"/>
        <family val="2"/>
      </rPr>
      <t xml:space="preserve">Responsable: </t>
    </r>
    <r>
      <rPr>
        <sz val="10"/>
        <color rgb="FF000000"/>
        <rFont val="Arial Narrow"/>
        <family val="2"/>
      </rPr>
      <t xml:space="preserve">Personal del laboratorio.
</t>
    </r>
    <r>
      <rPr>
        <b/>
        <sz val="10"/>
        <color rgb="FF000000"/>
        <rFont val="Arial Narrow"/>
        <family val="2"/>
      </rPr>
      <t xml:space="preserve">
Cómo se realiza la actividad:  </t>
    </r>
    <r>
      <rPr>
        <sz val="10"/>
        <color rgb="FF000000"/>
        <rFont val="Arial Narrow"/>
        <family val="2"/>
      </rPr>
      <t xml:space="preserve">a través de los formatos establecidos por cada laboratorio, teniendo en cuenta los lineamientos establecidos en los procedimientos M-08-P-001 Trazabilidad de las mediciones del INM y M-01-P-002 Prestación de servicios de calibración o medición en sito.
</t>
    </r>
    <r>
      <rPr>
        <b/>
        <sz val="10"/>
        <color rgb="FF000000"/>
        <rFont val="Arial Narrow"/>
        <family val="2"/>
      </rPr>
      <t xml:space="preserve">
Propósito: </t>
    </r>
    <r>
      <rPr>
        <sz val="10"/>
        <color rgb="FF000000"/>
        <rFont val="Arial Narrow"/>
        <family val="2"/>
      </rPr>
      <t xml:space="preserve">Asegurar el funcionamiento adecuado del equipamiento para el desarrollo de las actividades del laboratorio.
</t>
    </r>
    <r>
      <rPr>
        <b/>
        <sz val="10"/>
        <color rgb="FF000000"/>
        <rFont val="Arial Narrow"/>
        <family val="2"/>
      </rPr>
      <t xml:space="preserve">
Periodicidad: </t>
    </r>
    <r>
      <rPr>
        <sz val="10"/>
        <color rgb="FF000000"/>
        <rFont val="Arial Narrow"/>
        <family val="2"/>
      </rPr>
      <t>Cada vez que un equipo esté fuera del control del laboratorio</t>
    </r>
    <r>
      <rPr>
        <b/>
        <sz val="10"/>
        <color rgb="FF000000"/>
        <rFont val="Arial Narrow"/>
        <family val="2"/>
      </rPr>
      <t xml:space="preserve">.
Qué pasa con las observaciones o desviaciones: </t>
    </r>
    <r>
      <rPr>
        <sz val="10"/>
        <color rgb="FF000000"/>
        <rFont val="Arial Narrow"/>
        <family val="2"/>
      </rPr>
      <t xml:space="preserve">En caso de tener resultados no satisfactorios, identificar el equipo como "Uso restringido" y llevar a cabo las actividades necesarias según el documento M-08-M-001.
</t>
    </r>
    <r>
      <rPr>
        <b/>
        <sz val="10"/>
        <color rgb="FF000000"/>
        <rFont val="Arial Narrow"/>
        <family val="2"/>
      </rPr>
      <t xml:space="preserve">
Evidencia de la ejecución del control: </t>
    </r>
    <r>
      <rPr>
        <sz val="10"/>
        <color rgb="FF000000"/>
        <rFont val="Arial Narrow"/>
        <family val="2"/>
      </rPr>
      <t xml:space="preserve">Registros de verificación de equipos fuera del control del laboratorio.
</t>
    </r>
    <r>
      <rPr>
        <b/>
        <sz val="10"/>
        <color rgb="FF000000"/>
        <rFont val="Arial Narrow"/>
        <family val="2"/>
      </rPr>
      <t>Documentado:</t>
    </r>
    <r>
      <rPr>
        <sz val="10"/>
        <color rgb="FF000000"/>
        <rFont val="Arial Narrow"/>
        <family val="2"/>
      </rPr>
      <t xml:space="preserve"> M-08-M-001 Manual de gestión de equipamiento.</t>
    </r>
  </si>
  <si>
    <t>2025-04-10
2025-04-23</t>
  </si>
  <si>
    <t xml:space="preserve">SMF: En el periodo evaluado se presenta una situación con los equipos adquiridos por el laboratorio de calidad de energia en la cual, los equipos llegaron en diciembre de 2024 desde Australia y su proceso de instalación se realizó en los meses de enero y febrero de 2025, evidenciando un funcionamiento no satisfactorio. Como tal estos equipos son nuevos y no estuvieron fuera del control del laboratorio, por ende el envío de los mismos a Australia, generando una afectacion al recurso del INM. Este recurso corresponde al sobrante del valor asociado al contrato de agente aduanero número 134 de 2024, el cual tiene una reserva presupuestal hasta el 30 de Abril 2025.
En el caso del laboratorio de masa, a finales de 2024 se enviaron equipos a trazabilidad externa al PTB y se recibió notificación en el mes de enero de 2025 de afectación en los estuches de transporte. A la fecha no se ha realizado la calibración de los patrones (programada para el mes de mayo) por lo que no se conoce si hay impacto real sobre las pesas y la materializacion del riesgo. Se podria considerar una afectacion a los bienes y al recurso pues se requiere el cambio de los estuches.
No se reporta por parte de los laboratorios CCyCA y Longitud situaciones con los equipos que regresaron de trazabilidad externa.
SMQB: Durante el primer semestre de 2025 no se realizaron actividades de trazabilidad a externa para equipos de la SMQB que requieran verificación del funcionamiento antes de reincorporarlos al proceso.
</t>
  </si>
  <si>
    <t>https://metrologiainm.sharepoint.com/:f:/s/OAP/ElWCxEh_d81Io7-DZRj006IBUplIZGXhUrebyCCDTWee8A?e=7YY4KM</t>
  </si>
  <si>
    <t>SMF: En el trimestre evaluado no se presenta materialización del riesgo de afectación en el equipamiento fuera del control del laboratorio. No se reportan por parte de los laboratorios situaciones de afectación del equipamiento luego del retorno de actividades de trazabilidad externa o prestación de servicios en sitio. Retornaron 4 equipos distribuidos de la siguiente forma: 1 de densidad, 2 de viscosidad, 1 de potencia y energía.
En cuanto a las pesas que se encuentran en PTB, ya fueron calibradas, en los certificados no se evidencian resultados fuera de especificación, se está a la espera del retornos de las pesas al INM.
SMQB: durante el segundo trimestre se realizaron 74 actividades de relacionadas con el aseguramiento de la validez de los resultados (Calibraciones por el INM, mantenimientos preventivos, verificaciones intermedias) para equipos de la SMQB, entre ellos: micropipetas, balanzas, termohigrómetros, refrigeradores, muflas, pesas, entre otros. durante la realización de estas actividades, no se materializó el riesgo verificando el funcionamiento de los equipos que estuvieron fuera del control de los laboratorios de la SMQB, por ejemplo pesas y termohigrómetros.</t>
  </si>
  <si>
    <t>https://metrologiainm.sharepoint.com/:f:/s/OAP/Er6ZWirbM45JhsnmBARtFKYBZGck_XNM1HuZml3DQAK5lw?e=46ycFQ</t>
  </si>
  <si>
    <t xml:space="preserve">
SMQB: durante trimestre se realizaron 77 actividades de relacionadas con el aseguramiento de la validez de los resultados (Calibraciones por el INM, mantenimientos preventivos, mantenimiento correctivos calificaciones operacionales, verificaciones intermediasy caracterizaciones) para equipos de la SMQB, entre ellos: años termostatizados, celdas de conductividad electrolítica, termohigrómetros, termoanemómetros, espectrofotomómetros,  pesas, balanzas, refrigeradores, purificaciones, ultracongeladores cabinas, entre otros. Durante la realización de estas actividades no se materializó el riesgo, se verificó el funcionamiento de los equipos que estuvieron fuera del control de los laboratorios de la SMQB, por ejemplo pesas y termohigrómetros.</t>
  </si>
  <si>
    <t>Plan de gestión de laboratorios SMBQ</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</si>
  <si>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
- Las restricciones aduaneras no permiten el traslado de los patrones de medición y sistemas de medición.
- Falta de comunicación entre las áreas técnicas y él área que gestiona trámites aduaneros</t>
  </si>
  <si>
    <t>Control 5: Gestionar y realizar los trámites necesarios para la contratación oportuna del agente aduanero.
Responsable: El profesional con funciones de comercio exterior de Secretaría General, junto con el personal de apoyo de comercio exterior
Cómo se realiza la actividad:  A través de los formatos A-07-F-009 Solicitud de contratación, A-07-F-011 Recomendación de Supervisión, Solicitud de CDP, Certificado de Disponibilidad Presupuestal,  A-07-F-026 Estudio de Mercado, Cotización presentada por el proveedor, Lista de chequeo, relacionados en el procedimiento A-05-P-002 Planeación actividades de Comercio Exterior.
Propósito: Asegurar la selección adecuada del agente aduanero para los tramites de transporte de equipamiento o MRC.
Periodicidad: Anual
Qué pasa con las observaciones o desviaciones: Si el proceso inicial se declara desierto, aplicar nuevamente los lineamientos dados en el procedimiento A-05-P-002 Planeación actividades de Comercio Exterior, para la contratación.
Evidencia de la ejecución del control: Contrato de agente aduanero adjudicado.
Documentado: A-05-P-002 Planeación actividades de Comercio Exterior</t>
  </si>
  <si>
    <t>Angela Ximena Velandia Bedoya
Jeimi Medina Walteros
Andrea Margarita Torres Castillo</t>
  </si>
  <si>
    <t xml:space="preserve">Desde el 17 de Febrero 2025 se da inicio a la etapa precontractual para el proceso de contratación del Agente Aduanero, el cual a surtido la elaboración del plan de comercio exterior, la proyección de estudios previos, el estudio de mercado, la solicitud de CDP, expedición de CDP y el registro de la lista de chequeo del respectivo proceso. Por otra parte, se espera que el proceso quede radicado en el mes de Abril 2025. </t>
  </si>
  <si>
    <t xml:space="preserve">2025-07-18
2025-07-18
2025-07-21
</t>
  </si>
  <si>
    <t>Diana Camargo
SMF
Angela Ximena Velandia Bedoya
Andrea Margarita Torres Castillo
Jeimi Medina W. 
Daisy Vásquez
SMQB</t>
  </si>
  <si>
    <t>SMF: En el trimestre evaluado no se materializa el riesgo, sin embargo, se podría considerar  una posible afectación al cumplimiento al plan de trazabilidad externa de los laboratorios de la SMF. Actualmente, dado el estado desierto del proceso de contratación del agente aduanero, se reprogramaron a tiempo actividades de trazabilidad interna y externo. Por parte del personal de comercio exterior se va a iniciar nuevamente un proceso de contratación que se espera sea culminado en el mes de septiembre. Esto implica el ajuste en las fechas programadas en los servicios de calibración por parte del proveedor externo, las cuales se registran en el formato M-08-F-009 o la reprogramación de servicios de calibración o medición a prestar por parte del INM.
SG: Con el fin de realizar el seguimiento unificado al control 5 establecido para el riesgo M08-RF1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Durante el primer semestre del año se avanzó en el proceso de contratación del agente de aduanas para la vigencia 2025, dando cumplimiento al procedimiento contractual establecido por la entidad y atendiendo oportunamente las consultas derivadas del proceso.
No obstante, dicho proceso de licitación pública fue declarado desierto debido a la no presentación de ofertas, situación formalizada mediante la Resolución No. 217 del 2 de julio de 2025.
En consecuencia, se reinició el proceso de contratación bajo la modalidad de Selección Abreviada, de conformidad con lo establecido en la normativa de contratación pública vigente, a fin de garantizar la continuidad del servicio en la vigencia 2025.
A partir de la declaratoria de desierto, se inició el proceso de preparación de la documentación para el nuevo procedimiento de Selección Abreviada.
En el caso del Estudio de Mercado, se apoyó la gestión del estructurador económico mediante el envío de una nueva solicitud de cotización a los operadores del sector, con el fin de obtener propuestas actualizadas para el Plan de Comercio Exterior. Esta actualización fue necesaria debido a los ajustes realizados entre los meses de marzo y junio de 2025, los cuales impactaron directamente los requerimientos técnicos y logísticos del servicio.
Paralelamente, se trabaja con las subdirecciones en la priorización de actividades, y se ha acordado que los laboratorios revisarán con sus pares las fechas previstas de calibración, o que, en su defecto, esperarán nuestra autorización para el envío de MCR o ítems de comparación, según corresponda.
SMQB: Aunque a la fecha la entidad no cuenta con contrato de agente aduanero, de acuerdo con el plan de comercio exterior, en el tercer trimestre se tienen  programadas 2 actividades de calibración de equipos utilizados en la SMQB. Por lo anterior durante el segundo trimestre no se materializó el riesgo debido a que no se han enviado equipo spara trazabilidad externa.</t>
  </si>
  <si>
    <t>https://metrologiainm.sharepoint.com/:f:/s/OAP/EuTJ9T0gKNFNpVU0uoRJGPEBSIsE_mc1f6G1W31CIy9tgg?e=vuYAVp
Las evidencias de la gestión contractual, del Agente Aduanero se encuentran en las rutas:
Documentación del proceso de licitación pública disponible en la carpeta compartida en One Drive https://metrologiainm-my.sharepoint.com/:f:/g/personal/axvelandia_inm_gov_co/EsvFKIY1uHFFvaz_deUb4jsB4ntUMa3Dw5eConnraSnSQg?e=CPg7vf
En la carpeta compartida de la documentación para el proceso de Selección Abreviada https://metrologiainm-my.sharepoint.com/:f:/g/personal/contratos_inm_gov_co/En6p7_OlQV1HmWv_cAreOw8BW7hFoLezUmQqcgzwQYh98w?e=Wn3zxT
Soportes a ser consultados en línea que por su extensión y peso no fueron incluidos en la carpeta de evidencia de ejecucción de control</t>
  </si>
  <si>
    <t xml:space="preserve">SMQB: Juliana Serna Saiz - Revisa daisy Vásquez
</t>
  </si>
  <si>
    <t xml:space="preserve">
SMQB: durante el tercer trimestre se adjudicó el contrato de agente aduanero y gracias a esto se envío a calibración el instrumento LCR Meter de alta precisión (Medidor de impedancias) al Centro Nacional de Metrología de México CENAM, de acuerdo con lo establecido en la resolución 331 del 4 de septiembre de 2025
</t>
  </si>
  <si>
    <t>Plan de comercio exterior</t>
  </si>
  <si>
    <t>Control 6: Informar de manera oportuna a secretaría general, los equipos que no alcanzan a retornar al INM, para que se realice la reserva presupuestal y prórroga del contrato.
Responsable: El profesional con funciones de comercio exterior de Secretaría General, junto con el personal de apoyo de comercio exterior.
Cómo se realiza la actividad:  Se informa a través de correo electrónico siguiendo los lineamientos dados en los documentos A-05-P-002 PLANEACIÓN ACTIVIDADES COMERCIO EXTERIOR (Actividad número 1) y procedimiento M-08-P-001 de trazabilidad de las mediciones del INM.
Propósito: Asegurar el recurso para el retorno  del equipamiento que se encuentren en las instalaciones del proveedor de trazabilidad.
Periodicidad: Anual
Qué pasa con las observaciones o desviaciones: Si no se cuenta con reserva presupuestal para el retorno de equipos, es necesario establecer un nuevo contrato de agente aduanero que incluya estos ítems.
Evidencia de la ejecución del control: Correo electrónico con solicitud de reserva presupuestal y prorroga del contrato.
Documentado: M-08-P-001 Trazabilidad de las mediciones en el INM</t>
  </si>
  <si>
    <t>2025-04-14
2025-04-23</t>
  </si>
  <si>
    <t>Angela Ximena Velandia Bedoya
Jeimi Medina Walteros
Andrea Margarita Torres Castillo
Diana Camargo
Paola Ochoa
Daisy Janneth Vásquez Acosta - SMQB</t>
  </si>
  <si>
    <t>Mediante el contrato de agente aduanero 134 de 2024 han regresado de trazabilidad externa equipos de los laboratorios longitud y CCyCA sin novedades, teniendo en cuenta la reserva presupuestal aprobada en el mes de Diciembre 2024 por un valor de Doscientos veintiocho mil millones cuatrocientos treinta y dos mil pesos ($228.432.000) m/cte, sin embargo, debido a situaciones presentadas con equipos de los laboratorios calidad de energia y presión, se requiere realizar una prorroga en tiempo del contrato, la cual se espera tramitar durante el mes de abril 2025. 
En cuanto a la gestión del nuevo contrato, desde el 17 de Febrero 2025 se da inicio a la etapa precontractual para el proceso de contratación del Agente Aduanero, el cual a surtido la elaboración del plan de comercio exterior, la proyección de estudios previos, el estudio de mercado, la solicitud de CDP, expedición de CDP y el registro de la lista de chequeo del respectivo proceso. Por otra parte, se espera que el proceso quede radicado en el mes de Abril 2025. 
SG: Se identifica que se debe revisar como se encuentra establecido el control, actualizar responsables y el cómo se ejecuta, acorde a los procedimientos que se encuentran mencionados.
Por otra parte, desde la SMF se actualizó el control asociado en CIGD de 2025-03-26.
SMQB: durante el primer trimestre del año no se han enviado o recibido equipos del exterior usados en la subdirección, por lo tanto no se metrializa el riesgo.</t>
  </si>
  <si>
    <t>https://metrologiainm.sharepoint.com/:f:/s/OAP/Eqdxxjc9DotOraKZFgSCEfkBaXm-AiBq5QsQGRxRf7TVNA?e=OwXfit</t>
  </si>
  <si>
    <t>2025-07-18
2025-07-18
2025-07-21</t>
  </si>
  <si>
    <t>SMF y SG: Con el fin de realizar el seguimiento unificado al control 6 establecido para el riesgo M08-RF1 se realizan dos mesas de trabajo los días 04 y 18 de Julio 2025 con las profesionales de comercio exterior, obteniendo los siguientes resultados, los cuales una vez consolidados y revisados de manera conjunta, son allegados a través de correo electrónico por la profesional Margarita Torres:
No se materializó el riesgo, dado que para el 30 de diciembre se notificó por correo electrónico a la Secretaría General el listado de equipos con permanencia en el exterior.
Dicha notificación también fue dirigida a Servicios Administrativos, Almacén y a los coordinadores de las Subdirecciones de Metrología Física (SMF), garantizando así el conocimiento oportuno por parte de las áreas responsables y permitiendo tomar acciones preventivas.
Adicionalmente, en el mes de julio se remitió una nueva notificación con la actualización del estado de los equipos, identificando aquellos que ya retornaron al país bajo la figura de reserva del contrato vigente de agenciamiento aduanero, así como los que tienen proyectado su regreso dentro del marco del contrato correspondiente a la vigencia 2025.
De igual forma, en la planeación de la vigencia 2025 se han incluido los equipos con permanencia en el exterior, tanto aquellos que serán gestionados mediante las prórrogas del contrato vigente, como los que aún se encuentran en curso de calibración y/o participación en comparaciones internacionales, con el fin de realizar un adecuado monitoreo de sus retornos. En las observaciones del Plan de Comercio Exterior (PCE) correspondiente, se deja constancia de que estas actividades se derivan de la vigencia anterior o serán ejecutadas mediante la reserva presupuestal del contrato de agenciamiento aduanero vigente y su correspondiente priorización.
Para finales del año 2024 se instauró la primera prórroga con reserva presupuestal del Contrato de Agenciamiento Aduanero, priorizando el retorno de los equipos que ya habían culminado sus procesos de calibración, lo que permitió avanzar con la programación y ejecución de las actividades logísticas respectivas. Adicionalmente, durante el primer semestre de 2025 se suscribieron dos prórrogas adicionales (en abril y junio), con el fin de garantizar la continuidad del servicio de Agente de Aduanas, toda vez habian operaciones en curso y era necesario atender actividades logísticas de carácter prioritario.
SMQB: durante el segundo trimestre, no se materializó el riesgo, dado que en ese periodo no se retiraron o fue necesario retornar equipos de la SMQB para realizar actividades de aseguramiento de la validez d elos resultados.</t>
  </si>
  <si>
    <t>https://metrologiainm.sharepoint.com/:f:/s/OAP/Eu8qoky_i-NLj7UugB2I0YcBg8gYuHZNmuC6SBJ6rTS7VA?e=uJEbDN</t>
  </si>
  <si>
    <t>SMQB: durante el tercer trimestre no se materializó el riesgo, dado que en ese periodo no han retornado el instrumento LCR Meter de alta precisión (Medidor de impedancias) al Centro Nacional de Metrología de México CENAM, que fue enviado a calibración al CENAM</t>
  </si>
  <si>
    <t>oal Dian</t>
  </si>
  <si>
    <t xml:space="preserve"> - Inadecuada ejecución de las actividades de aseguramiento de la validez de los resultados, trazabilidad metrológica externa, e inter/intra laboratorio. 
- Inadecuada selección  del agente aduanero al no contemplar todas las necesidades y requisitos para el transporte seguro del equipamiento. 
- Desconocimiento de los cuidados por parte de la empresa transportadora. 
- Falta de documentación de los criterios para las condiciones de manipulación y el cuidado de los patrones y sistemas de medición. 
- Falta de acompañamiento del personal técnico al momento del reconocimiento de los PN y SM con el agente aduanero. 
- Inadecuado embalaje de los PN y SM. 
- Falta de ejecución de mantenimientos preventivos
- Inadecuado control de las condiciones ambientales para el almacenamiento de los patrones y sistemas de medición. 
- Mantenimiento de la infraestructura (laboratorios), limpieza, proyectos de renovación, sistemas de información (SASM, BPMetro)
- Demoras en la prestación del servicio por parte del proveedor de trazabilidad externa que afecten el tiempo de entrega de los patrones del INM. 
- Inadecuada o falta de competencia del personal de los laboratorios del INM que ejecuta las actividades de aseguramiento de la validez de los resultados trazabilidad inter/intra laboratorio
- Falta de seguimiento a los planes de trazabilidad externa, interna y de aseguramiento de la validez de los resultados.
- Falta de insumos, consumibles o reactivos, necesarios para la ejecución de actividades de trazabilidad o aseguramiento de la validez de los resultados.
- Insumos, consumibles o reactivos con especificaciones técnicas inadecuadas necesarios para la ejecución de actividades de trazabilidad o aseguramiento de la validez de los resultados.
-Fin de la vida útil del patrón o sistema de medición
- Daño fortuito</t>
  </si>
  <si>
    <r>
      <rPr>
        <b/>
        <sz val="10"/>
        <color rgb="FF000000"/>
        <rFont val="Arial Narrow"/>
        <family val="2"/>
      </rPr>
      <t xml:space="preserve">Control 7: </t>
    </r>
    <r>
      <rPr>
        <sz val="10"/>
        <color rgb="FF000000"/>
        <rFont val="Arial Narrow"/>
        <family val="2"/>
      </rPr>
      <t xml:space="preserve">Realizar la verificación del cumplimiento de los requisitos de competencia del personal, establecidos para el almacenamiento, manipulación y transporte de los sistemas de medición del laboratorio para su autorización.
</t>
    </r>
    <r>
      <rPr>
        <b/>
        <sz val="10"/>
        <color rgb="FF000000"/>
        <rFont val="Arial Narrow"/>
        <family val="2"/>
      </rPr>
      <t xml:space="preserve">
Responsable: </t>
    </r>
    <r>
      <rPr>
        <sz val="10"/>
        <color rgb="FF000000"/>
        <rFont val="Arial Narrow"/>
        <family val="2"/>
      </rPr>
      <t xml:space="preserve"> El responsable del laboratorio o aquien este designe.
</t>
    </r>
    <r>
      <rPr>
        <b/>
        <sz val="10"/>
        <color rgb="FF000000"/>
        <rFont val="Arial Narrow"/>
        <family val="2"/>
      </rPr>
      <t xml:space="preserve">
Cómo se realiza la actividad: </t>
    </r>
    <r>
      <rPr>
        <sz val="10"/>
        <color rgb="FF000000"/>
        <rFont val="Arial Narrow"/>
        <family val="2"/>
      </rPr>
      <t xml:space="preserve"> a través del formato A-08-F-009 plan y evaluación mantenimiento y desarrollo de competencias del personal técnico y Análisis del brechas del formato A-04-F-008 Descripción de competencias técnicas requeridas, relacionados en el procedimiento A-04-P-002 Mantenimiento y desarrollo de las competencias del personal técnico.
</t>
    </r>
    <r>
      <rPr>
        <b/>
        <sz val="10"/>
        <color rgb="FF000000"/>
        <rFont val="Arial Narrow"/>
        <family val="2"/>
      </rPr>
      <t xml:space="preserve">
Propósito: </t>
    </r>
    <r>
      <rPr>
        <sz val="10"/>
        <color rgb="FF000000"/>
        <rFont val="Arial Narrow"/>
        <family val="2"/>
      </rPr>
      <t xml:space="preserve">Asegurar personal competente en el almacenamiento, manipulación y transporte de los sistemas de medición del laboratorio.
</t>
    </r>
    <r>
      <rPr>
        <b/>
        <sz val="10"/>
        <color rgb="FF000000"/>
        <rFont val="Arial Narrow"/>
        <family val="2"/>
      </rPr>
      <t xml:space="preserve">
Periodicidad: </t>
    </r>
    <r>
      <rPr>
        <sz val="10"/>
        <color rgb="FF000000"/>
        <rFont val="Arial Narrow"/>
        <family val="2"/>
      </rPr>
      <t xml:space="preserve">Anualmente o cada vez que se vincule personal nuevo a los laboratorios.
</t>
    </r>
    <r>
      <rPr>
        <b/>
        <sz val="10"/>
        <color rgb="FF000000"/>
        <rFont val="Arial Narrow"/>
        <family val="2"/>
      </rPr>
      <t xml:space="preserve">
Qué pasa con las observaciones o desviaciones: </t>
    </r>
    <r>
      <rPr>
        <sz val="10"/>
        <color rgb="FF000000"/>
        <rFont val="Arial Narrow"/>
        <family val="2"/>
      </rPr>
      <t xml:space="preserve">Si el resultado de la evaluación de brechas  indica que "se ajusta" o "se ajusta con observaciones" a la Descripción de las competencias requeridas, se puede emitir la autorización formal. En caso de ajustarse con observaciones, se puede emitir autorización con restricciones y seguir las recomendaciones o enfocarse en cubrir las brechas identificadas. 
</t>
    </r>
    <r>
      <rPr>
        <b/>
        <sz val="10"/>
        <color rgb="FF000000"/>
        <rFont val="Arial Narrow"/>
        <family val="2"/>
      </rPr>
      <t xml:space="preserve"> 
</t>
    </r>
    <r>
      <rPr>
        <sz val="10"/>
        <color rgb="FF000000"/>
        <rFont val="Arial Narrow"/>
        <family val="2"/>
      </rPr>
      <t xml:space="preserve">Si concluye que "no se ajusta" a la Descripción de las competencias requeridas, el Coordinador o a quien se delegue, iniciará el registro del A-04-F-009 Plan y evaluación mantenimiento y desarrollo competencias del personal técnico, registrando las actividades iniciales a desarrollar para su posterior autorización.
</t>
    </r>
    <r>
      <rPr>
        <b/>
        <sz val="10"/>
        <color rgb="FF000000"/>
        <rFont val="Arial Narrow"/>
        <family val="2"/>
      </rPr>
      <t xml:space="preserve">
Evidencia de la ejecución del control:  </t>
    </r>
    <r>
      <rPr>
        <sz val="10"/>
        <color rgb="FF000000"/>
        <rFont val="Arial Narrow"/>
        <family val="2"/>
      </rPr>
      <t xml:space="preserve">Formatos A-04-F-008 y A-04-F-009 diligenciados.
</t>
    </r>
    <r>
      <rPr>
        <b/>
        <sz val="10"/>
        <color rgb="FF000000"/>
        <rFont val="Arial Narrow"/>
        <family val="2"/>
      </rPr>
      <t xml:space="preserve">
Documentado: </t>
    </r>
    <r>
      <rPr>
        <sz val="10"/>
        <color rgb="FF000000"/>
        <rFont val="Arial Narrow"/>
        <family val="2"/>
      </rPr>
      <t>A-04-P-002 Mantenimiento y desarrollo de las competencias del personal técnico.</t>
    </r>
  </si>
  <si>
    <t>Diana Camargo
Paola Ochoa
Daisy Janneth Vásquez Acosta</t>
  </si>
  <si>
    <t>SMF: En el trimestre evaluado no se presenta materialización del riesgo de cumplimiento a planes de trazabilidad o aseguramiento por competencias del personal. En el segundo trimestre los laboratorios enviaron los formatos A-04-F-008 y A-04-F-009 diligenciados incluyendo actividades de aseguramiento de la validez y trazabilidad.
SMQB: en el segundo trimestre no se materializó el riesgo de daño de equipos por inadecuada competencia del personal. actualmente elpesonal cuenta con los respectivos soportes del A-08-F-008 y A-08-F-009.</t>
  </si>
  <si>
    <t>https://metrologiainm.sharepoint.com/:f:/s/OAP/Es0jzfR09slNg1BNsCAPenoBUS1PagHZ6o5KP-n-XiLJbQ?e=jVLDyC</t>
  </si>
  <si>
    <t>SMQB: en el tercer trimestre no se materializó el riesgo de daño de equipos por inadecuada competencia del personal. Actualmente el pesonal de la SMQB cuenta con los respectivos soportes del A-08-F-008 y A-08-F-009.</t>
  </si>
  <si>
    <r>
      <rPr>
        <b/>
        <sz val="10"/>
        <color rgb="FF000000"/>
        <rFont val="Arial Narrow"/>
        <family val="2"/>
      </rPr>
      <t>Control 8</t>
    </r>
    <r>
      <rPr>
        <sz val="10"/>
        <color rgb="FF000000"/>
        <rFont val="Arial Narrow"/>
        <family val="2"/>
      </rPr>
      <t>: Planear, definir, revisar, aprobar y realizar seguimiento a los requisitos para los insumos, consumibles y reactivos requeridos para el desarrollo de las actividades de los laboratorios del INM</t>
    </r>
    <r>
      <rPr>
        <b/>
        <sz val="10"/>
        <color rgb="FF000000"/>
        <rFont val="Arial Narrow"/>
        <family val="2"/>
      </rPr>
      <t xml:space="preserve">. 
Responsable: </t>
    </r>
    <r>
      <rPr>
        <sz val="10"/>
        <color rgb="FF000000"/>
        <rFont val="Arial Narrow"/>
        <family val="2"/>
      </rPr>
      <t xml:space="preserve">El responsable del laboratorio. 
</t>
    </r>
    <r>
      <rPr>
        <b/>
        <sz val="10"/>
        <color rgb="FF000000"/>
        <rFont val="Arial Narrow"/>
        <family val="2"/>
      </rPr>
      <t xml:space="preserve">
Cómo se realiza la actividad: </t>
    </r>
    <r>
      <rPr>
        <sz val="10"/>
        <color rgb="FF000000"/>
        <rFont val="Arial Narrow"/>
        <family val="2"/>
      </rPr>
      <t xml:space="preserve">Se planea, define, revisa y aprueban los insumos, consumibles y reactivos. Para la SMF, se raliza a través de los formatos M-08-F-023 Insumos físicos y químicos, M-08-F-024 Materiales o herramientas SMF, M-08-F-025 Elementos de protección personal - SMF, siguiendo los lineamientos dados en el procedimiento  M-08-P-007 Gestión de insumos y consumibles de la SMF. Para la SMQB, a través del plan anual de adquisiciones, teniendo en cuenta el comportamiento histórico y las dificultades asociadas a la adquisición del mismo y verificar la cantidad disponible del insumo requerido frente al consumo planeado.
</t>
    </r>
    <r>
      <rPr>
        <b/>
        <sz val="10"/>
        <color rgb="FF000000"/>
        <rFont val="Arial Narrow"/>
        <family val="2"/>
      </rPr>
      <t xml:space="preserve">
Propósito: </t>
    </r>
    <r>
      <rPr>
        <sz val="10"/>
        <color rgb="FF000000"/>
        <rFont val="Arial Narrow"/>
        <family val="2"/>
      </rPr>
      <t xml:space="preserve">Asegurar que se cuenta con los insumos, consumibles y reactivos necesarios para la ejecución de actividades de trazabilidad y aseguiramiento de la validez de los resultados.
</t>
    </r>
    <r>
      <rPr>
        <b/>
        <sz val="10"/>
        <color rgb="FF000000"/>
        <rFont val="Arial Narrow"/>
        <family val="2"/>
      </rPr>
      <t xml:space="preserve">
Periodicidad: </t>
    </r>
    <r>
      <rPr>
        <sz val="10"/>
        <color rgb="FF000000"/>
        <rFont val="Arial Narrow"/>
        <family val="2"/>
      </rPr>
      <t xml:space="preserve">Anualmente
</t>
    </r>
    <r>
      <rPr>
        <b/>
        <sz val="10"/>
        <color rgb="FF000000"/>
        <rFont val="Arial Narrow"/>
        <family val="2"/>
      </rPr>
      <t xml:space="preserve">
Qué pasa con las observaciones o desviaciones: </t>
    </r>
    <r>
      <rPr>
        <sz val="10"/>
        <color rgb="FF000000"/>
        <rFont val="Arial Narrow"/>
        <family val="2"/>
      </rPr>
      <t xml:space="preserve">Si no se cuentan con  insumos, consumibles y reactivos para realizar las actividades de trazabilidad y aseguramiento de la validez de los resultados, se evalúa el impacto junto con el nivel de riesgo si se detecta que se afecta el trabajo en la prestación de servicios o en el equipamiento del laboratorio y se toman las medidas necesarias para asegurar el minimo impacto en la prestación de los servicios para el proceso. 
</t>
    </r>
    <r>
      <rPr>
        <b/>
        <sz val="10"/>
        <color rgb="FF000000"/>
        <rFont val="Arial Narrow"/>
        <family val="2"/>
      </rPr>
      <t xml:space="preserve"> 
Evidencia de la ejecución del control: </t>
    </r>
    <r>
      <rPr>
        <sz val="10"/>
        <color rgb="FF000000"/>
        <rFont val="Arial Narrow"/>
        <family val="2"/>
      </rPr>
      <t xml:space="preserve"> Registros de los formatos M-08-F-023, M-08-F-024 y M-08-F-025 y Plan anual de adquisiciones. 
</t>
    </r>
    <r>
      <rPr>
        <b/>
        <sz val="10"/>
        <color rgb="FF000000"/>
        <rFont val="Arial Narrow"/>
        <family val="2"/>
      </rPr>
      <t xml:space="preserve">Documentado: </t>
    </r>
    <r>
      <rPr>
        <sz val="10"/>
        <color rgb="FF000000"/>
        <rFont val="Arial Narrow"/>
        <family val="2"/>
      </rPr>
      <t>M-08-P-007 Gestión de insumos y consumibles de la SMF. Para la SMQB, a través del plan anual de adquisiciones</t>
    </r>
  </si>
  <si>
    <t xml:space="preserve">SMF: En el periodo evaluado no se evidenciaron hallazgos o materialización del riesgo asociado con el incumplimiento a actividades de aseguramiento de la validez de los resultados. Durante el periodo evaluado no se adelantaron actividades asociadas a definir, revisar y apruebar los insumos, consumibles y reactivos Para la SMF. Esta actividad está prevista para el mes de abril de 2025
SMQB: De acuerdo con el plan anual de adquisiciones versión 3, para el trimestre están planeadas dos contrataciones relacionadas con el control definido: el contrato de adquisición de elementos de laboratorio e insumos está en proceso de revisión del estudio de mercado porparte del repsonsable  y el contrato 093 corresponde a la provisión de gases el cual está en ejecución.
</t>
  </si>
  <si>
    <t>SMF: No aplica. Actividad prevista para el mes de Abril de 2025
SMQB: 
https://metrologiainm.sharepoint.com/sites/OAP/Documentos%20compartidos/Forms/AllItems.aspx?</t>
  </si>
  <si>
    <t>SMF: En el trimestre evaluado no se presenta materialización del riesgo asociado al incumplimiento de actividades de trazabilidad y aseguramiento por falta de insumos, consumibles y reactivos. Se iniciaron los procesos administrativos para la adquisición de insumos teniendo en cuenta el plan de adquisiciones.
SMQB: Durante el segundo trimestre no se presenta materialización del riesgo asociado a incumplimiento de actividades de trazabilidad y aseguramiento de la validez de los resultados por falta de insumos, consumibles o reactivos. El contrato para la adquisición de reactivos está publicado en SECOP, se recibieron observaciones y estan en proceso de resolución de las observaciones remitidas por los proponentes.</t>
  </si>
  <si>
    <t>https://metrologiainm.sharepoint.com/:f:/s/OAP/EuUGSEww6KRIq37EHE01bpgBTNHvDVJSXuMS71eYbEeMhQ?e=F0lfs2</t>
  </si>
  <si>
    <t>SMQB: Durante el tercer trimestre no se presenta materialización del riesgo asociado a incumplimiento de actividades de trazabilidad y aseguramiento de la validez de los resultados por falta de insumos, consumibles o reactivos. El contrato para la adquisición de reactivos se adjudicó en este trimestre y ya se encuentra en ejecución</t>
  </si>
  <si>
    <t>Plan anual de adquisiciones</t>
  </si>
  <si>
    <r>
      <rPr>
        <b/>
        <sz val="10"/>
        <color rgb="FF000000"/>
        <rFont val="Arial Narrow"/>
        <family val="2"/>
      </rPr>
      <t>Control 9:</t>
    </r>
    <r>
      <rPr>
        <sz val="10"/>
        <color rgb="FF000000"/>
        <rFont val="Arial Narrow"/>
        <family val="2"/>
      </rPr>
      <t xml:space="preserve"> Realizar seguimiento al cumplimiento de los planes de trazabilidad externa e interna de los laboratorios de la SMF y al plan de gestión de laboratorios de la SMQB. 
Responsable:  Los subdirectores de la SMF y SMQB o a quien estos designen.
</t>
    </r>
    <r>
      <rPr>
        <b/>
        <sz val="10"/>
        <color rgb="FF000000"/>
        <rFont val="Arial Narrow"/>
        <family val="2"/>
      </rPr>
      <t xml:space="preserve">Cómo se realiza la actividad: </t>
    </r>
    <r>
      <rPr>
        <sz val="10"/>
        <color rgb="FF000000"/>
        <rFont val="Arial Narrow"/>
        <family val="2"/>
      </rPr>
      <t xml:space="preserve">A través de los formatos establecidos para el seguimiento M-08-F-009 para la SMF y el M-03-F-022 para la SMQB y M-08-F-010, relacionados en el procedimiento M-08-P-001 Trazabilidad de las mediciones.
</t>
    </r>
    <r>
      <rPr>
        <b/>
        <sz val="10"/>
        <color rgb="FF000000"/>
        <rFont val="Arial Narrow"/>
        <family val="2"/>
      </rPr>
      <t xml:space="preserve">Propósito: </t>
    </r>
    <r>
      <rPr>
        <sz val="10"/>
        <color rgb="FF000000"/>
        <rFont val="Arial Narrow"/>
        <family val="2"/>
      </rPr>
      <t xml:space="preserve">Asegurar que se hace seguimiento a los planes de trazabilidad interna, externa y de aseguramiento de la validez de los resultados para los laboratorios de la SMF. 
</t>
    </r>
    <r>
      <rPr>
        <b/>
        <sz val="10"/>
        <color rgb="FF000000"/>
        <rFont val="Arial Narrow"/>
        <family val="2"/>
      </rPr>
      <t xml:space="preserve">Periodicidad: </t>
    </r>
    <r>
      <rPr>
        <sz val="10"/>
        <color rgb="FF000000"/>
        <rFont val="Arial Narrow"/>
        <family val="2"/>
      </rPr>
      <t xml:space="preserve">Cada mes
</t>
    </r>
    <r>
      <rPr>
        <b/>
        <sz val="10"/>
        <color rgb="FF000000"/>
        <rFont val="Arial Narrow"/>
        <family val="2"/>
      </rPr>
      <t xml:space="preserve">Qué pasa con las observaciones o desviaciones: </t>
    </r>
    <r>
      <rPr>
        <sz val="10"/>
        <color rgb="FF000000"/>
        <rFont val="Arial Narrow"/>
        <family val="2"/>
      </rPr>
      <t>Si no se realizan las actividades de trazabilidad interna programadas, se evalúa el impacto junto con el nivel de riesgo si se detecta que se afecta el trabajo en la prestación de servicios o en el equipamiento del laboratorio.
Si no hay actividades programadas en la vigencia, informa vía correo electrónico al personal de apoyo de calidad de la SMF.</t>
    </r>
    <r>
      <rPr>
        <b/>
        <sz val="10"/>
        <color rgb="FF000000"/>
        <rFont val="Arial Narrow"/>
        <family val="2"/>
      </rPr>
      <t xml:space="preserve"> 
Evidencia de la ejecución del control: </t>
    </r>
    <r>
      <rPr>
        <sz val="10"/>
        <color rgb="FF000000"/>
        <rFont val="Arial Narrow"/>
        <family val="2"/>
      </rPr>
      <t xml:space="preserve"> Registros de los formatos M-08-F-009 para la SMF y el M-03-F-022 para la SMQB y M-08-F-010.
</t>
    </r>
    <r>
      <rPr>
        <b/>
        <sz val="10"/>
        <color rgb="FF000000"/>
        <rFont val="Arial Narrow"/>
        <family val="2"/>
      </rPr>
      <t>Documentado</t>
    </r>
    <r>
      <rPr>
        <sz val="10"/>
        <color rgb="FF000000"/>
        <rFont val="Arial Narrow"/>
        <family val="2"/>
      </rPr>
      <t>: M-08-M-001 Manual de gestión de equipamiento</t>
    </r>
  </si>
  <si>
    <t>2025-04-14
2025-04-21</t>
  </si>
  <si>
    <t>SMF: En el periodo evaluado no se evidenciaron hallazgos o materialización del riesgo asociado con el incumplimiento a planes de trazabilidad de los laboratorios. Se realizó seguimiento mensual al cumplimiento de planes de trazabilidad.
SMQB: Durante el trimestre no se materializó el riesgo, dado que se realizaron los seguimientos mensuales al Plan de gestión de laboratorios de la SMQB y por lo tanto no se afectó el funcionamiento ni la integridad de los patrones o sistemas de medición.</t>
  </si>
  <si>
    <t>Matriz de trazabilidad
https://metrologiainm.sharepoint.com/:x:/s/TrazabilidadSMF2/ETq3jN1lwfdAgESCNTXiPjwBld7-A0WPNA78dHMcJHHFuw
Plan de gestión de laboratorios: 
https://metrologiainm.sharepoint.com/:x:/r/sites/OAP/_layouts/15/Doc.aspx?sourcedoc=%7B345F2AA4-A76E-4909-A364-5883E9009C2F%7D&amp;file=M-03-F-022%20Plan%20de%20gestion%20de%20laboratorios%202025.xlsm&amp;action=default&amp;mobileredirect=true</t>
  </si>
  <si>
    <t>SMF: De acuerdo con el seguimiento mensual al plan de trazabilidad, en el trimestre evaluado se presentaron algunos retrasos en la ejecución de actividades de algunos laboratorios. Lo anterior se asocia con disponibilidad del personal o contratación de agente aduanero. El impacto se analiza en el registro M-08-F-009. Sin embargo no se reportó afectación en la prestación de los servicios.
SMQB: Durante el trimestre evaluado no se presenta la materialización del riesgo y se evidenica la ejecución del control a tarvés del seguimeinto mensual del Plan de gestión d elaboratorios M-03-F-022</t>
  </si>
  <si>
    <t>Plan de trazabilidad:
https://metrologiainm.sharepoint.com/:x:/s/TrazabilidadSMF2/ETq3jN1lwfdAgESCNTXiPjwBld7-A0WPNA78dHMcJHHFuw
Plan de gestión de laboratorios:
https://metrologiainm.sharepoint.com/sites/OAP/Documentos%20compartidos/Forms/AllItems.aspx?id=%2Fsites%2FOAP%2FDocumentos%20compartidos%2FSIG%2FGesti%C3%B3n%20del%20riesgo%2F2025%2F4%2E%20Seguimientos%20trimestrales%2FEvidencias%20de%20ejecuci%C3%B3n%20de%20controles%2FEvidencias%20riesgos%20fiscales%2FGesti%C3%B3n%20de%20patrones%20naciones%20y%20SM%2FSegundo%20trimestre%2FM08%2DRF1%2FControl%209&amp;viewid=231582db%2D4441%2D4e1e%2D91ad%2D7c568c565fce&amp;p=true&amp;ct=1753135163812&amp;or=OWA%2DNT%2DMail&amp;cid=9e60ef36%2D6242%2D45b1%2D6ee3%2D2a5437302ec7&amp;ga=1</t>
  </si>
  <si>
    <t xml:space="preserve">SMQB: Durante el trimestre evaluado no se presenta la materialización del riesgo. Se evidenica la ejecución del control de las actividades de aseguramiento a través del seguimeinto mensual del M-03-F-022 Plan de gestión de laboratorios </t>
  </si>
  <si>
    <t>Plan de gestión de laboratorios SMQB</t>
  </si>
  <si>
    <r>
      <rPr>
        <b/>
        <sz val="10"/>
        <color rgb="FF000000"/>
        <rFont val="Arial Narrow"/>
        <family val="2"/>
      </rPr>
      <t>Control 10:</t>
    </r>
    <r>
      <rPr>
        <sz val="10"/>
        <color rgb="FF000000"/>
        <rFont val="Arial Narrow"/>
        <family val="2"/>
      </rPr>
      <t xml:space="preserve"> Establecer cuando sea posible, mínimo tres proveedores de trazabilidad externa (de acuerdo a las especificaciones técnicas y política CIPM)
</t>
    </r>
    <r>
      <rPr>
        <b/>
        <sz val="10"/>
        <color rgb="FF000000"/>
        <rFont val="Arial Narrow"/>
        <family val="2"/>
      </rPr>
      <t xml:space="preserve">Responsable: </t>
    </r>
    <r>
      <rPr>
        <sz val="10"/>
        <color rgb="FF000000"/>
        <rFont val="Arial Narrow"/>
        <family val="2"/>
      </rPr>
      <t xml:space="preserve">El responsable del laboratorio 
</t>
    </r>
    <r>
      <rPr>
        <b/>
        <sz val="10"/>
        <color rgb="FF000000"/>
        <rFont val="Arial Narrow"/>
        <family val="2"/>
      </rPr>
      <t xml:space="preserve">Cómo se realiza la actividad:  </t>
    </r>
    <r>
      <rPr>
        <sz val="10"/>
        <color rgb="FF000000"/>
        <rFont val="Arial Narrow"/>
        <family val="2"/>
      </rPr>
      <t xml:space="preserve">Se realiza la selección de mínimo tres proveedores de trazabilidad registrandolo a través del formato M-08-F-009 Plan de Trazabilidad - SMF teniendo en cuenta lo establecido en el procedimiento M-08-P-001 Trazabilidad de las mediciones. 
</t>
    </r>
    <r>
      <rPr>
        <b/>
        <sz val="10"/>
        <color rgb="FF000000"/>
        <rFont val="Arial Narrow"/>
        <family val="2"/>
      </rPr>
      <t xml:space="preserve">Propósito: </t>
    </r>
    <r>
      <rPr>
        <sz val="10"/>
        <color rgb="FF000000"/>
        <rFont val="Arial Narrow"/>
        <family val="2"/>
      </rPr>
      <t xml:space="preserve">Asegurar que se cuenta con más de un proveedor de trazabilidad (cuando sea posible) para tener criterios técnicos adicionales a cuando se cuenta con solo un proveedor de trazabilidad externa. 
</t>
    </r>
    <r>
      <rPr>
        <b/>
        <sz val="10"/>
        <color rgb="FF000000"/>
        <rFont val="Arial Narrow"/>
        <family val="2"/>
      </rPr>
      <t xml:space="preserve">Periodicidad: </t>
    </r>
    <r>
      <rPr>
        <sz val="10"/>
        <color rgb="FF000000"/>
        <rFont val="Arial Narrow"/>
        <family val="2"/>
      </rPr>
      <t xml:space="preserve">Semestral o anual
</t>
    </r>
    <r>
      <rPr>
        <b/>
        <sz val="10"/>
        <color rgb="FF000000"/>
        <rFont val="Arial Narrow"/>
        <family val="2"/>
      </rPr>
      <t xml:space="preserve">Qué pasa con las observaciones o desviaciones: </t>
    </r>
    <r>
      <rPr>
        <sz val="10"/>
        <color rgb="FF000000"/>
        <rFont val="Arial Narrow"/>
        <family val="2"/>
      </rPr>
      <t xml:space="preserve">Si definitavamente se cuenta unicamente con un solo proveedor de trazabilidad metrológica para el o los laboratorios del INM, se registra en el formato M-08-F-009 Plan de Trazabilidad - SMF el porqué solo es un solo proveedor.
</t>
    </r>
    <r>
      <rPr>
        <b/>
        <sz val="10"/>
        <color rgb="FF000000"/>
        <rFont val="Arial Narrow"/>
        <family val="2"/>
      </rPr>
      <t xml:space="preserve">Evidencia de la ejecución del control: </t>
    </r>
    <r>
      <rPr>
        <sz val="10"/>
        <color rgb="FF000000"/>
        <rFont val="Arial Narrow"/>
        <family val="2"/>
      </rPr>
      <t xml:space="preserve">M-08-F-009 Plan de Trazabilidad - SMF
</t>
    </r>
    <r>
      <rPr>
        <b/>
        <sz val="10"/>
        <color rgb="FF000000"/>
        <rFont val="Arial Narrow"/>
        <family val="2"/>
      </rPr>
      <t xml:space="preserve">Documentado: </t>
    </r>
    <r>
      <rPr>
        <sz val="10"/>
        <color rgb="FF000000"/>
        <rFont val="Arial Narrow"/>
        <family val="2"/>
      </rPr>
      <t>Procedimiento M-08-P-001 Trazabilidad de las mediciones</t>
    </r>
  </si>
  <si>
    <t>Diana Camargo
Paola Ochoa
Daisy Janneth Vásquez Acosta - SQMB</t>
  </si>
  <si>
    <t xml:space="preserve">SMF: Los laboratorios establecen tres proveedores de trazabilidad externa en el plan de trazabilidad formato M-08-F-009. Cuando esto no es posible, diligencian el motivo por el cual no se cuenta con tres proveedores.
SMQB: no se materializa el riesgo, dado que no se requirió en el trimestre servicios de trazabilidad externa con otros proveedores. </t>
  </si>
  <si>
    <t>Matriz de trazabilidad
https://metrologiainm.sharepoint.com/:x:/s/TrazabilidadSMF2/ETq3jN1lwfdAgESCNTXiPjwBld7-A0WPNA78dHMcJHHFuw</t>
  </si>
  <si>
    <t>SMF: Los laboratorios establecen 3 proveedores de trazabilidad externa en el registro M-08-F-009. Cuando esto no es posible, indican los motivos para la identificación de menos proveedores.
SMQB: Durante los meses de abril a junio no se evidencia materialización del riesgo debido a que en este periodo no se solicitaron servicios de trazabilidad externa para la subdirección.</t>
  </si>
  <si>
    <t>Plan de trazabilidad:
https://metrologiainm.sharepoint.com/:x:/s/TrazabilidadSMF2/ETq3jN1lwfdAgESCNTXiPjwBld7-A0WPNA78dHMcJHHFuw</t>
  </si>
  <si>
    <t xml:space="preserve">SMQB: Durante los meses de julio a septiembre no se evidencia materialización. En el mes de septiembre se envío el medidor de impedancia a calibración en el CENAM. </t>
  </si>
  <si>
    <t>Salida de medidor de impedancia</t>
  </si>
  <si>
    <t>M08-RF2</t>
  </si>
  <si>
    <t xml:space="preserve">por resultados de calibración externa emitidos por el proveedor de trazabilidad, fuera de los requisitos establecidos por los laboratorios. 
Inadecuada selección del proveedor de trazabilidad externa 
Falta de relacionamiento y comunicación con el proveedor de trazabilidad externa. </t>
  </si>
  <si>
    <t xml:space="preserve">a causa de una debilidad en el seguimiento por parte del personal del INM al proveedor de trazabilidad externa. </t>
  </si>
  <si>
    <t>Posibilidad de efecto dañoso sobre el recurso del INM por resultados de calibración externa emitidos por el proveedor de trazabilidad, fuera de los requisitos establecidos por los laboratorios del INM de Colombia a causa de una debilidad en el seguimiento por parte del personal del INM al proveedor de trazabilidad externa.</t>
  </si>
  <si>
    <r>
      <t>Control 1:</t>
    </r>
    <r>
      <rPr>
        <sz val="10"/>
        <color rgb="FF000000"/>
        <rFont val="Arial Narrow"/>
        <family val="2"/>
      </rPr>
      <t xml:space="preserve"> Verificar que los instrumentos de medición que estuvieron fuera del control del laboratorio cumplen los requisitos especificados antes de reincorporarlos al proceso.
</t>
    </r>
    <r>
      <rPr>
        <b/>
        <sz val="10"/>
        <color rgb="FF000000"/>
        <rFont val="Arial Narrow"/>
        <family val="2"/>
      </rPr>
      <t xml:space="preserve">Responsable:  </t>
    </r>
    <r>
      <rPr>
        <sz val="10"/>
        <color rgb="FF000000"/>
        <rFont val="Arial Narrow"/>
        <family val="2"/>
      </rPr>
      <t xml:space="preserve">El personal del laboratorio.
</t>
    </r>
    <r>
      <rPr>
        <b/>
        <sz val="10"/>
        <color rgb="FF000000"/>
        <rFont val="Arial Narrow"/>
        <family val="2"/>
      </rPr>
      <t xml:space="preserve">Cómo se realiza la actividad: </t>
    </r>
    <r>
      <rPr>
        <sz val="10"/>
        <color rgb="FF000000"/>
        <rFont val="Arial Narrow"/>
        <family val="2"/>
      </rPr>
      <t xml:space="preserve">Se realiza una revisión de funcionamiento y condiciones físicas de los patrones o equipos y los certificados o demás documentación relacionada con la actividad de trazabilidad realizada, elaborando así, un informe para presentar a la subdirección usando el formato E-02-F-011 Modelo de informe. Tomando como base los lineamientos establecidos en los procedimientos M-08-P-001 TRAZABILIDAD DE LAS MEDICIONES DEL INM y el M-01-P-002 PRESTACIÓN DE SERVICIOS DE CALIBRACIÓN O MEDICIÓN EN SITIO. 
</t>
    </r>
    <r>
      <rPr>
        <b/>
        <sz val="10"/>
        <color rgb="FF000000"/>
        <rFont val="Arial Narrow"/>
        <family val="2"/>
      </rPr>
      <t xml:space="preserve">Propósito: </t>
    </r>
    <r>
      <rPr>
        <sz val="10"/>
        <color rgb="FF000000"/>
        <rFont val="Arial Narrow"/>
        <family val="2"/>
      </rPr>
      <t xml:space="preserve">Verifica que los instrumentos de medición que estuvieron fuera del control del laboratorio cumplen los requisitos especificados antes de reincorporarlos al proceso.
</t>
    </r>
    <r>
      <rPr>
        <b/>
        <sz val="10"/>
        <color rgb="FF000000"/>
        <rFont val="Arial Narrow"/>
        <family val="2"/>
      </rPr>
      <t xml:space="preserve">Periodicidad: </t>
    </r>
    <r>
      <rPr>
        <sz val="10"/>
        <color rgb="FF000000"/>
        <rFont val="Arial Narrow"/>
        <family val="2"/>
      </rPr>
      <t xml:space="preserve">Cada vez que retorna un equipo de medición que ha tenido un proceso de trazabilidad externa. 
</t>
    </r>
    <r>
      <rPr>
        <b/>
        <sz val="10"/>
        <color rgb="FF000000"/>
        <rFont val="Arial Narrow"/>
        <family val="2"/>
      </rPr>
      <t xml:space="preserve">Qué pasa con las observaciones o desviaciones: </t>
    </r>
    <r>
      <rPr>
        <sz val="10"/>
        <color rgb="FF000000"/>
        <rFont val="Arial Narrow"/>
        <family val="2"/>
      </rPr>
      <t xml:space="preserve">Si se presenta alguna falla de funcionamiento en los equipos, tomar las medidas necesarias en conjunto con la subdirección.
Si el equipo viene con Declaración de Importación, guardar el número, adjuntar copia de la misma o de los documentos de transporte del Ítem.
</t>
    </r>
    <r>
      <rPr>
        <b/>
        <sz val="10"/>
        <color rgb="FF000000"/>
        <rFont val="Arial Narrow"/>
        <family val="2"/>
      </rPr>
      <t xml:space="preserve">
Evidencia de la ejecución del control: </t>
    </r>
    <r>
      <rPr>
        <sz val="10"/>
        <color rgb="FF000000"/>
        <rFont val="Arial Narrow"/>
        <family val="2"/>
      </rPr>
      <t xml:space="preserve">E-02-F-011 Modelo de informe.
</t>
    </r>
    <r>
      <rPr>
        <b/>
        <sz val="10"/>
        <color rgb="FF000000"/>
        <rFont val="Arial Narrow"/>
        <family val="2"/>
      </rPr>
      <t>Documentado:</t>
    </r>
    <r>
      <rPr>
        <sz val="10"/>
        <color rgb="FF000000"/>
        <rFont val="Arial Narrow"/>
        <family val="2"/>
      </rPr>
      <t xml:space="preserve"> M-08-M-001 Manual de gestión de equipamiento y M-08-P-001 Trazabilidad de las mediciones.</t>
    </r>
  </si>
  <si>
    <t xml:space="preserve">Trazabilidad (interna/externa) con cumplimiento de las actividades planificadas permitiendo analizar, controlar y ajustar según sea necesario para mantener la trazabilidad metrológica de los resultados de sus mediciones al SI </t>
  </si>
  <si>
    <t>SMF: En el periodo evaluado se presenta una situación con los equipos adquiridos por el laboratorio de calidad de energia en la cual, los equipos llegaron en diciembre de 2024 desde Australia y su proceso de instalación se realizó en los meses de enero y febrero de 2025, evidenciando un funcionamiento no satisfactorio. Como tal estos equipos son nuevos y no estuvieron fuera del control del laboratorio, pero se requiere activar la garantia con el proveedor para su reparación, calibración y por ende el envío de los mismos a Australia, generando una afectacion al recurso del INM. Este recurso corresponde al sobrante del valor asociado al contrato de agente aduanero número 134 de 2024, el cual tiene una reserva presupuestal hasta el 30 de Abril 2025.
En el caso del laboratorio de masa, a finales de 2024 se enviaron equipos a trazabilidad externa al PTB y se recibió notificación en el mes de enero de 2025 de afectación en los estuches de transporte. A la fecha no se ha realizado la calibración de los patrones (programada para el mes de mayo) por lo que no se conoce si hay impacto real sobre las pesas y la materializacion del riesgo. Se podria considerar una afectacion a los bienes y al recurso pues se requiere el cambio de los estuches.
No se reporta por parte de los laboratorios CCyCA y Longitud situaciones con los equipos que regresaron de trazabilidad externa.
SMQB: Durante el trimestre no se materializó el riesgo, dado que no se realizaron actividades de trazabilidad externa que afectaran el funcionamiento o la integridad de los patrones o sistemas de medición.</t>
  </si>
  <si>
    <t>Plan de gestión de laboratorios</t>
  </si>
  <si>
    <r>
      <rPr>
        <b/>
        <sz val="10"/>
        <color rgb="FF000000"/>
        <rFont val="Arial Narrow"/>
        <family val="2"/>
      </rPr>
      <t>Control 2:</t>
    </r>
    <r>
      <rPr>
        <sz val="10"/>
        <color rgb="FF000000"/>
        <rFont val="Arial Narrow"/>
        <family val="2"/>
      </rPr>
      <t xml:space="preserve"> Establecer cuando sea posible, mínimo tres proveedores de trazabilidad externa (de acuerdo a las especificaciones técnicas y política CIPM)
</t>
    </r>
    <r>
      <rPr>
        <b/>
        <sz val="10"/>
        <color rgb="FF000000"/>
        <rFont val="Arial Narrow"/>
        <family val="2"/>
      </rPr>
      <t xml:space="preserve">Responsable: </t>
    </r>
    <r>
      <rPr>
        <sz val="10"/>
        <color rgb="FF000000"/>
        <rFont val="Arial Narrow"/>
        <family val="2"/>
      </rPr>
      <t xml:space="preserve">El responsable del laboratorio 
</t>
    </r>
    <r>
      <rPr>
        <b/>
        <sz val="10"/>
        <color rgb="FF000000"/>
        <rFont val="Arial Narrow"/>
        <family val="2"/>
      </rPr>
      <t xml:space="preserve">Cómo se realiza la actividad:  </t>
    </r>
    <r>
      <rPr>
        <sz val="10"/>
        <color rgb="FF000000"/>
        <rFont val="Arial Narrow"/>
        <family val="2"/>
      </rPr>
      <t xml:space="preserve">Se realiza la selección de mínimo tres proveedores de trazabilidad registrandolo a través del formato M-08-F-009 Plan de Trazabilidad - SMF teniendo en cuenta lo establecido en el procedimiento M-08-P-001 Trazabilidad de las mediciones. 
</t>
    </r>
    <r>
      <rPr>
        <b/>
        <sz val="10"/>
        <color rgb="FF000000"/>
        <rFont val="Arial Narrow"/>
        <family val="2"/>
      </rPr>
      <t xml:space="preserve">Propósito: </t>
    </r>
    <r>
      <rPr>
        <sz val="10"/>
        <color rgb="FF000000"/>
        <rFont val="Arial Narrow"/>
        <family val="2"/>
      </rPr>
      <t xml:space="preserve">Asegurar que se cuenta con más de un proveedor de trazabilidad (cuando sea posible) para tener criterios técnicos adicionales a cuando se cuenta con solo un proveedor de trazabilidad externa. 
</t>
    </r>
    <r>
      <rPr>
        <b/>
        <sz val="10"/>
        <color rgb="FF000000"/>
        <rFont val="Arial Narrow"/>
        <family val="2"/>
      </rPr>
      <t xml:space="preserve">Periodicidad: </t>
    </r>
    <r>
      <rPr>
        <sz val="10"/>
        <color rgb="FF000000"/>
        <rFont val="Arial Narrow"/>
        <family val="2"/>
      </rPr>
      <t xml:space="preserve">Semestral o anual
</t>
    </r>
    <r>
      <rPr>
        <b/>
        <sz val="10"/>
        <color rgb="FF000000"/>
        <rFont val="Arial Narrow"/>
        <family val="2"/>
      </rPr>
      <t xml:space="preserve">Qué pasa con las observaciones o desviaciones: </t>
    </r>
    <r>
      <rPr>
        <sz val="10"/>
        <color rgb="FF000000"/>
        <rFont val="Arial Narrow"/>
        <family val="2"/>
      </rPr>
      <t xml:space="preserve">Si definitavamente se cuenta unicamente con un solo proveedor de trazabilidad metrológica para el o los laboratorios del INM, se registra en el formato M-08-F-009 Plan de Trazabilidad - SMF el porqué solo es un solo proveedor.
</t>
    </r>
    <r>
      <rPr>
        <b/>
        <sz val="10"/>
        <color rgb="FF000000"/>
        <rFont val="Arial Narrow"/>
        <family val="2"/>
      </rPr>
      <t xml:space="preserve">Evidencia de la ejecución del control: </t>
    </r>
    <r>
      <rPr>
        <sz val="10"/>
        <color rgb="FF000000"/>
        <rFont val="Arial Narrow"/>
        <family val="2"/>
      </rPr>
      <t xml:space="preserve">M-08-F-009 Plan de Trazabilidad - SMF
</t>
    </r>
    <r>
      <rPr>
        <b/>
        <sz val="10"/>
        <color rgb="FF000000"/>
        <rFont val="Arial Narrow"/>
        <family val="2"/>
      </rPr>
      <t xml:space="preserve">Documentado: </t>
    </r>
    <r>
      <rPr>
        <sz val="10"/>
        <color rgb="FF000000"/>
        <rFont val="Arial Narrow"/>
        <family val="2"/>
      </rPr>
      <t>Procedimiento M-08-P-001 Trazabilidad de las mediciones</t>
    </r>
  </si>
  <si>
    <t>Revisar la matriz de trazabilidad asegurando que todos los laboratorios tengan la información de los tres proveedores de trazabilidad externa. Cuando no apliquen los tres proveedores, revisar que la justificación esté incluida en el campo del formato que corresponda</t>
  </si>
  <si>
    <t>Enlaces de calidad de la SMF</t>
  </si>
  <si>
    <t xml:space="preserve">SMF: Los laboratorios establecen tres proveedores de trazabilidad externa en el plan de trazabilidad formato M-08-F-009. Cuando esto no es posible, diligencian el motivo por el cual no se cuenta con tres proveedores.
SMQB: no se materializa el riesgo, dado que no se requirió en el trimestre servicios de trazabilidad externa con otros proveedores, los servicios de trazabilidad de la subdirección se realizan con los laboratorios de la SMF. </t>
  </si>
  <si>
    <t>Salida medidor de impedancia</t>
  </si>
  <si>
    <r>
      <t>Control 3:</t>
    </r>
    <r>
      <rPr>
        <sz val="11"/>
        <color rgb="FF000000"/>
        <rFont val="Arial Narrow"/>
        <family val="2"/>
      </rPr>
      <t xml:space="preserve"> Realizar seguimiento a los resultados emitidos por parte del proveedor de trazabilidad externa.
</t>
    </r>
    <r>
      <rPr>
        <b/>
        <sz val="11"/>
        <color rgb="FF000000"/>
        <rFont val="Arial Narrow"/>
        <family val="2"/>
      </rPr>
      <t xml:space="preserve">Responsable: </t>
    </r>
    <r>
      <rPr>
        <sz val="11"/>
        <color rgb="FF000000"/>
        <rFont val="Arial Narrow"/>
        <family val="2"/>
      </rPr>
      <t xml:space="preserve">Responsable del laboratorio del INM de Colombia o a quien este designe.
</t>
    </r>
    <r>
      <rPr>
        <b/>
        <sz val="11"/>
        <color rgb="FF000000"/>
        <rFont val="Arial Narrow"/>
        <family val="2"/>
      </rPr>
      <t xml:space="preserve">Cómo se realiza la actividad:  </t>
    </r>
    <r>
      <rPr>
        <sz val="11"/>
        <color rgb="FF000000"/>
        <rFont val="Arial Narrow"/>
        <family val="2"/>
      </rPr>
      <t xml:space="preserve">Solicitar al proveedor de trazabilidad externa los certificados de calibración del equipamiento para revisar los resultados, antes que el equipo o sistema de medición salga de sus instalaciones.
</t>
    </r>
    <r>
      <rPr>
        <b/>
        <sz val="11"/>
        <color rgb="FF000000"/>
        <rFont val="Arial Narrow"/>
        <family val="2"/>
      </rPr>
      <t xml:space="preserve">Propósito: </t>
    </r>
    <r>
      <rPr>
        <sz val="11"/>
        <color rgb="FF000000"/>
        <rFont val="Arial Narrow"/>
        <family val="2"/>
      </rPr>
      <t xml:space="preserve">Realizar cualquier solicitud de revisión o corrección de los resultados, y así no incurrir en nuevos costos de transporte, si la calibración no se ha realizado según los requisitos especificados.
</t>
    </r>
    <r>
      <rPr>
        <b/>
        <sz val="11"/>
        <color rgb="FF000000"/>
        <rFont val="Arial Narrow"/>
        <family val="2"/>
      </rPr>
      <t xml:space="preserve">Periodicidad: </t>
    </r>
    <r>
      <rPr>
        <sz val="11"/>
        <color rgb="FF000000"/>
        <rFont val="Arial Narrow"/>
        <family val="2"/>
      </rPr>
      <t xml:space="preserve">Cada vez que se requiera que un equipo o sistema de medición retorne al INM de Colombia. 
</t>
    </r>
    <r>
      <rPr>
        <b/>
        <sz val="11"/>
        <color rgb="FF000000"/>
        <rFont val="Arial Narrow"/>
        <family val="2"/>
      </rPr>
      <t xml:space="preserve">Qué pasa con las observaciones o desviaciones:  </t>
    </r>
    <r>
      <rPr>
        <sz val="11"/>
        <color rgb="FF000000"/>
        <rFont val="Arial Narrow"/>
        <family val="2"/>
      </rPr>
      <t xml:space="preserve">Si se requiere correcciones a los resultados de medición emitidos por parte del proveedor de trazabilidad externo, se le informa para que se realicen los ajustes necesarios (si aplica). 
</t>
    </r>
    <r>
      <rPr>
        <b/>
        <sz val="11"/>
        <color rgb="FF000000"/>
        <rFont val="Arial Narrow"/>
        <family val="2"/>
      </rPr>
      <t xml:space="preserve">Evidencia de la ejecución del control: </t>
    </r>
    <r>
      <rPr>
        <sz val="11"/>
        <color rgb="FF000000"/>
        <rFont val="Arial Narrow"/>
        <family val="2"/>
      </rPr>
      <t xml:space="preserve">Correo electrónico. 
</t>
    </r>
    <r>
      <rPr>
        <b/>
        <sz val="11"/>
        <color rgb="FF000000"/>
        <rFont val="Arial Narrow"/>
        <family val="2"/>
      </rPr>
      <t xml:space="preserve">Documentado: </t>
    </r>
    <r>
      <rPr>
        <sz val="11"/>
        <color rgb="FF000000"/>
        <rFont val="Arial Narrow"/>
        <family val="2"/>
      </rPr>
      <t>Procedimiento M-08-P-001 TRAZABILIDAD DE LAS MEDICIONES DEL INM</t>
    </r>
  </si>
  <si>
    <t>SMF: Los laboratorios que tenian equipos en trazabilidad externa en el primer trimestre de 2025, estuvieron en comunicacion con el proveedor para solicitar los resultados antes de la salida de los equipos, con el fin de realizar una revision a los mismos.</t>
  </si>
  <si>
    <t>https://metrologiainm.sharepoint.com/:f:/s/OAP/Eo8ijJFxI0NKpIzIquwXsLIBK4Q7cYrayjTB7h8kGwkSlw?e=XvzgjX</t>
  </si>
  <si>
    <t>SMF: Durante el trimestre evaluado no se presenta materialización del riesgo. No se llevaron a cabo servicios de calibración por parte de proveedor externo. Se espera que los proximos servicios se lleven a cabo en el ultimo trimestre del año.
SMQB: Durante los meses de abril a junio no se evidencia materialización del riesgo debido a que en este periodo no se solicitaron servicios de trazabilidad externa para la subdirección.</t>
  </si>
  <si>
    <t>SMQB: Durante los meses de julio a septiembre no se evidencia materialización. En el trimestre no se recibieron resultados de la calibración del medidor de impedancia.</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</si>
  <si>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</si>
  <si>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</si>
  <si>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Casi seguro</t>
  </si>
  <si>
    <t>Probable</t>
  </si>
  <si>
    <t>Posible</t>
  </si>
  <si>
    <t>R1</t>
  </si>
  <si>
    <t>Improbable</t>
  </si>
  <si>
    <t>Rara vez</t>
  </si>
  <si>
    <t>Insignificante</t>
  </si>
  <si>
    <t>Mayor</t>
  </si>
  <si>
    <t>Mapa de calor</t>
  </si>
  <si>
    <t>Instructivo de diligenciamiento de la Matriz de Riesgos</t>
  </si>
  <si>
    <t>En el presente instructivo se disponen cada una de las columnas que conforman la Matriz de riesgos, dándose una breve explicación de la información que corresponde en ellas, y las referencias que las determinan, está enlazada con la hoja "Base" en los casos que aplique, dónde se encuentran las tablas que desarrollan la metodología propuesta por el DAFP y otra información complementaria propia del INM.</t>
  </si>
  <si>
    <t>Descripción</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</si>
  <si>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</si>
  <si>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</si>
  <si>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Riesgo</t>
  </si>
  <si>
    <t>Definición (breve) del riesgo identificado.</t>
  </si>
  <si>
    <t>Descripción detallada del riesgo, de tal forma que se pueda dar una mayor comprensión del mismo.</t>
  </si>
  <si>
    <t xml:space="preserve">[lista desplegable] Proceso dónde el logro de los objetivos se puede ver afectado negativamente por una posible materialización del riesgo, es decir, independientemente a quien corresponde establecer los controles para contrarestar las causas, dada la integridad del sistema y el funcionamiento por procesos. La denominación de "tranversal" en el campo, indica que el riesgo tiene cubrimiento transversal a todos los procesos, son eventos identificados que afectan el logro de los objetivos, en este caso el seguimiento se debe dar por cada uno de los procesos.
</t>
  </si>
  <si>
    <t>Clase</t>
  </si>
  <si>
    <t xml:space="preserve">[lista desplegable] Tipología de los riesgos, según la guía de referencia del DAFP.
</t>
  </si>
  <si>
    <t>Activo de Información</t>
  </si>
  <si>
    <t>Activo de información del riesgo, aplica únicamente para los riesgos de seguridad de la información.</t>
  </si>
  <si>
    <t>Factores externos</t>
  </si>
  <si>
    <t xml:space="preserve">Factores externos que inciden sobre el riesgo. En conjunto con los factores internos, conforman el contexto del proceso.
</t>
  </si>
  <si>
    <t>Factores Internos</t>
  </si>
  <si>
    <t>Factores internos que inciden sobre el riesgo. En conjunto con los factores externos, conforman el contexto del proceso.</t>
  </si>
  <si>
    <t>Amenaza</t>
  </si>
  <si>
    <t>Situación potencial de un incidente no deseado, el cual puede ocasionar daño a un sistema o a una organización.</t>
  </si>
  <si>
    <t>Causa / Vulnerabilidad</t>
  </si>
  <si>
    <t xml:space="preserve">Se tiene como causa a todos aquellos factores internos y externos que solos o en combinación con otros, pueden producir la materialización de un riesgo. Para el caso de los riesgos de seguridad digital la vulnerabilidad es una debilidad, atributo, causa o falta de control que permitiría la explotación por parte de una o más amenazas contra los activos. Las causas se deben trabajar de manera separada (una fila para cada causa, no combinarlas en una misma celda) para facilitar el seguimiento dentro de la matriz.
</t>
  </si>
  <si>
    <t>Consecuencias</t>
  </si>
  <si>
    <t xml:space="preserve">Los efectos o situaciones resultantes de la materialización del riesgo que impactan en el proceso, la entidad, sus grupos de valor y demás partes interesadas.
</t>
  </si>
  <si>
    <t xml:space="preserve">[lista desplegable] Se entiende como la posibilidad de ocurrencia del riesgo. Esta puede ser medida con criterios de frecuencia o factibilidad. La tabla de referencia para la selección del valor se encuentra en la hoja "Base" tabla "Nivel Probabilidad".
</t>
  </si>
  <si>
    <t>[lista desplegable] El impacto se entiende como las consecuencias que puede ocasionar a la entidad la materialización del riesgo. Según el tipo de riesgo se evalúa el impacto, es decir, la tabla de impacto es distinta para los riesgos de Gestión (de proceso, estratégicos, de proyecto, de contrato), riesgos de seguridad digital, y riesgos de corrupción. 
Para éstos últimos, el nivel de impacto resulta del cómputo de unos puntajes definidos, es decir, se debe completar la tabla de la hoja "Evaluación impacto Corrupción" donde se contestan las preguntas planteadas y se obtiene el valor de impacto que aplica para cada uno de los riesgos evaluados, y posteriormente, el nivel de impacto del riesgo es trasladado a la matriz de riesgos.</t>
  </si>
  <si>
    <t>Riesgo Inherente</t>
  </si>
  <si>
    <t xml:space="preserve">[Fórmula] Según la selección tanto del impacto (eje x) como de la probabilidad (eje y) se ubica en el mapa de calor el nivel de riesgo inherente.
</t>
  </si>
  <si>
    <t>Tratamiento del Riesgo</t>
  </si>
  <si>
    <t xml:space="preserve">[lista desplegable] En este caso se debe seleccionar que tipo de tratamiento va a dársele al riesgo, seleccionando de la tabla referenciada.
</t>
  </si>
  <si>
    <t>Control</t>
  </si>
  <si>
    <r>
      <t xml:space="preserve">Medida que modifica el riesgo (procesos, políticas, dispositivos, prácticas u otras acciones). Un control puede ser eficiente y ayudar a mitigar varias causas, pero debe ser clara la forma en la que éste actúa. 
El diseño de un control debe cubrir por lo menos con los siguientes aspectos:
1. Debe tener definido el </t>
    </r>
    <r>
      <rPr>
        <b/>
        <sz val="10"/>
        <color theme="1"/>
        <rFont val="Calibri"/>
        <family val="2"/>
        <scheme val="minor"/>
      </rPr>
      <t>responsable</t>
    </r>
    <r>
      <rPr>
        <sz val="10"/>
        <color theme="1"/>
        <rFont val="Calibri"/>
        <family val="2"/>
        <scheme val="minor"/>
      </rPr>
      <t xml:space="preserve"> (cargo responsable, sistema o aplicación) de llevar a cabo la actividad de control. (el control debe estar asignado a un cargo específico, no se deben referenciar áreas de manera general o nombres de personas)
2. Debe tener una </t>
    </r>
    <r>
      <rPr>
        <b/>
        <sz val="10"/>
        <color theme="1"/>
        <rFont val="Calibri"/>
        <family val="2"/>
        <scheme val="minor"/>
      </rPr>
      <t>periodicidad</t>
    </r>
    <r>
      <rPr>
        <sz val="10"/>
        <color theme="1"/>
        <rFont val="Calibri"/>
        <family val="2"/>
        <scheme val="minor"/>
      </rPr>
      <t xml:space="preserve"> definida para su ejecución.
3. Debe indicar cuál es el </t>
    </r>
    <r>
      <rPr>
        <b/>
        <sz val="10"/>
        <color theme="1"/>
        <rFont val="Calibri"/>
        <family val="2"/>
        <scheme val="minor"/>
      </rPr>
      <t>propósito</t>
    </r>
    <r>
      <rPr>
        <sz val="10"/>
        <color theme="1"/>
        <rFont val="Calibri"/>
        <family val="2"/>
        <scheme val="minor"/>
      </rPr>
      <t xml:space="preserve"> del control.
4. Debe establecer </t>
    </r>
    <r>
      <rPr>
        <b/>
        <sz val="10"/>
        <color theme="1"/>
        <rFont val="Calibri"/>
        <family val="2"/>
        <scheme val="minor"/>
      </rPr>
      <t>el cómo</t>
    </r>
    <r>
      <rPr>
        <sz val="10"/>
        <color theme="1"/>
        <rFont val="Calibri"/>
        <family val="2"/>
        <scheme val="minor"/>
      </rPr>
      <t xml:space="preserve"> se realiza la actividad de control.
5. Debe indicar qué pasa con las </t>
    </r>
    <r>
      <rPr>
        <b/>
        <sz val="10"/>
        <color theme="1"/>
        <rFont val="Calibri"/>
        <family val="2"/>
        <scheme val="minor"/>
      </rPr>
      <t>observaciones o desviaciones</t>
    </r>
    <r>
      <rPr>
        <sz val="10"/>
        <color theme="1"/>
        <rFont val="Calibri"/>
        <family val="2"/>
        <scheme val="minor"/>
      </rPr>
      <t xml:space="preserve"> resultantes de ejecutar el control.
6. Debe dejar </t>
    </r>
    <r>
      <rPr>
        <b/>
        <sz val="10"/>
        <color theme="1"/>
        <rFont val="Calibri"/>
        <family val="2"/>
        <scheme val="minor"/>
      </rPr>
      <t>evidencia</t>
    </r>
    <r>
      <rPr>
        <sz val="10"/>
        <color theme="1"/>
        <rFont val="Calibri"/>
        <family val="2"/>
        <scheme val="minor"/>
      </rPr>
      <t xml:space="preserve"> de la ejecución del control.
</t>
    </r>
  </si>
  <si>
    <t>N° Control</t>
  </si>
  <si>
    <t>Numeración de los controles asociados a un solo riesgo. Esto facilita su identificación y referenciación en seguimientos y análisis posteriores.</t>
  </si>
  <si>
    <t>Tipo Control</t>
  </si>
  <si>
    <t xml:space="preserve">[lista desplegable] Las acciones de tratamiento se agrupan en:
- Controles preventivos (disminuyen la probabilidad): acciones encaminadas a gestionar las causas del riesgo.
- Controles detectivos (disminuyen el impacto): acciones encaminadas a disminuir las consecuencias del riesgo, mediante una identificación temprana de la materialización del mismo.
Según el tipo de controles que se apliquen a un riesgo determinado (preventivos o detectivos), mas adelante en la matriz se establece en qué proporción habrá movimiento dentro del mapa de calor de un riesgo inherente inicial a un riesgo residual posterior a la aplicación de controles. Es decir, los tipos de controles aplicados a un riesgo determinan en qué forma se está dando tratamiento al riesgo (redución en la probabilidad de ocurrencia ya sea directa o indirectamente o reducción en el impacto de una posible materialización)
</t>
  </si>
  <si>
    <t>Asignación del responsable</t>
  </si>
  <si>
    <t>[lista desplegable] [Asignado/No asignado] Declaración sobre el diseño del control, con respecto a la asignación del responsable dentro de la redacción del control.</t>
  </si>
  <si>
    <t>Segregación y autoridad del responsable</t>
  </si>
  <si>
    <t>[lista desplegable] [Adecuado/Inadecuado] Declaración sobre el diseño del control, con respecto a que el responsable asignado tenga la segregación de funciones adecuada y autoridad sobre la ejecución del control dentro de la redacción del control.</t>
  </si>
  <si>
    <t>Periodicidad</t>
  </si>
  <si>
    <t>[lista desplegable] [Oportuna/Inoportuna] Declaración sobre el diseño del control, con respecto a la periodicidad de ejecución del mismo  dentro de la redacción del control. Ésta puede ser definida en un periodo de tiempo dado, o puede ser aplicable a cada evento específico que acaece, es decir, se desarrolla uno a uno.</t>
  </si>
  <si>
    <t>Propósito</t>
  </si>
  <si>
    <t>[lista desplegable] [Prevenir/Detectar/No es un control] Declaración sobre el diseño del control, y la inclusión del propósito, es decir, el "para qué" del control que conlleve a prevenir las causas que generan el riesgo o detectar la materialización del riesgo, lo anterior referenciado dentro de la redacción del control.</t>
  </si>
  <si>
    <t>Cómo se realiza la actividad de control</t>
  </si>
  <si>
    <t>[lista desplegable] [Confiable/No confiable] Declaración sobre el diseño del control, --  dentro de la redacción del control.</t>
  </si>
  <si>
    <t>Qué pasa con las observaciones o desviaciones</t>
  </si>
  <si>
    <t>[lista desplegable] [Se investigan y resuelven oportunamente/No se investigan y resuelven oportunamente] Declaración sobre el diseño del control, --  dentro de la redacción del control.</t>
  </si>
  <si>
    <t>Evidencia de la ejecución del control</t>
  </si>
  <si>
    <t>[lista desplegable] [Completa/Imcompleta/No existe] Declaración sobre el diseño del control, --  dentro de la redacción del control.</t>
  </si>
  <si>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¿Existe un responsable asignado a la ejecución del control?</t>
    </r>
  </si>
  <si>
    <r>
      <t>[Fórmula]</t>
    </r>
    <r>
      <rPr>
        <i/>
        <sz val="10"/>
        <color theme="1"/>
        <rFont val="Calibri"/>
        <family val="2"/>
        <scheme val="minor"/>
      </rPr>
      <t xml:space="preserve"> 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¿El responsable tiene la autoridad y adecuada segregación de funciones en la ejecución del control?
</t>
    </r>
  </si>
  <si>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¿La oportunidad en que se ejecuta el control ayuda a prevenir la mitigación del riesgo o a detectar la materialización del riesgo de manera oportuna?
</t>
    </r>
  </si>
  <si>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¿Las actividades que se desarrollan en el control realmente buscan por si sola prevenir o detectar las causas que pueden dar origen al riesgo, ejemplo Verificar, Validar Cotejar, Comparar, Revisar, etc.?
</t>
    </r>
  </si>
  <si>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¿La fuente de información que se utiliza en el desarrollo del control es información confiable que permita mitigar el riesgo?.
</t>
    </r>
  </si>
  <si>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¿Las observaciones, desviaciones o diferencias identificadas como resultados de la ejecución del control son investigadas y resueltas de manera oportuna?
</t>
    </r>
  </si>
  <si>
    <r>
      <t xml:space="preserve">[Fórmula] </t>
    </r>
    <r>
      <rPr>
        <i/>
        <sz val="10"/>
        <color theme="1"/>
        <rFont val="Calibri"/>
        <family val="2"/>
        <scheme val="minor"/>
      </rPr>
      <t>Aplican las tablas Tabla 6. "Análisis y evaluación de los controles para la mitigación de los riesgos" y Tabla 7. "Peso o participación de cada variable en el diseño del control para la mitigación del riesgo" del numeral 3.2.2 "Valoración de los controles" de la Guía del DAFP "Guía para la administración del riesgo y el diseño de controles en entidades públicas".</t>
    </r>
    <r>
      <rPr>
        <sz val="10"/>
        <color theme="1"/>
        <rFont val="Calibri"/>
        <family val="2"/>
        <scheme val="minor"/>
      </rPr>
      <t xml:space="preserve"> Se responde a la pregunta: ¿Se deja evidencia o rastro de la ejecución del control, que permita a cualquier tercero con la evidencia, llegar a la misma conclusión?.
</t>
    </r>
  </si>
  <si>
    <t>Total</t>
  </si>
  <si>
    <t xml:space="preserve">[Fórmula] Suma del puntaje total obtenido de la evaluación de diseño del control en las siete (7) preguntas planteadas previamente. El valor máximo alcanzable es de 100.
</t>
  </si>
  <si>
    <t>Diseño del Control</t>
  </si>
  <si>
    <t xml:space="preserve">[Fórmula] Después de evaluar el diseño del control, se define el rango de calificación del diseño del mismo aplicando la tabla referenciada. Si el resultado de las calificaciones del control o el promedio en el diseño de los controles, está por debajo de 96%, se debe establecer un plan de acción que permita tener un control o controles bien diseñados.
</t>
  </si>
  <si>
    <t>Ejecución del Control</t>
  </si>
  <si>
    <t xml:space="preserve">[lista desplegable] En este caso se debe seleccionar el nivel de rigurosidad con que se ha venido ejecutando el control. Si el control es nuevo y no se tiene implementado, entonces se debe castigar con la calificación más baja "Débil" hasta que se tenga información que soporte una implementación del mismo.
</t>
  </si>
  <si>
    <t>Solidez individual del Control</t>
  </si>
  <si>
    <t xml:space="preserve">[Fórmula] Según los valores obtenidos en el diseño y la ejecución del control, se consolidad la solidéz individual del control según la tabla referenciada.
</t>
  </si>
  <si>
    <t>Puntaje de Solidez Individual del Control</t>
  </si>
  <si>
    <t xml:space="preserve">[Fórmula] Dada la selección de la columna anterior se asigna el valor global de solidéz del control según la tabla referenciada.
</t>
  </si>
  <si>
    <t>Requiere plan de acción para fortalecer el control</t>
  </si>
  <si>
    <t xml:space="preserve">[Fórmula] Se identifica la necesidad de plantear acciones que mejoren el control según los valores obtenidos la solidéz individual del control dada la tabla referenciada.
</t>
  </si>
  <si>
    <t>Solidez Promedio del Conjunto de Controles</t>
  </si>
  <si>
    <t>[Fórmula] La solidez del conjunto de controles se obtiene calculando el promedio aritmético simple de la solidéz individual de los controles por cada riesgo.</t>
  </si>
  <si>
    <t>Solidez del
Conjunto
de Controles</t>
  </si>
  <si>
    <t>[Fórmula] Dado el cálculo de la columna anteriro, se categoriza la solidez del conjunto de controles se según la tabla referenciada.</t>
  </si>
  <si>
    <t>Disminuye Probabilidad</t>
  </si>
  <si>
    <t xml:space="preserve">[lista desplegable] Seleccionar si el tipo de controles definidos inside directamente o no afecta la probabilidad de ocurrencia del riesgo.
</t>
  </si>
  <si>
    <t>Disminuye Impacto</t>
  </si>
  <si>
    <t xml:space="preserve">[lista desplegable] Seleccionar si el tipo de controles definidos inside directamente, indirectamente o no afecta el impacto de una posible materialización del riesgo.
</t>
  </si>
  <si>
    <t>Desplazamiento Probabilidad</t>
  </si>
  <si>
    <t xml:space="preserve">[Fórmula] Aplica la tabla N° 8 del numeral 3.2.3 "Nivel de riesgo (riesgo residual)" de la Guía del DAFP "Guía para la administración del riesgo y el diseño de controles en entidades públicas". Si el control es preventivo, hace que disminuya la probabilidad directamente, dicho desplazamiento depende si la solidez del conjunto de controles es fuerte o moderada.
</t>
  </si>
  <si>
    <t>Desplazamiento Impacto</t>
  </si>
  <si>
    <t xml:space="preserve">[Fórmula] Aplica la tabla N° 8 del numeral 3.2.3 "Nivel de riesgo (riesgo residual)" de la Guía del DAFP "Guía para la administración del riesgo y el diseño de controles en entidades públicas". Si el control es detectivo, hace que disminuya el impacto de forma directa o indirecta, dicho desplazamiento depende si la solidez del conjunto de controles es fuerte o moderada.
</t>
  </si>
  <si>
    <t>Riesgo Residual</t>
  </si>
  <si>
    <t xml:space="preserve">[Fórmula] Es el nivel de riesgo resultante después de aplicados los controles, por lo tanto, es producto del desplazamiento tanto en probabilidad como impacto dentro del mapa de calor, y depende del tipo de controles que se hayan establecido, es decir, si son preventivos o detectivos.
</t>
  </si>
  <si>
    <t>Actividades de Control</t>
  </si>
  <si>
    <t xml:space="preserve">Son las acciones establecidas a través de políticas y procedimientos que contribuyen a garantizar que se lleven a cabo las instrucciones de la dirección para mitigar los riesgos que inciden en el cumplimiento de los objetivos.
Éstas actividades son aquellas que se plantean para mejorar control, enfocándose en el nivel de riesgo residual que se haya obtenido, y propendiendo por llevarlo al nivel de riesgo aceptable (apetito del riesgo) que el INM ha definido en su Política de Riesgos.
</t>
  </si>
  <si>
    <t xml:space="preserve">Evidencia que soporta el cumplimiento de la actividad de control referenciada.
</t>
  </si>
  <si>
    <t xml:space="preserve">Persona responsable por el desarrollo y cumplimiento de la actividad de control.
</t>
  </si>
  <si>
    <t>Fecha límite</t>
  </si>
  <si>
    <t xml:space="preserve">Peridodo razonable para el cumplimiento de la actividad de control establecido por el responsable de la misma.
</t>
  </si>
  <si>
    <t>Indicador Clave de Riesgo</t>
  </si>
  <si>
    <t xml:space="preserve">Por último se formulan los indicadores clave de riesgo (KRI por sus siglas en ingles) que permitan monitorear el cumplimiento (eficacia) e impacto (efectividad) de las actividades de control, siempre y cuando conduzcan a la toma de decisiones (Por riesgo identificado en los procesos).
</t>
  </si>
  <si>
    <t>Por último, se registra el seguimiento de las tres líneas de defensa del INM.
Para la primera línea de defensa (columnas AP-AS, BC-BF, BP-BS y CC-CF) y la segunda línea de defensa (columnas AU-AW, BH-BJ, BU-BW y CH-CJ), el seguimiento se realiza trimestralmente para cada riesgo. Este seguimiento se basa en las preguntas que se encuentran en cada celda, las cuales sirven como guía para el análisis de los riesgos y sus respectivos controles. Se registra la fecha de seguimiento, el nombre de quien lo realiza, una descripción del cumplimiento de la ejecución del control, evidencia y/o observaciones, y si el riesgo se materializa o no.
En cuanto a la tercera línea de defensa, el seguimiento se lleva a cabo de acuerdo con el plan de auditoría de control interno.</t>
  </si>
  <si>
    <t>#</t>
  </si>
  <si>
    <t>ID ISOLUCIÓN</t>
  </si>
  <si>
    <t>Acción para abordar el riesgo</t>
  </si>
  <si>
    <t>A01-RC01</t>
  </si>
  <si>
    <t>Posibilidad de recibir o solicitar cualquier dádiva o beneficio a nombre propio o de terceros con el fin de ocultar o alterar registros contables</t>
  </si>
  <si>
    <t>Se puede presentar cuando no se realiza un registro de los registros contables por ocultamiento o alteración de información por algún tipo de contraprestación para favorecer intereses propios o particulares desviando la gestión de lo público en beneficio de lo privado.
Acción u omisión: No registro oportuno o completo de las transacciones contables.
Uso del Poder: Profesional especializado con funciones de contador.
Desviar la gestión de lo público: ocultamiento de información o evidencia de información alterada.
Beneficio privado: Desconocimiento de obligaciones o compromisos con la entidad para beneficio propio o de terceros.</t>
  </si>
  <si>
    <t>Corrupción</t>
  </si>
  <si>
    <t>Registros contables</t>
  </si>
  <si>
    <t>Intereses particulares</t>
  </si>
  <si>
    <t>Intereses particulares
Proceso, documentación y controles</t>
  </si>
  <si>
    <t>Insuficiencia en la definición y aplicación de los  controles establecidos para emisión de los registros contables</t>
  </si>
  <si>
    <t>Ocultamiento de información.
No confiabilidad de la información para la toma de decisiones.
Investigaciones disciplinarias, fiscales y legales.
Pérdida de la imagen institucional.</t>
  </si>
  <si>
    <t>Reducir</t>
  </si>
  <si>
    <r>
      <rPr>
        <b/>
        <sz val="8"/>
        <color rgb="FF000000"/>
        <rFont val="Calibri"/>
        <family val="2"/>
        <scheme val="minor"/>
      </rPr>
      <t>Control</t>
    </r>
    <r>
      <rPr>
        <sz val="8"/>
        <color rgb="FF000000"/>
        <rFont val="Calibri"/>
        <family val="2"/>
        <scheme val="minor"/>
      </rPr>
      <t xml:space="preserve">: Realizar Conciliaciones contables
</t>
    </r>
    <r>
      <rPr>
        <b/>
        <sz val="8"/>
        <color rgb="FF000000"/>
        <rFont val="Calibri"/>
        <family val="2"/>
        <scheme val="minor"/>
      </rPr>
      <t>Propósito</t>
    </r>
    <r>
      <rPr>
        <sz val="8"/>
        <color rgb="FF000000"/>
        <rFont val="Calibri"/>
        <family val="2"/>
        <scheme val="minor"/>
      </rPr>
      <t xml:space="preserve">: Confirmar el registro íntegro de las partidas que afectan los estados financieros.
</t>
    </r>
    <r>
      <rPr>
        <b/>
        <sz val="8"/>
        <color rgb="FF000000"/>
        <rFont val="Calibri"/>
        <family val="2"/>
        <scheme val="minor"/>
      </rPr>
      <t>Responsable</t>
    </r>
    <r>
      <rPr>
        <sz val="8"/>
        <color rgb="FF000000"/>
        <rFont val="Calibri"/>
        <family val="2"/>
        <scheme val="minor"/>
      </rPr>
      <t xml:space="preserve">: Profesional Especializado con funciones de Contador.
</t>
    </r>
    <r>
      <rPr>
        <b/>
        <sz val="8"/>
        <color rgb="FF000000"/>
        <rFont val="Calibri"/>
        <family val="2"/>
        <scheme val="minor"/>
      </rPr>
      <t>¿Cómo se hace el control?</t>
    </r>
    <r>
      <rPr>
        <sz val="8"/>
        <color rgb="FF000000"/>
        <rFont val="Calibri"/>
        <family val="2"/>
        <scheme val="minor"/>
      </rPr>
      <t xml:space="preserve">: Con el procedimiento de Conciliaciones Contables, se da a lugar a recibir información por parte de las áreas, que alimentan los estados financieros de la Entidad.  Se realiza la conciliación y se ajustan las cifras cuando sea procedente.
</t>
    </r>
    <r>
      <rPr>
        <b/>
        <sz val="8"/>
        <color rgb="FF000000"/>
        <rFont val="Calibri"/>
        <family val="2"/>
        <scheme val="minor"/>
      </rPr>
      <t>Periodicidad</t>
    </r>
    <r>
      <rPr>
        <sz val="8"/>
        <color rgb="FF000000"/>
        <rFont val="Calibri"/>
        <family val="2"/>
        <scheme val="minor"/>
      </rPr>
      <t xml:space="preserve">: Mensual.
</t>
    </r>
    <r>
      <rPr>
        <b/>
        <sz val="8"/>
        <color rgb="FF000000"/>
        <rFont val="Calibri"/>
        <family val="2"/>
        <scheme val="minor"/>
      </rPr>
      <t>Evidencia</t>
    </r>
    <r>
      <rPr>
        <sz val="8"/>
        <color rgb="FF000000"/>
        <rFont val="Calibri"/>
        <family val="2"/>
        <scheme val="minor"/>
      </rPr>
      <t xml:space="preserve">: Registro de Conciliación. A-01-F-014 "Conciliaciones contables".
</t>
    </r>
    <r>
      <rPr>
        <b/>
        <sz val="8"/>
        <color rgb="FF000000"/>
        <rFont val="Calibri"/>
        <family val="2"/>
        <scheme val="minor"/>
      </rPr>
      <t>Desviaciones/Observaciones</t>
    </r>
    <r>
      <rPr>
        <sz val="8"/>
        <color rgb="FF000000"/>
        <rFont val="Calibri"/>
        <family val="2"/>
        <scheme val="minor"/>
      </rPr>
      <t xml:space="preserve">: Si se identifican faltantes de registros contables, el Profesional Especializado con funciones de Contador, informa al Director General y Secretario General en la presentación para aprobación y publicación de los estados financieros mensuales, y de ser el caso al Equipo Transversal de sostenibilidad contable   mediante reuniones y el registro del acta correspondiente. Posteriormente se presentará la respectiva denuncia ante las autoridades competentes, si llegara a ser el caso.
</t>
    </r>
    <r>
      <rPr>
        <b/>
        <sz val="8"/>
        <color rgb="FF000000"/>
        <rFont val="Calibri"/>
        <family val="2"/>
        <scheme val="minor"/>
      </rPr>
      <t>Documentado</t>
    </r>
    <r>
      <rPr>
        <sz val="8"/>
        <color rgb="FF000000"/>
        <rFont val="Calibri"/>
        <family val="2"/>
        <scheme val="minor"/>
      </rPr>
      <t>: A-01-P-015  Conciliaciones contables.</t>
    </r>
  </si>
  <si>
    <t>Asignado</t>
  </si>
  <si>
    <t>Adecuado</t>
  </si>
  <si>
    <t>Oportuna</t>
  </si>
  <si>
    <t>Prevenir</t>
  </si>
  <si>
    <t>Confiable</t>
  </si>
  <si>
    <t>Se investigan y resuelven oportunamente</t>
  </si>
  <si>
    <t>Completa</t>
  </si>
  <si>
    <t>Fuerte</t>
  </si>
  <si>
    <t>Directamente</t>
  </si>
  <si>
    <t>Validar la integridad en la revisión de procesos o razonabilidad en las partidas que componen los estados financieros</t>
  </si>
  <si>
    <t>Conciliaciones contables refrendadas por las partes que generan información financiera</t>
  </si>
  <si>
    <t>Profesional especializado con funciones de contador
Responsables de los procesos que generan información financiera</t>
  </si>
  <si>
    <t>Durante el primer trimestre acorde a lo establecido en el procedimiento A-01-P-015  se realizan las siguientes conciliaciones:
- Movimientos de Almacén: A la fecha se cuenta con el registro de los meses de Enero y Febrero, la correspondiente al mes de Marzo se encuentra en proceso de elaboración. Los registros cuentan con las respectivas observaciones cuando existe algún tipo de diferencia. 
Las evidencias se encuentran de acuerdo con las TRD archivadas en el recurso compartido, ruta: Z:\TRD 2024\230.65.2 CONC ALM\2025
- Operaciones reciprocas SCUN: Se cuenta con la conciliación del mes de Enero, Marzo y Febrero aún no se ha recibido por parte de la DGCTPN la información correspondiente. Las evidencias se encuentran de acuerdo con las TRD archivadas en el recurso compartido, ruta: Z:\TRD 2024\230.65.6 CONC OPE RECIPRO\2025 
- Ingresos: Se cuenta con las conciliaciones del mes de enero, febrero y marzo. Se encuentra pendiente el acta relacionada a la conciliación realizada durante el mes de Marzo. Las evidencias se encuentran de acuerdo con las TRD archivadas en el recurso compartido, ruta: Z:\230 GGF\TRD 2024\230.65.5 CONC INGRESO
- Incapacidades: A la fecha se ha realizado la revisión de la base de incapacidades de los meses de enero y febrero. Sin embargo, dada su frecuencia trimestral la revisión de datos del mes de marzo y la conciliación  se encuentran en proceso. Los soportes de esta conciliación una vez se culmine su registro quedan de acuerdo con las TRD archivadas en el recurso compartido, ruta: Z:\TRD 2024\230.65.4 CONC INCAPACID\2025
- Bancarias: A la fecha se cuenta con el registro de los meses de Enero y Febrero, la correspondiente al mes de Marzo se encuentra en proceso de elaboración. 
Las evidencias se encuentran de acuerdo con las TRD archivadas en el recurso compartido, ruta: Z:\TRD 2024\230.65.1 CONC BANC\2025
- Contingente Judicial: La conciliación se realiza de manera trimestral y por ende se encuentra en proceso de elaboración. Los soportes de esta conciliación una vez se culmine su registro quedan de acuerdo con las TRD archivadas en el recurso compartido, ruta: Z:\TRD 2024\230.65.3 CONC CONT JUDIC
- Operaciones Reciprocas: La conciliación se realiza de manera trimestral y por ende se encuentra en proceso de elaboración. Los soportes de esta conciliación una vez se culmine su registro quedan de acuerdo con las TRD archivadas en el recurso compartido, ruta: Z:\TRD 2024\230.65.6 CONC OPE RECIPRO\2025 
Dado lo anterior desde el proceso de Gestión Financiera se informa que el riesgo no se materializó.</t>
  </si>
  <si>
    <t>Durante el segundo trimestre acorde a lo establecido en el procedimiento A-01-P-015  se realizan las siguientes conciliaciones:
- Movimientos de Almacén: Se cuenta con el registro de los meses de Abril y Mayo,  las cuales contienen las respectivas observaciones cuando existe algún tipo de diferencia. De acuerdo con el informe de seguimiento especial emitido por Control Interno en la conciliación de junio se incluyeron las cuentas de depreciación y amortización, la cual se encuentra en proceso de elaboración.
Las evidencias se encuentran de acuerdo con las TRD archivadas en el recurso compartido, ruta: Z:\TRD 2024\230.65.2 CONC ALM\2025
- Operaciones reciprocas SCUN: Se cuenta con la conciliación del mes de Abril y Mayo. La información de Junio aún no se ha recibido por parte de la DGCTPN. Las evidencias se encuentran de acuerdo con las TRD archivadas en el recurso compartido, ruta: Z:\TRD 2024\230.65.6 CONC OPE RECIPRO\2025 
- Ingresos: Se cuenta con las conciliaciones del mes de Abril y Mayo. Se encuentra pendiente el acta relacionada a la conciliación de Junio. Las evidencias se encuentran de acuerdo con las TRD archivadas en el recurso compartido, ruta: Z:\230 GGF\TRD 2024\230.65.5 CONC INGRESO
- Incapacidades: Una vez finalizado el I trimestre de 2025 se llevó a cabo la reunión de conciliación de este periodo por lo que se cuenta con el acta de reunión. Adicionalmente, se ha realizado la revisión de la base de incapacidades de los meses de abril, mayo y junio. Los soportes de la conciliación del I trimestre así como la base de incapacidades se encuentran en la TRD: Z:\TRD 2024\230.65.4 CONC INCAPACID\2025
- Bancarias: Se cuenta con los soportes de los meses de abril, mayo y junio los cuales pueden evidenciarse en la TRD Z:\TRD 2024\230.65.1 CONC BANC\2025
- Contingente Judicial: Los soportes de la conciliación del I y II trimestre de 2025 se ecnuentran el la TRD: Z:\TRD 2024\230.65.3 CONC CONT JUDIC
- Operaciones Reciprocas: Teniendo en cuenta que esta conciliación deriva del reporte de operaciones recíprocas ante el CHIP y que en caso de identificarse diferencias por parte de la CGN ésta requiere para conciliar las cifras con la entidad. Se informa que para el I trimestre de 2025 no hubo requerimiento de subsanación o aclaración de esta información. De igual manera se remitió correo electrónico a las entidades interesadas y no se recibieorn observaciones al respecto. Por otro lado,  la conciliación referente al II trimestre se encuentra en proceso de elaboración. Como evidencia se adjunta el archivo transmitido en el CHIP CGN002, Excel de operaciones y Correo de notificación.
Dado lo anterior desde el proceso de Gestión Financiera se informa que el riesgo no se materializó.</t>
  </si>
  <si>
    <t>https://metrologiainm.sharepoint.com/:f:/s/OAP/EtFkTbI5bElJsviCwktHcy4BCAQKm80ZvpEXfFPNet4pfw?e=jVfR4t</t>
  </si>
  <si>
    <t>Yaneth Andrea Garcia
Jeimi Medina Walteros</t>
  </si>
  <si>
    <t>Durante el tercer trimestre acorde a lo establecido en el procedimiento A-01-P-015  se realizan las siguientes conciliaciones:
- Movimientos de Almacén: Se cuenta con el registro de los meses de Junio, Julio y Agosto, las cuales contienen las respectivas observaciones cuando existe algún tipo de diferencia. La conciliación correspondiente al mes de Septiembre se encuentra en proceso de elaboración.
Las evidencias se encuentran de acuerdo con las TRD archivadas en el recurso compartido, ruta: Z:\TRD 2024\230.65.2 CONC ALM\2025
- Operaciones reciprocas SCUN: Se cuenta con la conciliación del mes de Junio, Julio y Agosto. La información de Septiembre aún no se ha recibido por parte de la DGCTPN. Las evidencias se encuentran de acuerdo con las TRD archivadas en el recurso compartido, ruta: Z:\TRD 2024\230.65.6 CONC OPE RECIPRO\2025 
- Ingresos: Se cuenta con las conciliaciones del mes de Junio, Julio y Agosto. Se encuentra pendiente el acta relacionada a la conciliación de Septiembre,la cual se encuentra en proceso de elaboración. Las evidencias se encuentran de acuerdo con las TRD archivadas en el recurso compartido, ruta: Z:\230 GGF\TRD 2024\230.65.5 CONC INGRESO
- Incapacidades: La conciliación relacionada con el tercer trimestre se encuentra en proceso, dado que la revisión de la base de incapacidades a la fecha se enuentra hasta el mes de agosto y esta en proceso de revisión de la información relacionada con el mes de septiembre. Los soportes de la conciliación del II trimestre así como la base de incapacidades se encuentran en la TRD: Z:\TRD 2024\230.65.4 CONC INCAPACID\2025
- Bancarias: Se cuenta con los soportes de los meses de Julio y Agosto los cuales pueden evidenciarse en la TRD Z:\TRD 2024\230.65.1 CONC BANC\2025. La conciliación relacionada con el mes de septiembre se encuentra en proceso de revisión
- Contingente Judicial: La conciliación del III Trimestre se encuentra en proceso de elaboración
- Operaciones Reciprocas:  la conciliación referente al III trimestre se encuentra en proceso de elaboración. 
Dado lo anterior desde el proceso de Gestión Financiera se informa que el riesgo no se materializó.</t>
  </si>
  <si>
    <t>https://metrologiainm.sharepoint.com/:f:/s/OAP/En8CMwXkKLpIqbyySN3X29kBGzxCr1814JxB7AfxyZBxTQ?e=bc2dAG</t>
  </si>
  <si>
    <t>A01-RC02</t>
  </si>
  <si>
    <t xml:space="preserve">Posibilidad de recibir o solicitar cualquier dádiva o beneficio a nombre propio o de terceros con el fin de afectar rubros que no corresponden con el objeto del gasto teniendo en cuenta la desagregración del presupuesto aprobada. </t>
  </si>
  <si>
    <t xml:space="preserve">
Se puede presentar cuando por desconocimiento del funcionario o de la persona que realiza la labor, no tiene claro el principio de especialización del gasto. O con el pleno conocimiento, se puede realizar la acción de un registro inadecuado generando una mala afectación de un rubro de gasto.  
Acción u omisión: Afectar rubros que no corresponden con el objeto del gasto.
Uso del Poder: Profesional especializado con funciones de presupuesto.
Desviar la gestión de lo público: obstaculizar el trámite de un documento, afectar recursos presupuestales que no correspondan con la actividad misional de la entidad.
Beneficio privado: en beneficio propio o a cambio de una retribución económica de un tercero. </t>
  </si>
  <si>
    <t xml:space="preserve">Insuficiencia en los controles establecidos en el proceso de expedición de CDP.
El profesional responsable de la desagregación no registra correctamente la información en el sistema SIIF. </t>
  </si>
  <si>
    <t>Mala destinación y ejecución de los recursos asignados a la entidad.
Pérdida de imagen institucional
No confiabilidad en los informes presupuestales generados.
Apertura de procesos disciplinarios, penales y fiscales.</t>
  </si>
  <si>
    <r>
      <rPr>
        <b/>
        <sz val="8"/>
        <color rgb="FF000000"/>
        <rFont val="Calibri"/>
        <scheme val="minor"/>
      </rPr>
      <t>Control 1</t>
    </r>
    <r>
      <rPr>
        <sz val="8"/>
        <color rgb="FF000000"/>
        <rFont val="Calibri"/>
        <scheme val="minor"/>
      </rPr>
      <t xml:space="preserve">: Verificar la información que contiene la solicitud de CDP, específicamente existencia del recurso, rubro afectado, objeto de gasto, entre otros aspectos. 
</t>
    </r>
    <r>
      <rPr>
        <b/>
        <sz val="8"/>
        <color rgb="FF000000"/>
        <rFont val="Calibri"/>
        <scheme val="minor"/>
      </rPr>
      <t>¿Cómo se hace el control?</t>
    </r>
    <r>
      <rPr>
        <sz val="8"/>
        <color rgb="FF000000"/>
        <rFont val="Calibri"/>
        <scheme val="minor"/>
      </rPr>
      <t xml:space="preserve">: Una vez llegan las solicitudes por parte de las áreas, se realiza una revisión de los documentos, cruzando la información contenida contra la registrada en los sistemas de información (SIIF Nación II). Revisar que las solicitudes cuenten con las firmas y vistos buenos de los responsables. 
</t>
    </r>
    <r>
      <rPr>
        <b/>
        <sz val="8"/>
        <color rgb="FF000000"/>
        <rFont val="Calibri"/>
        <scheme val="minor"/>
      </rPr>
      <t>Propósito:</t>
    </r>
    <r>
      <rPr>
        <sz val="8"/>
        <color rgb="FF000000"/>
        <rFont val="Calibri"/>
        <scheme val="minor"/>
      </rPr>
      <t xml:space="preserve"> Prevenir inconsistencias en la información contenida en los CDPs que se expidan.
</t>
    </r>
    <r>
      <rPr>
        <b/>
        <sz val="8"/>
        <color rgb="FF000000"/>
        <rFont val="Calibri"/>
        <scheme val="minor"/>
      </rPr>
      <t>Responsable</t>
    </r>
    <r>
      <rPr>
        <sz val="8"/>
        <color rgb="FF000000"/>
        <rFont val="Calibri"/>
        <scheme val="minor"/>
      </rPr>
      <t xml:space="preserve">: Profesional Especializado con funciones de Presupuesto.
</t>
    </r>
    <r>
      <rPr>
        <b/>
        <sz val="8"/>
        <color rgb="FF000000"/>
        <rFont val="Calibri"/>
        <scheme val="minor"/>
      </rPr>
      <t>Periodicidad:</t>
    </r>
    <r>
      <rPr>
        <sz val="8"/>
        <color rgb="FF000000"/>
        <rFont val="Calibri"/>
        <scheme val="minor"/>
      </rPr>
      <t xml:space="preserve"> Uno a uno en cada operación.
</t>
    </r>
    <r>
      <rPr>
        <b/>
        <sz val="8"/>
        <color rgb="FF000000"/>
        <rFont val="Calibri"/>
        <scheme val="minor"/>
      </rPr>
      <t>Evidencia</t>
    </r>
    <r>
      <rPr>
        <sz val="8"/>
        <color rgb="FF000000"/>
        <rFont val="Calibri"/>
        <scheme val="minor"/>
      </rPr>
      <t xml:space="preserve">: A-01-F-001 Solicitud de CDP con nota de observación por parte de Presupuesto. Registro en el Libro de Control de Recibido y Entrega de Documentos. Correo electrónico con la explicación sobre la devolución (a partir de la medida de confinamiento). 
</t>
    </r>
    <r>
      <rPr>
        <b/>
        <sz val="8"/>
        <color rgb="FF000000"/>
        <rFont val="Calibri"/>
        <scheme val="minor"/>
      </rPr>
      <t>Desviaciones/Observaciones</t>
    </r>
    <r>
      <rPr>
        <sz val="8"/>
        <color rgb="FF000000"/>
        <rFont val="Calibri"/>
        <scheme val="minor"/>
      </rPr>
      <t xml:space="preserve">: Si se identifican inconsistencias en la revisión de la información, el Profesional Especializado con funciones de Presupuesto devuelve a la mano o por correo electrónico indicando el motivo de la devolución con copia a la Coordinación Financiera y áreas competentes, para que se tomen las actuaciones que sean pertinentes dado el caso. En caso de detectar una posible afectación de rubros para favorecer intereses particulares, se informa al área disciplinaria competente en el INM, para iniciar las acciones correspondientes.
</t>
    </r>
    <r>
      <rPr>
        <b/>
        <sz val="8"/>
        <color rgb="FF000000"/>
        <rFont val="Calibri"/>
        <scheme val="minor"/>
      </rPr>
      <t>Documentado</t>
    </r>
    <r>
      <rPr>
        <sz val="8"/>
        <color rgb="FF000000"/>
        <rFont val="Calibri"/>
        <scheme val="minor"/>
      </rPr>
      <t>: Procedimiento A-01-P-002 Expedición de Certificado de Disponibilidad Presupuestal.  Procedimiento A-01-P-003 Expedición de Registros Presupuestales.</t>
    </r>
  </si>
  <si>
    <t xml:space="preserve">Socializar los roles y responsabilidades de las líneas de defensa de MIPG. </t>
  </si>
  <si>
    <t>Listado de asistencia 
Evaluación de conocimiento</t>
  </si>
  <si>
    <t xml:space="preserve">Expedición de CDP dentro de las 24 horas posteriores a la solicitud recibida para la gestión eficiente, oportuna, transparente y permanente de los recursos financieros del INM fortaleciendo la capacidad administrativa y de desempeño institucional. 
Expedición de RP dentro de las 24 horas posteriores a la solicitud recibida para la gestión eficiente, oportuna, transparente y permanente de los recursos financieros del INM fortaleciendo la capacidad administrativa y de desempeño institucional. </t>
  </si>
  <si>
    <t>Durante el primer trimestre 2025 se solicitaron y expidieron 255 CDP, según lo establecido en el procedimiento A-01-P-002 Expedición de Certificados de Disponibilidad presupuestal, para lo cual las evidencias se encuentran en el correo electrónico del Secretario General, Profesional grado 16 con funciones de presupuesto y las TRD del proceso de Gestión financiera ruta: Y:\230 GGF\TRD 2024\230.45 CDP donde se encuentran todos los CDP expedidos y firmados. Se selecciona de manera aleatoria un proceso desde la solicitud hasta la expedición de CDP (6625 Correspondiente a Enero, 22425 correspondiente a febrero y 24125 Correspondiente a marzo ) y se adjuntan las respectivas evidencias en la carpeta de Seguimientos trimestrales compartida or la OAP, link: https://metrologiainm.sharepoint.com/:f:/s/OAP/EroUJtyUCN1OrsK0rozG6iIBSDKuNBhPCum5EmCFi_1MQg?e=kEQWj4
Finalmente, se informa que el riesgo no se materializó.</t>
  </si>
  <si>
    <t>Durante el segundo trimestre 2025 se solicitaron y expidieron 59 CDP, los cuales fueron revisados y expedidos acorde a lo establecido en el procedimiento A-01-P-002 Expedición de certificados de disponibilidad presupuestal, de lo cual reposan las evidencias en los correos electrónicos institucionales a través de los cuales se gestiona el trámite y las TRD del proceso de Gestión Financiera, ruta: Y:\230 GGF\TRD 2024\230.45 CDP\2025.
Para el presente periodo de seguimiento, se seleccionaron de manera aleatoria un proceso desde la solicitud hasta la expedición de CDP (26225 correspondiente al mes de Abril, 27825 correspondiente al mes de Mayo y 28325 correspondiente al mes de Junio) y se adjuntan los respectivos soportes en la carpeta de evidencias de ejecución de los controles compartida por la OAP, Link de acceso: https://metrologiainm.sharepoint.com/:f:/s/OAP/EjRrBCZ7U3RFtQExmGCiEPQBmKoPg5vJWjFgDOQgXv832w?e=Jgc9aP</t>
  </si>
  <si>
    <t>https://metrologiainm.sharepoint.com/:f:/s/OAP/EjRrBCZ7U3RFtQExmGCiEPQBmKoPg5vJWjFgDOQgXv832w?e=xl9AFH</t>
  </si>
  <si>
    <t>https://metrologiainm.sharepoint.com/:f:/s/OAP/EvUTgdxLNXZOpHDtitnMv2EBoX42FphHmJbI-g4-keQ3oA?e=JpSlPd</t>
  </si>
  <si>
    <t xml:space="preserve">Posibilidad de recibir o solicitar cualquier dádiva o beneficio a nombre propio o de terceros con el fin de afectar rubros que no corresponden con el objeto del gasto teniendo en cuenta la desagregación del presupuesto aprobada. </t>
  </si>
  <si>
    <r>
      <rPr>
        <b/>
        <sz val="8"/>
        <color rgb="FF000000"/>
        <rFont val="Calibri"/>
        <scheme val="minor"/>
      </rPr>
      <t>Control 2</t>
    </r>
    <r>
      <rPr>
        <sz val="8"/>
        <color rgb="FF000000"/>
        <rFont val="Calibri"/>
        <scheme val="minor"/>
      </rPr>
      <t xml:space="preserve">: Elaboración de informes periódicos de ejecuciones presupuestales que se expiden por parte del Profesional de Presupuesto y que se envían a las áreas para su revisión, detección de posibles inconsistencias o para el seguimiento de ejecución presupuestal. Solicitud de segunda revisión en el momento de entregar el CDP al solicitante.  
</t>
    </r>
    <r>
      <rPr>
        <b/>
        <sz val="8"/>
        <color rgb="FF000000"/>
        <rFont val="Calibri"/>
        <scheme val="minor"/>
      </rPr>
      <t>¿Cómo se hace el control?</t>
    </r>
    <r>
      <rPr>
        <sz val="8"/>
        <color rgb="FF000000"/>
        <rFont val="Calibri"/>
        <scheme val="minor"/>
      </rPr>
      <t xml:space="preserve">: Semanal y mensualmente, el profesional de presupuesto elabora y envía a las áreas informes periódicos de ejecuciones presupuestales,  solicitando su revisión. 
</t>
    </r>
    <r>
      <rPr>
        <b/>
        <sz val="8"/>
        <color rgb="FF000000"/>
        <rFont val="Calibri"/>
        <scheme val="minor"/>
      </rPr>
      <t>Propósito</t>
    </r>
    <r>
      <rPr>
        <sz val="8"/>
        <color rgb="FF000000"/>
        <rFont val="Calibri"/>
        <scheme val="minor"/>
      </rPr>
      <t xml:space="preserve">: Detectar, analizar y toma de decisiones sobre los informes de ejecución de gastos por parte de los interesados.
</t>
    </r>
    <r>
      <rPr>
        <b/>
        <sz val="8"/>
        <color rgb="FF000000"/>
        <rFont val="Calibri"/>
        <scheme val="minor"/>
      </rPr>
      <t>Responsable</t>
    </r>
    <r>
      <rPr>
        <sz val="8"/>
        <color rgb="FF000000"/>
        <rFont val="Calibri"/>
        <scheme val="minor"/>
      </rPr>
      <t xml:space="preserve">: Profesional Especializado con funciones de Presupuesto.
</t>
    </r>
    <r>
      <rPr>
        <b/>
        <sz val="8"/>
        <color rgb="FF000000"/>
        <rFont val="Calibri"/>
        <scheme val="minor"/>
      </rPr>
      <t>Periodicidad</t>
    </r>
    <r>
      <rPr>
        <sz val="8"/>
        <color rgb="FF000000"/>
        <rFont val="Calibri"/>
        <scheme val="minor"/>
      </rPr>
      <t xml:space="preserve">:  Semanal y mensual.
</t>
    </r>
    <r>
      <rPr>
        <b/>
        <sz val="8"/>
        <color rgb="FF000000"/>
        <rFont val="Calibri"/>
        <scheme val="minor"/>
      </rPr>
      <t>Evidencia</t>
    </r>
    <r>
      <rPr>
        <sz val="8"/>
        <color rgb="FF000000"/>
        <rFont val="Calibri"/>
        <scheme val="minor"/>
      </rPr>
      <t xml:space="preserve">: Correos electrónicos a los profesionales y dependencias del INM de la ejecución de gastos de funcionamiento e inversión, con los informes de ejecución generados por el sistema SIIF NACION II - MHCP.
</t>
    </r>
    <r>
      <rPr>
        <b/>
        <sz val="8"/>
        <color rgb="FF000000"/>
        <rFont val="Calibri"/>
        <scheme val="minor"/>
      </rPr>
      <t>Desviaciones/Observaciones</t>
    </r>
    <r>
      <rPr>
        <sz val="8"/>
        <color rgb="FF000000"/>
        <rFont val="Calibri"/>
        <scheme val="minor"/>
      </rPr>
      <t xml:space="preserve">: Si se identifican inconsistencias en la revisión del informe, el profesional especializado con funciones de presupuesto y el responsable del proceso que revisó el informe, analizaran el impacto que se  pueda generar y se tomarán  las acciones que correspondan. En caso de detectar una posible afectación de rubros para favorecer intereses particulares, se informa al área disciplinaria competente en el INM, para iniciar las acciones correspondientes.
</t>
    </r>
    <r>
      <rPr>
        <b/>
        <sz val="8"/>
        <color rgb="FF000000"/>
        <rFont val="Calibri"/>
        <scheme val="minor"/>
      </rPr>
      <t>Documentado</t>
    </r>
    <r>
      <rPr>
        <sz val="8"/>
        <color rgb="FF000000"/>
        <rFont val="Calibri"/>
        <scheme val="minor"/>
      </rPr>
      <t>: Procedimiento A-01-P-002 Expedición de Certificado de Disponibilidad Presupuestal.  Procedimiento A-01-P-003 Expedición de Registros Presupuestales.</t>
    </r>
  </si>
  <si>
    <t>Durante el primer trimestre 2025 se realizó la elaboración de los respectivos informes de ejecución de gastos, los cuales, fueron enviados a través de correo electrónico a los servidores públicos, colaboradores, jefes de oficina, subdirectores, Director General y asesores. Los informes se encuentran archivados en las TRD del proceso de Gestión Financiera, ruta: Y:\230 GGF\TRD 2024\230.135.18 INF EJECU PRES\1. Presupuesto de Gastos\2025. Se adjunta como evidencia los correos enviados durante los meses de enero, febrero y marzo, en los cuales se adjuntan los archivos generados por SIIF y el detalle de la ejecución.</t>
  </si>
  <si>
    <t>Durante el segundo trimestre 2025 se elaboraron los respectivos informes de ejecución de gastos, lo cuales, fueron enviados con frecuencia semanal y mensual a la Dirección General, Jefes de Oficina, Subdirectores y funcionarios y coaboradores del INM. Los informes se encuentran archivados según las TRD del proceso de Gestión Financiera en la ruta: Y:\230 GGF\TRD 2024\230.135.18 INF EJECU PRES\1. Presupuesto de Gastos\2025
Se adjunta como soporte los correos enviados de manera mensual para los meses de Abril, Mayo y Junio, en la carpeta de evidencias de ejecución de los controles compartida por la OAP, Link de acceso: https://metrologiainm.sharepoint.com/:f:/s/OAP/EjRrBCZ7U3RFtQExmGCiEPQBmKoPg5vJWjFgDOQgXv832w?e=ba0dV0</t>
  </si>
  <si>
    <t>Durante el tercer trimestre 2025 se elaboraron los respectivos informes de ejecución de gastos, lo cuales, fueron enviados con frecuencia semanal y mensual a la Dirección General, Jefes de Oficina, Subdirectores y funcionarios y coaboradores del INM. Los informes se encuentran archivados según las TRD del proceso de Gestión Financiera en la ruta: Y:\230 GGF\TRD 2024\230.135.18 INF EJECU PRES\1. Presupuesto de Gastos\2025
Se adjunta como soporte los correos enviados de manera mensual para los meses de Julio, Agosto y Septiembre, en la carpeta de evidencias de ejecución de los controles compartida por la OAP, Link de acceso: https://metrologiainm.sharepoint.com/:f:/s/OAP/EjRrBCZ7U3RFtQExmGCiEPQBmKoPg5vJWjFgDOQgXv832w?e=ba0dV0</t>
  </si>
  <si>
    <t>https://metrologiainm.sharepoint.com/:f:/s/OAP/EvUTgdxLNXZOpHDtitnMv2EBoX42FphHmJbI-g4-keQ3oA?e=TGfDP0</t>
  </si>
  <si>
    <t>A07-RC01</t>
  </si>
  <si>
    <t>Posibilidad de recibir o solicitar cualquier dádiva o beneficio a nombre propio o de terceros con el fin de hacer indebido trámite precontractual</t>
  </si>
  <si>
    <t>Se puede presentar cuando al establecer los requisitos o especificaciones legales, técnicas o financieras son manipuladas por parte del personal involucrado en el proceso de contratación como contraprestación, amiguismo, conflicto de interés, presiones comerciales para direccionar a un proveedor específico para celebrar un contrato, con el fin de favorecer intereses particulares o de terceros. 
Acción u omisión: Recepción u omisión de revisión de documentos sin el lleno de los requisitos legales. Establecer requisitos o especificaciones legales técnicas o financieras manipuladas con necesidades inexistentes o incompletas o realizar su direccionamiento a un proveedor específico; Declarar una urgencia manifiesta inexistente.
Desviación del Poder: por parte del profesional de contratación, de la dependencia solicitante o de gestión financiera, jefe de área, comité evaluador, ordenador del gasto.
Desviar la gestión de lo público: Indebida celebración de contratos.
Beneficio privado: favorecimiento de intereses particulares o de terceros.</t>
  </si>
  <si>
    <t>Aspectos legales
Intereses particulares</t>
  </si>
  <si>
    <t>Intereses particulares
Proceso, sus procedimientos y puntos de control</t>
  </si>
  <si>
    <t>Intereses particulares por parte de los colaboradores (contratistas y funcionarios) que participan en la gestión de los procesos contractuales para favorecimiento personal o de un tercero. 
Ausencia de publicación de los procesos precontractuales, contractuales o postcontractuales en Secop.</t>
  </si>
  <si>
    <t>Detrimento patrimonial
Afectación negativa de la imagen institucional</t>
  </si>
  <si>
    <r>
      <rPr>
        <b/>
        <sz val="8"/>
        <color rgb="FF000000"/>
        <rFont val="Calibri"/>
        <scheme val="minor"/>
      </rPr>
      <t>Control 1</t>
    </r>
    <r>
      <rPr>
        <sz val="8"/>
        <color rgb="FF000000"/>
        <rFont val="Calibri"/>
        <scheme val="minor"/>
      </rPr>
      <t xml:space="preserve">: Publicar en la plataforma dispuesta por CCE
</t>
    </r>
    <r>
      <rPr>
        <b/>
        <sz val="8"/>
        <color rgb="FF000000"/>
        <rFont val="Calibri"/>
        <scheme val="minor"/>
      </rPr>
      <t>Propósito</t>
    </r>
    <r>
      <rPr>
        <sz val="8"/>
        <color rgb="FF000000"/>
        <rFont val="Calibri"/>
        <scheme val="minor"/>
      </rPr>
      <t xml:space="preserve">: Garantizar el cumplimiento del principio de publicidad acorde con los lineamientos normativos y de la entidad.
</t>
    </r>
    <r>
      <rPr>
        <b/>
        <sz val="8"/>
        <color rgb="FF000000"/>
        <rFont val="Calibri"/>
        <scheme val="minor"/>
      </rPr>
      <t>¿Cómo se realiza el control?</t>
    </r>
    <r>
      <rPr>
        <sz val="8"/>
        <color rgb="FF000000"/>
        <rFont val="Calibri"/>
        <scheme val="minor"/>
      </rPr>
      <t xml:space="preserve">: Publica en la plataforma dispuesta por CCE del expediente contractual los documentos internos, del proceso, anexos del contrato (Numeral 2 - condiciones), y del contrato , de acuerdo con lo establecido en las guías y manuales de Colombia compra Eficiente, y los lineamientos del INM. 
Los documentos que se publiquen en la plataforma dispuesta por CCE, también reposarán en el archivo digital del INM de acuerdo con las TRD.
Efectúa en la plataforma dispuesta por CCE, la designación de conformidad con el formato de recomendación de supervisor A-07-F-011
Envía correo electrónico al supervisor designado informándole dicha publicación
</t>
    </r>
    <r>
      <rPr>
        <b/>
        <sz val="8"/>
        <color rgb="FF000000"/>
        <rFont val="Calibri"/>
        <scheme val="minor"/>
      </rPr>
      <t>Responsable</t>
    </r>
    <r>
      <rPr>
        <sz val="8"/>
        <color rgb="FF000000"/>
        <rFont val="Calibri"/>
        <scheme val="minor"/>
      </rPr>
      <t xml:space="preserve">: Abogado estructurador asignado al proceso
</t>
    </r>
    <r>
      <rPr>
        <b/>
        <sz val="8"/>
        <color rgb="FF000000"/>
        <rFont val="Calibri"/>
        <scheme val="minor"/>
      </rPr>
      <t>Periodicidad</t>
    </r>
    <r>
      <rPr>
        <sz val="8"/>
        <color rgb="FF000000"/>
        <rFont val="Calibri"/>
        <scheme val="minor"/>
      </rPr>
      <t xml:space="preserve">: Uno a uno por cada proceso de contratación. 
</t>
    </r>
    <r>
      <rPr>
        <b/>
        <sz val="8"/>
        <color rgb="FF000000"/>
        <rFont val="Calibri"/>
        <scheme val="minor"/>
      </rPr>
      <t>Evidencia</t>
    </r>
    <r>
      <rPr>
        <sz val="8"/>
        <color rgb="FF000000"/>
        <rFont val="Calibri"/>
        <scheme val="minor"/>
      </rPr>
      <t xml:space="preserve">: Documentos cargados en la plataforma dispuesta por CCE. 
</t>
    </r>
    <r>
      <rPr>
        <b/>
        <sz val="8"/>
        <color rgb="FF000000"/>
        <rFont val="Calibri"/>
        <scheme val="minor"/>
      </rPr>
      <t>Desviaciones/Observaciones</t>
    </r>
    <r>
      <rPr>
        <sz val="8"/>
        <color rgb="FF000000"/>
        <rFont val="Calibri"/>
        <scheme val="minor"/>
      </rPr>
      <t xml:space="preserve">: En caso de presentarse alguna desviación de poder (todas la consideradas por la normatividad legal) el proceso será devuelto.  Poner en conocimiento esta situación al Secretario General.
</t>
    </r>
    <r>
      <rPr>
        <b/>
        <sz val="8"/>
        <color rgb="FF000000"/>
        <rFont val="Calibri"/>
        <scheme val="minor"/>
      </rPr>
      <t>Documentado</t>
    </r>
    <r>
      <rPr>
        <sz val="8"/>
        <color rgb="FF000000"/>
        <rFont val="Calibri"/>
        <scheme val="minor"/>
      </rPr>
      <t>: A-07-P-001 Procedimiento precontractual.</t>
    </r>
  </si>
  <si>
    <t>Socializar el procedimiento A-07-P-001 Etapa pre contractual</t>
  </si>
  <si>
    <t>Evidencias de la socialización</t>
  </si>
  <si>
    <t>Profesional especializado grado 18
Secretario General</t>
  </si>
  <si>
    <t xml:space="preserve">Procesos a contratar atendidos dentro de los términos establecidos en el procedimiento para garantizar la ejecución presupuestal, asignada anualmente al INM. </t>
  </si>
  <si>
    <t>Se informa que durante el primer trimestre 2025 se suscribieron 94 contratos, de los cuales, se publica en la plataforma dispuesta por CCE los documentos pre contractuales del proceso. Para lo cual, se adjunta como evidencia el listado de los contratos con el link de acceso a SECOP (Matriz contratos I Trimestre 2025). 
Adicionalmente, los expedientes reposan en el recurso compartido del INM de acuerdo con las TRD, Ruta: Z:\220 GGJ\TRD-2024
Finalmente, se evidencia que el control 1 debe ser actualizado acorde a los lineamientos y el procedimiento actual de la etapa pre contractual.</t>
  </si>
  <si>
    <t>Se informa que durante el segundo trimestre 2025 se suscribieron 34 contratos, de los cuales, se publica en la plataforma dispuesta por CCE los documentos pre contractuales del proceso. Para lo cual, se adjunta como evidencia el listado de los contratos con el link de acceso a SECOP (Matriz contratos II Trimestre 2025, Hoja 2). 
Adicionalmente, los expedientes reposan en el recurso compartido del INM de acuerdo con las TRD, Ruta: Z:\220 GGJ\TRD-2024</t>
  </si>
  <si>
    <t>https://metrologiainm.sharepoint.com/:x:/s/OAP/ES-DRht0wWhArNV9f6H-1ycBRMaubpaNomjCiHhjZBHGaQ?e=hYfNZf</t>
  </si>
  <si>
    <t xml:space="preserve">Juana Maria Tovar
Wanda Sandoval 
Jeimi Medina W. </t>
  </si>
  <si>
    <t>Se informa que durante el tercer trimestre 2025 se suscribieron 32 contratos, de los cuales, se publica en la plataforma dispuesta por CCE los documentos pre contractuales del proceso. Para lo cual, se adjunta como evidencia el listado de los contratos con el link de acceso a SECOP (Matriz de contratos III Trimestre 2025, Hoja 2 (CD) y Hoja 3 (MC-CDI)). 
Adicionalmente, los expedientes reposan en el recurso compartido del INM de acuerdo con las TRD, Ruta: Z:\220 GGJ\TRD-2024</t>
  </si>
  <si>
    <t>https://metrologiainm.sharepoint.com/:f:/s/OAP/EtU7LpLYszFLo3yKliSkUf8BQ-XFeIWDTXHvCq03xWuL2w?e=TncChC</t>
  </si>
  <si>
    <t xml:space="preserve">Intereses particulares por parte de los colaboradores (contratistas y funcionarios) que participan en la gestión de los procesos contractuales para favorecimiento personal o de un tercero. </t>
  </si>
  <si>
    <r>
      <rPr>
        <b/>
        <sz val="8"/>
        <color rgb="FF000000"/>
        <rFont val="Calibri"/>
        <family val="2"/>
        <scheme val="minor"/>
      </rPr>
      <t>Control 2</t>
    </r>
    <r>
      <rPr>
        <sz val="8"/>
        <color rgb="FF000000"/>
        <rFont val="Calibri"/>
        <family val="2"/>
        <scheme val="minor"/>
      </rPr>
      <t xml:space="preserve">: Revisar previamente cada uno de los documentos y publicaciones realizadas en virtud del proceso de contratación.
</t>
    </r>
    <r>
      <rPr>
        <b/>
        <sz val="8"/>
        <color rgb="FF000000"/>
        <rFont val="Calibri"/>
        <family val="2"/>
        <scheme val="minor"/>
      </rPr>
      <t>Propósito</t>
    </r>
    <r>
      <rPr>
        <sz val="8"/>
        <color rgb="FF000000"/>
        <rFont val="Calibri"/>
        <family val="2"/>
        <scheme val="minor"/>
      </rPr>
      <t xml:space="preserve">: Revisar el cumplimiento normativo.
</t>
    </r>
    <r>
      <rPr>
        <b/>
        <sz val="8"/>
        <color rgb="FF000000"/>
        <rFont val="Calibri"/>
        <family val="2"/>
        <scheme val="minor"/>
      </rPr>
      <t>¿Cómo se realiza el control?</t>
    </r>
    <r>
      <rPr>
        <sz val="8"/>
        <color rgb="FF000000"/>
        <rFont val="Calibri"/>
        <family val="2"/>
        <scheme val="minor"/>
      </rPr>
      <t xml:space="preserve">: La revisión y control del proceso pre contractual es realizada por cada uno de los involucrados en el proceso hasta la firma final del ordenador del gasto.
</t>
    </r>
    <r>
      <rPr>
        <b/>
        <sz val="8"/>
        <color rgb="FF000000"/>
        <rFont val="Calibri"/>
        <family val="2"/>
        <scheme val="minor"/>
      </rPr>
      <t>Responsable</t>
    </r>
    <r>
      <rPr>
        <sz val="8"/>
        <color rgb="FF000000"/>
        <rFont val="Calibri"/>
        <family val="2"/>
        <scheme val="minor"/>
      </rPr>
      <t xml:space="preserve">: Jefe del área, Abogado estructurador, Abogado revisor, Secretario General, Ordenador del gasto.
</t>
    </r>
    <r>
      <rPr>
        <b/>
        <sz val="8"/>
        <color rgb="FF000000"/>
        <rFont val="Calibri"/>
        <family val="2"/>
        <scheme val="minor"/>
      </rPr>
      <t>Periodicidad</t>
    </r>
    <r>
      <rPr>
        <sz val="8"/>
        <color rgb="FF000000"/>
        <rFont val="Calibri"/>
        <family val="2"/>
        <scheme val="minor"/>
      </rPr>
      <t xml:space="preserve">: Uno a uno por cada proceso de contratación. 
</t>
    </r>
    <r>
      <rPr>
        <b/>
        <sz val="8"/>
        <color rgb="FF000000"/>
        <rFont val="Calibri"/>
        <family val="2"/>
        <scheme val="minor"/>
      </rPr>
      <t>Evidencia</t>
    </r>
    <r>
      <rPr>
        <sz val="8"/>
        <color rgb="FF000000"/>
        <rFont val="Calibri"/>
        <family val="2"/>
        <scheme val="minor"/>
      </rPr>
      <t xml:space="preserve">: Firmas (físicas y electrónicas) o vistos buenos en los documentos o cadenas de correos electrónicos.
</t>
    </r>
    <r>
      <rPr>
        <b/>
        <sz val="8"/>
        <color rgb="FF000000"/>
        <rFont val="Calibri"/>
        <family val="2"/>
        <scheme val="minor"/>
      </rPr>
      <t>Desviaciones/Observaciones</t>
    </r>
    <r>
      <rPr>
        <sz val="8"/>
        <color rgb="FF000000"/>
        <rFont val="Calibri"/>
        <family val="2"/>
        <scheme val="minor"/>
      </rPr>
      <t xml:space="preserve">: En caso de presentarse alguna desviación de poder (todas la consideradas por la normatividad legal) el proceso será devuelto.  Poner en conocimiento esta situación al Secretario General.
</t>
    </r>
    <r>
      <rPr>
        <b/>
        <sz val="8"/>
        <color rgb="FF000000"/>
        <rFont val="Calibri"/>
        <family val="2"/>
        <scheme val="minor"/>
      </rPr>
      <t>Documentado</t>
    </r>
    <r>
      <rPr>
        <sz val="8"/>
        <color rgb="FF000000"/>
        <rFont val="Calibri"/>
        <family val="2"/>
        <scheme val="minor"/>
      </rPr>
      <t>: A-07-P-001 Procedimiento precontractual.</t>
    </r>
  </si>
  <si>
    <t xml:space="preserve">Se informa que durante el primer trimestre 2025 se suscribieron 94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(Matriz contratos I Trimestre 2025). </t>
  </si>
  <si>
    <t xml:space="preserve">Se informa que durante el segundo trimestre 2025 se suscribieron 34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(Matriz contratos II Trimestre 2025, Hoja 2). </t>
  </si>
  <si>
    <t>Se informa que durante el tercer trimestre 2025 se suscribieron 32 contratos, los cuales surtieron el proceso de revisión previa de cada uno de los documentos en virtud del proceso de contratación, de conformidad con la normatividad vigente aplicable. De lo anterior, queda como evidencia los flujos de aprobación (Abogado estructurador, Abogado revisor y Ordenador del gasto) de los procesos y contratos en la plataforma transaccional SECOP II. Para lo cual, se adjunta como evidencia el listado de los contratos con el link de acceso a SECOP (Matriz de contratos III Trimestre 2025, Hoja 2 (CD) y Hoja 3 (MC-CDI)).</t>
  </si>
  <si>
    <t>A07-RC02</t>
  </si>
  <si>
    <t xml:space="preserve">Posibilidad de recibir o solicitar cualquier dádiva o beneficio a nombre propio o de terceros con el fin de hacer indebida supervisión en la ejecución de los contratos. </t>
  </si>
  <si>
    <t>Acción u omisión: no informar las irregularidades que se presentan durante la ejecución del contrato. no velar por el correcto cumplimiento de las obligaciones del contrato 
Uso del Poder: Supervisor del contrato, designados como apoyos de la supervisión, ordenador del gasto
Desviar la gestión de lo público: detrimento patrimonial del estado.
Beneficio privado: favorecimiento de intereses particulares y de terceros.</t>
  </si>
  <si>
    <t>Falta de competencia o aptitud   o búsqueda del beneficio propio o a terceros de los profesionales que intervienen</t>
  </si>
  <si>
    <r>
      <rPr>
        <b/>
        <sz val="8"/>
        <color rgb="FF000000"/>
        <rFont val="Calibri"/>
        <scheme val="minor"/>
      </rPr>
      <t>Control 1:</t>
    </r>
    <r>
      <rPr>
        <sz val="8"/>
        <color rgb="FF000000"/>
        <rFont val="Calibri"/>
        <scheme val="minor"/>
      </rPr>
      <t xml:space="preserve"> Asignar un supervisor a cada uno de los procesos de contratación para el seguimiento periódico a la ejecución del contrato, frente a la gestión, y los resultados, basado en: la eficiencia, la equidad, la eficacia, la economía y la valoración de los costos del contrato
</t>
    </r>
    <r>
      <rPr>
        <b/>
        <sz val="8"/>
        <color rgb="FF000000"/>
        <rFont val="Calibri"/>
        <scheme val="minor"/>
      </rPr>
      <t>Propósito</t>
    </r>
    <r>
      <rPr>
        <sz val="8"/>
        <color rgb="FF000000"/>
        <rFont val="Calibri"/>
        <scheme val="minor"/>
      </rPr>
      <t xml:space="preserve">: Garantizar un adecuada idoneidad del supervisor del contrato que sea imparcial y objetivo. 
</t>
    </r>
    <r>
      <rPr>
        <b/>
        <sz val="8"/>
        <color rgb="FF000000"/>
        <rFont val="Calibri"/>
        <scheme val="minor"/>
      </rPr>
      <t>¿Cómo se hace el control?</t>
    </r>
    <r>
      <rPr>
        <sz val="8"/>
        <color rgb="FF000000"/>
        <rFont val="Calibri"/>
        <scheme val="minor"/>
      </rPr>
      <t xml:space="preserve">: El Responsable del área realiza la propuesta del Supervisor mediante el formato de recomendación de Supervisor al ordenador del gasto, éste debe cumplir con la idoneidad requerida. 
</t>
    </r>
    <r>
      <rPr>
        <b/>
        <sz val="8"/>
        <color rgb="FF000000"/>
        <rFont val="Calibri"/>
        <scheme val="minor"/>
      </rPr>
      <t>Responsable</t>
    </r>
    <r>
      <rPr>
        <sz val="8"/>
        <color rgb="FF000000"/>
        <rFont val="Calibri"/>
        <scheme val="minor"/>
      </rPr>
      <t xml:space="preserve">: Jefe de la dependencia, abogado estructurador, Ordenador del gasto
</t>
    </r>
    <r>
      <rPr>
        <b/>
        <sz val="8"/>
        <color rgb="FF000000"/>
        <rFont val="Calibri"/>
        <scheme val="minor"/>
      </rPr>
      <t>Periodicidad:</t>
    </r>
    <r>
      <rPr>
        <sz val="8"/>
        <color rgb="FF000000"/>
        <rFont val="Calibri"/>
        <scheme val="minor"/>
      </rPr>
      <t xml:space="preserve"> Para cada contrato. 
</t>
    </r>
    <r>
      <rPr>
        <b/>
        <sz val="8"/>
        <color rgb="FF000000"/>
        <rFont val="Calibri"/>
        <scheme val="minor"/>
      </rPr>
      <t>Evidencia</t>
    </r>
    <r>
      <rPr>
        <sz val="8"/>
        <color rgb="FF000000"/>
        <rFont val="Calibri"/>
        <scheme val="minor"/>
      </rPr>
      <t xml:space="preserve">: Formato A-07-F-011 Recomendación de Supervisor .
</t>
    </r>
    <r>
      <rPr>
        <b/>
        <sz val="8"/>
        <color rgb="FF000000"/>
        <rFont val="Calibri"/>
        <scheme val="minor"/>
      </rPr>
      <t>Desviaciones/Observaciones</t>
    </r>
    <r>
      <rPr>
        <sz val="8"/>
        <color rgb="FF000000"/>
        <rFont val="Calibri"/>
        <scheme val="minor"/>
      </rPr>
      <t xml:space="preserve">: Si se detecta que se ha designado a una persona que no es idónea para ejercer la supervisión, el Jefe del área, deberá solicitar el cambio de supervisor para subsanar esta situación.
</t>
    </r>
    <r>
      <rPr>
        <b/>
        <sz val="8"/>
        <color rgb="FF000000"/>
        <rFont val="Calibri"/>
        <scheme val="minor"/>
      </rPr>
      <t>Documentado</t>
    </r>
    <r>
      <rPr>
        <sz val="8"/>
        <color rgb="FF000000"/>
        <rFont val="Calibri"/>
        <scheme val="minor"/>
      </rPr>
      <t>: A-07-I-001 Instructivo de supervisión de contratos y/o convenios,  A-07-P-001 Etapa pre contractual</t>
    </r>
  </si>
  <si>
    <t xml:space="preserve">Procesos a contratar atendidos dentro de los términos establecidos en el procedimiento para garantizar la ejecución presupuestal, asignada anualmente al INM.
Se relaciona con este indicador dado que dentro de la suscripción del contrato se lleva a cabo la recomendación y asignación del supervisor. </t>
  </si>
  <si>
    <t>Se informa que durante el primer trimestre 2025 se suscribieron 94 contratos, todos cuentan con el registro A-07-F-011 Recomendación de supervisor, la evidencia o soportes se encuentran archivados de acuerdo con las TRD en el recurso compartido, Ruta: Z:\220 GGJ\TRD-2024 y en cada uno de los procesos contractuales en SECOP II, en el acapite de información presupuestal del contrato.</t>
  </si>
  <si>
    <t>Se informa que durante el segundo trimestre 2025 se suscribieron 34 contratos, todos cuentan con el registro A-07-F-011 Recomendación de supervisor, la evidencia o soportes se encuentran archivados de acuerdo con las TRD en el recurso compartido, Ruta: Z:\220 GGJ\TRD-2024 y en cada uno de los procesos contractuales en SECOP II, en el acapite de información presupuestal del contrato. https://metrologiainm.sharepoint.com/:x:/s/OAP/EZJvyPx0AZ9MrTqy_lNPZdABHmWGQFi6AqBhZCpUmBxcxA?e=e2aTZi</t>
  </si>
  <si>
    <t>https://metrologiainm.sharepoint.com/:x:/s/OAP/EZJvyPx0AZ9MrTqy_lNPZdABHmWGQFi6AqBhZCpUmBxcxA?e=e2aTZi</t>
  </si>
  <si>
    <t>Se informa que durante el segundo trimestre 2025 se suscribieron 34 contratos, todos cuentan con el registro A-07-F-011 Recomendación de supervisor, la evidencia o soportes se encuentran archivados de acuerdo con las TRD en el recurso compartido, Ruta: Z:\220 GGJ\TRD-2024 y en cada uno de los procesos contractuales en SECOP II, en la pestaña 5 de documentos del contrato</t>
  </si>
  <si>
    <t>https://metrologiainm.sharepoint.com/:x:/s/OAP/EQ1jKUk4KsFIiLiFFb_f16EBv8DdKH3JSlfAMWm4w_swZQ?e=gUU7wp</t>
  </si>
  <si>
    <r>
      <rPr>
        <b/>
        <sz val="8"/>
        <color rgb="FF000000"/>
        <rFont val="Calibri"/>
        <family val="2"/>
        <scheme val="minor"/>
      </rPr>
      <t>Control 2</t>
    </r>
    <r>
      <rPr>
        <sz val="8"/>
        <color rgb="FF000000"/>
        <rFont val="Calibri"/>
        <family val="2"/>
        <scheme val="minor"/>
      </rPr>
      <t xml:space="preserve">: Vigilar la correcta ejecución de los contratos suscritos, ya sea en calidad de contratante o contratista, acorde con lo establecido en la normatividad legal vigente, el Manual A-07-M-001 Gestión contractual, instructivo A-07-I-001 Supervisión de contratos y/o convenios y el procedimiento A-07-P-002 ETAPA CONTRACTUAL
</t>
    </r>
    <r>
      <rPr>
        <b/>
        <sz val="8"/>
        <color rgb="FF000000"/>
        <rFont val="Calibri"/>
        <family val="2"/>
        <scheme val="minor"/>
      </rPr>
      <t xml:space="preserve">Propósito: </t>
    </r>
    <r>
      <rPr>
        <sz val="8"/>
        <color rgb="FF000000"/>
        <rFont val="Calibri"/>
        <family val="2"/>
        <scheme val="minor"/>
      </rPr>
      <t xml:space="preserve">Asegurar la eficiente y oportuna administración e inversión de los recursos que fueron asignados a determinado contrato, salvaguardando los recursos que puedan verse afectados por la ejecución de los mismos. 
</t>
    </r>
    <r>
      <rPr>
        <b/>
        <sz val="8"/>
        <color rgb="FF000000"/>
        <rFont val="Calibri"/>
        <family val="2"/>
        <scheme val="minor"/>
      </rPr>
      <t>Responsable</t>
    </r>
    <r>
      <rPr>
        <sz val="8"/>
        <color rgb="FF000000"/>
        <rFont val="Calibri"/>
        <family val="2"/>
        <scheme val="minor"/>
      </rPr>
      <t xml:space="preserve">: Supervisor asignado a cada uno de los contratos.  
</t>
    </r>
    <r>
      <rPr>
        <b/>
        <sz val="8"/>
        <color rgb="FF000000"/>
        <rFont val="Calibri"/>
        <family val="2"/>
        <scheme val="minor"/>
      </rPr>
      <t>Periodicidad:</t>
    </r>
    <r>
      <rPr>
        <sz val="8"/>
        <color rgb="FF000000"/>
        <rFont val="Calibri"/>
        <family val="2"/>
        <scheme val="minor"/>
      </rPr>
      <t xml:space="preserve"> Cada vez que se suscribe y ejecuta un contrato.
</t>
    </r>
    <r>
      <rPr>
        <b/>
        <sz val="8"/>
        <color rgb="FF000000"/>
        <rFont val="Calibri"/>
        <family val="2"/>
        <scheme val="minor"/>
      </rPr>
      <t>¿Cómo se hace el control?:</t>
    </r>
    <r>
      <rPr>
        <sz val="8"/>
        <color rgb="FF000000"/>
        <rFont val="Calibri"/>
        <family val="2"/>
        <scheme val="minor"/>
      </rPr>
      <t xml:space="preserve"> El supervisor designado verifica el cumplimiento de cada una de las obligaciones establecidas en el contrato, para lo cual, valida los informes de ejecución de actividades o informes de cumplimiento entregados por parte del proveedor o contratista y elabora el A-07-F-038 Informe de supervisión donde se manifiesta el cumplimiento a satisfacción de las obligaciones, la calidad de los informes presentados por el proveedor o contratista, el seguimiento frente a los riesgos que se establecieron para cada proceso de contratación, entre otros requisitos que permiten vigilar la ejecución del contrato e identificar su cumplimiento.  
</t>
    </r>
    <r>
      <rPr>
        <b/>
        <sz val="8"/>
        <color rgb="FF000000"/>
        <rFont val="Calibri"/>
        <family val="2"/>
        <scheme val="minor"/>
      </rPr>
      <t xml:space="preserve">Observaciones o desviaciones: </t>
    </r>
    <r>
      <rPr>
        <sz val="8"/>
        <color rgb="FF000000"/>
        <rFont val="Calibri"/>
        <family val="2"/>
        <scheme val="minor"/>
      </rPr>
      <t xml:space="preserve">En caso de identificar el incumplimiento de las obligaciones establecidas o la incorrecta ejecución del contrato, el supervisor informa al grupo interno de trabajo de gestión jurídica contractual y de investigaciones de carácter disciplinario para que se realicen las respectivas actuaciones frente al incumplimiento
</t>
    </r>
    <r>
      <rPr>
        <b/>
        <sz val="8"/>
        <color rgb="FF000000"/>
        <rFont val="Calibri"/>
        <family val="2"/>
        <scheme val="minor"/>
      </rPr>
      <t>Evidencias</t>
    </r>
    <r>
      <rPr>
        <sz val="8"/>
        <color rgb="FF000000"/>
        <rFont val="Calibri"/>
        <family val="2"/>
        <scheme val="minor"/>
      </rPr>
      <t xml:space="preserve">: Correos electrónicos, informes de cumplimiento o de ejecución de actividades entregados por los proveedores o contratistas,  A-07-F-038 Informe de supervisión. 
</t>
    </r>
    <r>
      <rPr>
        <b/>
        <sz val="8"/>
        <color rgb="FF000000"/>
        <rFont val="Calibri"/>
        <family val="2"/>
        <scheme val="minor"/>
      </rPr>
      <t>Documentado:</t>
    </r>
    <r>
      <rPr>
        <sz val="8"/>
        <color rgb="FF000000"/>
        <rFont val="Calibri"/>
        <family val="2"/>
        <scheme val="minor"/>
      </rPr>
      <t xml:space="preserve"> Manual A-07-M-001 Gestión contractual, Instructivo A-07-I-001 Supervisión de contratos y/o convenios</t>
    </r>
  </si>
  <si>
    <t>Socializar: 
Procedimiento A-07-P-002 ETAPA CONTRACTUAL
Instructivo A-07-I-001 Supervisión de contratos y/o convenios</t>
  </si>
  <si>
    <t xml:space="preserve">Se informa que durante el primer trimestre 2025 se suscribieron 94 contratos, de los cuales el supervisor designado verifica el cumplimiento de cada una de las obligaciones establecidas en el contrato, para lo cual, valida los informes de ejecución de actividades o informes de cumplimiento entregados por parte del proveedor o contratista y elabora el A-07-F-038 Informe de supervisión donde se manifiesta el cumplimiento a satisfacción de las obligaciones para cada uno de los pagos. Para lo cual, se adjunta como evidencia el listado de los contratos con el link de acceso a SECOP (Matriz contratos I Trimestre 2025). </t>
  </si>
  <si>
    <t xml:space="preserve">Se informa que durante el segundo trimestre 2025 se suscribieron 34 contratos, de los cuales el supervisor designado verifica el cumplimiento de cada una de las obligaciones establecidas en el contrato, para lo cual, valida los informes de ejecución de actividades o informes de cumplimiento entregados por parte del proveedor o contratista y elabora el A-07-F-038 Informe de supervisión donde se manifiesta el cumplimiento a satisfacción de las obligaciones para cada uno de los pagos. Para lo cual, se adjunta como evidencia el listado de los contratos con el link de acceso a SECOP (Matriz contratos II Trimestre 2025, Hoja 2). </t>
  </si>
  <si>
    <t xml:space="preserve">Se informa que durante el segundo trimestre 2025 se suscribieron 32 contratos, de los cuales el supervisor designado verifica el cumplimiento de cada una de las obligaciones establecidas en el contrato, para lo cual, valida los informes de ejecución de actividades o informes de cumplimiento entregados por parte del proveedor o contratista y elabora el A-07-F-038 Informe de supervisión donde se manifiesta el cumplimiento a satisfacción de las obligaciones para cada uno de los pagos. Para lo cual, se adjunta como evidencia el listado de los contratos con el link de acceso a SECOP (Matriz contratos II Trimestre 2025, Hoja 2 y Hoja 3). </t>
  </si>
  <si>
    <t>M02-RC01</t>
  </si>
  <si>
    <t>Posibilidad de recibir o solicitar cualquier dádiva o beneficio a nombre propio o de terceros con el fin de elaborar constancias de asistencia con información que no corresponde con lo cotizado o inexistente</t>
  </si>
  <si>
    <t>Se puede presentar cuando se beneficia a clientes, funcionarios y contratistas por amiguismo o clientelismo por aceptar promesas o pagos, para generar constancias de asistencia con información que no corresponde con lo cotizado o inexistente, para favorecer intereses propios o particulares desviando la gestión de lo público en beneficio de lo privado.
Acción u omisión: " se puede presentar cuando se beneficia a clientes, funcionarios y contratistas por amiguismo o clientelismo"
Uso del Poder: "aceptar promesas o pagos, para generar constancias de asistencia con información errónea para beneficio particular".
Desviar la gestión de lo público: "desviando la gestión de lo público en beneficio de lo privado.".
Beneficio privado: "Favorecer intereses particulares".</t>
  </si>
  <si>
    <t>Registros de la comercialización del servicio de capacitación</t>
  </si>
  <si>
    <t>Intereses particulares (dádivas, amiguismo, clientelismo)</t>
  </si>
  <si>
    <t xml:space="preserve">Presiones indebidas de los funcionarios del INM de Colombia. </t>
  </si>
  <si>
    <t>Soborno</t>
  </si>
  <si>
    <t>Falta de integridad y ética por parte del equipo de trabajo. 
Incumplimiento al código de ética por parte del funcionario. 
Omisión en el cumplimiento del procedimiento de capacitaciones</t>
  </si>
  <si>
    <t>Pérdida de imagen institucional
Apertura de procesos de disciplinarios, penales y fiscales.
Detrimento patrimonial</t>
  </si>
  <si>
    <r>
      <rPr>
        <b/>
        <sz val="8"/>
        <rFont val="Calibri"/>
        <family val="2"/>
        <scheme val="minor"/>
      </rPr>
      <t>Control 1</t>
    </r>
    <r>
      <rPr>
        <sz val="8"/>
        <rFont val="Calibri"/>
        <family val="2"/>
        <scheme val="minor"/>
      </rPr>
      <t xml:space="preserve">: Administrar listado de asistencia
</t>
    </r>
    <r>
      <rPr>
        <b/>
        <sz val="8"/>
        <rFont val="Calibri"/>
        <family val="2"/>
        <scheme val="minor"/>
      </rPr>
      <t>Propósito</t>
    </r>
    <r>
      <rPr>
        <sz val="8"/>
        <rFont val="Calibri"/>
        <family val="2"/>
        <scheme val="minor"/>
      </rPr>
      <t xml:space="preserve">: Garantizar que la información entregada por los participantes corresponda con el reporte de inscripción. 
</t>
    </r>
    <r>
      <rPr>
        <b/>
        <sz val="8"/>
        <rFont val="Calibri"/>
        <family val="2"/>
        <scheme val="minor"/>
      </rPr>
      <t xml:space="preserve">Responsable: </t>
    </r>
    <r>
      <rPr>
        <sz val="8"/>
        <rFont val="Calibri"/>
        <family val="2"/>
        <scheme val="minor"/>
      </rPr>
      <t xml:space="preserve">Profesional del GSM 
</t>
    </r>
    <r>
      <rPr>
        <b/>
        <sz val="8"/>
        <rFont val="Calibri"/>
        <family val="2"/>
        <scheme val="minor"/>
      </rPr>
      <t>¿Cómo se hace el control?</t>
    </r>
    <r>
      <rPr>
        <sz val="8"/>
        <rFont val="Calibri"/>
        <family val="2"/>
        <scheme val="minor"/>
      </rPr>
      <t xml:space="preserve">: Cada vez que se da inicio a una capacitación, el profesional responsable del GSM brinda las instrucciones de que los participantes validen que sus datos registrados en el listado de asistencia, se encuentren correctamente diligenciados. En caso que la información presenta alguna diferencia o inconsistencia, el asistente debe hacer el ajuste manualmente sobre el registro.
</t>
    </r>
    <r>
      <rPr>
        <b/>
        <sz val="8"/>
        <rFont val="Calibri"/>
        <family val="2"/>
        <scheme val="minor"/>
      </rPr>
      <t>Periodicidad</t>
    </r>
    <r>
      <rPr>
        <sz val="8"/>
        <rFont val="Calibri"/>
        <family val="2"/>
        <scheme val="minor"/>
      </rPr>
      <t xml:space="preserve">: Cada vez que realiza una capacitación. 
</t>
    </r>
    <r>
      <rPr>
        <b/>
        <sz val="8"/>
        <rFont val="Calibri"/>
        <family val="2"/>
        <scheme val="minor"/>
      </rPr>
      <t>Evidencia:</t>
    </r>
    <r>
      <rPr>
        <sz val="8"/>
        <rFont val="Calibri"/>
        <family val="2"/>
        <scheme val="minor"/>
      </rPr>
      <t xml:space="preserve"> Listado de asistencia firmado por los participantes - Constancia de asistencia con la información actualizada de acuerdo a lo suministrado por el participante. 
</t>
    </r>
    <r>
      <rPr>
        <b/>
        <sz val="8"/>
        <rFont val="Calibri"/>
        <family val="2"/>
        <scheme val="minor"/>
      </rPr>
      <t>Desviaciones/Observaciones</t>
    </r>
    <r>
      <rPr>
        <sz val="8"/>
        <rFont val="Calibri"/>
        <family val="2"/>
        <scheme val="minor"/>
      </rPr>
      <t xml:space="preserve">: En caso que el participante haya identificado y registrado diferencias o inconsistencias en la información del listado de asistencia, el profesional designado realiza los ajustes correspondientes en el aplicativo dispuesto para tal fin. 
</t>
    </r>
    <r>
      <rPr>
        <b/>
        <sz val="8"/>
        <rFont val="Calibri"/>
        <family val="2"/>
        <scheme val="minor"/>
      </rPr>
      <t>Documentado</t>
    </r>
    <r>
      <rPr>
        <sz val="8"/>
        <rFont val="Calibri"/>
        <family val="2"/>
        <scheme val="minor"/>
      </rPr>
      <t>: M-02-P-001 CAPACITACIONES EN METROLOGÍA</t>
    </r>
  </si>
  <si>
    <t xml:space="preserve">Actualizar las actividades # 2 del numeral 7.1.2. del procedimiento M-02-P-001 CAPACITACIONES EN METROLOGÍA </t>
  </si>
  <si>
    <t>Procedimiento actualizado y aprobado en Isolución</t>
  </si>
  <si>
    <t>Coordinador del GGSM</t>
  </si>
  <si>
    <t>Nivel de satisfacción de los usuarios del servicio de capacitación en metrología</t>
  </si>
  <si>
    <t>Sebastián Gil
Edgar Pinilla</t>
  </si>
  <si>
    <t>Durante el primer trimestre de la vigencia 2025, se desarrollaron 2 capacitaciones, en las cuales se diligenciaron los listado de asistencia de los participantes y se validaron los datos registrados en la inscripción previo a la emisión de las constancias de asistencia.</t>
  </si>
  <si>
    <t>https://metrologiainm.sharepoint.com/:f:/s/OAP/IgBXWX9tpzawRat2zJJXpLatAf25saoqLuqL40qezhlIcM8?e=iEWPVm</t>
  </si>
  <si>
    <t xml:space="preserve">Revisado el registro del seguimiento. No obstante falta que el proceso realice cargue de la evidencia de ejecución del control en la carpeta dispuesta para este fin. </t>
  </si>
  <si>
    <t>Durante el segundo trimestre de la vigencia 2025, se desarrollaron 10 capacitaciones, en las cuales se diligenciaron los listado de asistencia de los participantes y se validaron los datos registrados en la inscripción previo a la emisión de las constancias de asistencia.</t>
  </si>
  <si>
    <t>https://metrologiainm.sharepoint.com/:f:/s/OAP/IgACjdWvJEBNQaHs84HtEU1QAb70DTEd4RSsi_PIfVtvWAo?e=QPQ28g</t>
  </si>
  <si>
    <t>Durante el tercer trimestre de la vigencia 2025, se desarrollaron 9 capacitaciones, en las cuales se diligenciaron los listado de asistencia de los participantes y se validaron los datos registrados en la inscripción previo a la emisión de las constancias de asistencia.</t>
  </si>
  <si>
    <t>https://metrologiainm.sharepoint.com/:f:/s/OAP/IgDRhFFfqClQTpevS9eVZLR1AUaEJQbP17q9cMvuV1B2-gk?e=G6ovLr</t>
  </si>
  <si>
    <t>Luego de revisar la información registrada por el proceso, es importante contar con las evidencias de ejecución del control.</t>
  </si>
  <si>
    <r>
      <rPr>
        <b/>
        <sz val="8"/>
        <color rgb="FF000000"/>
        <rFont val="Calibri"/>
        <scheme val="minor"/>
      </rPr>
      <t>Control 2</t>
    </r>
    <r>
      <rPr>
        <sz val="8"/>
        <color rgb="FF000000"/>
        <rFont val="Calibri"/>
        <scheme val="minor"/>
      </rPr>
      <t xml:space="preserve">: Verificar que la información de cada uno de los participantes se encuentre actualizada en el aplicativo con relación a los listados de asistencia, previo a la generación de las constancias de asistencia.
</t>
    </r>
    <r>
      <rPr>
        <b/>
        <sz val="8"/>
        <color rgb="FF000000"/>
        <rFont val="Calibri"/>
        <scheme val="minor"/>
      </rPr>
      <t>Propósito</t>
    </r>
    <r>
      <rPr>
        <sz val="8"/>
        <color rgb="FF000000"/>
        <rFont val="Calibri"/>
        <scheme val="minor"/>
      </rPr>
      <t xml:space="preserve">: Garantizar que la información de la constancia de asistencia se encuentre correcta y actualizada frente a la información registrada por cada participante. 
</t>
    </r>
    <r>
      <rPr>
        <b/>
        <sz val="8"/>
        <color rgb="FF000000"/>
        <rFont val="Calibri"/>
        <scheme val="minor"/>
      </rPr>
      <t>Responsable:</t>
    </r>
    <r>
      <rPr>
        <sz val="8"/>
        <color rgb="FF000000"/>
        <rFont val="Calibri"/>
        <scheme val="minor"/>
      </rPr>
      <t xml:space="preserve"> Coordinador del GSM
</t>
    </r>
    <r>
      <rPr>
        <b/>
        <sz val="8"/>
        <color rgb="FF000000"/>
        <rFont val="Calibri"/>
        <scheme val="minor"/>
      </rPr>
      <t>¿Cómo se hace el control?</t>
    </r>
    <r>
      <rPr>
        <sz val="8"/>
        <color rgb="FF000000"/>
        <rFont val="Calibri"/>
        <scheme val="minor"/>
      </rPr>
      <t xml:space="preserve">: Cada vez que finaliza una capacitación,  el coordinador del GGSM verifica que la información de cada uno de los participantes en el aplicativo, se encuentre correcta y conforme a lo registrado en los listados de asistencia.
</t>
    </r>
    <r>
      <rPr>
        <b/>
        <sz val="8"/>
        <color rgb="FF000000"/>
        <rFont val="Calibri"/>
        <scheme val="minor"/>
      </rPr>
      <t>Periodicidad</t>
    </r>
    <r>
      <rPr>
        <sz val="8"/>
        <color rgb="FF000000"/>
        <rFont val="Calibri"/>
        <scheme val="minor"/>
      </rPr>
      <t xml:space="preserve">: Cada vez que realiza una capacitación. 
</t>
    </r>
    <r>
      <rPr>
        <b/>
        <sz val="8"/>
        <color rgb="FF000000"/>
        <rFont val="Calibri"/>
        <scheme val="minor"/>
      </rPr>
      <t>Evidencia</t>
    </r>
    <r>
      <rPr>
        <sz val="8"/>
        <color rgb="FF000000"/>
        <rFont val="Calibri"/>
        <scheme val="minor"/>
      </rPr>
      <t xml:space="preserve">: Listado de asistencia firmado por los participantes - Constancia de asistencia con la información actualizada de acuerdo a lo suministrado por el participante. 
</t>
    </r>
    <r>
      <rPr>
        <b/>
        <sz val="8"/>
        <color rgb="FF000000"/>
        <rFont val="Calibri"/>
        <scheme val="minor"/>
      </rPr>
      <t>Desviaciones/Observaciones</t>
    </r>
    <r>
      <rPr>
        <sz val="8"/>
        <color rgb="FF000000"/>
        <rFont val="Calibri"/>
        <scheme val="minor"/>
      </rPr>
      <t xml:space="preserve">: En caso que el participante haya asistido parcialmente a la capacitación, se verifica el porcentaje de asistencia y según el resultado se decide si se emite constancia de asistencia o certificado de horas de participación. En caso que la información registrada en el aplicativo no se encuentre actualizada, el coordinador del GGSM informa al profesional responsable para que realice los ajustes a que haya lugar en el aplicativo. 
</t>
    </r>
    <r>
      <rPr>
        <b/>
        <sz val="8"/>
        <color rgb="FF000000"/>
        <rFont val="Calibri"/>
        <scheme val="minor"/>
      </rPr>
      <t>Documentado</t>
    </r>
    <r>
      <rPr>
        <sz val="8"/>
        <color rgb="FF000000"/>
        <rFont val="Calibri"/>
        <scheme val="minor"/>
      </rPr>
      <t>: M-02-P-001 CAPACITACIONES EN METROLOGÍA</t>
    </r>
  </si>
  <si>
    <t>Detectar</t>
  </si>
  <si>
    <t xml:space="preserve">Actualizar las actividades # 5 del numeral 7.1.2. del procedimiento M-02-P-001 CAPACITACIONES EN METROLOGÍA </t>
  </si>
  <si>
    <t>https://metrologiainm.sharepoint.com/:f:/s/OAP/IgDRhFFfqClQTpevS9eVZLR1AUaEJQbP17q9cMvuV1B2-gk?e=4FFWdp</t>
  </si>
  <si>
    <t>A08-RC01</t>
  </si>
  <si>
    <t>Posibilidad de recibir o solicitar cualquier dádiva o beneficio a nombre propio o de terceros con el fin de priorizar la atención de los servicios metrológicos cuando se presenta una excesiva demanda, sobre clientes con servicios solicitados o programados</t>
  </si>
  <si>
    <t xml:space="preserve">Se presenta cuando hay una excesiva demanda de los servicios metrológicos y hay demoras en el tiempo de atención de las solicitudes, puede presentarse la posibilidad de priorizar a clientes sobre las solicitudes o programaciones por encima de las ya establecidas.  Es decir, realizar una atención prioritaria para favorecer a un cliente por intereses propios o particulares por algún tipo de contraprestación, amiguismo, clientelismo, desviando la gestión de lo público en beneficio de lo privado.
Acción u omisión: Priorizar a clientes sobre las solicitudes o programaciones por encima de las ya establecidas
Uso del Poder: "Se prioricen ciertas solicitudes por parte del personal involucrado".
Desviar la gestión de lo público: desviando la gestión de lo público en beneficio de lo privado.
Beneficio privado:  en beneficio de lo privado.
</t>
  </si>
  <si>
    <t>Intereses particulares
 Intereses gubernamentales</t>
  </si>
  <si>
    <t>Procesos, posible falta de  procedimientos y puntos de control
 Herramientas informáticas
 Intereses particulares</t>
  </si>
  <si>
    <t>Posibilidad de manipulación de las fechas y priorización en la programación de los servicios por debilidad en los controles establecidos</t>
  </si>
  <si>
    <t>Detrimento patrimonial
 Afectación negativa de la imagen institucional</t>
  </si>
  <si>
    <r>
      <rPr>
        <b/>
        <sz val="8"/>
        <rFont val="Calibri"/>
        <family val="2"/>
        <scheme val="minor"/>
      </rPr>
      <t xml:space="preserve">Control 1: </t>
    </r>
    <r>
      <rPr>
        <sz val="8"/>
        <rFont val="Calibri"/>
        <family val="2"/>
        <scheme val="minor"/>
      </rPr>
      <t xml:space="preserve">Según la oportunidad de pago del cliente, legalizado por el proceso de Gestión Financiera, se genera la programación del servicio en el aplicativo que asigna automáticamente al laboratorio para que realice la programación definitiva.
</t>
    </r>
    <r>
      <rPr>
        <b/>
        <sz val="8"/>
        <rFont val="Calibri"/>
        <family val="2"/>
        <scheme val="minor"/>
      </rPr>
      <t>Propósito</t>
    </r>
    <r>
      <rPr>
        <sz val="8"/>
        <rFont val="Calibri"/>
        <family val="2"/>
        <scheme val="minor"/>
      </rPr>
      <t xml:space="preserve">: Establecer un orden de atención que corresponda con la oportunidad del pago del servicio.
</t>
    </r>
    <r>
      <rPr>
        <b/>
        <sz val="8"/>
        <rFont val="Calibri"/>
        <family val="2"/>
        <scheme val="minor"/>
      </rPr>
      <t>¿Cómo se hace?</t>
    </r>
    <r>
      <rPr>
        <sz val="8"/>
        <rFont val="Calibri"/>
        <family val="2"/>
        <scheme val="minor"/>
      </rPr>
      <t xml:space="preserve"> Cada vez que se legalice el pago de un servicio, el aplicativo asigna automáticamente al laboratorio para que realice la programación definitiva. 
</t>
    </r>
    <r>
      <rPr>
        <b/>
        <sz val="8"/>
        <rFont val="Calibri"/>
        <family val="2"/>
        <scheme val="minor"/>
      </rPr>
      <t>Responsable</t>
    </r>
    <r>
      <rPr>
        <sz val="8"/>
        <rFont val="Calibri"/>
        <family val="2"/>
        <scheme val="minor"/>
      </rPr>
      <t xml:space="preserve">: Coordinador de Gestión de Servicios Metrológicos.
</t>
    </r>
    <r>
      <rPr>
        <b/>
        <sz val="8"/>
        <rFont val="Calibri"/>
        <family val="2"/>
        <scheme val="minor"/>
      </rPr>
      <t>Periodicidad</t>
    </r>
    <r>
      <rPr>
        <sz val="8"/>
        <rFont val="Calibri"/>
        <family val="2"/>
        <scheme val="minor"/>
      </rPr>
      <t xml:space="preserve">: Por cada solicitud de servicio.
</t>
    </r>
    <r>
      <rPr>
        <b/>
        <sz val="8"/>
        <rFont val="Calibri"/>
        <family val="2"/>
        <scheme val="minor"/>
      </rPr>
      <t>Evidencia</t>
    </r>
    <r>
      <rPr>
        <sz val="8"/>
        <rFont val="Calibri"/>
        <family val="2"/>
        <scheme val="minor"/>
      </rPr>
      <t xml:space="preserve">: Registro de la programación generado del aplicativo SASM.
</t>
    </r>
    <r>
      <rPr>
        <b/>
        <sz val="8"/>
        <rFont val="Calibri"/>
        <family val="2"/>
        <scheme val="minor"/>
      </rPr>
      <t>Desviaciones/Observaciones</t>
    </r>
    <r>
      <rPr>
        <sz val="8"/>
        <rFont val="Calibri"/>
        <family val="2"/>
        <scheme val="minor"/>
      </rPr>
      <t xml:space="preserve">: La programación establecida queda sujeta a disponibilidad operativa de los laboratorios, tales como, disponibilidad de equipos o personal. De presentarse alguna eventualidad, se coordina entre los laboratorios y el grupo de Gestión de Servicios Metrológicos para reprogramar e informar a los clientes según sea el caso.
</t>
    </r>
    <r>
      <rPr>
        <b/>
        <sz val="8"/>
        <rFont val="Calibri"/>
        <family val="2"/>
        <scheme val="minor"/>
      </rPr>
      <t>Documentado</t>
    </r>
    <r>
      <rPr>
        <sz val="8"/>
        <rFont val="Calibri"/>
        <family val="2"/>
        <scheme val="minor"/>
      </rPr>
      <t>: Procedimiento A-08-P-001 Revisión de solicitudes, ofertas y contratos y A-08-P-004 Reprogramación, Suspensión, Cancelación o Reactivación de Productos o Servicios (desviaciones/observaciones).</t>
    </r>
  </si>
  <si>
    <t xml:space="preserve">Documentar en el procedimiento A-08-P-001 REVISIÓN DE SOLICITUDES, OFERTAS Y CONTRATOS, el lineamiento relacionado con que por parte de los laboratorios dejen en el registro de programación, las notas asociadas a solicitudes particulares de los clientes, respecto a la fecha de la prestación de servicios y socializar a los involucrados. 
 </t>
  </si>
  <si>
    <t xml:space="preserve">A-08-P-001 aprobado en Isolución 
Evidencia de la socialización del procedimiento. </t>
  </si>
  <si>
    <t>Subdirector de la SMF y SMQB. 
Coordinador del GGSM (actualización en Isolución y socialización)</t>
  </si>
  <si>
    <t>Nivel de satisfacción de los usuarios del servicio de calibración y medición de MR</t>
  </si>
  <si>
    <t>Se evidencia la generación de 17 programaciones de servicios de calibración en el aplicativo SASM. Estas programaciones se han generado según el orden en que se legalizan los pagos por parte del proceso de Gestión Financiera, para los clientes externos.</t>
  </si>
  <si>
    <t>El repositorio de las programaciones es el aplicativo SASM para los servicios de calibración. Se presenta una programación a manera de ejemplo en:
https://metrologiainm.sharepoint.com/:b:/s/OAP/IQB7MK_WOZl8RKxcqvp4PwoYAfzZ7H3bBBr34IO8QsbjnFE?e=H8gpOZ</t>
  </si>
  <si>
    <t xml:space="preserve">En el segundo trimestre de 2025, se evidencia la generación de 57 programaciones de servicios de calibración en el aplicativo SASM. Estas programaciones se han generado según el orden en que se legalizan los pagos por parte del proceso de Gestión Financiera, para los clientes externos. </t>
  </si>
  <si>
    <t>El repositorio de las programaciones es el aplicativo SASM para los servicios de calibración. Se presenta una programación a manera de ejemplo en: https://metrologiainm.sharepoint.com/:f:/s/OAP/Eu6KgKiPuihMkmgswhdP7C8BT8cEN6d6h_3idIHE4Q_VUQ?e=RfHRdp</t>
  </si>
  <si>
    <t>Arleth F. Delgado
Sebastian Gil H</t>
  </si>
  <si>
    <t>En el tercer trimestre de 2025, se evidencia la generación de 34 programaciones de servicios de calibración en el aplicativo SASM. Estas programaciones se han generado según el orden en que se legalizan los pagos por parte del proceso de Gestión Financiera, para los clientes externos.</t>
  </si>
  <si>
    <t>El repositorio de las programaciones es el aplicativo SASM para los servicios de calibración. Se presenta una programación a manera de ejemplo en:
https://metrologiainm.sharepoint.com/:f:/s/OAP/IgBl2D_gDr3qQb74Tpr_BGDWAbDPwSn1l4LNrB6by-4rZ7o?e=rcMTgI</t>
  </si>
  <si>
    <r>
      <rPr>
        <b/>
        <sz val="8"/>
        <rFont val="Calibri"/>
        <family val="2"/>
        <scheme val="minor"/>
      </rPr>
      <t>Control 2:</t>
    </r>
    <r>
      <rPr>
        <sz val="8"/>
        <rFont val="Calibri"/>
        <family val="2"/>
        <scheme val="minor"/>
      </rPr>
      <t xml:space="preserve"> Programar el servicio de calibración, teniendo en cuenta la disponibilidad de recursos y la solicitud del cliente, cuando esta última sea posible. 
</t>
    </r>
    <r>
      <rPr>
        <b/>
        <sz val="8"/>
        <rFont val="Calibri"/>
        <family val="2"/>
        <scheme val="minor"/>
      </rPr>
      <t>Propósito</t>
    </r>
    <r>
      <rPr>
        <sz val="8"/>
        <rFont val="Calibri"/>
        <family val="2"/>
        <scheme val="minor"/>
      </rPr>
      <t xml:space="preserve">: Establecer un orden de atención que corresponda con la oportunidad del pago del servicio.
</t>
    </r>
    <r>
      <rPr>
        <b/>
        <sz val="8"/>
        <rFont val="Calibri"/>
        <family val="2"/>
        <scheme val="minor"/>
      </rPr>
      <t>¿Cómo se hace el control?</t>
    </r>
    <r>
      <rPr>
        <sz val="8"/>
        <rFont val="Calibri"/>
        <family val="2"/>
        <scheme val="minor"/>
      </rPr>
      <t xml:space="preserve"> Tomando como base la notificación de SASM, el personal del laboratorio programa el servicio teniendo en cuenta la disponibilidad de recursos y la solicitud del cliente, cuando esta última sea posible.
</t>
    </r>
    <r>
      <rPr>
        <b/>
        <sz val="8"/>
        <rFont val="Calibri"/>
        <family val="2"/>
        <scheme val="minor"/>
      </rPr>
      <t>Responsable</t>
    </r>
    <r>
      <rPr>
        <sz val="8"/>
        <rFont val="Calibri"/>
        <family val="2"/>
        <scheme val="minor"/>
      </rPr>
      <t xml:space="preserve">: Personal de los laboratorios.
</t>
    </r>
    <r>
      <rPr>
        <b/>
        <sz val="8"/>
        <rFont val="Calibri"/>
        <family val="2"/>
        <scheme val="minor"/>
      </rPr>
      <t>Periodicidad:</t>
    </r>
    <r>
      <rPr>
        <sz val="8"/>
        <rFont val="Calibri"/>
        <family val="2"/>
        <scheme val="minor"/>
      </rPr>
      <t xml:space="preserve"> Por cada solicitud de servicio.
</t>
    </r>
    <r>
      <rPr>
        <b/>
        <sz val="8"/>
        <rFont val="Calibri"/>
        <family val="2"/>
        <scheme val="minor"/>
      </rPr>
      <t>Evidencia</t>
    </r>
    <r>
      <rPr>
        <sz val="8"/>
        <rFont val="Calibri"/>
        <family val="2"/>
        <scheme val="minor"/>
      </rPr>
      <t xml:space="preserve">: Registro de la programación generado en el aplicativo SASM.
</t>
    </r>
    <r>
      <rPr>
        <b/>
        <sz val="8"/>
        <rFont val="Calibri"/>
        <family val="2"/>
        <scheme val="minor"/>
      </rPr>
      <t>Desviaciones/Observaciones</t>
    </r>
    <r>
      <rPr>
        <sz val="8"/>
        <rFont val="Calibri"/>
        <family val="2"/>
        <scheme val="minor"/>
      </rPr>
      <t xml:space="preserve">: La programación establecida queda sujeta a disponibilidad operativa de los laboratorios, tales como, disponibilidad de equipos o personal. De presentarse alguna eventualidad, se coordina entre los laboratorios y el grupo de Gestión de Servicios Metrológicos para reprogramar e informar a los clientes según sea el caso.
</t>
    </r>
    <r>
      <rPr>
        <b/>
        <sz val="8"/>
        <rFont val="Calibri"/>
        <family val="2"/>
        <scheme val="minor"/>
      </rPr>
      <t>Documentado</t>
    </r>
    <r>
      <rPr>
        <sz val="8"/>
        <rFont val="Calibri"/>
        <family val="2"/>
        <scheme val="minor"/>
      </rPr>
      <t>: Procedimiento A-08-P-001 Revisión de solicitudes, ofertas y contratos A-08-P-004 Reprogramación, Suspensión, Cancelación o Reactivación de Productos o Servicios (desviaciones/observaciones).</t>
    </r>
  </si>
  <si>
    <t xml:space="preserve">Se evidencia la generación de programaciones de servicios de calibración en el aplicativo SASM, según el orden en que se legalizan los pagos por parte del proceso de Gestión Financiera, para los clientes externos. </t>
  </si>
  <si>
    <t>A08-RC02</t>
  </si>
  <si>
    <t>Posibilidad de recibir o solicitar cualquier dádiva o beneficio a nombre propio o de terceros con el fin que existan pagos que no correspondan con los ítems y condiciones para la prestación de los servicios pactados en las cotizaciones (versus), los certificados e informes emitidos durante la prestación del servicio metrológico.</t>
  </si>
  <si>
    <t>Se puede presentar cuando se beneficia a clientes por amiguismo o clientelismo por aceptar pagos que no correspondan con los ítems y condiciones pactadas de las cotizaciones y/o datos contenidos en los certificados e informes emitidos por la prestación del servicio metrológico, para favorecer intereses propios o particulares desviando la gestión de lo público en beneficio de lo privado.
Acción u omisión: " se puede presentar cuando se beneficia a clientes por amiguismo o clientelismo"
Uso del Poder: "Aceptar pagos que no correspondan con los ítems y condiciones de las cotizaciones y/o datos contenidos en los certificados e informes emitidos".
Desviar la gestión de lo público: "desviando la gestión de lo público en beneficio de lo privado.".
Beneficio privado: "Favorecer intereses particulares".</t>
  </si>
  <si>
    <t>Procesos, sus procedimientos y puntos de control
 Herramientas informáticas
 Intereses particulares</t>
  </si>
  <si>
    <t>Posibilidad de manipulación en la transcripción de la solicitud en el Aplicativo</t>
  </si>
  <si>
    <t>Detrimento patrimonial
 Afectación negativa de la imagen institucional</t>
  </si>
  <si>
    <r>
      <rPr>
        <b/>
        <sz val="8"/>
        <rFont val="Calibri"/>
        <family val="2"/>
        <scheme val="minor"/>
      </rPr>
      <t xml:space="preserve">Control 1: </t>
    </r>
    <r>
      <rPr>
        <sz val="8"/>
        <rFont val="Calibri"/>
        <family val="2"/>
        <scheme val="minor"/>
      </rPr>
      <t xml:space="preserve">Verificar si se presentan modificaciones a la oferta, cotización o contrato
</t>
    </r>
    <r>
      <rPr>
        <b/>
        <sz val="8"/>
        <rFont val="Calibri"/>
        <family val="2"/>
        <scheme val="minor"/>
      </rPr>
      <t>Propósito</t>
    </r>
    <r>
      <rPr>
        <sz val="8"/>
        <rFont val="Calibri"/>
        <family val="2"/>
        <scheme val="minor"/>
      </rPr>
      <t xml:space="preserve">: Asegurar el recaudo de todos los servicios cotizados en calibración y evitar demoras en la programación y prestación de servicios de calibración
</t>
    </r>
    <r>
      <rPr>
        <b/>
        <sz val="8"/>
        <rFont val="Calibri"/>
        <family val="2"/>
        <scheme val="minor"/>
      </rPr>
      <t>Responsable</t>
    </r>
    <r>
      <rPr>
        <sz val="8"/>
        <rFont val="Calibri"/>
        <family val="2"/>
        <scheme val="minor"/>
      </rPr>
      <t xml:space="preserve">: Coordinador del GGSM o colaborador designado
</t>
    </r>
    <r>
      <rPr>
        <b/>
        <sz val="8"/>
        <rFont val="Calibri"/>
        <family val="2"/>
        <scheme val="minor"/>
      </rPr>
      <t xml:space="preserve">¿Cómo se realiza el control?: </t>
    </r>
    <r>
      <rPr>
        <sz val="8"/>
        <rFont val="Calibri"/>
        <family val="2"/>
        <scheme val="minor"/>
      </rPr>
      <t xml:space="preserve">Durante la prestación del servicio, hace seguimiento al cumplimiento de las obligaciones pactadas en la oferta, cotización o contrato
</t>
    </r>
    <r>
      <rPr>
        <b/>
        <sz val="8"/>
        <rFont val="Calibri"/>
        <family val="2"/>
        <scheme val="minor"/>
      </rPr>
      <t>Periodicidad:</t>
    </r>
    <r>
      <rPr>
        <sz val="8"/>
        <rFont val="Calibri"/>
        <family val="2"/>
        <scheme val="minor"/>
      </rPr>
      <t xml:space="preserve"> Por cada solicitud de servicio
</t>
    </r>
    <r>
      <rPr>
        <b/>
        <sz val="8"/>
        <rFont val="Calibri"/>
        <family val="2"/>
        <scheme val="minor"/>
      </rPr>
      <t>Evidencia</t>
    </r>
    <r>
      <rPr>
        <sz val="8"/>
        <rFont val="Calibri"/>
        <family val="2"/>
        <scheme val="minor"/>
      </rPr>
      <t xml:space="preserve">: Registros (Cotización) de Aplicativo 
</t>
    </r>
    <r>
      <rPr>
        <b/>
        <sz val="8"/>
        <rFont val="Calibri"/>
        <family val="2"/>
        <scheme val="minor"/>
      </rPr>
      <t>Desviaciones/Observaciones</t>
    </r>
    <r>
      <rPr>
        <sz val="8"/>
        <rFont val="Calibri"/>
        <family val="2"/>
        <scheme val="minor"/>
      </rPr>
      <t xml:space="preserve">: Si se presenta un error en el registro de la cotización que no contemple todos los ítems requeridos en la solicitud del servicio y que el laboratorio no lo evidencie,  y se reciba el pago que no corresponde, se procede a generar una nueva cotización y desplegar las acciones de recaudo del recurso faltante.
</t>
    </r>
    <r>
      <rPr>
        <b/>
        <sz val="8"/>
        <rFont val="Calibri"/>
        <family val="2"/>
        <scheme val="minor"/>
      </rPr>
      <t>Documentado</t>
    </r>
    <r>
      <rPr>
        <sz val="8"/>
        <rFont val="Calibri"/>
        <family val="2"/>
        <scheme val="minor"/>
      </rPr>
      <t>: Procedimiento A-08-P-001 Revisión de solicitudes, ofertas y contratos</t>
    </r>
  </si>
  <si>
    <t>Validar desde el Proceso de Gestión Servicios Metrológicos, que se realicen las pruebas y validaciones necesarias que permitan una automatización de la metodología de gestión de recaudos y conciliación de los recursos recibidos con el área financiera</t>
  </si>
  <si>
    <t>Correos electrónicos de seguimiento a las actividades de implementación de la nueva metodología de gestión de recaudos</t>
  </si>
  <si>
    <t xml:space="preserve">Coordinador de Servicios Metrológicos </t>
  </si>
  <si>
    <t xml:space="preserve">Cotizaciones solicitadas por los clientes gestionadas oportunamente que permitan la articulación entre los usuarios y las áreas del Instituto, dando respuesta a la demanda durante la vigencia. </t>
  </si>
  <si>
    <t>Durante el primer trimestre de 2025, se realizó verificación de todos las líneas de servicio pagadas en las cotizaciones de calibraciones garantizando que haya coherencia en la información del recaudo y evitando demoras en la programación y prestación de servicios de calibración.</t>
  </si>
  <si>
    <t>Durante el segundo trimestre de 2025, se realizó verificación durante la generación de las ordenes de servicio, que todas las líneas de servicio aprobadas, estuvieran pagadas acorde a lo cotizado, garantizando que haya coherencia en la información del recaudo y evitando demoras en la programación y prestación de servicios de calibración.</t>
  </si>
  <si>
    <t>El repositorio de las cotizaciones, recibos oficiales de caja y ordenes de servicio es el aplicativo SASM para los servicios de calibración. Se presenta a manera de ejemplo una cotización, el ROC asociado al pago parcial y la orden de servicio en https://metrologiainm.sharepoint.com/:f:/s/OAP/EqbgcY8T4PxJjSVy6QwVOs8BEn1ZtoQzAw56xGMRObpyug?e=56cR0v</t>
  </si>
  <si>
    <r>
      <rPr>
        <b/>
        <sz val="8"/>
        <rFont val="Calibri"/>
        <family val="2"/>
        <scheme val="minor"/>
      </rPr>
      <t>Control 2:</t>
    </r>
    <r>
      <rPr>
        <sz val="8"/>
        <rFont val="Calibri"/>
        <family val="2"/>
        <scheme val="minor"/>
      </rPr>
      <t xml:space="preserve"> Recibir el pago del cliente y radicarlo en el aplicativo
</t>
    </r>
    <r>
      <rPr>
        <b/>
        <sz val="8"/>
        <rFont val="Calibri"/>
        <family val="2"/>
        <scheme val="minor"/>
      </rPr>
      <t>Propósito</t>
    </r>
    <r>
      <rPr>
        <sz val="8"/>
        <rFont val="Calibri"/>
        <family val="2"/>
        <scheme val="minor"/>
      </rPr>
      <t xml:space="preserve">: Mantener informado con anticipación al cliente sobre las condiciones del servicio de manera que no se presenten demoras o cancelación de servicios programados
</t>
    </r>
    <r>
      <rPr>
        <b/>
        <sz val="8"/>
        <rFont val="Calibri"/>
        <family val="2"/>
        <scheme val="minor"/>
      </rPr>
      <t>Responsable:</t>
    </r>
    <r>
      <rPr>
        <sz val="8"/>
        <rFont val="Calibri"/>
        <family val="2"/>
        <scheme val="minor"/>
      </rPr>
      <t xml:space="preserve"> EREE
</t>
    </r>
    <r>
      <rPr>
        <b/>
        <sz val="8"/>
        <rFont val="Calibri"/>
        <family val="2"/>
        <scheme val="minor"/>
      </rPr>
      <t xml:space="preserve">¿Cómo se realiza el control?: </t>
    </r>
    <r>
      <rPr>
        <sz val="8"/>
        <rFont val="Calibri"/>
        <family val="2"/>
        <scheme val="minor"/>
      </rPr>
      <t xml:space="preserve">Revisa que el pago recibido efectivamente coincida con el servicio solicitado y que la información y monto estén correctos
</t>
    </r>
    <r>
      <rPr>
        <b/>
        <sz val="8"/>
        <rFont val="Calibri"/>
        <family val="2"/>
        <scheme val="minor"/>
      </rPr>
      <t>Periodicidad</t>
    </r>
    <r>
      <rPr>
        <sz val="8"/>
        <rFont val="Calibri"/>
        <family val="2"/>
        <scheme val="minor"/>
      </rPr>
      <t xml:space="preserve">: Por cada solicitud de servicio
</t>
    </r>
    <r>
      <rPr>
        <b/>
        <sz val="8"/>
        <rFont val="Calibri"/>
        <family val="2"/>
        <scheme val="minor"/>
      </rPr>
      <t>Evidencia</t>
    </r>
    <r>
      <rPr>
        <sz val="8"/>
        <rFont val="Calibri"/>
        <family val="2"/>
        <scheme val="minor"/>
      </rPr>
      <t xml:space="preserve">: Correo electrónico al área financiera
</t>
    </r>
    <r>
      <rPr>
        <b/>
        <sz val="8"/>
        <rFont val="Calibri"/>
        <family val="2"/>
        <scheme val="minor"/>
      </rPr>
      <t>Desviaciones/Observaciones</t>
    </r>
    <r>
      <rPr>
        <sz val="8"/>
        <rFont val="Calibri"/>
        <family val="2"/>
        <scheme val="minor"/>
      </rPr>
      <t xml:space="preserve">: Si se presenta una diferencia o desviación, se comunica con el cliente, solicitando aclaraciones del caso. Con la información validada Solicita por correo electrónico al grupo de Gestión Financiera la emisión del Recibo Oficial de Caja, adjuntando los soportes respectivos (Ver A-01-P-007 Procedimiento Gestión de Ingresos).
</t>
    </r>
    <r>
      <rPr>
        <b/>
        <sz val="8"/>
        <rFont val="Calibri"/>
        <family val="2"/>
        <scheme val="minor"/>
      </rPr>
      <t>Documentado</t>
    </r>
    <r>
      <rPr>
        <sz val="8"/>
        <rFont val="Calibri"/>
        <family val="2"/>
        <scheme val="minor"/>
      </rPr>
      <t>: Procedimiento A-08-P-001 Revisión de solicitudes, ofertas y contratos</t>
    </r>
  </si>
  <si>
    <t>Durante el primer trimestre de 2025, se realizó verificación de todas las líneas de servicio pagadas en las cotizaciones de calibraciones garantizando que haya coherencia en la información del recaudo y evitando demoras en la programación y prestación de servicios de calibración. Esta validación se realiza previo al envío del pago a gestión financiera y se verifica nuevamente en la coinciliación mensual de recaudos.</t>
  </si>
  <si>
    <t>Durante el segundo trimestre de 2025, se realizó verificación durante la generación de las ordenes de servicio, que todas las líneas de servicio aprobadas, estuvieran pagadas acorde a lo cotizado, garantizando que haya coherencia en la información del recaudo y evitando demoras en la programación y prestación de servicios de calibración. Esta validación se realiza previo al envío del pago a gestión financiera y se verifica nuevamente en la coinciliación mensual de recaudos.</t>
  </si>
  <si>
    <t>Se presenta a manera de ejemplo, un ROC de un pago de servicio, la cotización y orden de servicio asociada y el acta de conciliación financiera donde se ratificó el ingreso recibido por pago de prestación de servicios, en: https://metrologiainm.sharepoint.com/:f:/s/OAP/EqbgcY8T4PxJjSVy6QwVOs8BEn1ZtoQzAw56xGMRObpyug?e=56cR0v</t>
  </si>
  <si>
    <r>
      <rPr>
        <b/>
        <sz val="8"/>
        <rFont val="Calibri"/>
        <family val="2"/>
        <scheme val="minor"/>
      </rPr>
      <t>Control 3:</t>
    </r>
    <r>
      <rPr>
        <sz val="8"/>
        <rFont val="Calibri"/>
        <family val="2"/>
        <scheme val="minor"/>
      </rPr>
      <t xml:space="preserve"> Cruzar recaudos bancarios identificando la venta de Servicios Metrológicos del mes a conciliar 
</t>
    </r>
    <r>
      <rPr>
        <b/>
        <sz val="8"/>
        <rFont val="Calibri"/>
        <family val="2"/>
        <scheme val="minor"/>
      </rPr>
      <t>Propósito</t>
    </r>
    <r>
      <rPr>
        <sz val="8"/>
        <rFont val="Calibri"/>
        <family val="2"/>
        <scheme val="minor"/>
      </rPr>
      <t xml:space="preserve">: Garantizar que la información que se registra por el Grupo de Gestión Financiera es acorde a la información de la venta de servicios metrológicos por parte de la SSMRC, asegurando la confiabilidad de la información presupuestal y contable.
</t>
    </r>
    <r>
      <rPr>
        <b/>
        <sz val="8"/>
        <rFont val="Calibri"/>
        <family val="2"/>
        <scheme val="minor"/>
      </rPr>
      <t>Responsable</t>
    </r>
    <r>
      <rPr>
        <sz val="8"/>
        <rFont val="Calibri"/>
        <family val="2"/>
        <scheme val="minor"/>
      </rPr>
      <t xml:space="preserve">: Profesional especializado grado 15 con funciones de tesorería
Profesional especializado grado 14 de la SSMRC con funciones de conciliación de venta de bienes y servicios.
</t>
    </r>
    <r>
      <rPr>
        <b/>
        <sz val="8"/>
        <rFont val="Calibri"/>
        <family val="2"/>
        <scheme val="minor"/>
      </rPr>
      <t xml:space="preserve">¿Cómo se realiza el control?:  </t>
    </r>
    <r>
      <rPr>
        <sz val="8"/>
        <rFont val="Calibri"/>
        <family val="2"/>
        <scheme val="minor"/>
      </rPr>
      <t xml:space="preserve">El profesional especializado grado 15 con funciones de tesorería, basado en la información registrada en el formato A-01-F-021 Control de ingresos presenta los recaudos que fueron identificados durante el mes a conciliar, como venta de servicios metrológicos y que por tanto cuenta con ROC. Adicionalmente, aquellas ventas por aplicación de saldos a favor.
Asimismo, el profesional especializado grado 14 de la SSMRC con funciones de conciliación de venta de bienes y servicios, basado en la información registrada en el formato A-08-F-018 Matriz de control de pagos de servicios INM confirma si la información presentada es correcta o requiere ajustes.
</t>
    </r>
    <r>
      <rPr>
        <b/>
        <sz val="8"/>
        <rFont val="Calibri"/>
        <family val="2"/>
        <scheme val="minor"/>
      </rPr>
      <t>Periodicidad:</t>
    </r>
    <r>
      <rPr>
        <sz val="8"/>
        <rFont val="Calibri"/>
        <family val="2"/>
        <scheme val="minor"/>
      </rPr>
      <t xml:space="preserve"> Mensual, teniendo en cuenta cada servicio prestado
</t>
    </r>
    <r>
      <rPr>
        <b/>
        <sz val="8"/>
        <rFont val="Calibri"/>
        <family val="2"/>
        <scheme val="minor"/>
      </rPr>
      <t>Evidencia:</t>
    </r>
    <r>
      <rPr>
        <sz val="8"/>
        <rFont val="Calibri"/>
        <family val="2"/>
        <scheme val="minor"/>
      </rPr>
      <t xml:space="preserve"> Actas de conciliación con el área financiera, A-01-F-021 Control de ingresos, A-08-F-018 Matriz de control de pagos de servicios INM
</t>
    </r>
    <r>
      <rPr>
        <b/>
        <sz val="8"/>
        <rFont val="Calibri"/>
        <family val="2"/>
        <scheme val="minor"/>
      </rPr>
      <t>Desviaciones/Observaciones</t>
    </r>
    <r>
      <rPr>
        <sz val="8"/>
        <rFont val="Calibri"/>
        <family val="2"/>
        <scheme val="minor"/>
      </rPr>
      <t xml:space="preserve">: En caso de presentarse pagos en exceso se deja constancia en el acta y se define como compromiso para que desde la SSMRC se defina con el cliente cómo proceder.
</t>
    </r>
    <r>
      <rPr>
        <b/>
        <sz val="8"/>
        <rFont val="Calibri"/>
        <family val="2"/>
        <scheme val="minor"/>
      </rPr>
      <t>Documentado</t>
    </r>
    <r>
      <rPr>
        <sz val="8"/>
        <rFont val="Calibri"/>
        <family val="2"/>
        <scheme val="minor"/>
      </rPr>
      <t>: A-01-P-015 CONCILIACIONES CONTABLES</t>
    </r>
  </si>
  <si>
    <t xml:space="preserve">Durante el primer trimestre de 2025 se realizaron 3 reuniones de coinciliación de ingresos donde se verificó la información de los recursos recaudados y los servicios metrologicos programados. </t>
  </si>
  <si>
    <t xml:space="preserve">Durante el segundo trimestre de 2025 se realizaron las reuniones de coinciliación de ingresos de los meses de marzo, abril y mayo donde se verificó la información de los recursos recaudados y los servicios metrologicos programados. </t>
  </si>
  <si>
    <t>Se presenta copia de las actas de conciliación de los meses marzo, abril y mayo de 2025, en: https://metrologiainm.sharepoint.com/:f:/s/OAP/EqbgcY8T4PxJjSVy6QwVOs8BEn1ZtoQzAw56xGMRObpyug?e=56cR0v</t>
  </si>
  <si>
    <t>A05-RC01</t>
  </si>
  <si>
    <t>Posibilidad de recibir o solicitar cualquier dádiva o beneficio a nombre propio o de terceros con el fin de hacer hurto de los bienes del INM.</t>
  </si>
  <si>
    <t>Consiste en la posibilidad de que los bienes del INM no retornen a las instalaciones, una vez hayan sido retirados por el personal autorizado y que estos sean apropiados para el beneficio propio o de un tercero, desviando la gestión de lo público.
Acción u omisión: Hurto de los bienes propiedad del INM. 
Uso del Poder: Personal autorizado para el retiro de bienes 
Desviar la gestión de lo público: que los bienes no retornen a las instalaciones del INM una vez hayan sido retirados 
Beneficio privado: sea apropiados para el beneficio propio o de un tercero</t>
  </si>
  <si>
    <t>Políticos, Legales y reglamentarios, Tecnológicos, Económicos y Financieros, culturales y sociales</t>
  </si>
  <si>
    <t>Personal, Financiero, comunicación interna, tecnología, procesos, estratégicos</t>
  </si>
  <si>
    <t>No retorno de los bienes del INM para beneficio propio o de un tercero</t>
  </si>
  <si>
    <t>Pérdida en ingresos económicos generados de la no oportunidad en la prestación del servicio
Sanciones Disciplinarias, Fiscales y Penales
Afectación de la imagen, la credibilidad, transparencia, capacidad pública de la entidad y al bien común de la ciudadanía
Reprocesos
Distrae recursos productivos hacia actividades que no generen beneficio alguno para la sociedad</t>
  </si>
  <si>
    <r>
      <rPr>
        <b/>
        <sz val="8"/>
        <rFont val="Calibri"/>
        <family val="2"/>
        <scheme val="minor"/>
      </rPr>
      <t>Control 1</t>
    </r>
    <r>
      <rPr>
        <sz val="8"/>
        <rFont val="Calibri"/>
        <family val="2"/>
        <scheme val="minor"/>
      </rPr>
      <t xml:space="preserve">: Revisar que el bien este asegurado
</t>
    </r>
    <r>
      <rPr>
        <b/>
        <sz val="8"/>
        <rFont val="Calibri"/>
        <family val="2"/>
        <scheme val="minor"/>
      </rPr>
      <t>Propósito:</t>
    </r>
    <r>
      <rPr>
        <sz val="8"/>
        <rFont val="Calibri"/>
        <family val="2"/>
        <scheme val="minor"/>
      </rPr>
      <t xml:space="preserve"> Asegurar que el bien propiedad del INM este cubierto bajo póliza
</t>
    </r>
    <r>
      <rPr>
        <b/>
        <sz val="8"/>
        <rFont val="Calibri"/>
        <family val="2"/>
        <scheme val="minor"/>
      </rPr>
      <t>Responsable</t>
    </r>
    <r>
      <rPr>
        <sz val="8"/>
        <rFont val="Calibri"/>
        <family val="2"/>
        <scheme val="minor"/>
      </rPr>
      <t xml:space="preserve">: Profesional del Grupo de Servicios Administrativos con Funciones de Almacén
</t>
    </r>
    <r>
      <rPr>
        <b/>
        <sz val="8"/>
        <rFont val="Calibri"/>
        <family val="2"/>
        <scheme val="minor"/>
      </rPr>
      <t xml:space="preserve">¿Cómo se realiza el control?: </t>
    </r>
    <r>
      <rPr>
        <sz val="8"/>
        <rFont val="Calibri"/>
        <family val="2"/>
        <scheme val="minor"/>
      </rPr>
      <t xml:space="preserve">Una vez reciba la alerta de correo electrónico para autorizar la salida de los bienes, revisé si el bien se encuentra asegurado.
</t>
    </r>
    <r>
      <rPr>
        <b/>
        <sz val="8"/>
        <rFont val="Calibri"/>
        <family val="2"/>
        <scheme val="minor"/>
      </rPr>
      <t>Periodicidad</t>
    </r>
    <r>
      <rPr>
        <sz val="8"/>
        <rFont val="Calibri"/>
        <family val="2"/>
        <scheme val="minor"/>
      </rPr>
      <t xml:space="preserve">: Para cada solicitud que se realice a través del aplicativo 
</t>
    </r>
    <r>
      <rPr>
        <b/>
        <sz val="8"/>
        <rFont val="Calibri"/>
        <family val="2"/>
        <scheme val="minor"/>
      </rPr>
      <t>Evidencia</t>
    </r>
    <r>
      <rPr>
        <sz val="8"/>
        <rFont val="Calibri"/>
        <family val="2"/>
        <scheme val="minor"/>
      </rPr>
      <t xml:space="preserve">: Registro y firma de aprobación en aplicativo y A-05-F-016 Autorización ingreso o retiro de Bienes
</t>
    </r>
    <r>
      <rPr>
        <b/>
        <sz val="8"/>
        <rFont val="Calibri"/>
        <family val="2"/>
        <scheme val="minor"/>
      </rPr>
      <t>Desviaciones/Observaciones</t>
    </r>
    <r>
      <rPr>
        <sz val="8"/>
        <rFont val="Calibri"/>
        <family val="2"/>
        <scheme val="minor"/>
      </rPr>
      <t xml:space="preserve">: Si en la revisión se identifica que el bien se encuentra asegurado, se aprueba y firma la solicitud, si no se encuentra asegurado, rechaza la solicitud.
</t>
    </r>
    <r>
      <rPr>
        <b/>
        <sz val="8"/>
        <rFont val="Calibri"/>
        <family val="2"/>
        <scheme val="minor"/>
      </rPr>
      <t>Documentado</t>
    </r>
    <r>
      <rPr>
        <sz val="8"/>
        <rFont val="Calibri"/>
        <family val="2"/>
        <scheme val="minor"/>
      </rPr>
      <t>: Procedimiento A-05-P-006 Ingreso o retiro de bienes</t>
    </r>
  </si>
  <si>
    <t>Identificar un mecanismo de control y rastreo de los bienes que están fuera de las instalaciones del INM.</t>
  </si>
  <si>
    <t>Mecanismo de control documentado.</t>
  </si>
  <si>
    <t>Coordinador del GITGSA</t>
  </si>
  <si>
    <t>Verificación de bienes devolutivos del INM ejecutadas de acuerdo con el cronograma de inventarios, asegurando la existencia física de los mismos para apoyar el cumplimiento de los objetivos misionales del INM</t>
  </si>
  <si>
    <t xml:space="preserve">William Giraldo Puerta
Jeimi Medina Walteros </t>
  </si>
  <si>
    <t>En cumplimento al procedimiento Procedimiento A-05-P-006 Ingreso o retiro de bienes se indica que para el primer trimestre 2025 salieron del INM 85 equipos, los cuales fueron revisados en el listado general de activos y su respectiva placa. Adicionalmente, se requiere revisar y ajustar el control acorde a las activiades que se realizan desde almacen.</t>
  </si>
  <si>
    <t xml:space="preserve">En cumplimento al procedimiento Procedimiento A-05-P-006 Ingreso o retiro de bienes se indica que para el segundo trimestre 2025 salieron del INM 161 equipos, los cuales fueron revisados en el listado general de activos y su respectiva placa. </t>
  </si>
  <si>
    <t>https://metrologiainm.sharepoint.com/:x:/s/OAP/EQ2DmBBmlC9Ni7OaGqWKDG8BtAxfYmvokHw2fHcBdbPJzA?e=RW0V9P</t>
  </si>
  <si>
    <t xml:space="preserve">En cumplimento al procedimiento Procedimiento A-05-P-006 Ingreso o retiro de bienes se indica que para el tercer trimestre 2025 salieron del INM 94 equipos, los cuales fueron revisados en el listado general de activos y su respectiva placa. </t>
  </si>
  <si>
    <t>https://metrologiainm.sharepoint.com/:x:/s/OAP/EZIV5UaKnVZLnzVwZpU9YegBUltJa8FVbOiweL7CiR-wAQ?e=7h9YYv</t>
  </si>
  <si>
    <r>
      <rPr>
        <b/>
        <sz val="8"/>
        <rFont val="Calibri"/>
        <family val="2"/>
        <scheme val="minor"/>
      </rPr>
      <t>Control 2</t>
    </r>
    <r>
      <rPr>
        <sz val="8"/>
        <rFont val="Calibri"/>
        <family val="2"/>
        <scheme val="minor"/>
      </rPr>
      <t xml:space="preserve">: Validar formato de autorización
</t>
    </r>
    <r>
      <rPr>
        <b/>
        <sz val="8"/>
        <rFont val="Calibri"/>
        <family val="2"/>
        <scheme val="minor"/>
      </rPr>
      <t>Propósito:</t>
    </r>
    <r>
      <rPr>
        <sz val="8"/>
        <rFont val="Calibri"/>
        <family val="2"/>
        <scheme val="minor"/>
      </rPr>
      <t xml:space="preserve"> Verificar el correcto diligenciamiento del formato
</t>
    </r>
    <r>
      <rPr>
        <b/>
        <sz val="8"/>
        <rFont val="Calibri"/>
        <family val="2"/>
        <scheme val="minor"/>
      </rPr>
      <t>Responsable</t>
    </r>
    <r>
      <rPr>
        <sz val="8"/>
        <rFont val="Calibri"/>
        <family val="2"/>
        <scheme val="minor"/>
      </rPr>
      <t xml:space="preserve">: Profesional delegado del Grupo de Servicios Administrativos
</t>
    </r>
    <r>
      <rPr>
        <b/>
        <sz val="8"/>
        <rFont val="Calibri"/>
        <family val="2"/>
        <scheme val="minor"/>
      </rPr>
      <t xml:space="preserve">¿Cómo se realiza el control?: </t>
    </r>
    <r>
      <rPr>
        <sz val="8"/>
        <rFont val="Calibri"/>
        <family val="2"/>
        <scheme val="minor"/>
      </rPr>
      <t xml:space="preserve">Una vez reciba la alerta de correo electrónico para autorizar la salida de los bienes, con la firma del jefe inmediato, el Profesional delegado del GSA, valida que todos los ítems del formato estén correctamente diligenciados, de no encontrarse inconsistencias procede a dar el visto bueno para el retiro de los bienes a través del aplicativo.
</t>
    </r>
    <r>
      <rPr>
        <b/>
        <sz val="8"/>
        <rFont val="Calibri"/>
        <family val="2"/>
        <scheme val="minor"/>
      </rPr>
      <t>Periodicidad</t>
    </r>
    <r>
      <rPr>
        <sz val="8"/>
        <rFont val="Calibri"/>
        <family val="2"/>
        <scheme val="minor"/>
      </rPr>
      <t xml:space="preserve">: Para cada solicitud que se realice a través del aplicativo 
</t>
    </r>
    <r>
      <rPr>
        <b/>
        <sz val="8"/>
        <rFont val="Calibri"/>
        <family val="2"/>
        <scheme val="minor"/>
      </rPr>
      <t>Evidencia</t>
    </r>
    <r>
      <rPr>
        <sz val="8"/>
        <rFont val="Calibri"/>
        <family val="2"/>
        <scheme val="minor"/>
      </rPr>
      <t xml:space="preserve">: Correo electrónico y A-05-F-016 Autorización ingreso o retiro de Bienes
</t>
    </r>
    <r>
      <rPr>
        <b/>
        <sz val="8"/>
        <rFont val="Calibri"/>
        <family val="2"/>
        <scheme val="minor"/>
      </rPr>
      <t>Desviaciones/Observaciones</t>
    </r>
    <r>
      <rPr>
        <sz val="8"/>
        <rFont val="Calibri"/>
        <family val="2"/>
        <scheme val="minor"/>
      </rPr>
      <t xml:space="preserve">: En caso de encontrar inconsistencias El Profesional delegado del GSA redacta las observaciones por las cuales requiere que se ajuste el formato y rechaza la solicitud.
</t>
    </r>
    <r>
      <rPr>
        <b/>
        <sz val="8"/>
        <rFont val="Calibri"/>
        <family val="2"/>
        <scheme val="minor"/>
      </rPr>
      <t>Documentado</t>
    </r>
    <r>
      <rPr>
        <sz val="8"/>
        <rFont val="Calibri"/>
        <family val="2"/>
        <scheme val="minor"/>
      </rPr>
      <t>: Procedimiento A-05-P-006 Ingreso o retiro de bienes</t>
    </r>
  </si>
  <si>
    <t>En cumplimento al procedimiento Procedimiento A-05-P-006 Ingreso o retiro de bienes se indica que para el primer trimestre se autorizaron 21 solicitudes en las cuales salieron 85 equipos. Como evidencia se encuentra el archivo plano extraido del aplicativo el cual contiene las salidas e ingresos de los equipos.</t>
  </si>
  <si>
    <t xml:space="preserve">Sandra Milena Sierra C.
Jeimi Medina W. </t>
  </si>
  <si>
    <t>Durante el segundo trimestre 2025 se autorizaron 39 solicitudes en las cuales salieron 161 equipos, gestión realizada acorde y en cumplimiento a lo establecido en el procedimiento A-05-P-006 Ingreso o retiro de bienes. De lo anterior queda como evidencia el archivo plano extraido del aplicativo el cual contiene las salidas e ingresos de los equipos del INM.</t>
  </si>
  <si>
    <t>https://metrologiainm.sharepoint.com/:f:/s/OAP/Epu1li6D5FxOm8WlD9r6U-ABA-lWtPONJwLRhjZaYE0xdA?e=MjaKhZ</t>
  </si>
  <si>
    <t xml:space="preserve">Sergio García Martínez
Sandra Milena Sierra C.
Jeimi Medina W. </t>
  </si>
  <si>
    <t>Durante el tercer trimestre 2025 se autorizaron 67 solicitudes en las cuales salieron 193 equipos (94 equipos propiedad del INM Y 99 equipos propiedad de la SIC), gestión realizada acorde y en cumplimiento a lo establecido en el procedimiento A-05-P-006 Ingreso o retiro de bienes. De lo anterior queda como evidencia el archivo plano extraido del aplicativo el cual contiene las salidas e ingresos de los equipos del INM.</t>
  </si>
  <si>
    <t>https://metrologiainm.sharepoint.com/:x:/s/OAP/EZIV5UaKnVZLnzVwZpU9YegBUltJa8FVbOiweL7CiR-wAQ?e=I4Hepv</t>
  </si>
  <si>
    <r>
      <rPr>
        <b/>
        <sz val="8"/>
        <rFont val="Calibri"/>
        <family val="2"/>
        <scheme val="minor"/>
      </rPr>
      <t>Control 3</t>
    </r>
    <r>
      <rPr>
        <sz val="8"/>
        <rFont val="Calibri"/>
        <family val="2"/>
        <scheme val="minor"/>
      </rPr>
      <t xml:space="preserve">: Permitir la salida de bienes de las instalaciones del INM
</t>
    </r>
    <r>
      <rPr>
        <b/>
        <sz val="8"/>
        <rFont val="Calibri"/>
        <family val="2"/>
        <scheme val="minor"/>
      </rPr>
      <t>Propósito:</t>
    </r>
    <r>
      <rPr>
        <sz val="8"/>
        <rFont val="Calibri"/>
        <family val="2"/>
        <scheme val="minor"/>
      </rPr>
      <t xml:space="preserve"> Asegurar que los bienes físicos a retirar de las instalaciones del INM correspondan a los consignados en el registro
</t>
    </r>
    <r>
      <rPr>
        <b/>
        <sz val="8"/>
        <rFont val="Calibri"/>
        <family val="2"/>
        <scheme val="minor"/>
      </rPr>
      <t>Responsable</t>
    </r>
    <r>
      <rPr>
        <sz val="8"/>
        <rFont val="Calibri"/>
        <family val="2"/>
        <scheme val="minor"/>
      </rPr>
      <t xml:space="preserve">: Personal de la empresa de vigilancia.
</t>
    </r>
    <r>
      <rPr>
        <b/>
        <sz val="8"/>
        <rFont val="Calibri"/>
        <family val="2"/>
        <scheme val="minor"/>
      </rPr>
      <t xml:space="preserve">¿Cómo se realiza el control?: </t>
    </r>
    <r>
      <rPr>
        <sz val="8"/>
        <rFont val="Calibri"/>
        <family val="2"/>
        <scheme val="minor"/>
      </rPr>
      <t xml:space="preserve">Una vez se reciba la alerta de correo electrónico con la autorización para la salida de los bienes de las instalaciones del INM o de la SIC el registro A-05-F-016 Autorización ingreso o retiro de Bienes, procede a verificar que la marca, descripción, serial, referencia y placa sean los mismos a los bienes físicos a retirar, si no hay inconsistencias firma el registro a través del aplicativo y permite el retiro de los bienes.
</t>
    </r>
    <r>
      <rPr>
        <b/>
        <sz val="8"/>
        <rFont val="Calibri"/>
        <family val="2"/>
        <scheme val="minor"/>
      </rPr>
      <t>Periodicidad</t>
    </r>
    <r>
      <rPr>
        <sz val="8"/>
        <rFont val="Calibri"/>
        <family val="2"/>
        <scheme val="minor"/>
      </rPr>
      <t xml:space="preserve">: Para cada solicitud que se realice a través del aplicativo 
</t>
    </r>
    <r>
      <rPr>
        <b/>
        <sz val="8"/>
        <rFont val="Calibri"/>
        <family val="2"/>
        <scheme val="minor"/>
      </rPr>
      <t>Evidencia</t>
    </r>
    <r>
      <rPr>
        <sz val="8"/>
        <rFont val="Calibri"/>
        <family val="2"/>
        <scheme val="minor"/>
      </rPr>
      <t xml:space="preserve">: A-05-F-016 Autorización ingreso o retiro de Bienes
A-05-F-019 Solicitud para envío de bienes por el servicio de Paquetería
</t>
    </r>
    <r>
      <rPr>
        <b/>
        <sz val="8"/>
        <rFont val="Calibri"/>
        <family val="2"/>
        <scheme val="minor"/>
      </rPr>
      <t>Desviaciones/Observaciones</t>
    </r>
    <r>
      <rPr>
        <sz val="8"/>
        <rFont val="Calibri"/>
        <family val="2"/>
        <scheme val="minor"/>
      </rPr>
      <t xml:space="preserve">: En caso de haber inconsistencias no se permite la salida de los bienes y el funcionario o Contratista del INM o de la SIC deberá solicitar nuevamente la salida del bien.
Para el caso de los equipos Metrológicos que requieran ser enviados por la empresa transportadora, el funcionario o contratista autorizado en el formato A-05-F-016 Autorización ingreso o retiro de Bienes debe entregar el equipo al responsable o delegado de la Unidad de Correspondencia quien diligencia el formato A-05-F-019 Solicitud para envío de bienes por el servicio de Paquetería.
</t>
    </r>
    <r>
      <rPr>
        <b/>
        <sz val="8"/>
        <rFont val="Calibri"/>
        <family val="2"/>
        <scheme val="minor"/>
      </rPr>
      <t>Documentado</t>
    </r>
    <r>
      <rPr>
        <sz val="8"/>
        <rFont val="Calibri"/>
        <family val="2"/>
        <scheme val="minor"/>
      </rPr>
      <t>: Procedimiento A-05-P-006 Ingreso o retiro de bienes</t>
    </r>
  </si>
  <si>
    <t>En cumplimento al procedimiento Procedimiento A-05-P-006 Ingreso o retiro de bienes se indica que para el segundo trimestre se autorizaron 39 solicitudes en las cuales salieron 161 equipos. Como evidencia se encuentra el archivo plano extraido del aplicativo el cual contiene las salidas e ingresos de los equipos.</t>
  </si>
  <si>
    <t>En cumplimento al procedimiento Procedimiento A-05-P-006 Ingreso o retiro de bienes se indica que para el tercer trimestre se autorizaron 67 solicitudes en las cuales salieron 193 equipos (94 equipos propiedad del INM Y 99 equipos propiedad de la SIC). Como evidencia se encuentra el archivo plano extraido del aplicativo el cual contiene las salidas e ingresos de los equipos.</t>
  </si>
  <si>
    <r>
      <rPr>
        <b/>
        <sz val="8"/>
        <rFont val="Calibri"/>
        <family val="2"/>
        <scheme val="minor"/>
      </rPr>
      <t>Control 4</t>
    </r>
    <r>
      <rPr>
        <sz val="8"/>
        <rFont val="Calibri"/>
        <family val="2"/>
        <scheme val="minor"/>
      </rPr>
      <t xml:space="preserve">: Verificar información de los bienes para su ingreso a las instalaciones del INM
</t>
    </r>
    <r>
      <rPr>
        <b/>
        <sz val="8"/>
        <rFont val="Calibri"/>
        <family val="2"/>
        <scheme val="minor"/>
      </rPr>
      <t>Propósito:</t>
    </r>
    <r>
      <rPr>
        <sz val="8"/>
        <rFont val="Calibri"/>
        <family val="2"/>
        <scheme val="minor"/>
      </rPr>
      <t xml:space="preserve"> Verificar que los bienes físicos a ingresar a las instalaciones del INM correspondan a los consignados en el registro de cuando salieron
</t>
    </r>
    <r>
      <rPr>
        <b/>
        <sz val="8"/>
        <rFont val="Calibri"/>
        <family val="2"/>
        <scheme val="minor"/>
      </rPr>
      <t>Responsable</t>
    </r>
    <r>
      <rPr>
        <sz val="8"/>
        <rFont val="Calibri"/>
        <family val="2"/>
        <scheme val="minor"/>
      </rPr>
      <t xml:space="preserve">: Personal de la empresa de vigilancia.
</t>
    </r>
    <r>
      <rPr>
        <b/>
        <sz val="8"/>
        <rFont val="Calibri"/>
        <family val="2"/>
        <scheme val="minor"/>
      </rPr>
      <t xml:space="preserve">¿Cómo se realiza el control?: </t>
    </r>
    <r>
      <rPr>
        <sz val="8"/>
        <rFont val="Calibri"/>
        <family val="2"/>
        <scheme val="minor"/>
      </rPr>
      <t xml:space="preserve">El funcionario o Contratista del INM o de la SIC que vaya a ingresar con un bien que retiro previamente, debe informarlo al personal de la empresa de vigilancia el cual procede a verificar que la marca, descripción, serial, referencia y placa sean los mismos a los que se encuentran consignados en el registro A-05-F-016 Autorización ingreso o retiro de Bienes, si no hay inconsistencias firma el registro y permite el ingreso de los bienes.
</t>
    </r>
    <r>
      <rPr>
        <b/>
        <sz val="8"/>
        <rFont val="Calibri"/>
        <family val="2"/>
        <scheme val="minor"/>
      </rPr>
      <t>Periodicidad</t>
    </r>
    <r>
      <rPr>
        <sz val="8"/>
        <rFont val="Calibri"/>
        <family val="2"/>
        <scheme val="minor"/>
      </rPr>
      <t xml:space="preserve">: Para cada solicitud que se realice a través del aplicativo 
</t>
    </r>
    <r>
      <rPr>
        <b/>
        <sz val="8"/>
        <rFont val="Calibri"/>
        <family val="2"/>
        <scheme val="minor"/>
      </rPr>
      <t>Evidencia</t>
    </r>
    <r>
      <rPr>
        <sz val="8"/>
        <rFont val="Calibri"/>
        <family val="2"/>
        <scheme val="minor"/>
      </rPr>
      <t xml:space="preserve">: A-05-F-016 Autorización ingreso o retiro de Bienes.
</t>
    </r>
    <r>
      <rPr>
        <b/>
        <sz val="8"/>
        <rFont val="Calibri"/>
        <family val="2"/>
        <scheme val="minor"/>
      </rPr>
      <t>Desviaciones/Observaciones</t>
    </r>
    <r>
      <rPr>
        <sz val="8"/>
        <rFont val="Calibri"/>
        <family val="2"/>
        <scheme val="minor"/>
      </rPr>
      <t xml:space="preserve">: Pendiente por documentar
</t>
    </r>
    <r>
      <rPr>
        <b/>
        <sz val="8"/>
        <rFont val="Calibri"/>
        <family val="2"/>
        <scheme val="minor"/>
      </rPr>
      <t>Documentado</t>
    </r>
    <r>
      <rPr>
        <sz val="8"/>
        <rFont val="Calibri"/>
        <family val="2"/>
        <scheme val="minor"/>
      </rPr>
      <t>: Procedimiento A-05-P-006 Ingreso o retiro de bienes (actividad 6 del numeral  7. 1. Ingreso o retiro de bienes de las instalaciones del INM)</t>
    </r>
  </si>
  <si>
    <t>Revisar para actualizar la actividad 6 del numeral  7. 1. Ingreso o retiro de bienes de las instalaciones del INM del procedimiento A-05-P-006 Ingreso o retiro de bienes, incluyendo la actividad relacionada con las desviaciones/observaciones de este control #4</t>
  </si>
  <si>
    <t xml:space="preserve">Documento actualizado </t>
  </si>
  <si>
    <t>En cumplimento al procedimiento Procedimiento A-05-P-006 Ingreso o retiro de bienes se indica que para el primer trimestre se autorizaron 21 solicitudes en las cuales salieron 85 equipos y retornaron 76 equipos. Como evidencia se encuentra el archivo plano extraido del aplicativo el cual contiene las salidas e ingresos de equipos</t>
  </si>
  <si>
    <t>En cumplimento al procedimiento Procedimiento A-05-P-006 Ingreso o retiro de bienes se indica que para el segundo trimestre se autorizaron 39 solicitudes en las cuales salieron 161 equipos y retornaron 151 equipos . Como evidencia se encuentra el archivo plano extraido del aplicativo el cual contiene las salidas e ingresos de los equipos.</t>
  </si>
  <si>
    <t>En cumplimento al procedimiento Procedimiento A-05-P-006 Ingreso o retiro de bienes se indica que para el tercer trimestre se autorizaron 67 solicitudes en las cuales salieron 193 equipos (94 equipos propiedad del INM Y 99 propiedad de la SIC) y retornaron 146 equipos. Como evidencia se encuentra el archivo plano extraido del aplicativo el cual contiene las salidas e ingresos de los equipos.</t>
  </si>
  <si>
    <t>A03-RC01</t>
  </si>
  <si>
    <t xml:space="preserve">Posibilidad de recibir o solicitar cualquier dádiva o beneficio a nombre propio o de terceros con el fin de filtrar información estratégica o confidencial que pueda usarse para ilícitos o favorecer intereses particulares, por acceso no autorizado a  personal a la información del archivo central </t>
  </si>
  <si>
    <t>Esto puede ocurrir cuando se favorece a terceros por ingreso de personal no autorizado o externo al INM,  se permita el acceso a la información confidencial o clasificada de algún modo,   mediante prácticas de amiguismo o la aceptación de promesas o pagos desviando la gestión pública en beneficio de intereses privados o particulares
Acción u omisión: Acceso no autorizado al archivo central y filtración de información estratégica o confidencial. Por omisión, ausencia de controles efectivos para regular el acceso a la información confidencial y supervisar su manejo.
Uso del poder: Abuso de posición o autoridad dentro del organismo público para facilitar el acceso indebido a información confidencial del archivo central.
Desviar la gestión de lo público:  Se desvía la función del archivo central, que debería garantizar la protección de la información estratégica, para atender intereses personales o particulares mediante la filtración indebida de datos.
Beneficio privado: Obtención de beneficios económicos, favores, o ventajas ilegítimas para sí mismo o terceros, derivadas del uso indebido de la información estratégica o confidencial filtrada.</t>
  </si>
  <si>
    <t xml:space="preserve">Información del Archivo Central </t>
  </si>
  <si>
    <t xml:space="preserve">Copia de las llaves de ingreso al archivo en vigilancia sin control o desatendidas 
Entrega de llaves por parte de vigilancia a personal no autorizado
Pérdida de las llaves </t>
  </si>
  <si>
    <t>Acceso no autorizado a la información
Pérdida de información
Sanción por parte de organismos de Control  (depende del tipo de información)</t>
  </si>
  <si>
    <r>
      <rPr>
        <b/>
        <sz val="8"/>
        <color rgb="FF000000"/>
        <rFont val="Calibri"/>
        <family val="2"/>
        <scheme val="minor"/>
      </rPr>
      <t>Control</t>
    </r>
    <r>
      <rPr>
        <sz val="8"/>
        <color rgb="FF000000"/>
        <rFont val="Calibri"/>
        <family val="2"/>
        <scheme val="minor"/>
      </rPr>
      <t xml:space="preserve">: Control de acceso.
</t>
    </r>
    <r>
      <rPr>
        <b/>
        <sz val="8"/>
        <color rgb="FF000000"/>
        <rFont val="Calibri"/>
        <family val="2"/>
        <scheme val="minor"/>
      </rPr>
      <t>Propósito</t>
    </r>
    <r>
      <rPr>
        <sz val="8"/>
        <color rgb="FF000000"/>
        <rFont val="Calibri"/>
        <family val="2"/>
        <scheme val="minor"/>
      </rPr>
      <t xml:space="preserve">: Garantizar que el acceso al archivo central sea restringido, solo a personal autorizado. 
</t>
    </r>
    <r>
      <rPr>
        <b/>
        <sz val="8"/>
        <color rgb="FF000000"/>
        <rFont val="Calibri"/>
        <family val="2"/>
        <scheme val="minor"/>
      </rPr>
      <t>Responsable:</t>
    </r>
    <r>
      <rPr>
        <sz val="8"/>
        <color rgb="FF000000"/>
        <rFont val="Calibri"/>
        <family val="2"/>
        <scheme val="minor"/>
      </rPr>
      <t xml:space="preserve">  El responsable del archivo
</t>
    </r>
    <r>
      <rPr>
        <b/>
        <sz val="8"/>
        <color rgb="FF000000"/>
        <rFont val="Calibri"/>
        <family val="2"/>
        <scheme val="minor"/>
      </rPr>
      <t>¿Cómo se realiza el control?</t>
    </r>
    <r>
      <rPr>
        <sz val="8"/>
        <color rgb="FF000000"/>
        <rFont val="Calibri"/>
        <family val="2"/>
        <scheme val="minor"/>
      </rPr>
      <t xml:space="preserve">: Se cuenta con el espacio físico del archivo central el cual se encuentra cerrado con llave la cual solo hay dos copias, una al responsable del archivo y otra al personal de vigilancia (por emergencia o seguridad)
</t>
    </r>
    <r>
      <rPr>
        <b/>
        <sz val="8"/>
        <color rgb="FF000000"/>
        <rFont val="Calibri"/>
        <family val="2"/>
        <scheme val="minor"/>
      </rPr>
      <t>Periodicidad</t>
    </r>
    <r>
      <rPr>
        <sz val="8"/>
        <color rgb="FF000000"/>
        <rFont val="Calibri"/>
        <family val="2"/>
        <scheme val="minor"/>
      </rPr>
      <t xml:space="preserve">: Siempre se encuentra con llave, solo accede personal autorizado de manera diaria. 
</t>
    </r>
    <r>
      <rPr>
        <b/>
        <sz val="8"/>
        <color rgb="FF000000"/>
        <rFont val="Calibri"/>
        <family val="2"/>
        <scheme val="minor"/>
      </rPr>
      <t>Evidencia</t>
    </r>
    <r>
      <rPr>
        <sz val="8"/>
        <color rgb="FF000000"/>
        <rFont val="Calibri"/>
        <family val="2"/>
        <scheme val="minor"/>
      </rPr>
      <t xml:space="preserve">: Listado de toma de condiciones ambientales en el sitio de archivo central, deja constancia del ingreso del personal. 
</t>
    </r>
    <r>
      <rPr>
        <b/>
        <sz val="8"/>
        <color rgb="FF000000"/>
        <rFont val="Calibri"/>
        <family val="2"/>
        <scheme val="minor"/>
      </rPr>
      <t>Desviaciones/Observaciones</t>
    </r>
    <r>
      <rPr>
        <sz val="8"/>
        <color rgb="FF000000"/>
        <rFont val="Calibri"/>
        <family val="2"/>
        <scheme val="minor"/>
      </rPr>
      <t xml:space="preserve">: El responsable del archivo revisa el diligenciamiento del registro donde se evidencia el ingreso de la persona que registro las mismas.  En caso de que la persona encargada no se encuentre o no las haya registrado, responsable del archivo hace este registro 
</t>
    </r>
    <r>
      <rPr>
        <b/>
        <sz val="8"/>
        <color rgb="FF000000"/>
        <rFont val="Calibri"/>
        <family val="2"/>
        <scheme val="minor"/>
      </rPr>
      <t>Documentado</t>
    </r>
    <r>
      <rPr>
        <sz val="8"/>
        <color rgb="FF000000"/>
        <rFont val="Calibri"/>
        <family val="2"/>
        <scheme val="minor"/>
      </rPr>
      <t>: A-03-F-007 Registro de condiciones ambientales.</t>
    </r>
  </si>
  <si>
    <t xml:space="preserve">Revisar el procedimiento designado para tal fin y actualizarlo de ser necesario el control de acceso a esta el área del archivo central. </t>
  </si>
  <si>
    <t>Sandra Sierra</t>
  </si>
  <si>
    <t>Transferencias documentales cumplidas de acuerdo con el cronograma anual, con el fin de preservar la memora institucional en el archivo central del INM, garantizando la eficiencia y calidad a los procesos de la entidad.</t>
  </si>
  <si>
    <t>A pesar de identificar que en el primer trimestre no hubo ingresos no autorizados al archivo central, es necesario revisar con la OAP tanto el riesgo como el control establecido, dado que en mesa de trabajo realizada se hizo una propuesta del riesgo, sin embargo, por parte del proceso se manifesto el no estar de acuerdo con la inclusión de dicho riesgo.</t>
  </si>
  <si>
    <t>Se evidencia que durante el segundo trimestre no hubo ingresos no autorizados al archivo central. Como evidencia de los ingresos realizados por el personal de Gestión Documental queda la planilla A-03-F-007 Condiciones Ambientales.</t>
  </si>
  <si>
    <t>https://metrologiainm.sharepoint.com/:b:/s/OAP/EX80Vw_Ene5NoBZLt4YUKDUBS3Mg3pDb_fHNpDz5y8V80Q?e=TuLYUb</t>
  </si>
  <si>
    <t>https://metrologiainm.sharepoint.com/:b:/s/OAP/EfPc-1g8OHVFk3wMxQN1RuEBEoFnRQIeGpikf4JWdLUk3g?e=prjr2c</t>
  </si>
  <si>
    <t>A05-RC02</t>
  </si>
  <si>
    <t>Posibilidad de recibir o solicitar dádivas o beneficios, ya sea a nombre propio o de terceros, con el propósito de favorecer la adquisición de materiales o equipos específicos de ciertos proveedores sin justificación técnica adecuada.</t>
  </si>
  <si>
    <t xml:space="preserve">Esta situación puede ocurrir cuando se realice una justificación de necesidad que no corresponde con las características reales del proceso, cuando la redacción de especificaciones diseñadas está direccionada a beneficiar a un proveedor en particular, limitando la competencia en el proceso de selección.  Cuando no se realizan estudios de mercado adecuados o utilizar información sesgada para justificar la selección de proveedores específicos, resultando en adquisiciones poco competitivas. Cuando se realizan adquisiciones directas sin justificación adecuada o sin publicar los procesos en las plataformas de contratación pública, dificultando la supervisión y el acceso a la información.
Acción u omisión:  Favorecimiento intencionado de ciertos proveedores durante los procesos de adquisición, ignorando criterios técnicos o de competencia. Por omisión, debido a la ausencia de revisión adecuada de las especificaciones técnicas y estudios de mercado necesarios para justificar la selección del proveedor.
Uso del poder: Abuso de la autoridad o influencia en el proceso de adquisición para orientar decisiones hacia proveedores específicos, pasando por alto los principios de transparencia y equidad.
Desviar la gestión de lo público: Se compromete la finalidad pública del proceso de adquisiciones, que debería enfocarse en satisfacer las necesidades del INM con eficiencia y objetividad, desviándose hacia intereses privados.
Beneficio privado: Obtención de incentivos económicos, dádivas, o favores a cambio de favorecer indebidamente a ciertos proveedores en los contratos de adquisición de materiales o equipos.
</t>
  </si>
  <si>
    <t>Presiones externas</t>
  </si>
  <si>
    <t>Amiguismo
Presiones Indebidas</t>
  </si>
  <si>
    <t>Falta de criterios técnicos y procedimientos claros para la selección de materiales y equipos.</t>
  </si>
  <si>
    <t>Aumento de costos o utilización de materiales de baja calidad.
Afectación de las operaciones del INM</t>
  </si>
  <si>
    <r>
      <rPr>
        <b/>
        <sz val="8"/>
        <rFont val="Calibri"/>
        <family val="2"/>
        <scheme val="minor"/>
      </rPr>
      <t>Control 1</t>
    </r>
    <r>
      <rPr>
        <sz val="8"/>
        <rFont val="Calibri"/>
        <family val="2"/>
        <scheme val="minor"/>
      </rPr>
      <t xml:space="preserve">: Revisión técnica y evaluación independiente de proveedores
</t>
    </r>
    <r>
      <rPr>
        <b/>
        <sz val="8"/>
        <rFont val="Calibri"/>
        <family val="2"/>
        <scheme val="minor"/>
      </rPr>
      <t xml:space="preserve">Propósito: </t>
    </r>
    <r>
      <rPr>
        <sz val="8"/>
        <rFont val="Calibri"/>
        <family val="2"/>
        <scheme val="minor"/>
      </rPr>
      <t>Garantizar que la selección de proveedores se base en criterios técnicos y objetivos, evitando sesgos o favoritismos.</t>
    </r>
    <r>
      <rPr>
        <b/>
        <sz val="8"/>
        <rFont val="Calibri"/>
        <family val="2"/>
        <scheme val="minor"/>
      </rPr>
      <t xml:space="preserve">
Responsable</t>
    </r>
    <r>
      <rPr>
        <sz val="8"/>
        <rFont val="Calibri"/>
        <family val="2"/>
        <scheme val="minor"/>
      </rPr>
      <t xml:space="preserve">: Abogado estructurador asignado al proceso de contratación
</t>
    </r>
    <r>
      <rPr>
        <b/>
        <sz val="8"/>
        <rFont val="Calibri"/>
        <family val="2"/>
        <scheme val="minor"/>
      </rPr>
      <t>¿Cómo se realiza el control?</t>
    </r>
    <r>
      <rPr>
        <sz val="8"/>
        <rFont val="Calibri"/>
        <family val="2"/>
        <scheme val="minor"/>
      </rPr>
      <t xml:space="preserve">: Se conforma y se designará un Comité Evaluador conformado por el área técnica, el área financiera y el profesional del Grupo de GJCD designado, los cuales realizarán la evaluación propuestas según especificaciones técnicas y estudios de mercado y  procederán a publicar en la plataforma designada por Colombia Compra Eficiente.
</t>
    </r>
    <r>
      <rPr>
        <b/>
        <sz val="8"/>
        <rFont val="Calibri"/>
        <family val="2"/>
        <scheme val="minor"/>
      </rPr>
      <t>Periodicidad:</t>
    </r>
    <r>
      <rPr>
        <sz val="8"/>
        <rFont val="Calibri"/>
        <family val="2"/>
        <scheme val="minor"/>
      </rPr>
      <t xml:space="preserve"> Para cada proceso de adquisición.
</t>
    </r>
    <r>
      <rPr>
        <b/>
        <sz val="8"/>
        <rFont val="Calibri"/>
        <family val="2"/>
        <scheme val="minor"/>
      </rPr>
      <t>Evidencia:</t>
    </r>
    <r>
      <rPr>
        <sz val="8"/>
        <rFont val="Calibri"/>
        <family val="2"/>
        <scheme val="minor"/>
      </rPr>
      <t xml:space="preserve"> A-07-F-024 Informe de evaluación ofertas, según la modalidad que corresponda y procederán a publicar en la plataforma designada por Colombia Compra Eficiente.
</t>
    </r>
    <r>
      <rPr>
        <b/>
        <sz val="8"/>
        <rFont val="Calibri"/>
        <family val="2"/>
        <scheme val="minor"/>
      </rPr>
      <t>Desviaciones/observaciones</t>
    </r>
    <r>
      <rPr>
        <sz val="8"/>
        <rFont val="Calibri"/>
        <family val="2"/>
        <scheme val="minor"/>
      </rPr>
      <t xml:space="preserve">: Si las observaciones son previas a la designación del comité evaluador, las respuestas deberán ser firmadas por el Ordenador del Gasto, si son producto de los informes de evaluación deberán ser firmadas por los miembros del comité evaluador, respectivamente.
Para el caso de observaciones que necesitan la participación de varios miembros del comité evaluador, el abogado consolidará las respuestas a las observaciones para luego publicarlas en SECOP II.
</t>
    </r>
    <r>
      <rPr>
        <b/>
        <sz val="8"/>
        <rFont val="Calibri"/>
        <family val="2"/>
        <scheme val="minor"/>
      </rPr>
      <t>Documento</t>
    </r>
    <r>
      <rPr>
        <sz val="8"/>
        <rFont val="Calibri"/>
        <family val="2"/>
        <scheme val="minor"/>
      </rPr>
      <t>: Procedimiento A-07-P-001 Etapa pre-Contractual.</t>
    </r>
  </si>
  <si>
    <t xml:space="preserve">Revisión del Programa de Mantenimiento Preventivo y Correctivo </t>
  </si>
  <si>
    <t xml:space="preserve">Javier Hernando Núñez </t>
  </si>
  <si>
    <t>Actividades ejecutadas según el plan de mantenimiento de equipos eléctricos, planta física y climatización asegurando el adecuado y permanente funcionamiento de dichos equipos para aportar con la eficiencia y calidad de los procesos de la entidad</t>
  </si>
  <si>
    <t>Javier Hernando Núñez
Jeimi Medina Walteros</t>
  </si>
  <si>
    <t>Durante el primer trimestre de la vigencia 2025, NO se realizó la revisión técnica y evaluación independiente de proveedores, dado que no se llevaron a cabo procesos de licitación publica para la adquisición o mantenimiento.</t>
  </si>
  <si>
    <t>Durante el segundo trimestre de la vigencia 2025,  se realizó la revisión técnica y evaluación independiente de proveedores, para los procesos contractuales MC 003 DE 2025, MC 011 DE 2025, MC 013 DE 2025, y MC 019 DE 2025,</t>
  </si>
  <si>
    <t>Durante el tercer trimestre de la vigencia 2025,  se realizó la revisión técnica y evaluación independiente de proveedores, para los procesos contractuales SA 005, MC 022, MC 027, MC 019 y MC 029</t>
  </si>
  <si>
    <t>No aplica. Las evidencias de las evaluaciones técnicas se encuentran en el SECOP II</t>
  </si>
  <si>
    <t xml:space="preserve">Revisada la información, sin novedad alguna. Con relación a la evidencia y lo comentado por el proceso, si aplica pero esta información se encuentra en el SECOP II. </t>
  </si>
  <si>
    <t>A05-RC03</t>
  </si>
  <si>
    <t>Posibilidad de recibir o solicitar dádivas o beneficios, ya sea a nombre propio o de terceros, con el propósito de modificar las especificaciones técnicas en los términos de referencia para excluir o favorecer a determinados competidores en Comercio Exterior.</t>
  </si>
  <si>
    <t xml:space="preserve">Se puede presentar cuando hay vacíos o con términos de referencia muy específicos en los cuales se pude ver direccionado el contrato. 
Acción u omisión: Acción: Modificar deliberadamente las especificaciones técnicas en los términos de referencia. Por omisión, no realizar la debida supervisión o control para garantizar la objetividad y transparencia de las especificaciones técnicas.
Uso del Poder: Abuso del poder otorgado para diseñar, aprobar o supervisar los términos de referencia, aprovechando la posición dentro de la entidad pública para influir en las decisiones de adquisición.
Desviar la gestión de lo público: Desviar el propósito del proceso de contratación pública, que debería enfocarse en seleccionar al proveedor más competitivo y adecuado, hacia el beneficio de intereses particulares o de un proveedor específico.
Beneficio privado: Obtención de dádivas, pagos, favores o cualquier tipo de beneficio personal (económico o no) a cambio de manipular los términos de referencia para favorecer a un proveedor determinado.
</t>
  </si>
  <si>
    <t>Manipulación de los documentos de contratación por intereses particulares.</t>
  </si>
  <si>
    <t>Contrataciones poco competitivas y falta de cumplimiento de los objetivos de calidad y sostenibilidad.</t>
  </si>
  <si>
    <r>
      <rPr>
        <b/>
        <sz val="8"/>
        <color rgb="FF000000"/>
        <rFont val="Calibri"/>
        <family val="2"/>
        <scheme val="minor"/>
      </rPr>
      <t>Control:</t>
    </r>
    <r>
      <rPr>
        <sz val="8"/>
        <color rgb="FF000000"/>
        <rFont val="Calibri"/>
        <family val="2"/>
        <scheme val="minor"/>
      </rPr>
      <t xml:space="preserve"> Revisión técnica y evaluación independiente de proveedores
</t>
    </r>
    <r>
      <rPr>
        <b/>
        <sz val="8"/>
        <color rgb="FF000000"/>
        <rFont val="Calibri"/>
        <family val="2"/>
        <scheme val="minor"/>
      </rPr>
      <t>Propósito</t>
    </r>
    <r>
      <rPr>
        <sz val="8"/>
        <color rgb="FF000000"/>
        <rFont val="Calibri"/>
        <family val="2"/>
        <scheme val="minor"/>
      </rPr>
      <t xml:space="preserve">: Garantizar que la selección de proveedores se base en criterios técnicos y objetivos, evitando sesgos o favoritismos.
</t>
    </r>
    <r>
      <rPr>
        <b/>
        <sz val="8"/>
        <color rgb="FF000000"/>
        <rFont val="Calibri"/>
        <family val="2"/>
        <scheme val="minor"/>
      </rPr>
      <t>Responsable</t>
    </r>
    <r>
      <rPr>
        <sz val="8"/>
        <color rgb="FF000000"/>
        <rFont val="Calibri"/>
        <family val="2"/>
        <scheme val="minor"/>
      </rPr>
      <t xml:space="preserve">: Abogado estructurador asignado al proceso de contratación
</t>
    </r>
    <r>
      <rPr>
        <b/>
        <sz val="8"/>
        <color rgb="FF000000"/>
        <rFont val="Calibri"/>
        <family val="2"/>
        <scheme val="minor"/>
      </rPr>
      <t xml:space="preserve">¿Cómo se realiza el control?: </t>
    </r>
    <r>
      <rPr>
        <sz val="8"/>
        <color rgb="FF000000"/>
        <rFont val="Calibri"/>
        <family val="2"/>
        <scheme val="minor"/>
      </rPr>
      <t xml:space="preserve">Se conforma un se designará un Comité Evaluador conformado por el área técnica, el área financiera y el profesional del Grupo de GJCD designado, los cuales realizarán la evaluación propuestas según especificaciones técnicas y estudios de mercado y  procederán a publicar en la plataforma designada por Colombia Compra Eficiente.
</t>
    </r>
    <r>
      <rPr>
        <b/>
        <sz val="8"/>
        <color rgb="FF000000"/>
        <rFont val="Calibri"/>
        <family val="2"/>
        <scheme val="minor"/>
      </rPr>
      <t>Periodicidad</t>
    </r>
    <r>
      <rPr>
        <sz val="8"/>
        <color rgb="FF000000"/>
        <rFont val="Calibri"/>
        <family val="2"/>
        <scheme val="minor"/>
      </rPr>
      <t xml:space="preserve">: Para cada proceso de adquisición.
</t>
    </r>
    <r>
      <rPr>
        <b/>
        <sz val="8"/>
        <color rgb="FF000000"/>
        <rFont val="Calibri"/>
        <family val="2"/>
        <scheme val="minor"/>
      </rPr>
      <t>Evidencia:</t>
    </r>
    <r>
      <rPr>
        <sz val="8"/>
        <color rgb="FF000000"/>
        <rFont val="Calibri"/>
        <family val="2"/>
        <scheme val="minor"/>
      </rPr>
      <t xml:space="preserve"> A-07-F-024 Informe de evaluación ofertas, según la modalidad que corresponda y procederán a publicar en la plataforma designada por Colombia Compra Eficiente.
</t>
    </r>
    <r>
      <rPr>
        <b/>
        <sz val="8"/>
        <color rgb="FF000000"/>
        <rFont val="Calibri"/>
        <family val="2"/>
        <scheme val="minor"/>
      </rPr>
      <t xml:space="preserve">Desviaciones/observaciones: </t>
    </r>
    <r>
      <rPr>
        <sz val="8"/>
        <color rgb="FF000000"/>
        <rFont val="Calibri"/>
        <family val="2"/>
        <scheme val="minor"/>
      </rPr>
      <t xml:space="preserve">Si las observaciones son previas a la designación del comité evaluador, las respuestas deberán ser firmadas por el Ordenador del Gasto, si son producto de los informes de evaluación deberán ser firmadas por los miembros del comité evaluador, respectivamente.
Para el caso de observaciones que necesitan la participación de varios miembros del comité evaluador, el abogado consolidará las respuestas a las observaciones para luego publicarlas en SECOP II.
</t>
    </r>
    <r>
      <rPr>
        <b/>
        <sz val="8"/>
        <color rgb="FF000000"/>
        <rFont val="Calibri"/>
        <family val="2"/>
        <scheme val="minor"/>
      </rPr>
      <t>Documento</t>
    </r>
    <r>
      <rPr>
        <sz val="8"/>
        <color rgb="FF000000"/>
        <rFont val="Calibri"/>
        <family val="2"/>
        <scheme val="minor"/>
      </rPr>
      <t>: Procedimiento A-07-P-001 Etapa pre-Contractual.</t>
    </r>
  </si>
  <si>
    <t>Actividades programadas en el Plan de Comercio Exterior ejecutadas de acuerdo con este para la siguiente vigencia, ayudando a la adquisición o traslado de bienes/servicios con proveedores internacionales aportando al cumplimiento de los objetivos del INM.</t>
  </si>
  <si>
    <t>Angela Ximena Velandia Bedoya
Jeimi Medina Walteros</t>
  </si>
  <si>
    <t>A partir del mes de marzo se ha trabajado por parte de los profesionales de comercio exterior en el estudio previo para el proceso de contratación de agente aduanero y/o agente de carga internacional. Por lo tanto, ya que el proceso aún no se ha radicado, no aplica la revisión y evaluación técnica. Adicionalmente, se identifica que se deben actualizar los responsables de ejecutar el control establecido para este riesgo ampliandolos a: Abogado estructurador,  área técnica y el área financiera.</t>
  </si>
  <si>
    <t>Angela Ximena Velandia</t>
  </si>
  <si>
    <r>
      <rPr>
        <sz val="11"/>
        <color rgb="FF000000"/>
        <rFont val="Verdana"/>
      </rPr>
      <t>Durante el segundo trimestre de 2025 no aplico el presente control, debido a que en el proceso de Licitación Pública LP-001 de 2025 no se recibieron ofertas, situación que generó la declaratoria de proceso desierto y por ende el proceso No tuvo evaluación ni asignación de comité evaluador. Dado lo anterior, actualmente el proceso de contratación del "</t>
    </r>
    <r>
      <rPr>
        <i/>
        <sz val="11"/>
        <color rgb="FF000000"/>
        <rFont val="Verdana"/>
      </rPr>
      <t>servicio de agencia de aduanas y/o agenciamiento de carga internacional para gestionar integralmente los trámites relacionados con la importación, exportación, nacionalización, liberación de documentos de transporte aéreo, marítimo y/o terrestre, así como demás diligencias y trámites necesarios ante empresas y entidades competentes en los procesos aduaneros requeridos por el Instituto Nacional de Metrología – INM</t>
    </r>
    <r>
      <rPr>
        <sz val="11"/>
        <color rgb="FF000000"/>
        <rFont val="Verdana"/>
      </rPr>
      <t>" se encuentra en etapa de estructuración y radicación.</t>
    </r>
  </si>
  <si>
    <t>No aplica, ver en la descripción del seguimiento</t>
  </si>
  <si>
    <t>Angela Ximena Velandia
Jeimi Medina W.</t>
  </si>
  <si>
    <t xml:space="preserve">De acuerdo con el control establecido, para el tercer trimestre 2025 se llevaron acabo las siguientes actividades: 
El 26 de agosto 2025 se llevó a cabo la designación del equipo evaluador de lo cual quedó como evidencia el oficio de designación
El 09 de septiembre 2025 se realizó la evaluación definitiva de las ofertas y el proceso fue adjudicado el 11 de septiembre 2025, de lo cual queda como evidencia la evaluación final del proceso de selección abreviada de menor cuantía SA 006 de 2025    </t>
  </si>
  <si>
    <t>https://metrologiainm.sharepoint.com/:f:/s/OAP/Eh8a8lSrR9BPicZWJRb48TQBld9wBqwwffHfDXx9p45XRQ?e=f1mRUZ</t>
  </si>
  <si>
    <t>M01-RC01</t>
  </si>
  <si>
    <t>Posibilidad de recibir o solicitar dádivas o beneficios a nombre propio o de terceros con el fin de alterar procesos técnicos, metodologías o resultados en los certificados de calibración o medición, así como en la producción de materiales de referencia o métodos analíticos.</t>
  </si>
  <si>
    <t>Consiste en la posibilidad de que por acción u omisión se altere de manera intencional un certificado de calibración, material de referencia para cumplir con especificaciones solicitadas por un cliente, pese a no haber superado las pruebas requeridas. Validación de un método analítico incompleto o no validado adecuadamente, bajo presión de un proveedor que busca entrar al mercado más rápido.
Acción u omisión:  Por acción, alterar intencionalmente los datos del certificado o aprobar un método analítico sin validar adecuadamente. Emitir certificados con valores ajustados que no corresponden a los datos reales obtenidos durante el proceso técnico.
Omisión por no realizar las pruebas necesarias o no verificar la validez de los métodos antes de aprobarlos.
No reportar irregularidades detectadas en los resultados, permitiendo su emisión sin corrección.
Uso del Poder: Por parte del personal involucrado en el proceso de calibración o medición con acceso exclusivo utiliza su posición para alterar resultados a cambio de incentivos"; "Un revisor de los certificados e informes influye en el personal técnico para que modifiquen los resultados, justificando la acción como un "favor" o bajo presión jerárquica"; "El personal con potestad para firmar certificados aprueba documentos alterados, utilizando su autoridad para legitimar los datos.".
Desviar la gestión de lo público: Comprometer los recursos y procesos del laboratorio al emitir resultados no confiables, desviándose de las funciones legítimas del laboratorio y afectando su credibilidad.
Uso del Poder: Los recursos del laboratorio, destinados a garantizar la calidad y confiabilidad de las mediciones, se desvían para beneficiar intereses privados; se compromete la integridad del servicio público al emitir resultados que no cumplen con los estándares establecidos, o aprobar métodos no validados, afectando la credibilidad del INM; el tiempo del personal se redirigen hacia actividades no alineadas con los objetivos, como cumplir con peticiones personales o favorecer a un cliente específico".
Beneficio privado: Recibir dádivas o beneficios, como dinero, regalos o favores, a cambio de emitir un certificado alterado o aprobar un método analítico sin validación adecuada.</t>
  </si>
  <si>
    <t>Certificados de calibración o medición
Datos técnicos brutos
Registros de mantenimiento y calibración de equipos
Datos de clientes
Políticas y procedimientos internos</t>
  </si>
  <si>
    <t>Intereses particulares (dádivas, amiguismo, clientelismo)
Entorno normativo débil
Presión de clientes o terceros
Competencia desleal
Falta de sanciones visibles</t>
  </si>
  <si>
    <t>* Intereses particulares
* Proceso, documentación y controles
* Tecnológicos, aplicativos
* Ausencia de controles automatizados
* Ética en la función pública
* Presión interna por resultados.
* Falta de supervisión del personal.
* Falta de capacitación
* Acceso indiscriminado a datos e información.
* Ausencia de sistemas de denuncia
* Carencia de auditorías internas frecuentes</t>
  </si>
  <si>
    <t xml:space="preserve">Alteración de datos en los certificados
Falsificación de certificados
Acceso no autorizado
Modificación de datos originales
Pérdida o eliminación de datos
Sustracción de información técnica
Fallas de ciberseguridad
Destrucción intencionada de registros
Robo de información confidencial
Acceso indebido por tercero a la información </t>
  </si>
  <si>
    <t>Falta de ética profesional
Presiones indebidas hacia el cambio en los  resultados
Falta de capacitación
Debilidades en la supervisión
Acceso sin control
Inexistencia de sanciones claras
Presión de clientes o proveedores
Falta de controles internos</t>
  </si>
  <si>
    <t xml:space="preserve">Daño a la imagen del INM como institución confiable y transparente.
Pérdida de credibilidad y reputación del INM.
Métodos analíticos defectuosos que generan resultados imprecisos.
Incremento de retrabajos y costos operativos.
Costos asociados a reparaciones, indemnizaciones o pérdida de clientes.
Sanciones económicas o legales por incumplimiento de normativas.
Cancelación de  certificaciones
Denuncias hacia el INM.
Sanciones legales
</t>
  </si>
  <si>
    <r>
      <rPr>
        <b/>
        <sz val="8"/>
        <color rgb="FF000000"/>
        <rFont val="Calibri"/>
        <scheme val="minor"/>
      </rPr>
      <t>Control 1</t>
    </r>
    <r>
      <rPr>
        <sz val="8"/>
        <color rgb="FF000000"/>
        <rFont val="Calibri"/>
        <scheme val="minor"/>
      </rPr>
      <t xml:space="preserve">: Revisión técnica de los resultados de calibración por parte de otro colaborador diferente a quien ejecuta la calibración. Trimestralmente se reportarán como seguimiento del presente control los casos en los cuales se identifiquen la posible materialización del riesgo.
</t>
    </r>
    <r>
      <rPr>
        <b/>
        <sz val="8"/>
        <color rgb="FF000000"/>
        <rFont val="Calibri"/>
        <scheme val="minor"/>
      </rPr>
      <t>Propósito</t>
    </r>
    <r>
      <rPr>
        <sz val="8"/>
        <color rgb="FF000000"/>
        <rFont val="Calibri"/>
        <scheme val="minor"/>
      </rPr>
      <t xml:space="preserve">: Identificar posibles anomalías en los resultados de calibración a través de la segregación de funciones.
</t>
    </r>
    <r>
      <rPr>
        <b/>
        <sz val="8"/>
        <color rgb="FF000000"/>
        <rFont val="Calibri"/>
        <scheme val="minor"/>
      </rPr>
      <t>Responsable</t>
    </r>
    <r>
      <rPr>
        <sz val="8"/>
        <color rgb="FF000000"/>
        <rFont val="Calibri"/>
        <scheme val="minor"/>
      </rPr>
      <t xml:space="preserve">: Personal competente autorizado para revisar y autorizar el certificado de calibración o informe de medición.
</t>
    </r>
    <r>
      <rPr>
        <b/>
        <sz val="8"/>
        <color rgb="FF000000"/>
        <rFont val="Calibri"/>
        <scheme val="minor"/>
      </rPr>
      <t xml:space="preserve">¿Cómo se realiza el control?: </t>
    </r>
    <r>
      <rPr>
        <sz val="8"/>
        <color rgb="FF000000"/>
        <rFont val="Calibri"/>
        <scheme val="minor"/>
      </rPr>
      <t xml:space="preserve">Hacer revisión técnica de los resultados de calibración por parte de otro colaborador diferente a quien ejecuta la calibración, tomando como base los numerales 7.2 y 7.3 del instructivo M-01-I-001 Elaboración y revisión de certificados e informes.
</t>
    </r>
    <r>
      <rPr>
        <b/>
        <sz val="8"/>
        <color rgb="FF000000"/>
        <rFont val="Calibri"/>
        <scheme val="minor"/>
      </rPr>
      <t>Periodicidad</t>
    </r>
    <r>
      <rPr>
        <sz val="8"/>
        <color rgb="FF000000"/>
        <rFont val="Calibri"/>
        <scheme val="minor"/>
      </rPr>
      <t xml:space="preserve">: Cada vez que se genere un certificado de calibración o informe medición. 
</t>
    </r>
    <r>
      <rPr>
        <b/>
        <sz val="8"/>
        <color rgb="FF000000"/>
        <rFont val="Calibri"/>
        <scheme val="minor"/>
      </rPr>
      <t>Evidencia</t>
    </r>
    <r>
      <rPr>
        <sz val="8"/>
        <color rgb="FF000000"/>
        <rFont val="Calibri"/>
        <scheme val="minor"/>
      </rPr>
      <t xml:space="preserve">: Registros de comentarios sobre el documento de calibración revisado. Reporte de los casos en los que se identifique posible materialización del riesgo. 
</t>
    </r>
    <r>
      <rPr>
        <b/>
        <sz val="8"/>
        <color rgb="FF000000"/>
        <rFont val="Calibri"/>
        <scheme val="minor"/>
      </rPr>
      <t>Desviaciones/Observaciones:</t>
    </r>
    <r>
      <rPr>
        <sz val="8"/>
        <color rgb="FF000000"/>
        <rFont val="Calibri"/>
        <scheme val="minor"/>
      </rPr>
      <t xml:space="preserve"> En el caso de identificar una manipulación de la información contenida en el certificado de calibración o informe de medición,  para un beneficio propio o de un tercero, se debe reportar según procedimiento de Conflictos de interés A-04-P-028.
</t>
    </r>
    <r>
      <rPr>
        <b/>
        <sz val="8"/>
        <color rgb="FF000000"/>
        <rFont val="Calibri"/>
        <scheme val="minor"/>
      </rPr>
      <t xml:space="preserve">Documentado: </t>
    </r>
    <r>
      <rPr>
        <sz val="8"/>
        <color rgb="FF000000"/>
        <rFont val="Calibri"/>
        <scheme val="minor"/>
      </rPr>
      <t>Instructivo M-01-I-001 Elaboración y revisión de certificados e informes.</t>
    </r>
  </si>
  <si>
    <t>Socializar los cambios aplicados al Instructivo M-01-I-001 Elaboración y revisión de certificados e informes, haciendo énfasis en la revisión adecuada de los resultados por personal diferente al que realiza la calibración o medición</t>
  </si>
  <si>
    <t>Evidencias de la Socialización</t>
  </si>
  <si>
    <t xml:space="preserve">Enlace de calidad de la SMF </t>
  </si>
  <si>
    <t>Certificados de calibración emitidos oportunamente cumpliendo con el tiempo pactado con el cliente, en la oferta de servicios publicada, para contribuir al aseguramiento de la calidad de los bienes y servicios que se producen y comercializan en Colombia
Nivel de satisfacción de los usuarios del servicio de calibración y medición de MR (Proceso A-08 Gestión de servicios metrológicos)</t>
  </si>
  <si>
    <t>2025-04-14
2025-04-16</t>
  </si>
  <si>
    <t>SMF: No se presenta materialización del riesgo. En los laboratorios que emitieron certificados de calibracion en el primer trimestre, estos fueron revisados por personal diferente a quien calibra.
SMQB:No se presenta materialización del riesgo. En los laboratorios que emitieron certificados de calibracion o medición en el primer trimestre, estos fueron elaborador por la contratista Lorena Tafur y revisados por la funcionaria Maribel Moreno, la evidencia esta en el registro del formato M-03-L17-F-018 Lista de chequeo certificados.</t>
  </si>
  <si>
    <t>https://metrologiainm.sharepoint.com/:f:/s/OAP/Eti29GJ0yM1HsEh6dbNr4zUBR9eZLq3sBC_mAoWUXTs66g?e=E7v9Ax</t>
  </si>
  <si>
    <t>2025-07-16
2025-07-22</t>
  </si>
  <si>
    <t>SMF: No se presenta materialización del riesgo. En los laboratorios que emitieron certificados de calibración en el segundo trimestre, estos fueron revisados por personal diferente a quien calibra.
SMQB: No se presenta materialización del riesgo. En los laboratorios que emitieron certificados de calibración en el segundo trimestre, estos fueron revisados por personal diferente a quien calibra.</t>
  </si>
  <si>
    <t>https://metrologiainm.sharepoint.com/:f:/s/OAP/Ev3NWHfocotImgcuBb13ZD8BT5B4R7HlEkAkEF26wnc3qQ?e=YYsyvH</t>
  </si>
  <si>
    <t>SMQB: No se presenta materialización del riesgo. En los laboratorios que emitieron certificados de calibración en el trimestre evaluado, estos fueron revisados por personal diferente a quien calibra.</t>
  </si>
  <si>
    <t>https://metrologiainm.sharepoint.com/:f:/s/OAP/Ei1g3t3gx8RDruJG-0trs04BME7h7dAWwFj34RUNloGetg?e=er0rgb</t>
  </si>
  <si>
    <t>Posibilidad de recibir o solicitar dádivas o beneficios a nombre propio o de terceros con el fin de alterar resultados en los certificados de calibración o medición, procesos técnicos, metodologías o en la producción de materiales de referencia o métodos analíticos.</t>
  </si>
  <si>
    <r>
      <t xml:space="preserve">Consiste en la posibilidad de que por acción u omisión se altere de manera intencional un certificado de calibración, material de referencia para cumplir con especificaciones solicitadas por un cliente, pese a no haber superado las pruebas requeridas. Validación de un método analítico incompleto o no validado adecuadamente, bajo presión de un proveedor que busca entrar al mercado más rápido.
</t>
    </r>
    <r>
      <rPr>
        <b/>
        <sz val="8"/>
        <rFont val="Calibri"/>
        <family val="2"/>
        <scheme val="minor"/>
      </rPr>
      <t>Acción u omisión</t>
    </r>
    <r>
      <rPr>
        <sz val="8"/>
        <rFont val="Calibri"/>
        <family val="2"/>
        <scheme val="minor"/>
      </rPr>
      <t xml:space="preserve">:  Por acción, alterar intencionalmente los datos del certificado o aprobar un método analítico sin validar adecuadamente. Emitir certificados con valores ajustados que no corresponden a los datos reales obtenidos durante el proceso técnico.
Omisión por no realizar las pruebas necesarias o no verificar la validez de los métodos antes de aprobarlos.
No reportar irregularidades detectadas en los resultados, permitiendo su emisión sin corrección.
</t>
    </r>
    <r>
      <rPr>
        <b/>
        <sz val="8"/>
        <rFont val="Calibri"/>
        <family val="2"/>
        <scheme val="minor"/>
      </rPr>
      <t>Uso del Poder</t>
    </r>
    <r>
      <rPr>
        <sz val="8"/>
        <rFont val="Calibri"/>
        <family val="2"/>
        <scheme val="minor"/>
      </rPr>
      <t xml:space="preserve">: Por parte del personal involucrado en el proceso de calibración o medición con acceso exclusivo utiliza su posición para alterar resultados a cambio de incentivos"; "Un revisor de los certificados e informes influye en el personal técnico para que modifiquen los resultados, justificando la acción como un "favor" o bajo presión jerárquica"; "El personal con potestad para firmar certificados aprueba documentos alterados, utilizando su autoridad para legitimar los datos.".
</t>
    </r>
    <r>
      <rPr>
        <b/>
        <sz val="8"/>
        <rFont val="Calibri"/>
        <family val="2"/>
        <scheme val="minor"/>
      </rPr>
      <t>Desviar la gestión de lo público</t>
    </r>
    <r>
      <rPr>
        <sz val="8"/>
        <rFont val="Calibri"/>
        <family val="2"/>
        <scheme val="minor"/>
      </rPr>
      <t xml:space="preserve">: Comprometer los recursos y procesos del laboratorio al emitir resultados no confiables, desviándose de las funciones legítimas del laboratorio y afectando su credibilidad.
</t>
    </r>
    <r>
      <rPr>
        <b/>
        <sz val="8"/>
        <rFont val="Calibri"/>
        <family val="2"/>
        <scheme val="minor"/>
      </rPr>
      <t>Uso del Poder:</t>
    </r>
    <r>
      <rPr>
        <sz val="8"/>
        <rFont val="Calibri"/>
        <family val="2"/>
        <scheme val="minor"/>
      </rPr>
      <t xml:space="preserve"> Los recursos del laboratorio, destinados a garantizar la calidad y confiabilidad de las mediciones, se desvían para beneficiar intereses privados; se compromete la integridad del servicio público al emitir resultados que no cumplen con los estándares establecidos, o aprobar métodos no validados, afectando la credibilidad del INM; el tiempo del personal se redirigen hacia actividades no alineadas con los objetivos, como cumplir con peticiones personales o favorecer a un cliente específico".
</t>
    </r>
    <r>
      <rPr>
        <b/>
        <sz val="8"/>
        <rFont val="Calibri"/>
        <family val="2"/>
        <scheme val="minor"/>
      </rPr>
      <t xml:space="preserve">Beneficio privado: </t>
    </r>
    <r>
      <rPr>
        <sz val="8"/>
        <rFont val="Calibri"/>
        <family val="2"/>
        <scheme val="minor"/>
      </rPr>
      <t>Recibir dádivas o beneficios, como dinero, regalos o favores, a cambio de emitir un certificado alterado o aprobar un método analítico sin validación adecuada.</t>
    </r>
  </si>
  <si>
    <r>
      <rPr>
        <b/>
        <sz val="8"/>
        <rFont val="Calibri"/>
        <family val="2"/>
        <scheme val="minor"/>
      </rPr>
      <t>Control 2</t>
    </r>
    <r>
      <rPr>
        <sz val="8"/>
        <rFont val="Calibri"/>
        <family val="2"/>
        <scheme val="minor"/>
      </rPr>
      <t xml:space="preserve">: Aplicar la segregación de funciones en el personal de los laboratorios
</t>
    </r>
    <r>
      <rPr>
        <b/>
        <sz val="8"/>
        <rFont val="Calibri"/>
        <family val="2"/>
        <scheme val="minor"/>
      </rPr>
      <t>Propósito</t>
    </r>
    <r>
      <rPr>
        <sz val="8"/>
        <rFont val="Calibri"/>
        <family val="2"/>
        <scheme val="minor"/>
      </rPr>
      <t xml:space="preserve">: Garantizar que ninguna persona tenga control único sobre un proceso crítico.
</t>
    </r>
    <r>
      <rPr>
        <b/>
        <sz val="8"/>
        <rFont val="Calibri"/>
        <family val="2"/>
        <scheme val="minor"/>
      </rPr>
      <t>¿Cómo se realiza el control?:</t>
    </r>
    <r>
      <rPr>
        <sz val="8"/>
        <rFont val="Calibri"/>
        <family val="2"/>
        <scheme val="minor"/>
      </rPr>
      <t xml:space="preserve"> Se realizan las designaciones de roles separados para elaboración, validación, emisión y revisión de certificados, con personal competente autorizado tomando como base los lineamientos establecidos en el procedimiento A-04-P-002 MANTENIMIENTO Y DESARROLLO DE LAS COMPETENCIAS DEL PERSONAL TÉCNICO.
</t>
    </r>
    <r>
      <rPr>
        <b/>
        <sz val="8"/>
        <rFont val="Calibri"/>
        <family val="2"/>
        <scheme val="minor"/>
      </rPr>
      <t>Responsable:</t>
    </r>
    <r>
      <rPr>
        <sz val="8"/>
        <rFont val="Calibri"/>
        <family val="2"/>
        <scheme val="minor"/>
      </rPr>
      <t xml:space="preserve"> Subdirectores de los procesos misionales. 
</t>
    </r>
    <r>
      <rPr>
        <b/>
        <sz val="8"/>
        <rFont val="Calibri"/>
        <family val="2"/>
        <scheme val="minor"/>
      </rPr>
      <t>Periodicidad:</t>
    </r>
    <r>
      <rPr>
        <sz val="8"/>
        <rFont val="Calibri"/>
        <family val="2"/>
        <scheme val="minor"/>
      </rPr>
      <t xml:space="preserve"> Permanente. Por cada persona del laboratorio en el desarrollo de sus actividades. 
</t>
    </r>
    <r>
      <rPr>
        <b/>
        <sz val="8"/>
        <rFont val="Calibri"/>
        <family val="2"/>
        <scheme val="minor"/>
      </rPr>
      <t>Evidencia</t>
    </r>
    <r>
      <rPr>
        <sz val="8"/>
        <rFont val="Calibri"/>
        <family val="2"/>
        <scheme val="minor"/>
      </rPr>
      <t xml:space="preserve">: Registros de autorizaciones del personal para las actividades del laboratorio.
</t>
    </r>
    <r>
      <rPr>
        <b/>
        <sz val="8"/>
        <rFont val="Calibri"/>
        <family val="2"/>
        <scheme val="minor"/>
      </rPr>
      <t>Desviaciones/observaciones</t>
    </r>
    <r>
      <rPr>
        <sz val="8"/>
        <rFont val="Calibri"/>
        <family val="2"/>
        <scheme val="minor"/>
      </rPr>
      <t xml:space="preserve">: Si se detecta que no hay personal suficiente para las actividades el subdirector debe garantizar personal competente para realizar las actividades que sean diferentes.  
</t>
    </r>
    <r>
      <rPr>
        <b/>
        <sz val="8"/>
        <rFont val="Calibri"/>
        <family val="2"/>
        <scheme val="minor"/>
      </rPr>
      <t xml:space="preserve">Documento: </t>
    </r>
    <r>
      <rPr>
        <sz val="8"/>
        <rFont val="Calibri"/>
        <family val="2"/>
        <scheme val="minor"/>
      </rPr>
      <t xml:space="preserve">Procedimiento A-04-P-002 MANTENIMIENTO Y DESARROLLO DE LAS COMPETENCIAS DEL PERSONAL TÉCNICO y M-01-I-001 Elaboración y revisión de certificados e informes </t>
    </r>
  </si>
  <si>
    <t>No se investigan y resuelven oportunamente</t>
  </si>
  <si>
    <t>SMF: No se presenta materialización del riesgo. En los laboratorios que emitieron certificados de calibracion esté definida una segregaciónismos de funciones teniendo en cuenta la autorizacion emitida para la ejecucion de actividades técnicas del laboratorio. Esta autorizacion se encuentra soportada en los formatos A-04-F-008 y A-04-F-009.
Para el primer trimestre se emitieron autorizaciones para el personal de los laboratorios de masa, corriente continua y alterna y viscosidad 
SMQB: No se materializó el riesgo. Durante el primer trimestre se generaron y actualizaron las autorizaciones para el personal del Grupo de Confirmación Metrológica en Quimica y Biología (Andrés Madrid, Julio Torrijos, Juliana Serna, Alejandra Pérez, Luis Enrique Amaya, Yeraldin Aguilar); los demás grupos de la SMQB realizarán la respectiva actualización de autorizaciones en el segundo trimestre del 2025.</t>
  </si>
  <si>
    <t>https://metrologiainm.sharepoint.com/:f:/s/OAP/Es_zzMayc7VIkurGMep3ZyMBzPJFs4B6UIRTz4S3fdTaMQ?e=mPKz8M</t>
  </si>
  <si>
    <t>SMF: No se preenta materialización del riesgo. Los laboratorios que prestan servicios de calibración tienen segregación de funciones de acuerdo con la autorización emitida para la ejecución de las actividades técnicas del laboratorio. En el segundo trimestre se emitieron autorizaciones para personal de los laboratorios: densidad, volumen, dureza.
SMQB: durante el segundo trimestre no se materializaó el riesgo. las autorizaciones del personal que realiza calibraciones en el laboratorio de análisisi espectrofotométrico estan actualizadas.</t>
  </si>
  <si>
    <t>https://metrologiainm.sharepoint.com/:f:/s/OAP/EsEnJGOwb59Fql8CkdRgAuQBzpQ10JraVI2x5QllZgUFzg?e=WQoFg2</t>
  </si>
  <si>
    <t>SMQB: durante el trimestre evaluado no se materializó el riesgo. Las autorizaciones del personal que realiza calibraciones en el laboratorio de análisis espectrofotométrico estan actualizadas.</t>
  </si>
  <si>
    <t>https://metrologiainm.sharepoint.com/:f:/s/OAP/Em3VWrYOF5pJgHbIK0z0Q4MBugnxgMpPRaQ8mD4UIaVysg?e=2whF9d</t>
  </si>
  <si>
    <t xml:space="preserve">Control 3: Realizar la Declaración de Situaciones de Conflicto de Intereses 
Propósito: Asegurar la identificación y resolución de los potenciales conflictos de interés que puedan presentarse en el desarrollo de las actividades. 
Responsable: Personal que pueda verse involucrado en un posible conflicto de interés. 
Periodicidad: Cada vez que se genere una situación donde pueda verse involucrado en una situación de conflictos de interés. 
Evidencia: A-04-F-062 Declaración de Situaciones de Posibles conflictos de interés. 
Los registros de Declaración de Situaciones de Posibles conflictos de interés, estarán en la hoja de vida que es custodiada por la Coordinación de Gestión del Talento Humano, declaración de no conflicto de interés para los contratistas cargados en el SECOPII. 
Desviaciones/Observaciones: En el caso de identificar la materialización del riesgo para un conflicto de intereses,  y establecida la presunta veracidad de la información, ésta deberá remitirse al Secretario General con funciones de control disciplinario para lo de su competencia, de acuerdo con lo establecido en el procedimiento A-06-P-001 “Procesos Disciplinarios”.
Documentado: Procedimiento A-04-P-028 "Conflicto de interés." 
</t>
  </si>
  <si>
    <t>SMF: No se presenta materialización del riesgo. En el periodo evaluado no se reportan situaciones de conflicto de intereses, de acuerdo con lo indicado por el área de talento humano.
SMQB:  No se materializó el riesgo durante el primer trimestre, dado que no se generó una situación en la que el personal pueda verse involucrado en una situación de conflictos de interés. Por lo anterior, no se aportan evidencia del diligenciamiento del formato A-04-F-062.</t>
  </si>
  <si>
    <t>https://metrologiainm.sharepoint.com/:f:/s/OAP/EggN60DQHMVPiuMsr7aaF1EBnZvZKeT2rVBgIqTf_uSuVA?e=S4zYdO</t>
  </si>
  <si>
    <t>SMF y SMQB: No se presenta materialización del riesgo. En el periodo evaluado no se reportan situaciones de conflicto de interes, de acuerdo con lo indicado por el área de talento humano.</t>
  </si>
  <si>
    <t>https://metrologiainm.sharepoint.com/:f:/s/OAP/EhmEC91RmXdLt7U48UO7wSoBo8gZyipwlpdDYtCnOU5Uvw?e=4n3xxT</t>
  </si>
  <si>
    <t>SMQB: No se presenta materialización del riesgo. En el periodo evaluado no se reportan situaciones de conflicto de interes, de acuerdo con lo indicado por el área de talento humano.</t>
  </si>
  <si>
    <t>https://metrologiainm.sharepoint.com/:b:/s/OAP/EenULb3QvJxIpSUCxioqYTUBJHIjqJ2itYQ5aHep_XHOOA?e=aYKJei</t>
  </si>
  <si>
    <t>Control 4: Realizar sensibilizaciones  acerca de la aplicación del código de integridad.
Propósito: Sensibilizar al personal del INM sobre los parámetros mínimos de integridad que sean homogéneos, en el ser y obrar de los servidores públicos. 
Responsable: Coordinador de Gestión del Talento Humano 
Periodicidad: Según plan estratégico de gestión del talento humano. 
Evidencia: Registros de las sensibilizaciones. 
Desviaciones/Observaciones: El Coordinador de Gestión del Talento Humano, establecerá el sistema de seguimiento y evaluación de la implementación del Código de Integridad, con las actividades de la caja de herramientas dispuesto por la Función Pública, para garantizar su cumplimiento por parte de los servidores en el ejercicio de sus funciones.  
Documentado: Resolución 161 del 19 abril del 2020 "Por el cual se establece el Código de Integridad del Servicio Público en el Instituto Nacional de Metrología y se dictan otras disposiciones".</t>
  </si>
  <si>
    <t xml:space="preserve">SMF y SMQB: No se presenta materialización del riesgo. De manera continua el área de talento humano realiza sensibilizaciones asociadas con el código de integridad. En el primer trimestre se solicitó el diligenciamiento del Test de percepción personal sobre la Integridad en el Servicio Público, que se aplica a las servidoras, servidores públicos y contratistas del Instituto Nacional de Metrología – INM.  </t>
  </si>
  <si>
    <t>https://metrologiainm.sharepoint.com/:f:/s/OAP/EgqrI1SfFJFOncquqMIMRMgB0k_rJ2mY6DhAQf7tvi04Dw?e=rfhBr6</t>
  </si>
  <si>
    <t xml:space="preserve">SMF y SMQB: No se presenta materialización del riesgo. De manera continua el área de talento humano realiza sensibilizaciones de la correcta forma de actuar de los servidores públicos.
</t>
  </si>
  <si>
    <t>https://metrologiainm.sharepoint.com/:f:/s/OAP/EtSwfsnw2W9ImUeN0I8mw5ABzn7kahVBuKu7x7ioAQYvaA?e=Tl69r4</t>
  </si>
  <si>
    <t xml:space="preserve">SMQB: No se presenta materialización del riesgo. De manera continua el área de talento humano realiza sensibilizaciones de la correcta forma de actuar de los servidores públicos.
</t>
  </si>
  <si>
    <t>https://metrologiainm.sharepoint.com/:f:/s/OAP/EtAC89m2R9NOjoQdhTGvtKEBXlCldbRO753sHHp7SJutBQ?e=oS6wLn</t>
  </si>
  <si>
    <t>M01-RC02</t>
  </si>
  <si>
    <t>Posibilidad de recibir o solicitar cualquier dádiva o beneficio a nombre propio o de terceros con el fin de realizar servicios de calibración o medición fuera del alcance de la oferta de los servicios, de la infraestructura instalada o de los patrones que componen el sistema de medición</t>
  </si>
  <si>
    <t>Existe la posibilidad de que se presente que una persona, aprovechándose de su posición en el laboratorio, acepte o solicite beneficios personales, como dinero, regalos o favores o por presiones internas o externas, amiguismo, clientelismo, conflicto de interés,  para realizar servicios de calibración o medición que no están contemplados dentro del alcance oficial del laboratorio, que exceden la capacidad de la infraestructura existente, o que utilizan patrones no adecuados se presten servicios de calibración o medición, que por infraestructura favoreciendo los intereses de terceros.
Acción: Realizar servicios no autorizados o fuera del alcance oficial utilizando los recursos del laboratorio, sin cumplir con los estándares establecidos.
Omisión: No reportar estas prácticas indebidas a los responsables internos o externos del laboratorio.
Uso del poder: Abusar de la posición de autoridad o responsabilidad técnica para aprobar o ejecutar servicios que no están contemplados en las políticas y procedimientos establecidos.  Usar conocimiento especializado o acceso exclusivo a los recursos del laboratorio para ejecutar estas prácticas sin supervisión.
Desviar la gestión de lo público: Desviar el uso de los equipos, patrones, instalaciones y tiempo del laboratorio para atender solicitudes externas que no están alineadas con los objetivos y responsabilidades institucionales.
Beneficio privado: Obtener ventajas económicas, regalos, favores o cualquier tipo de beneficio personal al realizar servicios no autorizados. Favorecer intereses privados o personales a costa de los recursos públicos y de la misión institucional del laboratorio.</t>
  </si>
  <si>
    <t xml:space="preserve">Registros de servicios realizados (Incluyen hojas de trabajo, órdenes de servicio y certificados emitidos)
Alcance oficial del laboratorio
Listados de patrones e infraestructura
</t>
  </si>
  <si>
    <t xml:space="preserve">Intereses particulares (dádivas, amiguismo, clientelismo)
Presión de clientes externos
Normativas o controles insuficientes
Entorno competitivo desleal
</t>
  </si>
  <si>
    <t xml:space="preserve">Intereses particulares
Proceso, documentación y controles
Tecnológicos, aplicativos
Ética en la función pública
Deficiencias en la supervisión de personal 
Falta de capacitación
Procesos inadecuados
</t>
  </si>
  <si>
    <t xml:space="preserve">Alteración de registros de servicio
Acceso no autorizado a sistemas de información
Divulgación no autorizada de información
</t>
  </si>
  <si>
    <t>Presiones por externos para beneficios propios o de terceros debido a la ausencia de controles internos</t>
  </si>
  <si>
    <t>Pérdida de imagen institucional
Apertura de procesos disciplinarios
Impacto sobre los resultados de los servicios prestados para los clientes y posible afectación directa a la ciudadanía.
Denuncias hacia el INM.</t>
  </si>
  <si>
    <r>
      <rPr>
        <b/>
        <sz val="8"/>
        <color rgb="FF000000"/>
        <rFont val="Calibri"/>
        <family val="2"/>
        <scheme val="minor"/>
      </rPr>
      <t>Control 1</t>
    </r>
    <r>
      <rPr>
        <sz val="8"/>
        <color rgb="FF000000"/>
        <rFont val="Calibri"/>
        <family val="2"/>
        <scheme val="minor"/>
      </rPr>
      <t xml:space="preserve">: Elaborar ficha técnica del servicio
</t>
    </r>
    <r>
      <rPr>
        <b/>
        <sz val="8"/>
        <color rgb="FF000000"/>
        <rFont val="Calibri"/>
        <family val="2"/>
        <scheme val="minor"/>
      </rPr>
      <t>Propósito:</t>
    </r>
    <r>
      <rPr>
        <sz val="8"/>
        <color rgb="FF000000"/>
        <rFont val="Calibri"/>
        <family val="2"/>
        <scheme val="minor"/>
      </rPr>
      <t xml:space="preserve"> Evitar el desarrollo de productos o servicios que no cumplan requisitos.
</t>
    </r>
    <r>
      <rPr>
        <b/>
        <sz val="8"/>
        <color rgb="FF000000"/>
        <rFont val="Calibri"/>
        <family val="2"/>
        <scheme val="minor"/>
      </rPr>
      <t xml:space="preserve">Responsable: </t>
    </r>
    <r>
      <rPr>
        <sz val="8"/>
        <color rgb="FF000000"/>
        <rFont val="Calibri"/>
        <family val="2"/>
        <scheme val="minor"/>
      </rPr>
      <t xml:space="preserve">Profesionales técnicos.
</t>
    </r>
    <r>
      <rPr>
        <b/>
        <sz val="8"/>
        <color rgb="FF000000"/>
        <rFont val="Calibri"/>
        <family val="2"/>
        <scheme val="minor"/>
      </rPr>
      <t>¿Cómo se realiza el control?:</t>
    </r>
    <r>
      <rPr>
        <sz val="8"/>
        <color rgb="FF000000"/>
        <rFont val="Calibri"/>
        <family val="2"/>
        <scheme val="minor"/>
      </rPr>
      <t xml:space="preserve"> Establecer los requisitos legales, del cliente y demás necesidades establecidas en los A-08-F-016 Ficha Técnica Diseño de Nuevo Producto o Servicio y M-03-F-009 Necesidad de producción de materiales de referencia y E-02-F-042 Solicitud de Cambio. Siguiendo los lineamientos establecidos en el procedimiento A-08-P-003 DISEÑO Y DESARROLLO DE NUEVOS PRODUCTOS Y SERVICIOS. 
</t>
    </r>
    <r>
      <rPr>
        <b/>
        <sz val="8"/>
        <color rgb="FF000000"/>
        <rFont val="Calibri"/>
        <family val="2"/>
        <scheme val="minor"/>
      </rPr>
      <t>Periodicidad</t>
    </r>
    <r>
      <rPr>
        <sz val="8"/>
        <color rgb="FF000000"/>
        <rFont val="Calibri"/>
        <family val="2"/>
        <scheme val="minor"/>
      </rPr>
      <t xml:space="preserve">: Cada vez que se presente la necesidad de desarrollo de un servicio en el INM.
</t>
    </r>
    <r>
      <rPr>
        <b/>
        <sz val="8"/>
        <color rgb="FF000000"/>
        <rFont val="Calibri"/>
        <family val="2"/>
        <scheme val="minor"/>
      </rPr>
      <t>Evidencia</t>
    </r>
    <r>
      <rPr>
        <sz val="8"/>
        <color rgb="FF000000"/>
        <rFont val="Calibri"/>
        <family val="2"/>
        <scheme val="minor"/>
      </rPr>
      <t xml:space="preserve">: Registros de los formatos A-08-F-016 Ficha Técnica Diseño de Nuevo Producto o Servicio, M-03-F-009 Necesidad de producción de materiales de referencia y E-02-F-042 Solicitud de Cambio.
</t>
    </r>
    <r>
      <rPr>
        <b/>
        <sz val="8"/>
        <color rgb="FF000000"/>
        <rFont val="Calibri"/>
        <family val="2"/>
        <scheme val="minor"/>
      </rPr>
      <t>Desviaciones/observaciones</t>
    </r>
    <r>
      <rPr>
        <sz val="8"/>
        <color rgb="FF000000"/>
        <rFont val="Calibri"/>
        <family val="2"/>
        <scheme val="minor"/>
      </rPr>
      <t xml:space="preserve">: Al momento de presentar la propuesta del nuevo servicio, si se detecta que no hay aprobación por parte del EATC, se realizan los ajustes necesarios por parte del proceso para presentar nuevamente la propuesta ante esta instancia. La constancia de la aprobación o no de la misma, queda en el acta del EATC respectivo. 
</t>
    </r>
    <r>
      <rPr>
        <b/>
        <sz val="8"/>
        <color rgb="FF000000"/>
        <rFont val="Calibri"/>
        <family val="2"/>
        <scheme val="minor"/>
      </rPr>
      <t>Documento:</t>
    </r>
    <r>
      <rPr>
        <sz val="8"/>
        <color rgb="FF000000"/>
        <rFont val="Calibri"/>
        <family val="2"/>
        <scheme val="minor"/>
      </rPr>
      <t xml:space="preserve"> Procedimiento  A-08-P-003 DISEÑO Y DESARROLLO DE NUEVOS PRODUCTOS Y SERVICIOS</t>
    </r>
  </si>
  <si>
    <t xml:space="preserve">Actualizar el procedimiento de A-08-P-003 Diseño y Desarrollo de nuevos productos y servicios con los controles realizados por la MTTC y EATC; así como el procedimiento del E-02-P-007 Gestión del Cambio con los ajustes requeridos para gestionar los cambios en los servicios </t>
  </si>
  <si>
    <t xml:space="preserve">Actualización de los procedimientos </t>
  </si>
  <si>
    <t>Sebastián Gil
Yesid Pineda</t>
  </si>
  <si>
    <t>SMF: No se presenta materialización del riesgo. Durante el primer trimestre se realizó seguimiento a nuevos servicios de los laboratorios dureza, temperatura y humedad, presión, flujo de gas, longitud, viscosidad, y calidad de energia.
SMQB: durante el primer trimestre no se presento la necesidad de desarrollo de un servicio en la subdirección, por lo tanto no se materializó el riesgo.</t>
  </si>
  <si>
    <t>https://metrologiainm.sharepoint.com/:f:/s/OAP/EsAqbiMDqb5Oh6UTag04BHcBMB_TYS3bv4c2jkcJk4-Ivw?e=ltaasuv</t>
  </si>
  <si>
    <t>SMF: No se presenta materialización del riesgo. Durante el trimestre evaluado se realizó seguimiento a los siguientes servicios los cuales se presentaron en MTTC y EATC para su evaluación y visto bueno:
- Laboratorio de Dureza: Calibración de durómetro Shore.
- Laboratorio de Longitud: Calibración de superficies de referencia con niveles electrónicos (mármol de medición).
- Laboratorio de Presión: Calibración de instrumentos de medición de presión diferencial.
SMQB: Durante el segundo trimestre no se desarrollo un nuevo servicio en la subdirección de Química y Biología, por ello no se materializa el riesgo.</t>
  </si>
  <si>
    <t>https://metrologiainm.sharepoint.com/:f:/s/OAP/Evln7FJ0Ac5MvkP68ksJxcoBwZDtvRXdqBp4WH_8CZL9KQ?e=fnVJyI</t>
  </si>
  <si>
    <t>SMQB: Durante el tercer trimestre no se desarrollo un nuevo servicio en la subdirección de Química y Biología, por ello no se materializa el riesgo.</t>
  </si>
  <si>
    <t>SMQB: No aplica</t>
  </si>
  <si>
    <r>
      <rPr>
        <b/>
        <sz val="8"/>
        <color theme="1"/>
        <rFont val="Calibri"/>
        <family val="2"/>
        <scheme val="minor"/>
      </rPr>
      <t>Control 2</t>
    </r>
    <r>
      <rPr>
        <sz val="8"/>
        <color theme="1"/>
        <rFont val="Calibri"/>
        <family val="2"/>
        <scheme val="minor"/>
      </rPr>
      <t xml:space="preserve">: Revisión de la propuesta realizada por parte de los procesos misionales para el desarrollo de un servicio en el INM. 
</t>
    </r>
    <r>
      <rPr>
        <b/>
        <sz val="8"/>
        <color theme="1"/>
        <rFont val="Calibri"/>
        <family val="2"/>
        <scheme val="minor"/>
      </rPr>
      <t>Propósito:</t>
    </r>
    <r>
      <rPr>
        <sz val="8"/>
        <color theme="1"/>
        <rFont val="Calibri"/>
        <family val="2"/>
        <scheme val="minor"/>
      </rPr>
      <t xml:space="preserve"> Prevenir que se aprueben productos o servicios que no cumplan todas las fases previstas para el diseño y desarrollo.
</t>
    </r>
    <r>
      <rPr>
        <b/>
        <sz val="8"/>
        <color theme="1"/>
        <rFont val="Calibri"/>
        <family val="2"/>
        <scheme val="minor"/>
      </rPr>
      <t xml:space="preserve">Responsable: </t>
    </r>
    <r>
      <rPr>
        <sz val="8"/>
        <color theme="1"/>
        <rFont val="Calibri"/>
        <family val="2"/>
        <scheme val="minor"/>
      </rPr>
      <t>Integrantes del EATC.</t>
    </r>
    <r>
      <rPr>
        <b/>
        <sz val="8"/>
        <color theme="1"/>
        <rFont val="Calibri"/>
        <family val="2"/>
        <scheme val="minor"/>
      </rPr>
      <t xml:space="preserve"> </t>
    </r>
    <r>
      <rPr>
        <sz val="8"/>
        <color theme="1"/>
        <rFont val="Calibri"/>
        <family val="2"/>
        <scheme val="minor"/>
      </rPr>
      <t xml:space="preserve">
</t>
    </r>
    <r>
      <rPr>
        <b/>
        <sz val="8"/>
        <color theme="1"/>
        <rFont val="Calibri"/>
        <family val="2"/>
        <scheme val="minor"/>
      </rPr>
      <t>¿Cómo se realiza el control?:</t>
    </r>
    <r>
      <rPr>
        <sz val="8"/>
        <color theme="1"/>
        <rFont val="Calibri"/>
        <family val="2"/>
        <scheme val="minor"/>
      </rPr>
      <t xml:space="preserve"> Una vez el proceso responsable ha elaborado una presentación ejecutiva con la justificación de la necesidad de servicio, el EATC, revisa la propuesta general con el fin de determinar que se cuenta con la capacidad de cumplir con los requisitos para el producto o servicio que se va a ofrecer y que este es pertinente, de acuerdo con la misionalidad del INM y su planeación estratégica.
</t>
    </r>
    <r>
      <rPr>
        <b/>
        <sz val="8"/>
        <color theme="1"/>
        <rFont val="Calibri"/>
        <family val="2"/>
        <scheme val="minor"/>
      </rPr>
      <t>Periodicidad</t>
    </r>
    <r>
      <rPr>
        <sz val="8"/>
        <color theme="1"/>
        <rFont val="Calibri"/>
        <family val="2"/>
        <scheme val="minor"/>
      </rPr>
      <t xml:space="preserve">: Cada vez que se presente la necesidad de servicio en el INM.
</t>
    </r>
    <r>
      <rPr>
        <b/>
        <sz val="8"/>
        <color theme="1"/>
        <rFont val="Calibri"/>
        <family val="2"/>
        <scheme val="minor"/>
      </rPr>
      <t>Evidencia</t>
    </r>
    <r>
      <rPr>
        <sz val="8"/>
        <color theme="1"/>
        <rFont val="Calibri"/>
        <family val="2"/>
        <scheme val="minor"/>
      </rPr>
      <t xml:space="preserve">: A-08-F-016 Ficha Técnica Diseño de Nuevo Producto o Servicio, E-02-F-005 Acta de Reunión y correo electrónico.
</t>
    </r>
    <r>
      <rPr>
        <b/>
        <sz val="8"/>
        <color theme="1"/>
        <rFont val="Calibri"/>
        <family val="2"/>
        <scheme val="minor"/>
      </rPr>
      <t>Desviaciones/observaciones</t>
    </r>
    <r>
      <rPr>
        <sz val="8"/>
        <color theme="1"/>
        <rFont val="Calibri"/>
        <family val="2"/>
        <scheme val="minor"/>
      </rPr>
      <t xml:space="preserve">: En caso de que el EATC no apruebe, se realizan los ajustes necesarios por parte del proceso para presentar nuevamente la propuesta ante esta instancia. La constancia de la aprobación o no de la misma, queda en el acta del EATC respectivo. 
</t>
    </r>
    <r>
      <rPr>
        <b/>
        <sz val="8"/>
        <color theme="1"/>
        <rFont val="Calibri"/>
        <family val="2"/>
        <scheme val="minor"/>
      </rPr>
      <t>Documento:</t>
    </r>
    <r>
      <rPr>
        <sz val="8"/>
        <color theme="1"/>
        <rFont val="Calibri"/>
        <family val="2"/>
        <scheme val="minor"/>
      </rPr>
      <t xml:space="preserve"> Acta del EATC, procedimiento  A-08-P-003 DISEÑO Y DESARROLLO DE NUEVOS PRODUCTOS Y SERVICIOS</t>
    </r>
  </si>
  <si>
    <t>SMF: No se presenta materialización del riesgo. Durante el primer trimestre no se presentaron nuevos servicios ante EATC.
SMQB: No se presenta materialización del riesgo. Durante el primer trimestre no se presentaron nuevos servicios ante EATC.</t>
  </si>
  <si>
    <t>No aplica, no se presentaron nuevos servicios ante EATC.</t>
  </si>
  <si>
    <t>SMF: No se presenta materialización del riesgo. Durante el trimestre evaluado se realizó seguimiento a los siguientes servicios los cuales se presentaron en MTTC y EATC para su evaluación y visto bueno:
- Laboratorio de Dureza: Calibración de durómetro Shore.
- Laboratorio de Longitud: Calibración de superficies de referencia con niveles electrónicos (mármol de medición).
- Laboratorio de Presión: Calibración de instrumentos de medición de presión diferencial.
SMQB: no se materializa el riesgo, durante el segun do trimestre no se presentan nuevos servicios ante el EATC.</t>
  </si>
  <si>
    <t>SMQB: no se materializa el riesgo, durante el  trimestre evaluado no se presentan nuevos servicios ante el EATC.</t>
  </si>
  <si>
    <r>
      <rPr>
        <b/>
        <sz val="8"/>
        <color theme="1"/>
        <rFont val="Calibri"/>
        <family val="2"/>
        <scheme val="minor"/>
      </rPr>
      <t>Control</t>
    </r>
    <r>
      <rPr>
        <sz val="8"/>
        <color theme="1"/>
        <rFont val="Calibri"/>
        <family val="2"/>
        <scheme val="minor"/>
      </rPr>
      <t xml:space="preserve">: Revisión de propuesta del CIGD.  
</t>
    </r>
    <r>
      <rPr>
        <b/>
        <sz val="8"/>
        <color theme="1"/>
        <rFont val="Calibri"/>
        <family val="2"/>
        <scheme val="minor"/>
      </rPr>
      <t xml:space="preserve">Propósito: </t>
    </r>
    <r>
      <rPr>
        <sz val="8"/>
        <color theme="1"/>
        <rFont val="Calibri"/>
        <family val="2"/>
        <scheme val="minor"/>
      </rPr>
      <t xml:space="preserve">Prevenir que no se oferten productos o servicios que no cumplan requisitos previstos
</t>
    </r>
    <r>
      <rPr>
        <b/>
        <sz val="8"/>
        <color theme="1"/>
        <rFont val="Calibri"/>
        <family val="2"/>
        <scheme val="minor"/>
      </rPr>
      <t xml:space="preserve">Responsable: </t>
    </r>
    <r>
      <rPr>
        <sz val="8"/>
        <color theme="1"/>
        <rFont val="Calibri"/>
        <family val="2"/>
        <scheme val="minor"/>
      </rPr>
      <t>Integrantes del CIGD.</t>
    </r>
    <r>
      <rPr>
        <b/>
        <sz val="8"/>
        <color theme="1"/>
        <rFont val="Calibri"/>
        <family val="2"/>
        <scheme val="minor"/>
      </rPr>
      <t xml:space="preserve"> </t>
    </r>
    <r>
      <rPr>
        <sz val="8"/>
        <color theme="1"/>
        <rFont val="Calibri"/>
        <family val="2"/>
        <scheme val="minor"/>
      </rPr>
      <t xml:space="preserve">
</t>
    </r>
    <r>
      <rPr>
        <b/>
        <sz val="8"/>
        <color theme="1"/>
        <rFont val="Calibri"/>
        <family val="2"/>
        <scheme val="minor"/>
      </rPr>
      <t>¿Cómo se realiza el control?</t>
    </r>
    <r>
      <rPr>
        <sz val="8"/>
        <color theme="1"/>
        <rFont val="Calibri"/>
        <family val="2"/>
        <scheme val="minor"/>
      </rPr>
      <t xml:space="preserve">: Con base en la presentación y teniendo en cuenta el concepto dado por el EATC, el CIGD revisa el cumplimiento y resultado de la verificación y validación, que permita corroborar que el producto o servicio cumple su propósito previsto y su provisión segura y correcta.
</t>
    </r>
    <r>
      <rPr>
        <b/>
        <sz val="8"/>
        <color theme="1"/>
        <rFont val="Calibri"/>
        <family val="2"/>
        <scheme val="minor"/>
      </rPr>
      <t>Periodicidad</t>
    </r>
    <r>
      <rPr>
        <sz val="8"/>
        <color theme="1"/>
        <rFont val="Calibri"/>
        <family val="2"/>
        <scheme val="minor"/>
      </rPr>
      <t xml:space="preserve">: Cada vez que se presente la necesidad de servicio en el INM.
</t>
    </r>
    <r>
      <rPr>
        <b/>
        <sz val="8"/>
        <color theme="1"/>
        <rFont val="Calibri"/>
        <family val="2"/>
        <scheme val="minor"/>
      </rPr>
      <t>Evidencia</t>
    </r>
    <r>
      <rPr>
        <sz val="8"/>
        <color theme="1"/>
        <rFont val="Calibri"/>
        <family val="2"/>
        <scheme val="minor"/>
      </rPr>
      <t xml:space="preserve">: Acta del CIGD. 
</t>
    </r>
    <r>
      <rPr>
        <b/>
        <sz val="8"/>
        <color theme="1"/>
        <rFont val="Calibri"/>
        <family val="2"/>
        <scheme val="minor"/>
      </rPr>
      <t>Desviaciones/observaciones</t>
    </r>
    <r>
      <rPr>
        <sz val="8"/>
        <color theme="1"/>
        <rFont val="Calibri"/>
        <family val="2"/>
        <scheme val="minor"/>
      </rPr>
      <t xml:space="preserve">: En caso de que el CIGD no apruebe, se realizan los ajustes necesarios por parte del proceso para presentar nuevamente la propuesta ante esta instancia. La constancia de la aprobación o no de la misma, queda en el acta del CIGD respectivo. 
</t>
    </r>
    <r>
      <rPr>
        <b/>
        <sz val="8"/>
        <color theme="1"/>
        <rFont val="Calibri"/>
        <family val="2"/>
        <scheme val="minor"/>
      </rPr>
      <t>Documento:</t>
    </r>
    <r>
      <rPr>
        <sz val="8"/>
        <color theme="1"/>
        <rFont val="Calibri"/>
        <family val="2"/>
        <scheme val="minor"/>
      </rPr>
      <t xml:space="preserve"> Acta del CIGD, procedimiento A-08-P-003 DISEÑO Y DESARROLLO DE NUEVOS PRODUCTOS Y SERVICIOS</t>
    </r>
  </si>
  <si>
    <t>SMF: No se presenta materialización del riesgo. Durante el primer trimestre no se presentaron nuevos servicios ante CIGD.
SMQB: No se presenta materialización del riesgo. Durante el primer trimestre no se presentaron nuevos servicios ante CIGD.</t>
  </si>
  <si>
    <t>No aplica, no se presentaron nuevos servicios ante CIGD.</t>
  </si>
  <si>
    <t>SMF y SMQB: No se presenta materialización del riesgo. Durante el trimestre evaluado no se realizó presentación de nuevos servicios en CIGD para su evaluación y visto bueno.</t>
  </si>
  <si>
    <t>No aplica, no se presentaron nuevos servicios ante CIGD</t>
  </si>
  <si>
    <t>SMQB: no se materializa el riesgo, durante el  trimestre evaluado no se presentan nuevos servicios ante el CIGD</t>
  </si>
  <si>
    <t>M01-RC03</t>
  </si>
  <si>
    <t>Posibilidad de recibir o solicitar cualquier dádiva o beneficio a nombre propio o de terceros con el fin de ejercer presiones indebidas frente a los resultados del cliente interno</t>
  </si>
  <si>
    <t>Se puede presentar cuando por presiones internas o externas, amiguismo, clientelismo, conflicto de interés por parte del director, subdirectores o coordinadores del INM, se omiten los resultados erróneos luego de la prestación servicios de calibración o medición internos para favorecer a alguno o varios de los laboratorios del INM de Colombia, generando así, un posible detrimento patrimonial del equipamiento de los laboratorios del INM de Colombia. 
Acción u omisión: Por acción manipular deliberadamente los resultados técnicos, datos o reportes entregados al cliente interno para favorecer a terceros o al propio.
Omitir los posibles resultados erróneos de la prestación de servicio de calibración o medición a un laboratorio del INM o no reportar presiones indebidas o solicitudes de manipulación por parte de colegas o superiores jerárquicos. 
Uso del Poder: Presiones internas o externas, amiguismo, clientelismo, conflicto de interés por parte del director, subdirectores o coordinadores del INM, utilizando la posición jerárquica, técnica o de acceso a la información crítica del laboratorio para condicionar los resultados que el cliente interno recibe y ejercer influencia indebida sobre los procesos técnicos, como auditorías internas, resultados de calibración o medición, para modificar sus resultados.
Desviar la gestión de lo público: Desviar el propósito de la labor técnica, que debe ser objetiva para satisfacer intereses personales o de terceros. Alterar resultados o informes técnicos en beneficio de un tercero, comprometiendo la transparencia del servicio público, posibilitando el detrimento patrimonial del equipamiento de los laboratorios del INM de Colombia. 
Beneficio privado: Obtener beneficios o ventajas personales como compensaciones económicas, regalos, ascensos laborales indebidos o favores a cambio de presionar o alterar resultados que deben ser objetivos; así como favorecer intereses privados o institucionales ajenos a la misión del INM, comprometiendo la confianza del cliente interno en los servicios brindados.</t>
  </si>
  <si>
    <t xml:space="preserve">Resultados técnicos e informes
Información confidencial sobre procedimientos de medición y calibración
Contratos y acuerdos con clientes internos
</t>
  </si>
  <si>
    <t xml:space="preserve">Intereses particulares (dádivas, amiguismo)
Intereses de terceros (proveedores, contratistas, clientes, partes interesadas, jefes, subdirector, coordinador)
Entorno regulatorio y de control débil
Competencia externa desleal
</t>
  </si>
  <si>
    <t xml:space="preserve">Intereses particulares
Ética en la función pública
Deficiencias en el liderazgo y supervisión de personal.
Cultura organizacional permisiva.
Falta de capacitación y sensibilización sobre ética laboral.
Rotación de personal o cambios en roles
</t>
  </si>
  <si>
    <t xml:space="preserve">Acceso no autorizado o manipulación de información.
Divulgación no autorizada de información confidencial.
Alteración de documentos y registros
</t>
  </si>
  <si>
    <t xml:space="preserve">Presiones por parte del director, subdirectores o coordinadores para beneficios propios o de terceros
Presiones externas para obtener resultados favorables
Relaciones informales o familiares dentro del laboratorio
</t>
  </si>
  <si>
    <t xml:space="preserve">Apertura de procesos disciplinarios
Impacto sobre los resultados de los servicios prestados para los clientes internos y posible afectación directa sobre el equipamiento del INM de Colombia.
Denuncias hacia el INM.
Perdida de integridad y confianza
Daño a la calidad de los servicios
Impacto legal y regulatorio
Detrimento patrimonial
</t>
  </si>
  <si>
    <r>
      <rPr>
        <b/>
        <sz val="8"/>
        <color rgb="FF000000"/>
        <rFont val="Calibri"/>
        <family val="2"/>
        <scheme val="minor"/>
      </rPr>
      <t>Control 1</t>
    </r>
    <r>
      <rPr>
        <sz val="8"/>
        <color rgb="FF000000"/>
        <rFont val="Calibri"/>
        <family val="2"/>
        <scheme val="minor"/>
      </rPr>
      <t xml:space="preserve">: Aplicar el procedimiento A-04-P-028 conflicto de intereses. 
</t>
    </r>
    <r>
      <rPr>
        <b/>
        <sz val="8"/>
        <color rgb="FF000000"/>
        <rFont val="Calibri"/>
        <family val="2"/>
        <scheme val="minor"/>
      </rPr>
      <t xml:space="preserve">Responsable: </t>
    </r>
    <r>
      <rPr>
        <sz val="8"/>
        <color rgb="FF000000"/>
        <rFont val="Calibri"/>
        <family val="2"/>
        <scheme val="minor"/>
      </rPr>
      <t xml:space="preserve">Personal del laboratorio. 
</t>
    </r>
    <r>
      <rPr>
        <b/>
        <sz val="8"/>
        <color rgb="FF000000"/>
        <rFont val="Calibri"/>
        <family val="2"/>
        <scheme val="minor"/>
      </rPr>
      <t>Propósito del control:</t>
    </r>
    <r>
      <rPr>
        <sz val="8"/>
        <color rgb="FF000000"/>
        <rFont val="Calibri"/>
        <family val="2"/>
        <scheme val="minor"/>
      </rPr>
      <t xml:space="preserve"> Asegurar que el personal del laboratorio se encuentre libre de presiones indebidas que puedan comprometer la imparcialidad de los resultados de un servicio de calibración o medición interno. 
</t>
    </r>
    <r>
      <rPr>
        <b/>
        <sz val="8"/>
        <color rgb="FF000000"/>
        <rFont val="Calibri"/>
        <family val="2"/>
        <scheme val="minor"/>
      </rPr>
      <t xml:space="preserve">¿Cómo se realiza el control? </t>
    </r>
    <r>
      <rPr>
        <sz val="8"/>
        <color rgb="FF000000"/>
        <rFont val="Calibri"/>
        <family val="2"/>
        <scheme val="minor"/>
      </rPr>
      <t xml:space="preserve"> Aplicar el procedimiento A-04-P-028 conflicto de intereses, cuando el personal del laboratorio es presionado por un superior jerárquico para manipular los resultados de un servicio de calibración o medición de otro laboratorio o área del INM. 
</t>
    </r>
    <r>
      <rPr>
        <b/>
        <sz val="8"/>
        <color rgb="FF000000"/>
        <rFont val="Calibri"/>
        <family val="2"/>
        <scheme val="minor"/>
      </rPr>
      <t>Acciones sobre desviaciones:</t>
    </r>
    <r>
      <rPr>
        <sz val="8"/>
        <color rgb="FF000000"/>
        <rFont val="Calibri"/>
        <family val="2"/>
        <scheme val="minor"/>
      </rPr>
      <t xml:space="preserve"> En caso de que se presente presiones indebidas por parte de un superior jerárquico del personal del laboratorio y no se aplique el procedimiento A-04-P-028, poner en conocimiento de las instancias pertinentes del INM. .  
</t>
    </r>
    <r>
      <rPr>
        <b/>
        <sz val="8"/>
        <color rgb="FF000000"/>
        <rFont val="Calibri"/>
        <family val="2"/>
        <scheme val="minor"/>
      </rPr>
      <t>Periodicidad:</t>
    </r>
    <r>
      <rPr>
        <sz val="8"/>
        <color rgb="FF000000"/>
        <rFont val="Calibri"/>
        <family val="2"/>
        <scheme val="minor"/>
      </rPr>
      <t xml:space="preserve"> Cada vez que se presente el caso de presión indebida que pueda afectar la imparcialidad en la entrega de los resultados de un servicio de calibración o medición interno. 
</t>
    </r>
    <r>
      <rPr>
        <b/>
        <sz val="8"/>
        <color rgb="FF000000"/>
        <rFont val="Calibri"/>
        <family val="2"/>
        <scheme val="minor"/>
      </rPr>
      <t xml:space="preserve">Documento: </t>
    </r>
    <r>
      <rPr>
        <sz val="8"/>
        <color rgb="FF000000"/>
        <rFont val="Calibri"/>
        <family val="2"/>
        <scheme val="minor"/>
      </rPr>
      <t xml:space="preserve">A-04-P-028 CONFLICTO DE INTERESES
</t>
    </r>
    <r>
      <rPr>
        <b/>
        <sz val="8"/>
        <color rgb="FF000000"/>
        <rFont val="Calibri"/>
        <family val="2"/>
        <scheme val="minor"/>
      </rPr>
      <t>Evidencia</t>
    </r>
    <r>
      <rPr>
        <sz val="8"/>
        <color rgb="FF000000"/>
        <rFont val="Calibri"/>
        <family val="2"/>
        <scheme val="minor"/>
      </rPr>
      <t>: Registro del A-04-F-002  RECUSACIÓN POR CONFLICTO DE INTERÉS</t>
    </r>
  </si>
  <si>
    <t>Indirectamente</t>
  </si>
  <si>
    <t xml:space="preserve">Realizar un taller de aplicación del documento de Conflictos de Interés </t>
  </si>
  <si>
    <t xml:space="preserve">Evidencias del Taller de aplicación </t>
  </si>
  <si>
    <t>Profesional de GTH</t>
  </si>
  <si>
    <t xml:space="preserve">SMF: No se presenta materialización del riesgo. En el periodo evaluado no se reportan situaciones de conflicto de intereses, de acuerdo con lo indicado por el área de talento humano.
SMQB: No se materializa el riesgo durante el primer trimestre del año , dado que no se ha presentado que el personal de la SMQB haya sido presionado por un superior jerárquico para manipular los resultados de un servicio de calibración o medición de otro laboratorio o área del INM. 
</t>
  </si>
  <si>
    <t>https://metrologiainm.sharepoint.com/:f:/s/OAP/ErYp54GvygRDlyosXaZctoUB2n7oFERlr8Fww5RZaG6ajA?e=MjleI8</t>
  </si>
  <si>
    <t>2025-07-17
2025-07-22</t>
  </si>
  <si>
    <t>SMF: No se presenta materialización del riesgo. En el periodo evaluado no se reportan situaciones de conflicto de interes, de acuerdo con lo indicado por el área de talento humano.</t>
  </si>
  <si>
    <t>https://metrologiainm.sharepoint.com/:f:/s/OAP/EvIP1g0ZgVlDu9JQ2gj9BY4BX_emlM6VqypzedITSHrsoA?e=kCU2iW</t>
  </si>
  <si>
    <t xml:space="preserve">SMQB: No se presenta materialización del riesgo. En el periodo evaluado no se reportan situaciones de conflicto de interes, de acuerdo con lo indicado por el área de talento humano.  </t>
  </si>
  <si>
    <t>https://metrologiainm.sharepoint.com/:b:/s/OAP/EWZzEyfhSBlEppeF_M_7q-kBEyVaIYfSSmcSfFovqxy8eA?e=QsXXZV</t>
  </si>
  <si>
    <r>
      <rPr>
        <b/>
        <sz val="8"/>
        <color rgb="FF000000"/>
        <rFont val="Calibri"/>
        <family val="2"/>
        <scheme val="minor"/>
      </rPr>
      <t>Control 2:</t>
    </r>
    <r>
      <rPr>
        <sz val="8"/>
        <color rgb="FF000000"/>
        <rFont val="Calibri"/>
        <family val="2"/>
        <scheme val="minor"/>
      </rPr>
      <t xml:space="preserve"> Usar los mecanismos de denuncia internos. canal de denuncia segura.
</t>
    </r>
    <r>
      <rPr>
        <b/>
        <sz val="8"/>
        <color rgb="FF000000"/>
        <rFont val="Calibri"/>
        <family val="2"/>
        <scheme val="minor"/>
      </rPr>
      <t>Propósito del control</t>
    </r>
    <r>
      <rPr>
        <sz val="8"/>
        <color rgb="FF000000"/>
        <rFont val="Calibri"/>
        <family val="2"/>
        <scheme val="minor"/>
      </rPr>
      <t xml:space="preserve">: Poder realizar libremente denuncias sobre posibles hechos de corrupción al interior de la entidad.
</t>
    </r>
    <r>
      <rPr>
        <b/>
        <sz val="8"/>
        <color rgb="FF000000"/>
        <rFont val="Calibri"/>
        <family val="2"/>
        <scheme val="minor"/>
      </rPr>
      <t>Responsable</t>
    </r>
    <r>
      <rPr>
        <sz val="8"/>
        <color rgb="FF000000"/>
        <rFont val="Calibri"/>
        <family val="2"/>
        <scheme val="minor"/>
      </rPr>
      <t xml:space="preserve">: Profesional designado como Oficial de transparencia INM.
</t>
    </r>
    <r>
      <rPr>
        <b/>
        <sz val="8"/>
        <color rgb="FF000000"/>
        <rFont val="Calibri"/>
        <family val="2"/>
        <scheme val="minor"/>
      </rPr>
      <t>¿Cómo se realiza el control?:</t>
    </r>
    <r>
      <rPr>
        <sz val="8"/>
        <color rgb="FF000000"/>
        <rFont val="Calibri"/>
        <family val="2"/>
        <scheme val="minor"/>
      </rPr>
      <t xml:space="preserve"> Usando los mecanismos de denuncia que se soportan en el canal de denuncia segura.
</t>
    </r>
    <r>
      <rPr>
        <b/>
        <sz val="8"/>
        <color rgb="FF000000"/>
        <rFont val="Calibri"/>
        <family val="2"/>
        <scheme val="minor"/>
      </rPr>
      <t>Periodicidad:</t>
    </r>
    <r>
      <rPr>
        <sz val="8"/>
        <color rgb="FF000000"/>
        <rFont val="Calibri"/>
        <family val="2"/>
        <scheme val="minor"/>
      </rPr>
      <t xml:space="preserve"> Cada vez que se presente la denuncia
Evidencia: Registro de la denuncia en la herramienta informática definida por INM para tal fin.
</t>
    </r>
    <r>
      <rPr>
        <b/>
        <sz val="8"/>
        <color rgb="FF000000"/>
        <rFont val="Calibri"/>
        <family val="2"/>
        <scheme val="minor"/>
      </rPr>
      <t>Acciones sobre desviaciones:</t>
    </r>
    <r>
      <rPr>
        <sz val="8"/>
        <color rgb="FF000000"/>
        <rFont val="Calibri"/>
        <family val="2"/>
        <scheme val="minor"/>
      </rPr>
      <t xml:space="preserve"> Se tiene a disposición un canal telefónico y un correo electrónico exclusivo de tal forma que se garantice la atención continua en caso de fallo de alguno de los canales. En caso de grabaciones del canal telefónico, se hace notificación automática al correo electrónico profesional designado.
</t>
    </r>
    <r>
      <rPr>
        <b/>
        <sz val="8"/>
        <color rgb="FF000000"/>
        <rFont val="Calibri"/>
        <family val="2"/>
        <scheme val="minor"/>
      </rPr>
      <t>Evidencia:</t>
    </r>
    <r>
      <rPr>
        <sz val="8"/>
        <color rgb="FF000000"/>
        <rFont val="Calibri"/>
        <family val="2"/>
        <scheme val="minor"/>
      </rPr>
      <t xml:space="preserve"> Proceso que se lleve a cabo. 
</t>
    </r>
    <r>
      <rPr>
        <b/>
        <sz val="8"/>
        <color rgb="FF000000"/>
        <rFont val="Calibri"/>
        <family val="2"/>
        <scheme val="minor"/>
      </rPr>
      <t xml:space="preserve">Documentado: </t>
    </r>
    <r>
      <rPr>
        <sz val="8"/>
        <color rgb="FF000000"/>
        <rFont val="Calibri"/>
        <family val="2"/>
        <scheme val="minor"/>
      </rPr>
      <t xml:space="preserve">RESOLUCIÓN NÚMERO 383 del 25 DE SEPTIEMBRE 2020 “Por la cual se vincula al INM a la Red Interinstitucional de Transparencia y Anticorrupción – RITA, se adopta el manual base y se hace una designación como Oficial de Transparencia”
</t>
    </r>
  </si>
  <si>
    <t>No disminuye</t>
  </si>
  <si>
    <t xml:space="preserve">Socializar al personal de los laboratorios de la SMF sobre los canales de denuncia seguros con los que cuenta el INM de Colombia. Lo anterior con el fin de se tenga el conocimiento sobre dichos canales y la gestión correspondiente. </t>
  </si>
  <si>
    <t xml:space="preserve">Registro de asistencia a la socialización 
Evaluación de conocimientos de la socialización. </t>
  </si>
  <si>
    <t>Asesor Jurídico de la Dirección 
Profesional de GTH</t>
  </si>
  <si>
    <t>SMF: No se presenta materialización del riesgo. El personal de los laboratorios conocen los canales de denuncia seguros que permitan realizar libremente denuncias sobre posibles hechos de corrupción al interior de la entidad.
Durante el primer trimestre no se recibieron denuncias a través de los canales disponibles.
SMQB: durante el primer trimestre no se materializó el riesgo, dado que no se presentaron denuncias a través de los medios establecidos por la entidad.</t>
  </si>
  <si>
    <t>https://metrologiainm.sharepoint.com/:f:/s/OAP/EoK2ucqbAOZGmPaVE8UFJBgBu2bHZHEWeGvxvVRWsuFVCw?e=bNaTir</t>
  </si>
  <si>
    <t>SMF: No se presenta materialización del riesgo en el periodo evaluado. Durante el trimestre no se recibieron denuncias en los canales habilitados.
SMQB: durante el segundo trimestre no se materializó el riesgo dado que no se presentaron denuncias en la entidad, de acuerdo con el el informe de PQRSDF del 1 de abril al 30 de junio</t>
  </si>
  <si>
    <t>https://metrologiainm.sharepoint.com/:f:/s/OAP/Et7Un2eUnNtNhNX_H3FnL9cB3CxwCzGKaBkZyLvBqzIqEQ?e=nferdR</t>
  </si>
  <si>
    <t xml:space="preserve">SMQB: No se presenta materialización del riesgo en el periodo evaluado. Durante el trimestre no se recibieron denuncias en los canales habilitados.
</t>
  </si>
  <si>
    <t>https://metrologiainm.sharepoint.com/:b:/s/OAP/EfN6dVzkr6BMhoFECvdegkwBTMJXqddZ4M3WeB4v-enQkQ?e=IEciZe</t>
  </si>
  <si>
    <t>M01-RC04</t>
  </si>
  <si>
    <t>Posibilidad de recibir o solicitar cualquier dádiva o beneficio a nombre propio o de terceros con el fin de usar información técnica para favorecer intereses particulares o de un tercero.</t>
  </si>
  <si>
    <t>Existe la posibilidad de que una persona, aprovechándose de su posición en el laboratorio, acepte o solicite beneficios personales, como dinero, regalos o favores, a cambio de compartir o utilizar información técnica del laboratorio, como especificaciones de equipos, procedimientos de calibración, resultados de medición, o datos sensibles, para beneficiar intereses particulares o de terceros en detrimento de la misión institucional y los recursos públicos.
Acción u omisión: Por acción compartir deliberadamente información técnica reservada o confidencial del laboratorio con personas externas o utilizarla para favorecer intereses privados.
Por omisión no reportar el uso indebido o acceso no autorizado a información técnica por parte de terceros o compañeros de trabajo.
Uso del Poder: Aprovechar la posición de acceso privilegiado a información técnica y sensible para obtener beneficios personales o para facilitar el acceso de terceros a dicha información.  Utilizar el conocimiento especializado del laboratorio para justificar el uso indebido de la información frente a controles débiles.
Desviar la gestión de lo público: Desviar el propósito de los recursos públicos destinados a generar y proteger información técnica para favorecer intereses personales o de terceros.  Utilizar información técnica reservada para influir en decisiones externas que beneficien o favorezcan intereses particulares a externos el acceder a esta información.
Beneficio privado:  Obtener beneficios económicos, ventajas competitivas, o cualquier tipo de favor a cambio de divulgar o usar indebidamente la información técnica.</t>
  </si>
  <si>
    <t xml:space="preserve">Registros de información sensible de los clientes.
Bases de datos y sistemas de gestión de resultados de los datos del equipamiento del cliente.
Contratos y acuerdos con clientes	 
</t>
  </si>
  <si>
    <t xml:space="preserve">Intereses particulares (dádivas, amiguismo, clientelismo)
Presiones de clientes externos o de competidores.
Condiciones de mercado competitivas.
Ambiente regulatorio débil o falta de supervisión de personal .
</t>
  </si>
  <si>
    <t xml:space="preserve">Presiones indebidas de los colaboradores del INM de Colombia. 
Cultura organizacional permisiva
Deficiencias en los sistemas de control interno
Falta de capacitación en ética profesional
Falta de canales seguros para denunciar irregularidades 
</t>
  </si>
  <si>
    <t xml:space="preserve">Acceso no autorizado a información confidencial
Modificación de información técnica y resultados
Divulgación no autorizada de información confidencial 
</t>
  </si>
  <si>
    <t xml:space="preserve">
Divulgación no autorizada de información técnica
Uso indebido de información técnica para beneficio personal
Acceso no autorizado a información técnica
Falta de integridad y ética por parte del equipo de trabajo. 
Incumplimiento al código de ética por parte del colaborador . 
Violación de la confidencialidad</t>
  </si>
  <si>
    <r>
      <rPr>
        <b/>
        <sz val="8"/>
        <color rgb="FF000000"/>
        <rFont val="Calibri"/>
        <scheme val="minor"/>
      </rPr>
      <t>Control</t>
    </r>
    <r>
      <rPr>
        <sz val="8"/>
        <color rgb="FF000000"/>
        <rFont val="Calibri"/>
        <scheme val="minor"/>
      </rPr>
      <t xml:space="preserve">: Configuración de recursos compartidos 
</t>
    </r>
    <r>
      <rPr>
        <b/>
        <sz val="8"/>
        <color rgb="FF000000"/>
        <rFont val="Calibri"/>
        <scheme val="minor"/>
      </rPr>
      <t>Propósito:</t>
    </r>
    <r>
      <rPr>
        <sz val="8"/>
        <color rgb="FF000000"/>
        <rFont val="Calibri"/>
        <scheme val="minor"/>
      </rPr>
      <t xml:space="preserve"> Garantizar que solo los usuarios autorizados, con los permisos correspondientes, accedan a los recursos compartidos y sistemas de información sensibles de los laboratorios, limitando el acceso a información técnica y datos confidenciales según el rol o función del usuario (autorizados).
</t>
    </r>
    <r>
      <rPr>
        <b/>
        <sz val="8"/>
        <color rgb="FF000000"/>
        <rFont val="Calibri"/>
        <scheme val="minor"/>
      </rPr>
      <t xml:space="preserve">Responsable: </t>
    </r>
    <r>
      <rPr>
        <sz val="8"/>
        <color rgb="FF000000"/>
        <rFont val="Calibri"/>
        <scheme val="minor"/>
      </rPr>
      <t xml:space="preserve">Jefe o Subdirector del área
</t>
    </r>
    <r>
      <rPr>
        <b/>
        <sz val="8"/>
        <color rgb="FF000000"/>
        <rFont val="Calibri"/>
        <scheme val="minor"/>
      </rPr>
      <t>¿Cómo se realiza el control?:</t>
    </r>
    <r>
      <rPr>
        <sz val="8"/>
        <color rgb="FF000000"/>
        <rFont val="Calibri"/>
        <scheme val="minor"/>
      </rPr>
      <t xml:space="preserve"> El Jefe o Subdirector del área envía la solicitud de recursos compartidos que requieran las dependencias deberá hacerse a través del sistema GLPI para acceder a la información que se encuentra en carpetas de algunos de los servidores del INM y que puede ser compartida para lectura, escritura, o ambas, a fin de poder realizar un trabajo colaborativo entre los responsables de desarrollar las actividades en los laboratorios.
</t>
    </r>
    <r>
      <rPr>
        <b/>
        <sz val="8"/>
        <color rgb="FF000000"/>
        <rFont val="Calibri"/>
        <scheme val="minor"/>
      </rPr>
      <t xml:space="preserve">Periodicidad: </t>
    </r>
    <r>
      <rPr>
        <sz val="8"/>
        <color rgb="FF000000"/>
        <rFont val="Calibri"/>
        <scheme val="minor"/>
      </rPr>
      <t xml:space="preserve">Cada vez que se genere la necesidad de contar con la información por parte de los procesos. 
</t>
    </r>
    <r>
      <rPr>
        <b/>
        <sz val="8"/>
        <color rgb="FF000000"/>
        <rFont val="Calibri"/>
        <scheme val="minor"/>
      </rPr>
      <t>Evidencia</t>
    </r>
    <r>
      <rPr>
        <sz val="8"/>
        <color rgb="FF000000"/>
        <rFont val="Calibri"/>
        <scheme val="minor"/>
      </rPr>
      <t xml:space="preserve">: Sistema de Información GLPI
</t>
    </r>
    <r>
      <rPr>
        <b/>
        <sz val="8"/>
        <color rgb="FF000000"/>
        <rFont val="Calibri"/>
        <scheme val="minor"/>
      </rPr>
      <t>Desviaciones/observaciones:</t>
    </r>
    <r>
      <rPr>
        <sz val="8"/>
        <color rgb="FF000000"/>
        <rFont val="Calibri"/>
        <scheme val="minor"/>
      </rPr>
      <t xml:space="preserve"> Pendiente 
</t>
    </r>
    <r>
      <rPr>
        <b/>
        <sz val="8"/>
        <color rgb="FF000000"/>
        <rFont val="Calibri"/>
        <scheme val="minor"/>
      </rPr>
      <t xml:space="preserve">Documento:  </t>
    </r>
    <r>
      <rPr>
        <sz val="8"/>
        <color rgb="FF000000"/>
        <rFont val="Calibri"/>
        <scheme val="minor"/>
      </rPr>
      <t>E-05-I-010 CONFIGURACIÓN DE RECURSOS COMPARTIDOS</t>
    </r>
  </si>
  <si>
    <t>Revisar los procedimientos de contratos, asegurando que se suscriba la firma de la minuta donde se compromete con el clausulado de los compromisos del mismo</t>
  </si>
  <si>
    <t>Documentos revisados y actualizados</t>
  </si>
  <si>
    <t xml:space="preserve">Profesional de Gestión jurídica contractual </t>
  </si>
  <si>
    <t>SMF: No se presenta materialización del riesgo. A finales de 2024 se realizó la migracion del servidor de la SMF y se parámetrizaron los permisos de lectura y escritura de las diferentes carpetas de acuerdo con la informacion dada por el personal de los laboratorios. A la fecha cualquier solicitud de conexión de recursos compartidos lleva una aprobacion por parte del subdirector.
SMQB:Durante el primer trimestre del 2025 no se materializó el riesgo y se evidencia la ejecución del control a través de las diferentes solicitudes de acceso a las carpetas compartidas por medio de GLPI.
Se realizará una reunión con los procesos involucrados con el fin de evaluar la modificación del riesgo de acuerdo con lo documentado, si es el caso. Adicionalmente se evaluará la generación de un nuevo control relacionado con lso acuerdos de confidencialidad para evitar el uso indebido de la información, dado que se identifica la necesidad tras seguimiento de primera línea y con el apoyo de la sgeunda línea de defensa.
DJVA 2025-05-06: Se realizó la reunión el 6 de mayo, donde se concluye que no es necesario realizar ajuste al control dado que se esta realizando adecuadamente por parte de la OIDT pidiendo autorización del subdirector para dar acceso a lso recursos compartidos. Desde la OIDT se revisará la posibilidad de generar un reporte más específico directamente desde GLPI al cual puedan acceder los apoyo de calidad para su consulta.</t>
  </si>
  <si>
    <r>
      <rPr>
        <u/>
        <sz val="11"/>
        <color rgb="FF0000FF"/>
        <rFont val="Arial"/>
        <family val="2"/>
      </rPr>
      <t xml:space="preserve">
https://metrologiainm.sharepoint.com/sites/OAP/Documentos%20compartidos/Forms/AllItems.aspx
</t>
    </r>
    <r>
      <rPr>
        <sz val="11"/>
        <color rgb="FF808080"/>
        <rFont val="Arial"/>
        <family val="2"/>
      </rPr>
      <t>El lunes con Michelle de los casos de GLPI</t>
    </r>
  </si>
  <si>
    <t>SMF y SMQB: No se presenta materialización del riesgo. Cualquier solicitud de acceso a recurso compartido se tramita por GLPI y es aprobada por los subdirectores.</t>
  </si>
  <si>
    <t>https://metrologiainm.sharepoint.com/sites/OAP/Documentos%20compartidos/Forms/AllItems.aspx?id=%2Fsites%2FOAP%2FDocumentos%20compartidos%2FSIG%2FGesti%C3%B3n%20del%20riesgo%2F2025%2F4%2E%20Seguimientos%20trimestrales%2FEvidencias%20de%20ejecuci%C3%B3n%20de%20controles%2FEvidencias%20riesgos%20de%20corrupci%C3%B3n%2FServicios%20de%20Calibraci%C3%B3n%20y%20medici%C3%B3n%20metrol%C3%B3gica%2FM01%2DRC04%2FSegundo%20trimestre&amp;viewid=231582db%2D4441%2D4e1e%2D91ad%2D7c568c565fce&amp;p=true&amp;ct=1753135163812&amp;or=OWA%2DNT%2DMail&amp;cid=9e60ef36%2D6242%2D45b1%2D6ee3%2D2a5437302ec7&amp;ga=1</t>
  </si>
  <si>
    <t>SMQB: No se presenta materialización del riesgo. Cualquier solicitud de acceso a recurso compartido se tramita por GLPI y es aprobada por los subdirectores.</t>
  </si>
  <si>
    <t>https://metrologiainm.sharepoint.com/:f:/s/OAP/EthqF5Zt81ROjgWE4s30VlcBJdcY6FpzSUP-G69_fFOJ-w?e=sgQTf9</t>
  </si>
  <si>
    <t>M03-RC01</t>
  </si>
  <si>
    <t>Posibilidad de recibir o solicitar cualquier dádiva o beneficio a nombre propio o de terceros con el fin de priorizar las producciones de Materiales de Referencia</t>
  </si>
  <si>
    <t xml:space="preserve">Se puede presentar cada vez que se vaya a realizar producciones de Materiales de Referencia favoreciendo a terceros. 
Acción u omisión: Priorizar las producciones de los MR en la SMQB a favor de terceros
Uso del Poder: Valerse del cargo de poder para autorizar producciones que no satisfagan las necesidades del país. 
Desviar la gestión de lo público: se utilizarían recursos públicos para favorecer a terceros
Beneficio privado: Reducción de costos operativos porque se están utilizando recursos públicos dirigidos a privados. </t>
  </si>
  <si>
    <t xml:space="preserve"> Intereses particulares (dádivas, amiguismo, clientelismo)
Presiones indebidas</t>
  </si>
  <si>
    <t xml:space="preserve">Intereses particulares
Ética en la función pública
Falta de seguimiento a las producciones de materiales de referencia. </t>
  </si>
  <si>
    <t>Falta de ética profesional (recibir, solicitar contraprestaciones; amiguismo, clientelismo)
- Presión indebida</t>
  </si>
  <si>
    <t xml:space="preserve">Pérdida de imagen institucional 
Detrimento patrimonial </t>
  </si>
  <si>
    <r>
      <rPr>
        <b/>
        <sz val="8"/>
        <color rgb="FF000000"/>
        <rFont val="Calibri"/>
        <family val="2"/>
        <scheme val="minor"/>
      </rPr>
      <t xml:space="preserve">Control 1: </t>
    </r>
    <r>
      <rPr>
        <sz val="8"/>
        <color rgb="FF000000"/>
        <rFont val="Calibri"/>
        <family val="2"/>
        <scheme val="minor"/>
      </rPr>
      <t xml:space="preserve">Revisar la pertinencia de cada producción de MR para el país. 
</t>
    </r>
    <r>
      <rPr>
        <b/>
        <sz val="8"/>
        <color rgb="FF000000"/>
        <rFont val="Calibri"/>
        <family val="2"/>
        <scheme val="minor"/>
      </rPr>
      <t>Propósito:</t>
    </r>
    <r>
      <rPr>
        <sz val="8"/>
        <color rgb="FF000000"/>
        <rFont val="Calibri"/>
        <family val="2"/>
        <scheme val="minor"/>
      </rPr>
      <t xml:space="preserve"> Revisar la pertinencia de la producción de un MR para el país y que esté alineado a las metas del gobierno.   
</t>
    </r>
    <r>
      <rPr>
        <b/>
        <sz val="8"/>
        <color rgb="FF000000"/>
        <rFont val="Calibri"/>
        <family val="2"/>
        <scheme val="minor"/>
      </rPr>
      <t xml:space="preserve">¿Cómo se realiza el control?: </t>
    </r>
    <r>
      <rPr>
        <sz val="8"/>
        <color rgb="FF000000"/>
        <rFont val="Calibri"/>
        <family val="2"/>
        <scheme val="minor"/>
      </rPr>
      <t xml:space="preserve">En la reunión de la Mesa de Trabajo Técnico Científica se realiza la revisión y aprobación de las producciones. El subdirector junto con el equipo de trabajo evalúan la pertinencia y disponibilidad de recursos humanos y físicos mediante la asignación de un puntaje de 1 a 5 a cada uno de los componentes y se emite el concepto de viabilidad. 
</t>
    </r>
    <r>
      <rPr>
        <b/>
        <sz val="8"/>
        <color rgb="FF000000"/>
        <rFont val="Calibri"/>
        <family val="2"/>
        <scheme val="minor"/>
      </rPr>
      <t>Periodicidad:</t>
    </r>
    <r>
      <rPr>
        <sz val="8"/>
        <color rgb="FF000000"/>
        <rFont val="Calibri"/>
        <family val="2"/>
        <scheme val="minor"/>
      </rPr>
      <t xml:space="preserve"> Cada vez que se genere una propuesta de producción de MR producción de MR 
</t>
    </r>
    <r>
      <rPr>
        <b/>
        <sz val="8"/>
        <color rgb="FF000000"/>
        <rFont val="Calibri"/>
        <family val="2"/>
        <scheme val="minor"/>
      </rPr>
      <t xml:space="preserve">Responsable: </t>
    </r>
    <r>
      <rPr>
        <strike/>
        <sz val="8"/>
        <color rgb="FF000000"/>
        <rFont val="Calibri"/>
        <family val="2"/>
        <scheme val="minor"/>
      </rPr>
      <t>Los integrantes de la Mesa de Trabajo Técnico Científica</t>
    </r>
    <r>
      <rPr>
        <b/>
        <strike/>
        <sz val="8"/>
        <color rgb="FF000000"/>
        <rFont val="Calibri"/>
        <family val="2"/>
        <scheme val="minor"/>
      </rPr>
      <t xml:space="preserve"> </t>
    </r>
    <r>
      <rPr>
        <b/>
        <sz val="8"/>
        <color rgb="FF000000"/>
        <rFont val="Calibri"/>
        <family val="2"/>
        <scheme val="minor"/>
      </rPr>
      <t xml:space="preserve">Subdirectora
Evidencia: </t>
    </r>
    <r>
      <rPr>
        <strike/>
        <sz val="8"/>
        <color rgb="FF000000"/>
        <rFont val="Calibri"/>
        <family val="2"/>
        <scheme val="minor"/>
      </rPr>
      <t>Actas de reunión de la mesa y el</t>
    </r>
    <r>
      <rPr>
        <sz val="8"/>
        <color rgb="FF000000"/>
        <rFont val="Calibri"/>
        <family val="2"/>
        <scheme val="minor"/>
      </rPr>
      <t xml:space="preserve"> registro de formato M-03-F-009 de necesidad de producción.
</t>
    </r>
    <r>
      <rPr>
        <b/>
        <sz val="8"/>
        <color rgb="FF000000"/>
        <rFont val="Calibri"/>
        <family val="2"/>
        <scheme val="minor"/>
      </rPr>
      <t xml:space="preserve">Desviaciones/Observaciones: </t>
    </r>
    <r>
      <rPr>
        <sz val="8"/>
        <color rgb="FF000000"/>
        <rFont val="Calibri"/>
        <family val="2"/>
        <scheme val="minor"/>
      </rPr>
      <t xml:space="preserve"> Si la producción</t>
    </r>
    <r>
      <rPr>
        <strike/>
        <sz val="8"/>
        <color rgb="FF000000"/>
        <rFont val="Calibri"/>
        <family val="2"/>
        <scheme val="minor"/>
      </rPr>
      <t xml:space="preserve"> presentada en la MTTC</t>
    </r>
    <r>
      <rPr>
        <sz val="8"/>
        <color rgb="FF000000"/>
        <rFont val="Calibri"/>
        <family val="2"/>
        <scheme val="minor"/>
      </rPr>
      <t xml:space="preserve"> no es viable (por pertinencia), se da por terminada la actividad en esta instancia. 
</t>
    </r>
    <r>
      <rPr>
        <b/>
        <sz val="8"/>
        <color rgb="FF000000"/>
        <rFont val="Calibri"/>
        <family val="2"/>
        <scheme val="minor"/>
      </rPr>
      <t>Documentado:</t>
    </r>
    <r>
      <rPr>
        <sz val="8"/>
        <color rgb="FF000000"/>
        <rFont val="Calibri"/>
        <family val="2"/>
        <scheme val="minor"/>
      </rPr>
      <t xml:space="preserve"> M-03-P-001 Planeación, control y supervisión de la producción. </t>
    </r>
  </si>
  <si>
    <t xml:space="preserve">Revisar el procedimiento M-03-P-001 PLANEACIÓN, CONTROL Y SUPERVISIÓN DE LA PRODUCCIÓN DE MATERIALES DE REFERENCIA y la necesidad de actualizarlo. </t>
  </si>
  <si>
    <t>Evidencia de la revisión del procedimiento (puede ser correo electrónico, informe u otro método)</t>
  </si>
  <si>
    <t xml:space="preserve">Subdirector de la SMQB. </t>
  </si>
  <si>
    <t xml:space="preserve">Cumplimiento de las acciones planteadas en las supervisiones de producción y calidad </t>
  </si>
  <si>
    <t>Durante el primer trimestre la Subdirectora aprobó la producción del MR de micotoxinas en harina de arroz, lo cual se evidencia en el diligenciamiento del formato M-03-F-009 Necesidad de producción de un MR y el respectivo correo electrónico. Por lo anterior no se materializa el riesgo.</t>
  </si>
  <si>
    <t>M-03-F-009 Necesidad Micotoxinas harina en arroz
Correo respuesta necesidad de producción</t>
  </si>
  <si>
    <t>Durante el segundo semestre del 2025 no se materializa el riesgo de priorizar la producción de un MR para beneficio propio o de un tercero. Durante los meses de abril a junio se presento par aprobación por parte de la subdirectora la necesidad de la producción del MR de ADN genómico de Brucella abortus RB51 diluido en Buffer TE 1X (Tris-HCl 10 mM; EDTA 1mM) pH 8.0 con valor asignado en copias/µL.</t>
  </si>
  <si>
    <t>M-03-F-009 Necesidad de produccion V3 B. abortus APROBADA</t>
  </si>
  <si>
    <t>Durante el segundo semestre del 2025 no se materializa el riesgo de priorizar la producción de un MR para beneficio propio o de un tercero. Entre julio y septiembre se presentó para aprobación, por parte de la subdirectora, la necesidad de la producción de los ítem 25-INM-EC-02 y piloto del 25-INM-EA-04</t>
  </si>
  <si>
    <t>https://metrologiainm.sharepoint.com/:x:/s/OAP/EXUJC_5ol61DoC_SxugFrGwBpN8GErAfc9aHjb2e2M2foQ?e=qWrdNj
https://metrologiainm.sharepoint.com/:x:/s/OAP/EamgCD3oW2BFtsvKj5Bev_YBY39Z5x2gqzOb7ni2Qqn_pw?e=O60loC
https://metrologiainm.sharepoint.com/:b:/s/OAP/ES9Ta4sNS4hKnqF8bj9svnYBhYNdwbhZyV9HUz4dknVZAg?e=4gvaBa</t>
  </si>
  <si>
    <r>
      <rPr>
        <b/>
        <sz val="8"/>
        <color rgb="FF000000"/>
        <rFont val="Calibri"/>
        <scheme val="minor"/>
      </rPr>
      <t xml:space="preserve">Control 2: </t>
    </r>
    <r>
      <rPr>
        <sz val="8"/>
        <color rgb="FF000000"/>
        <rFont val="Calibri"/>
        <scheme val="minor"/>
      </rPr>
      <t xml:space="preserve">Supervisar la producción de materiales de referencia. 
</t>
    </r>
    <r>
      <rPr>
        <b/>
        <sz val="8"/>
        <color rgb="FF000000"/>
        <rFont val="Calibri"/>
        <scheme val="minor"/>
      </rPr>
      <t>Propósito:</t>
    </r>
    <r>
      <rPr>
        <sz val="8"/>
        <color rgb="FF000000"/>
        <rFont val="Calibri"/>
        <scheme val="minor"/>
      </rPr>
      <t xml:space="preserve"> Realizar la supervisión de la producción con el fin de verificar el cumplimiento de las actividades planeadas para cada producción. 
</t>
    </r>
    <r>
      <rPr>
        <b/>
        <sz val="8"/>
        <color rgb="FF000000"/>
        <rFont val="Calibri"/>
        <scheme val="minor"/>
      </rPr>
      <t xml:space="preserve">¿Cómo se realiza el control?: </t>
    </r>
    <r>
      <rPr>
        <sz val="8"/>
        <color rgb="FF000000"/>
        <rFont val="Calibri"/>
        <scheme val="minor"/>
      </rPr>
      <t xml:space="preserve">Verificar el cumplimiento de las actividades planeadas para cada producción de acuerdo con todos los requisitos y especificaciones establecidas. Se debe verificar que los registros asociados a la producción se encuentren protegidos para asegurar la integridad de la información. 
</t>
    </r>
    <r>
      <rPr>
        <b/>
        <sz val="8"/>
        <color rgb="FF000000"/>
        <rFont val="Calibri"/>
        <scheme val="minor"/>
      </rPr>
      <t>Periodicidad</t>
    </r>
    <r>
      <rPr>
        <sz val="8"/>
        <color rgb="FF000000"/>
        <rFont val="Calibri"/>
        <scheme val="minor"/>
      </rPr>
      <t xml:space="preserve">: Por cada producción de materiales de referencia.
</t>
    </r>
    <r>
      <rPr>
        <b/>
        <sz val="8"/>
        <color rgb="FF000000"/>
        <rFont val="Calibri"/>
        <scheme val="minor"/>
      </rPr>
      <t xml:space="preserve">Responsable: </t>
    </r>
    <r>
      <rPr>
        <sz val="8"/>
        <color rgb="FF000000"/>
        <rFont val="Calibri"/>
        <scheme val="minor"/>
      </rPr>
      <t xml:space="preserve">Supervisor asignado
</t>
    </r>
    <r>
      <rPr>
        <b/>
        <sz val="8"/>
        <color rgb="FF000000"/>
        <rFont val="Calibri"/>
        <scheme val="minor"/>
      </rPr>
      <t xml:space="preserve">Evidencia: </t>
    </r>
    <r>
      <rPr>
        <sz val="8"/>
        <color rgb="FF000000"/>
        <rFont val="Calibri"/>
        <scheme val="minor"/>
      </rPr>
      <t xml:space="preserve">El registro de formato M-03-F-011 Supervisión de la producción de MR
</t>
    </r>
    <r>
      <rPr>
        <b/>
        <sz val="8"/>
        <color rgb="FF000000"/>
        <rFont val="Calibri"/>
        <scheme val="minor"/>
      </rPr>
      <t xml:space="preserve">Desviaciones/Observaciones: </t>
    </r>
    <r>
      <rPr>
        <sz val="8"/>
        <color rgb="FF000000"/>
        <rFont val="Calibri"/>
        <scheme val="minor"/>
      </rPr>
      <t xml:space="preserve"> Es necesario que el supervisor de la producción, dé una calificación final a esta, la cual, se registra en la hoja "calificación producción".
</t>
    </r>
    <r>
      <rPr>
        <b/>
        <sz val="8"/>
        <color rgb="FF000000"/>
        <rFont val="Calibri"/>
        <scheme val="minor"/>
      </rPr>
      <t>Documentado:</t>
    </r>
    <r>
      <rPr>
        <sz val="8"/>
        <color rgb="FF000000"/>
        <rFont val="Calibri"/>
        <scheme val="minor"/>
      </rPr>
      <t xml:space="preserve"> M-03-P-001 PLANEACIÓN, CONTROL Y SUPERVISIÓN DE LA PRODUCCIÓN DE MATERIALES DE REFERENCIA</t>
    </r>
  </si>
  <si>
    <t>Durante el primer trimestre no fue necesario realizar supervisiones de la producción, estás se realizarán en el resto de la vigencia una vez se hayan realizado las producciones programadas de acuerdo con el programa da producción de MR o el plan de gestión de laboratorios. Por lo anterior no se materializa el riesgo.</t>
  </si>
  <si>
    <t>Durante los meses de abril a junio se realizaron las  siguientes supervisiones de producción: MR de conductividad electrolítica de 147 uS/cm, Conductividad electrolítica de 500 uS/cm y calibrante de Pb.</t>
  </si>
  <si>
    <t xml:space="preserve">M-03-F-011 Superv producción CE 500 IAGC
M-03-F-011 Supervisión ampliación Pb 2025
M-03-F-011 Supervisión de la producción  CE 147
</t>
  </si>
  <si>
    <t>https://metrologiainm.sharepoint.com/:x:/s/OAP/EWq_VaV7_exBhHNtzchUV2EBTTReT1Xk_ma6BSi03AeAhg?e=8uSW59
https://metrologiainm.sharepoint.com/:x:/s/OAP/EZ8PRJGeIalFtcWJa-IHui0BpVSQkUEsThhnU_IDfXGcRA?e=FV0cWC</t>
  </si>
  <si>
    <t>M03-RC02</t>
  </si>
  <si>
    <t>Posibilidad de recibir o solicitar cualquier dádiva o beneficio a nombre propio o de terceros para usar materiales, insumos o reactivos del laboratorio indebidamente para fines personales o externos.</t>
  </si>
  <si>
    <r>
      <t xml:space="preserve">Se puede presentar cuando un técnico del laboratorio utiliza reactivos adquiridos para un proyecto oficial en la preparación de análisis privados que ofrece a terceros, a cambio de una compensación económica. Al no registrar el consumo de estos reactivos, se generan pérdidas para el laboratorio y un beneficio indebido para el técnico.
</t>
    </r>
    <r>
      <rPr>
        <b/>
        <sz val="8"/>
        <rFont val="Calibri"/>
        <family val="2"/>
        <scheme val="minor"/>
      </rPr>
      <t>Acción u omisión</t>
    </r>
    <r>
      <rPr>
        <sz val="8"/>
        <rFont val="Calibri"/>
        <family val="2"/>
        <scheme val="minor"/>
      </rPr>
      <t xml:space="preserve">: Tomar deliberadamente materiales, insumos o reactivos del laboratorio para utilizarlos en actividades privadas, como proyectos personales o servicios a terceros.
Por omisión, no reportar el uso indebido de insumos o reactivos por parte del personal de los laboratorios o los coordinadores.
</t>
    </r>
    <r>
      <rPr>
        <b/>
        <sz val="8"/>
        <rFont val="Calibri"/>
        <family val="2"/>
        <scheme val="minor"/>
      </rPr>
      <t>Uso del Poder</t>
    </r>
    <r>
      <rPr>
        <sz val="8"/>
        <rFont val="Calibri"/>
        <family val="2"/>
        <scheme val="minor"/>
      </rPr>
      <t xml:space="preserve">: Abusar de la autoridad o posición jerárquica para acceder a recursos del laboratorio sin la debida autorización. Ejercer presión por parte del Subdirector y coordinador sobre el personal subordinado para que permita o facilite el uso indebido de materiales o insumos.
</t>
    </r>
    <r>
      <rPr>
        <b/>
        <sz val="8"/>
        <rFont val="Calibri"/>
        <family val="2"/>
        <scheme val="minor"/>
      </rPr>
      <t>Desviar la gestión de lo público</t>
    </r>
    <r>
      <rPr>
        <sz val="8"/>
        <rFont val="Calibri"/>
        <family val="2"/>
        <scheme val="minor"/>
      </rPr>
      <t xml:space="preserve">: Destinar recursos públicos (como reactivos o insumos para fines privados, desviando su uso de los objetivos institucionales del INM.  Priorizar actividades externas o personales utilizando los insumos adquiridos con fondos públicos.
</t>
    </r>
    <r>
      <rPr>
        <b/>
        <sz val="8"/>
        <rFont val="Calibri"/>
        <family val="2"/>
        <scheme val="minor"/>
      </rPr>
      <t xml:space="preserve">Beneficio privado: </t>
    </r>
    <r>
      <rPr>
        <sz val="8"/>
        <rFont val="Calibri"/>
        <family val="2"/>
        <scheme val="minor"/>
      </rPr>
      <t>Obtener beneficios económicos o no económicos mediante la utilización de los materiales del laboratorio para actividades privadas, como análisis, producción de materiales o prestación de servicios a terceros.  Evitar costos personales al utilizar reactivos o insumos del laboratorio en lugar de adquirirlos con recursos propios.</t>
    </r>
  </si>
  <si>
    <t>Intereses particulares (dádivas, amiguismo, clientelismo)
Presión de terceros
Normativa débil
Falta de supervisión del personal</t>
  </si>
  <si>
    <t>Falta de controles internos
Cultura organizacional
Falta de capacitación
Acceso no controlado</t>
  </si>
  <si>
    <t>Falta de formación sobre el manejo adecuado de recursos y las consecuencias legales y éticas de su uso indebido.
Desconocimiento o desinterés en los valores institucionales.
Falta de seguimiento regulares o revisiones detalladas del consumo de insumos.
Acceso sin controles a materiales e insumos sensibles o controlados.
No contar con lineamientos definidos para la gestión y uso de reactivos e insumos.
Dependencia de registros manuales que facilitan inconsistencias o fraudes.
Falta de claridad sobre los niveles de stock y consumo real.</t>
  </si>
  <si>
    <t>Pérdidas económicas
Deterioro de los insumos
Daño reputacional
Sanciones legales
Ineficiencia operativa</t>
  </si>
  <si>
    <r>
      <rPr>
        <b/>
        <sz val="8"/>
        <rFont val="Calibri"/>
        <family val="2"/>
        <scheme val="minor"/>
      </rPr>
      <t xml:space="preserve">Control 1: </t>
    </r>
    <r>
      <rPr>
        <sz val="8"/>
        <rFont val="Calibri"/>
        <family val="2"/>
        <scheme val="minor"/>
      </rPr>
      <t xml:space="preserve">Registro detallado de uso de insumos y reactivos
</t>
    </r>
    <r>
      <rPr>
        <b/>
        <sz val="8"/>
        <rFont val="Calibri"/>
        <family val="2"/>
        <scheme val="minor"/>
      </rPr>
      <t>Propósito</t>
    </r>
    <r>
      <rPr>
        <sz val="8"/>
        <rFont val="Calibri"/>
        <family val="2"/>
        <scheme val="minor"/>
      </rPr>
      <t xml:space="preserve">: Asegurar que todos los materiales se destinen exclusivamente a actividades institucionales.
</t>
    </r>
    <r>
      <rPr>
        <b/>
        <sz val="8"/>
        <rFont val="Calibri"/>
        <family val="2"/>
        <scheme val="minor"/>
      </rPr>
      <t>¿Cómo se realiza el control?:</t>
    </r>
    <r>
      <rPr>
        <sz val="8"/>
        <rFont val="Calibri"/>
        <family val="2"/>
        <scheme val="minor"/>
      </rPr>
      <t xml:space="preserve"> Implementación de un sistema manual o mediante un software destinado para tal fin, donde se registre el ingreso y egreso de insumos, materiales y reactivos, incluyendo responsables y propósito de uso.
</t>
    </r>
    <r>
      <rPr>
        <b/>
        <sz val="8"/>
        <rFont val="Calibri"/>
        <family val="2"/>
        <scheme val="minor"/>
      </rPr>
      <t>Responsable</t>
    </r>
    <r>
      <rPr>
        <sz val="8"/>
        <rFont val="Calibri"/>
        <family val="2"/>
        <scheme val="minor"/>
      </rPr>
      <t xml:space="preserve">: Profesional del laboratorio. 
</t>
    </r>
    <r>
      <rPr>
        <b/>
        <sz val="8"/>
        <rFont val="Calibri"/>
        <family val="2"/>
        <scheme val="minor"/>
      </rPr>
      <t>Periodicidad:</t>
    </r>
    <r>
      <rPr>
        <sz val="8"/>
        <rFont val="Calibri"/>
        <family val="2"/>
        <scheme val="minor"/>
      </rPr>
      <t xml:space="preserve"> Cada vez que haya un movimiento en el inventario.
</t>
    </r>
    <r>
      <rPr>
        <b/>
        <sz val="8"/>
        <rFont val="Calibri"/>
        <family val="2"/>
        <scheme val="minor"/>
      </rPr>
      <t>Evidencia</t>
    </r>
    <r>
      <rPr>
        <sz val="8"/>
        <rFont val="Calibri"/>
        <family val="2"/>
        <scheme val="minor"/>
      </rPr>
      <t xml:space="preserve">: M-03-F-035 Inventario reactivos, consumibles, material de vidrio, MR-MRC
</t>
    </r>
    <r>
      <rPr>
        <b/>
        <sz val="8"/>
        <rFont val="Calibri"/>
        <family val="2"/>
        <scheme val="minor"/>
      </rPr>
      <t>Desviaciones/observaciones</t>
    </r>
    <r>
      <rPr>
        <sz val="8"/>
        <rFont val="Calibri"/>
        <family val="2"/>
        <scheme val="minor"/>
      </rPr>
      <t xml:space="preserve">: De igual manera, si un elemento ya sea un reactivo, material de referencia o consumible, se descarta por alguna razón, se deberá ingresar la fecha cuando se dio de baja el material en el respectivo formato, o en su defecto informar vía correo electrónico al responsable del inventario, la disposición final del reactivo, MR, MRC, consumible o material de vidrio.
</t>
    </r>
    <r>
      <rPr>
        <b/>
        <sz val="8"/>
        <rFont val="Calibri"/>
        <family val="2"/>
        <scheme val="minor"/>
      </rPr>
      <t>Documento:</t>
    </r>
    <r>
      <rPr>
        <sz val="8"/>
        <rFont val="Calibri"/>
        <family val="2"/>
        <scheme val="minor"/>
      </rPr>
      <t xml:space="preserve"> M-03-I-008 Manejo de inventarios de reactivos, materiales y consumibles</t>
    </r>
  </si>
  <si>
    <t>Revisar la factibilidad de implementar un software para el manejo y gestión de los inventarios</t>
  </si>
  <si>
    <t xml:space="preserve">Informe técnico y de validación </t>
  </si>
  <si>
    <t>Julián Pulido</t>
  </si>
  <si>
    <t>La SMQB mantiene el control de inventarios de reactivos insumos y MR a través del uso del formato M-03-F-035 Inventario de reactivos, consumibles, material de vidrio y MR-MRC SMQB. Por lo anterior no se materializa el riesgo.</t>
  </si>
  <si>
    <t>M-03-F-035 Inventario reactivos consumibles material de vidrio MR-MRC</t>
  </si>
  <si>
    <t>La SMQB mantiene el control de inventarios de reactivos insumos y MR a través del uso del formato M-03-F-035 Inventario de reactivos, consumibles, material de vidrio y MR-MRC SMQB. Por lo anterior durante el segundo trimestre del año no se evidencia materialización del riesgo.</t>
  </si>
  <si>
    <t>La SMQB mantiene el control de inventarios de reactivos insumos y MR a través del uso del formato M-03-F-035 Inventario de reactivos, consumibles, material de vidrio y MR-MRC SMQB. Durante el tercer trimestre del año no se evidencia materialización del riesgo.</t>
  </si>
  <si>
    <t>https://metrologiainm.sharepoint.com/:x:/s/OAP/EUskCTSSz1FGoBWfEjoeocEBB88eI6bFNHU1SL99W1yH8g?e=2jSLnH</t>
  </si>
  <si>
    <r>
      <rPr>
        <b/>
        <sz val="8"/>
        <rFont val="Calibri"/>
        <family val="2"/>
        <scheme val="minor"/>
      </rPr>
      <t>Control 2:</t>
    </r>
    <r>
      <rPr>
        <sz val="8"/>
        <rFont val="Calibri"/>
        <family val="2"/>
        <scheme val="minor"/>
      </rPr>
      <t xml:space="preserve"> Restricción de acceso a insumos y reactivos
</t>
    </r>
    <r>
      <rPr>
        <b/>
        <sz val="8"/>
        <rFont val="Calibri"/>
        <family val="2"/>
        <scheme val="minor"/>
      </rPr>
      <t>Propósito</t>
    </r>
    <r>
      <rPr>
        <sz val="8"/>
        <rFont val="Calibri"/>
        <family val="2"/>
        <scheme val="minor"/>
      </rPr>
      <t xml:space="preserve">: Limitar el acceso a materiales únicamente a personal autorizado.
</t>
    </r>
    <r>
      <rPr>
        <b/>
        <sz val="8"/>
        <rFont val="Calibri"/>
        <family val="2"/>
        <scheme val="minor"/>
      </rPr>
      <t>¿Cómo se realiza el control?:</t>
    </r>
    <r>
      <rPr>
        <sz val="8"/>
        <rFont val="Calibri"/>
        <family val="2"/>
        <scheme val="minor"/>
      </rPr>
      <t xml:space="preserve"> Uso de llaves para el acceso al área donde se almacenan materiales, el personal encargado de la entrada, almacenamiento y control de los reactivos, materiales de referencia y consumibles, es designada por el Subdirector de Metrología Química y Biología.
</t>
    </r>
    <r>
      <rPr>
        <b/>
        <sz val="8"/>
        <rFont val="Calibri"/>
        <family val="2"/>
        <scheme val="minor"/>
      </rPr>
      <t>Responsable</t>
    </r>
    <r>
      <rPr>
        <sz val="8"/>
        <rFont val="Calibri"/>
        <family val="2"/>
        <scheme val="minor"/>
      </rPr>
      <t xml:space="preserve">: Profesional del laboratorio asignado.
</t>
    </r>
    <r>
      <rPr>
        <b/>
        <sz val="8"/>
        <rFont val="Calibri"/>
        <family val="2"/>
        <scheme val="minor"/>
      </rPr>
      <t>Periodicidad</t>
    </r>
    <r>
      <rPr>
        <sz val="8"/>
        <rFont val="Calibri"/>
        <family val="2"/>
        <scheme val="minor"/>
      </rPr>
      <t xml:space="preserve">: Permanente.
</t>
    </r>
    <r>
      <rPr>
        <b/>
        <sz val="8"/>
        <rFont val="Calibri"/>
        <family val="2"/>
        <scheme val="minor"/>
      </rPr>
      <t>Evidencia</t>
    </r>
    <r>
      <rPr>
        <sz val="8"/>
        <rFont val="Calibri"/>
        <family val="2"/>
        <scheme val="minor"/>
      </rPr>
      <t xml:space="preserve">: Registros de accesos al área.
</t>
    </r>
    <r>
      <rPr>
        <b/>
        <sz val="8"/>
        <rFont val="Calibri"/>
        <family val="2"/>
        <scheme val="minor"/>
      </rPr>
      <t>Desviaciones/observaciones:</t>
    </r>
    <r>
      <rPr>
        <sz val="8"/>
        <rFont val="Calibri"/>
        <family val="2"/>
        <scheme val="minor"/>
      </rPr>
      <t xml:space="preserve"> No documentado 
</t>
    </r>
    <r>
      <rPr>
        <b/>
        <sz val="8"/>
        <rFont val="Calibri"/>
        <family val="2"/>
        <scheme val="minor"/>
      </rPr>
      <t>Documento</t>
    </r>
    <r>
      <rPr>
        <sz val="8"/>
        <rFont val="Calibri"/>
        <family val="2"/>
        <scheme val="minor"/>
      </rPr>
      <t>: M-03-I-008 Manejo de inventarios de reactivos, materiales y consumibles</t>
    </r>
  </si>
  <si>
    <t>Documentar el control que se requiere para fortalecer el acceso al almacén de reactivos y consumibles y determinar las posibles desviaciones</t>
  </si>
  <si>
    <t>Actualización del instructivo</t>
  </si>
  <si>
    <t>Pendiente por definir</t>
  </si>
  <si>
    <t>Actualmente existen 2 funcionarios encargados del control de los inventarios y del cuarto de almacenamiento de reactivos y son solo estas dos personas quienes pueden ingresar al cuarto de almacenamiento, cada vez que alguien requiere un reactivo se debe enviar un correo electrónico con la solicitud, de acuerdo con lo descrito en el numeral 3.3 del instructivo M-03-I-008. Por lo anterior no se materializa el riesgo.</t>
  </si>
  <si>
    <t>No aplica evidencia porque ya no se realiza el  ingreso de todo el personal de la SMQB, solo dos personas tiene acceso a las llaves del cuarto de reactivos.</t>
  </si>
  <si>
    <t>A04-RC01</t>
  </si>
  <si>
    <t>Posibilidad de recibir o solicitar cualquier dádiva o beneficio a nombre propio o de terceros con el fin de vincular servidores públicos sin cumplimiento de requisitos para ejercer el cargo, según lo establecido en el manual de funciones y competencias laborales.</t>
  </si>
  <si>
    <t>Se puede presentar al momento de vincular servidores públicos sin cumplimiento de requisitos relacionados con estudio y experiencia de acuerdo con lo establecido en el Manual de Funciones para cada perfil y sin la respectiva realización de exámenes de ingreso para identificar si es apto laboralmente para el cargo a desempeñar. Esto con el fin de favorecer intereses particulares o políticos. 
Acción u omisión: Vincular servidores públicos sin cumplimiento de requisitos relacionados con estudio y experiencia
Uso del Poder: Por parte de directivas INM y/o líder de proceso
Desviar la gestión de lo público: sin la respectiva realización de exámenes de ingreso para identificar si es apto laboralmente para el cargo a desempeñar.
Beneficio privado: Para favorecer intereses particulares o políticos</t>
  </si>
  <si>
    <t xml:space="preserve">Presión del personal directivo.
Desviación de los procedimientos. </t>
  </si>
  <si>
    <t>Intereses particulares.
Manipulación de información para beneficio de un tercero.
Diseño actual de la estructura de cargos y cargas laborales que no obedece a las exigencias establecidas en el PEI, FURAG, MIPG</t>
  </si>
  <si>
    <t>Personal con inadecuadas competencias.
No cumplimiento eficiente de funciones.
Incumplimiento de normatividad.
Investigación fiscal, penal, administrativa o disciplinaria.</t>
  </si>
  <si>
    <r>
      <rPr>
        <b/>
        <sz val="8"/>
        <rFont val="Calibri"/>
        <family val="2"/>
        <scheme val="minor"/>
      </rPr>
      <t>Control 1</t>
    </r>
    <r>
      <rPr>
        <sz val="8"/>
        <rFont val="Calibri"/>
        <family val="2"/>
        <scheme val="minor"/>
      </rPr>
      <t xml:space="preserve">: Validar documentos con entidades externas.
</t>
    </r>
    <r>
      <rPr>
        <b/>
        <sz val="8"/>
        <rFont val="Calibri"/>
        <family val="2"/>
        <scheme val="minor"/>
      </rPr>
      <t>Responsable</t>
    </r>
    <r>
      <rPr>
        <sz val="8"/>
        <rFont val="Calibri"/>
        <family val="2"/>
        <scheme val="minor"/>
      </rPr>
      <t xml:space="preserve">: Profesional de Talento Humano
</t>
    </r>
    <r>
      <rPr>
        <b/>
        <sz val="8"/>
        <rFont val="Calibri"/>
        <family val="2"/>
        <scheme val="minor"/>
      </rPr>
      <t>¿Cómo se realiza el control?:</t>
    </r>
    <r>
      <rPr>
        <sz val="8"/>
        <rFont val="Calibri"/>
        <family val="2"/>
        <scheme val="minor"/>
      </rPr>
      <t xml:space="preserve"> Valida la lista de chequeo con cada uno de los soportes físicos y contacta a cada una de las entidades de educación y empresas donde prestó sus servicios con el fin de confirmar la información allí registrada y que quede como mínimo validado los soportes que dan cumplimiento a los requisitos mínimos establecidos en el Manual de Funciones y Competencias Laborales.
</t>
    </r>
    <r>
      <rPr>
        <b/>
        <sz val="8"/>
        <rFont val="Calibri"/>
        <family val="2"/>
        <scheme val="minor"/>
      </rPr>
      <t>Propósito</t>
    </r>
    <r>
      <rPr>
        <sz val="8"/>
        <rFont val="Calibri"/>
        <family val="2"/>
        <scheme val="minor"/>
      </rPr>
      <t xml:space="preserve">: Asegurar que el aspirante cumpla con el perfil del cargo.
</t>
    </r>
    <r>
      <rPr>
        <b/>
        <sz val="8"/>
        <rFont val="Calibri"/>
        <family val="2"/>
        <scheme val="minor"/>
      </rPr>
      <t>Periodicidad</t>
    </r>
    <r>
      <rPr>
        <sz val="8"/>
        <rFont val="Calibri"/>
        <family val="2"/>
        <scheme val="minor"/>
      </rPr>
      <t xml:space="preserve">: Cada vez que ingresa un colaborador a la planta de personal del INM. 
</t>
    </r>
    <r>
      <rPr>
        <b/>
        <sz val="8"/>
        <rFont val="Calibri"/>
        <family val="2"/>
        <scheme val="minor"/>
      </rPr>
      <t>Desviaciones/observaciones</t>
    </r>
    <r>
      <rPr>
        <sz val="8"/>
        <rFont val="Calibri"/>
        <family val="2"/>
        <scheme val="minor"/>
      </rPr>
      <t xml:space="preserve">:  Si los documentos no están completos o hay incoherencias en la información, comunica la situación al aspirante para que realice los ajustes del caso.
Si el candidato no completa o rectifica la información se finaliza el proceso y regresa a la actividad 5.
</t>
    </r>
    <r>
      <rPr>
        <b/>
        <sz val="8"/>
        <rFont val="Calibri"/>
        <family val="2"/>
        <scheme val="minor"/>
      </rPr>
      <t>Evidencia</t>
    </r>
    <r>
      <rPr>
        <sz val="8"/>
        <rFont val="Calibri"/>
        <family val="2"/>
        <scheme val="minor"/>
      </rPr>
      <t xml:space="preserve">: A-04-F-018 Lista de chequeo para documentos en trámite de vinculación, E-02-F-011 Modelo de Informe (Entrevistas Gerentes públicos), A-04-F-012 Estudio de Cumplimiento de Requisitos para otorgamiento de Nombramiento Provisional y/o de Libre Nombramiento y Remoción. (Incluir el nombre acorde con la actualización), 
</t>
    </r>
    <r>
      <rPr>
        <b/>
        <sz val="8"/>
        <rFont val="Calibri"/>
        <family val="2"/>
        <scheme val="minor"/>
      </rPr>
      <t>Documento</t>
    </r>
    <r>
      <rPr>
        <sz val="8"/>
        <rFont val="Calibri"/>
        <family val="2"/>
        <scheme val="minor"/>
      </rPr>
      <t>: Procedimiento  A-04-P-005 SELECCIÓN, VINCULACIÓN Y PERMANENCIA DE PERSONAL.</t>
    </r>
  </si>
  <si>
    <t>Revisar y actualizar el procedimiento A-04-P-005 SELECCIÓN, VINCULACIÓN Y PERMANENCIA DE PERSONAL, haciendo la inclusión de la actividad a ejecutar y respectiva evidencia desde el proceso de gestión de talento humano cuando una persona aspirante como provisional no cumple con los requisitos.</t>
  </si>
  <si>
    <t xml:space="preserve">Procedimiento actualizado y aprobado </t>
  </si>
  <si>
    <t>Profesional especializado Grado 18</t>
  </si>
  <si>
    <t>Gestión de nómina</t>
  </si>
  <si>
    <t>Omar Enrique Mejia Vargas</t>
  </si>
  <si>
    <t xml:space="preserve">Durante el primer trimestre 2025, se surtió la vinculacion de: 
-5 servidores de carrera administrativa
-3 servidores en provisionalidad
-4 en Encargos.
Para los servidores de carrera administrativa y provisionalidad se elaboró y aprobó los Estudios de cumplimiento de requisitos y la respectiva lista de chequeo.
Para los procesos de encargo se elaboró y aprobo los Estudios de requisitos para otorgamiento de encargo. </t>
  </si>
  <si>
    <t>Maria Paula Rodriguez</t>
  </si>
  <si>
    <t xml:space="preserve">Para el segundo trimestre 2025, se surtió la vinculación de: 
- 1 servidor en provisionalidad
- 11 servidores en Encargo
Para el servidor en provisionalidad se elaboró y aprobó los Estudios de cumplimiento de requisitos y la respectiva lista de chequeo.
Para los procesos de encargo se elaboró y aprobo los Estudios de requisitos para otorgamiento de encargo. </t>
  </si>
  <si>
    <t>https://metrologiainm.sharepoint.com/:f:/s/OAP/Egyhj7nk8RhDrlHGWnKwfCsBYhaTqPDt6c8fMFBjDwVaKg?e=n4GaQB</t>
  </si>
  <si>
    <t xml:space="preserve">Durante el TERCER trimestre 2025, se surtió la vinculacion de: 
- 04 servidores en provisionalidad
- 01 servidor de Libre Nombramiento y Remoción
- 08 Encargos
Para los servidores de Provisionalidad y  de libre nombramiento y remoción, se elaboró y aprobó los Estudios de cumplimiento de requisitos y la respectiva lista de chequeo.
Para los procesos de encargo se elaboró y aprobo los Estudios de requisitos para otorgamiento de encargo. </t>
  </si>
  <si>
    <t>https://metrologiainm.sharepoint.com/:f:/s/OAP/Eq-WXx02HLpLtug0zoazll4B9ZtpA2_GNfbzQD2-G6m6ZQ?e=6UJgoL</t>
  </si>
  <si>
    <r>
      <rPr>
        <b/>
        <sz val="8"/>
        <rFont val="Calibri"/>
        <family val="2"/>
        <scheme val="minor"/>
      </rPr>
      <t>Control 2:</t>
    </r>
    <r>
      <rPr>
        <sz val="8"/>
        <rFont val="Calibri"/>
        <family val="2"/>
        <scheme val="minor"/>
      </rPr>
      <t xml:space="preserve"> Diligenciar cumplimiento de requisitos.
</t>
    </r>
    <r>
      <rPr>
        <b/>
        <sz val="8"/>
        <rFont val="Calibri"/>
        <family val="2"/>
        <scheme val="minor"/>
      </rPr>
      <t>Responsable:</t>
    </r>
    <r>
      <rPr>
        <sz val="8"/>
        <rFont val="Calibri"/>
        <family val="2"/>
        <scheme val="minor"/>
      </rPr>
      <t xml:space="preserve"> Profesional de Talento Humano
</t>
    </r>
    <r>
      <rPr>
        <b/>
        <sz val="8"/>
        <rFont val="Calibri"/>
        <family val="2"/>
        <scheme val="minor"/>
      </rPr>
      <t>¿Cómo se realiza el control?:</t>
    </r>
    <r>
      <rPr>
        <sz val="8"/>
        <rFont val="Calibri"/>
        <family val="2"/>
        <scheme val="minor"/>
      </rPr>
      <t xml:space="preserve"> Diligencia el formato A-04-F-012 Estudio de cumplimiento de requisitos para otorgamiento de nombramiento provisional y/o de libre nombramiento y remoción el cual es firmado por el profesional que elabora y el Coordinador de Talento Humano que revisa y aprueba.
</t>
    </r>
    <r>
      <rPr>
        <b/>
        <sz val="8"/>
        <rFont val="Calibri"/>
        <family val="2"/>
        <scheme val="minor"/>
      </rPr>
      <t>Propósito:</t>
    </r>
    <r>
      <rPr>
        <sz val="8"/>
        <rFont val="Calibri"/>
        <family val="2"/>
        <scheme val="minor"/>
      </rPr>
      <t xml:space="preserve"> Evitar la vinculación de servidores públicos sin el cumplimiento de los requisitos establecidos.
</t>
    </r>
    <r>
      <rPr>
        <b/>
        <sz val="8"/>
        <rFont val="Calibri"/>
        <family val="2"/>
        <scheme val="minor"/>
      </rPr>
      <t>Periodicidad</t>
    </r>
    <r>
      <rPr>
        <sz val="8"/>
        <rFont val="Calibri"/>
        <family val="2"/>
        <scheme val="minor"/>
      </rPr>
      <t xml:space="preserve">: Cada vez que ingresa un colaborador a la planta de personal del INM bajo la modalidad de carrera. 
</t>
    </r>
    <r>
      <rPr>
        <b/>
        <sz val="8"/>
        <rFont val="Calibri"/>
        <family val="2"/>
        <scheme val="minor"/>
      </rPr>
      <t>Desviaciones</t>
    </r>
    <r>
      <rPr>
        <sz val="8"/>
        <rFont val="Calibri"/>
        <family val="2"/>
        <scheme val="minor"/>
      </rPr>
      <t xml:space="preserve">: En caso de detectar inconsistencias detiene la notificación del acto administrativo al interesado en vincularse bajo la modalidad de carrera, hasta verificar nuevamente el estudio de cumplimiento de requisitos. Adicionalmente, informa al coordinador de talento humano de la situación presentada. 
</t>
    </r>
    <r>
      <rPr>
        <b/>
        <sz val="8"/>
        <rFont val="Calibri"/>
        <family val="2"/>
        <scheme val="minor"/>
      </rPr>
      <t>Evidencia:</t>
    </r>
    <r>
      <rPr>
        <sz val="8"/>
        <rFont val="Calibri"/>
        <family val="2"/>
        <scheme val="minor"/>
      </rPr>
      <t xml:space="preserve"> Con relación a la evidencia de las desviaciones, está pendiente por documentar en el A-04-P-005 SELECCIÓN, VINCULACIÓN Y PERMANENCIA DE PERSONAL.
</t>
    </r>
    <r>
      <rPr>
        <b/>
        <sz val="8"/>
        <rFont val="Calibri"/>
        <family val="2"/>
        <scheme val="minor"/>
      </rPr>
      <t>Documento</t>
    </r>
    <r>
      <rPr>
        <sz val="8"/>
        <rFont val="Calibri"/>
        <family val="2"/>
        <scheme val="minor"/>
      </rPr>
      <t>: Procedimiento  A-04-P-005 SELECCIÓN, VINCULACIÓN Y PERMANENCIA DE PERSONAL.</t>
    </r>
  </si>
  <si>
    <t>Durante el TERCER trimestre 2025, se surtió la vinculacion de: 
- 04 servidores en provisionalidad
- 01 servidor de Libre Nombrameinto y Remoción
- 08 Encargos
Para los servidores de Provisionalidad y  de libre nombramiento y remoción, se elaboró y aprobó los Estudios de cumplimiento de requisitos y la respectiva lista de chequeo.
Para los procesos de encargo se elaboró y aprobo los Estudios de requisitos para otorgamiento de encargo. "</t>
  </si>
  <si>
    <t>C01-RC01</t>
  </si>
  <si>
    <t xml:space="preserve">Posibilidad de recibir o solicitar cualquier dádiva o beneficio a nombre propio o de terceros con el fin que no se realice auditoría a un proceso o un tema en especial. </t>
  </si>
  <si>
    <t>Se puede presentar cuando se beneficia a clientes, funcionarios, proponentes y contratistas por amiguismo o clientelismo por aceptar promesas o pagos, para no realizar auditorías a un proceso o un tema en especial, para favorecer intereses propios o particulares desviando la gestión de lo público en beneficio de lo privado.
Acción u omisión: " se puede presentar cuando se beneficia a clientes, funcionarios, proponentes y contratistas por amiguismo o clientelismo"
Uso del Poder: "aceptar promesas o pagos, para no realizar auditorías a un proceso o un tema en especial".
Desviar la gestión de lo público: "desviando la gestión de lo público en beneficio de lo privado.".
Beneficio privado: "Favorecer intereses particulares".</t>
  </si>
  <si>
    <t>Intereses particulares (dádivas, amiguismo, clientelismo)
Presiones indebidas por parte de políticos</t>
  </si>
  <si>
    <t xml:space="preserve">Falta de integridad y ética por parte del equipo de trabajo. 
Incumplimiento al código de ética por parte del auditor. </t>
  </si>
  <si>
    <r>
      <rPr>
        <b/>
        <sz val="8"/>
        <rFont val="Calibri"/>
        <family val="2"/>
        <scheme val="minor"/>
      </rPr>
      <t>Control</t>
    </r>
    <r>
      <rPr>
        <sz val="8"/>
        <rFont val="Calibri"/>
        <family val="2"/>
        <scheme val="minor"/>
      </rPr>
      <t xml:space="preserve">: Validar los cambios realizados por parte del jefe de la OCI. 
</t>
    </r>
    <r>
      <rPr>
        <b/>
        <sz val="8"/>
        <rFont val="Calibri"/>
        <family val="2"/>
        <scheme val="minor"/>
      </rPr>
      <t>Propósito:</t>
    </r>
    <r>
      <rPr>
        <sz val="8"/>
        <rFont val="Calibri"/>
        <family val="2"/>
        <scheme val="minor"/>
      </rPr>
      <t xml:space="preserve"> Validar que el contenido del informe final que se haya emitido por parte del profesional del control interno con relación a la revisión del jefe de control interno, no pierda el sentido y objetivo que indica el profesional. 
</t>
    </r>
    <r>
      <rPr>
        <b/>
        <sz val="8"/>
        <rFont val="Calibri"/>
        <family val="2"/>
        <scheme val="minor"/>
      </rPr>
      <t xml:space="preserve">¿Cómo se realiza el control?: </t>
    </r>
    <r>
      <rPr>
        <sz val="8"/>
        <rFont val="Calibri"/>
        <family val="2"/>
        <scheme val="minor"/>
      </rPr>
      <t xml:space="preserve">Cada vez que el jefe de control interno revise un informe que haya sido elaborado por un profesional de su equipo de trabajo y haga cambios sustanciales en su contenido, remitirá vía correo electrónico al profesional que lo elaboró para su validación y conformidad.
</t>
    </r>
    <r>
      <rPr>
        <b/>
        <sz val="8"/>
        <rFont val="Calibri"/>
        <family val="2"/>
        <scheme val="minor"/>
      </rPr>
      <t>Responsable</t>
    </r>
    <r>
      <rPr>
        <sz val="8"/>
        <rFont val="Calibri"/>
        <family val="2"/>
        <scheme val="minor"/>
      </rPr>
      <t xml:space="preserve">: Jefe de Oficina de control interno y profesional de la oficina.
</t>
    </r>
    <r>
      <rPr>
        <b/>
        <sz val="8"/>
        <rFont val="Calibri"/>
        <family val="2"/>
        <scheme val="minor"/>
      </rPr>
      <t>Periodicidad</t>
    </r>
    <r>
      <rPr>
        <sz val="8"/>
        <rFont val="Calibri"/>
        <family val="2"/>
        <scheme val="minor"/>
      </rPr>
      <t xml:space="preserve">: Cada vez que se realice un informe. 
</t>
    </r>
    <r>
      <rPr>
        <b/>
        <sz val="8"/>
        <rFont val="Calibri"/>
        <family val="2"/>
        <scheme val="minor"/>
      </rPr>
      <t>Evidencia</t>
    </r>
    <r>
      <rPr>
        <sz val="8"/>
        <rFont val="Calibri"/>
        <family val="2"/>
        <scheme val="minor"/>
      </rPr>
      <t xml:space="preserve">: Correo electrónico con el informe validado y conforme por parte del profesional de la oficina de control interno. 
</t>
    </r>
    <r>
      <rPr>
        <b/>
        <sz val="8"/>
        <rFont val="Calibri"/>
        <family val="2"/>
        <scheme val="minor"/>
      </rPr>
      <t>Desviaciones/Observaciones</t>
    </r>
    <r>
      <rPr>
        <sz val="8"/>
        <rFont val="Calibri"/>
        <family val="2"/>
        <scheme val="minor"/>
      </rPr>
      <t xml:space="preserve">: Los profesionales pueden revisar los informes que se encuentran publicados en la página web y si encuentran una diferencia sustancial, se informa al ente de control correspondiente. 
</t>
    </r>
    <r>
      <rPr>
        <b/>
        <sz val="8"/>
        <rFont val="Calibri"/>
        <family val="2"/>
        <scheme val="minor"/>
      </rPr>
      <t>Documentado</t>
    </r>
    <r>
      <rPr>
        <sz val="8"/>
        <rFont val="Calibri"/>
        <family val="2"/>
        <scheme val="minor"/>
      </rPr>
      <t>: C-01-P-002 AUDITORÍA CONTROL INTERNO y C-01-P-004 ELABORACIÓN  Y TRASMISIÒN DE INFORMES DE CONTROL INTERNO</t>
    </r>
  </si>
  <si>
    <t>Documentar los procedimientos aplicables para el control: 
C-01-P-002 AUDITORÍA CONTROL INTERNO y C-01-P-004 ELABORACIÓN  Y TRASMISIÒN DE INFORMES DE CONTROL INTERNO</t>
  </si>
  <si>
    <t>Jefe de control interno</t>
  </si>
  <si>
    <t>Cumplimiento al Plan Anual de Auditorias Internas</t>
  </si>
  <si>
    <t>Jefe OCI</t>
  </si>
  <si>
    <t>Todos los informes de auditoria y seguimientos fueron revisados por la jefe de la oficina de control interno y por auditores pares. No se evidenció materialización del riesgo.</t>
  </si>
  <si>
    <t xml:space="preserve">Todos los informes de auditoria y seguimiento definidos en el Plan de Anual de Auditoria, fueron revisados por la Jefe de la Oficina de Control Interno y por los auditores pares, sin que se evidenciaran hechos de ocultaminto de información.
En consecuencia, no se materializó el riesgo.
</t>
  </si>
  <si>
    <t>No hay seguimiento por parte de la primera línea de defensa</t>
  </si>
  <si>
    <t>Todos los informes de auditoria y seguimiento definidos en el Plan de Anual de Auditoria, fueron revisados por la Jefe de la Oficina de Control Interno y por los auditores pares, verificando el cumplimiento del PAA 2025. 
En consecuencia, no se materializó el riesgo.</t>
  </si>
  <si>
    <t>Se encuentra en la carpeta dispuesta para tal fin</t>
  </si>
  <si>
    <t>E03-RC01</t>
  </si>
  <si>
    <t>Posibilidad de recibir o solicitar cualquier dádiva o beneficio a nombre propio o de terceros con el fin de manipular la información que se comunica a las partes interesadas.</t>
  </si>
  <si>
    <t>Se puede presentar cuando por algún tipo de contraprestación, presiones internas o externas, amiguismo, clientelismo, conflicto de interés, se manipule la información dándole un inadecuado manejo que provoque desinformación a los grupos de valor favoreciendo los intereses propios o de terceros.
Acción u omisión: Manipular la información dándole un inadecuado manejo que provoque desinformación
Uso del Poder: Por parte de los involucrados en el proceso de comunicaciones
Desviar la gestión de lo público: Desinformación a los grupos de valor favoreciendo los intereses propios o de terceros
Beneficio privado: Favoreciendo intereses terceros</t>
  </si>
  <si>
    <t>Información del INM</t>
  </si>
  <si>
    <t>Intereses particulares (dádivas, amiguismo, clientelismo)
Presiones indebidas</t>
  </si>
  <si>
    <t>Intereses particulares
Proceso, documentación y controles
Tecnológicos
Ética en la función pública</t>
  </si>
  <si>
    <t>Acceso no autorizado a información confidencial
Divulgación no autorizada de información confidencial</t>
  </si>
  <si>
    <t>Recibir dádivas o tener intereses personales frente a los temas a comunicar</t>
  </si>
  <si>
    <t>Pérdida de imagen institucional
Apertura de procesos disciplinarios
Denuncias y/o demandas contra el INM.</t>
  </si>
  <si>
    <r>
      <rPr>
        <b/>
        <sz val="8"/>
        <rFont val="Calibri"/>
        <family val="2"/>
        <scheme val="minor"/>
      </rPr>
      <t>Control 1</t>
    </r>
    <r>
      <rPr>
        <sz val="8"/>
        <rFont val="Calibri"/>
        <family val="2"/>
        <scheme val="minor"/>
      </rPr>
      <t xml:space="preserve">: Aprobar solicitud
</t>
    </r>
    <r>
      <rPr>
        <b/>
        <sz val="8"/>
        <rFont val="Calibri"/>
        <family val="2"/>
        <scheme val="minor"/>
      </rPr>
      <t>Propósito:</t>
    </r>
    <r>
      <rPr>
        <sz val="8"/>
        <rFont val="Calibri"/>
        <family val="2"/>
        <scheme val="minor"/>
      </rPr>
      <t xml:space="preserve"> Prevenir errores de ortografía, redacción, contenido y pertinencia en las comunicaciones del INM.
</t>
    </r>
    <r>
      <rPr>
        <b/>
        <sz val="8"/>
        <rFont val="Calibri"/>
        <family val="2"/>
        <scheme val="minor"/>
      </rPr>
      <t xml:space="preserve">¿Cómo se realiza el control?: </t>
    </r>
    <r>
      <rPr>
        <sz val="8"/>
        <rFont val="Calibri"/>
        <family val="2"/>
        <scheme val="minor"/>
      </rPr>
      <t xml:space="preserve">Revisa la solicitud de comunicación, verificando ortografía, redacción, contenido y pertinencia.
</t>
    </r>
    <r>
      <rPr>
        <b/>
        <sz val="8"/>
        <rFont val="Calibri"/>
        <family val="2"/>
        <scheme val="minor"/>
      </rPr>
      <t>Responsable</t>
    </r>
    <r>
      <rPr>
        <sz val="8"/>
        <rFont val="Calibri"/>
        <family val="2"/>
        <scheme val="minor"/>
      </rPr>
      <t xml:space="preserve">: Jefe del área 
</t>
    </r>
    <r>
      <rPr>
        <b/>
        <sz val="8"/>
        <rFont val="Calibri"/>
        <family val="2"/>
        <scheme val="minor"/>
      </rPr>
      <t>Periodicidad</t>
    </r>
    <r>
      <rPr>
        <sz val="8"/>
        <rFont val="Calibri"/>
        <family val="2"/>
        <scheme val="minor"/>
      </rPr>
      <t xml:space="preserve">: Cada vez que se realice una solicitud de comunicaciones. 
</t>
    </r>
    <r>
      <rPr>
        <b/>
        <sz val="8"/>
        <rFont val="Calibri"/>
        <family val="2"/>
        <scheme val="minor"/>
      </rPr>
      <t>Evidencia</t>
    </r>
    <r>
      <rPr>
        <sz val="8"/>
        <rFont val="Calibri"/>
        <family val="2"/>
        <scheme val="minor"/>
      </rPr>
      <t xml:space="preserve">: Solicitud radicada en la herramienta informática designada por el INM
</t>
    </r>
    <r>
      <rPr>
        <b/>
        <sz val="8"/>
        <rFont val="Calibri"/>
        <family val="2"/>
        <scheme val="minor"/>
      </rPr>
      <t>Desviaciones/Observaciones</t>
    </r>
    <r>
      <rPr>
        <sz val="8"/>
        <rFont val="Calibri"/>
        <family val="2"/>
        <scheme val="minor"/>
      </rPr>
      <t xml:space="preserve">: Si el contenido es correcto y pertinente aprueba y radica en la herramienta informática designada por el INM para tal fin. 
En caso de que el contenido de la solicitud no sea correcto, adecuado o de no ser pertinente, se devuelve (rechaza), y finaliza el procedimiento.
</t>
    </r>
    <r>
      <rPr>
        <b/>
        <sz val="8"/>
        <rFont val="Calibri"/>
        <family val="2"/>
        <scheme val="minor"/>
      </rPr>
      <t>Documentado</t>
    </r>
    <r>
      <rPr>
        <sz val="8"/>
        <rFont val="Calibri"/>
        <family val="2"/>
        <scheme val="minor"/>
      </rPr>
      <t>: Procedimiento E-03-P-001 COMUNICACIÓN INTERNA Y EXTERNA</t>
    </r>
  </si>
  <si>
    <t xml:space="preserve">Actualizar la documentación necesaria en la gestión de comunicaciones y socializar dichos cambios. </t>
  </si>
  <si>
    <t>Profesional del proceso de comunicaciones</t>
  </si>
  <si>
    <t>Solicitudes de comunicación gestionadas oportunamente que permitan apoyar el logro de los objetivos estratégicos y misionales de todos los procesos del INM.</t>
  </si>
  <si>
    <t>http://192.168.11.216/Isolucion/Medicion/frmIndicadoresBase.aspx?CodIndicador=NDk4&amp;FechaIni=MjMvMDQvMjAyNA==&amp;FechaFin=MjMvMDQvMjAyNQ==</t>
  </si>
  <si>
    <t>Para los meses de abril, mayo y junio de 2025 no se materializó ningua situación asociada a este riesgo.</t>
  </si>
  <si>
    <t>Para los meses de julio, agosto y septiembre de 2025 no se materializó ningua situación asociada a este riesgo.</t>
  </si>
  <si>
    <r>
      <rPr>
        <b/>
        <sz val="8"/>
        <rFont val="Calibri"/>
        <family val="2"/>
        <scheme val="minor"/>
      </rPr>
      <t>Control 2</t>
    </r>
    <r>
      <rPr>
        <sz val="8"/>
        <rFont val="Calibri"/>
        <family val="2"/>
        <scheme val="minor"/>
      </rPr>
      <t xml:space="preserve">: Recibir y revisar solicitudes
</t>
    </r>
    <r>
      <rPr>
        <b/>
        <sz val="8"/>
        <rFont val="Calibri"/>
        <family val="2"/>
        <scheme val="minor"/>
      </rPr>
      <t>Propósito:</t>
    </r>
    <r>
      <rPr>
        <sz val="8"/>
        <rFont val="Calibri"/>
        <family val="2"/>
        <scheme val="minor"/>
      </rPr>
      <t xml:space="preserve"> Asegurar que la información suministrada por el solicitante cumpla con todos los parámetros que garanticen la divulgación.
</t>
    </r>
    <r>
      <rPr>
        <b/>
        <sz val="8"/>
        <rFont val="Calibri"/>
        <family val="2"/>
        <scheme val="minor"/>
      </rPr>
      <t xml:space="preserve">¿Cómo se realiza el control?: </t>
    </r>
    <r>
      <rPr>
        <sz val="8"/>
        <rFont val="Calibri"/>
        <family val="2"/>
        <scheme val="minor"/>
      </rPr>
      <t xml:space="preserve">Recibe y revisa que en la solicitud:
- Estén diligenciados todos los campos del formato (Electrónico o Físico)
- La información registrada sea clara
- Cuente con el consecutivo que genera la herramienta informática definida por el INM para tal fin.
</t>
    </r>
    <r>
      <rPr>
        <b/>
        <sz val="8"/>
        <rFont val="Calibri"/>
        <family val="2"/>
        <scheme val="minor"/>
      </rPr>
      <t>Responsable</t>
    </r>
    <r>
      <rPr>
        <sz val="8"/>
        <rFont val="Calibri"/>
        <family val="2"/>
        <scheme val="minor"/>
      </rPr>
      <t xml:space="preserve">: Profesional a cargo del equipo de Comunicaciones
</t>
    </r>
    <r>
      <rPr>
        <b/>
        <sz val="8"/>
        <rFont val="Calibri"/>
        <family val="2"/>
        <scheme val="minor"/>
      </rPr>
      <t>Periodicidad</t>
    </r>
    <r>
      <rPr>
        <sz val="8"/>
        <rFont val="Calibri"/>
        <family val="2"/>
        <scheme val="minor"/>
      </rPr>
      <t xml:space="preserve">: Cada vez que se realice una solicitud de comunicaciones. 
</t>
    </r>
    <r>
      <rPr>
        <b/>
        <sz val="8"/>
        <rFont val="Calibri"/>
        <family val="2"/>
        <scheme val="minor"/>
      </rPr>
      <t>Evidencia</t>
    </r>
    <r>
      <rPr>
        <sz val="8"/>
        <rFont val="Calibri"/>
        <family val="2"/>
        <scheme val="minor"/>
      </rPr>
      <t xml:space="preserve">: Solicitud radicada en la herramienta informática designada por el INM
</t>
    </r>
    <r>
      <rPr>
        <b/>
        <sz val="8"/>
        <rFont val="Calibri"/>
        <family val="2"/>
        <scheme val="minor"/>
      </rPr>
      <t>Desviaciones/Observaciones</t>
    </r>
    <r>
      <rPr>
        <sz val="8"/>
        <rFont val="Calibri"/>
        <family val="2"/>
        <scheme val="minor"/>
      </rPr>
      <t xml:space="preserve">: Si no es correcta devuelve (con el estado verificado) con las respectivas observaciones para su corrección o adición de anexos a través de correo electrónico.
En caso de ser correcta registra en la herramienta informática el “estado verificado”
</t>
    </r>
    <r>
      <rPr>
        <b/>
        <sz val="8"/>
        <rFont val="Calibri"/>
        <family val="2"/>
        <scheme val="minor"/>
      </rPr>
      <t>Documentado</t>
    </r>
    <r>
      <rPr>
        <sz val="8"/>
        <rFont val="Calibri"/>
        <family val="2"/>
        <scheme val="minor"/>
      </rPr>
      <t>: Procedimiento E-03-P-001 COMUNICACIÓN INTERNA Y EXTERNA</t>
    </r>
  </si>
  <si>
    <r>
      <rPr>
        <b/>
        <sz val="8"/>
        <rFont val="Calibri"/>
        <family val="2"/>
        <scheme val="minor"/>
      </rPr>
      <t>Control 3</t>
    </r>
    <r>
      <rPr>
        <sz val="8"/>
        <rFont val="Calibri"/>
        <family val="2"/>
        <scheme val="minor"/>
      </rPr>
      <t xml:space="preserve">: Usar los mecanismos de denuncia internos. Canal de denuncia segura.
</t>
    </r>
    <r>
      <rPr>
        <b/>
        <sz val="8"/>
        <rFont val="Calibri"/>
        <family val="2"/>
        <scheme val="minor"/>
      </rPr>
      <t xml:space="preserve">Propósito: </t>
    </r>
    <r>
      <rPr>
        <sz val="8"/>
        <rFont val="Calibri"/>
        <family val="2"/>
        <scheme val="minor"/>
      </rPr>
      <t xml:space="preserve">Poder realizar libremente denuncias sobre posibles hechos de corrupción al interior de la entidad.
</t>
    </r>
    <r>
      <rPr>
        <b/>
        <sz val="8"/>
        <rFont val="Calibri"/>
        <family val="2"/>
        <scheme val="minor"/>
      </rPr>
      <t>Responsable</t>
    </r>
    <r>
      <rPr>
        <sz val="8"/>
        <rFont val="Calibri"/>
        <family val="2"/>
        <scheme val="minor"/>
      </rPr>
      <t xml:space="preserve">: Profesional designado como Oficial de transparencia INM.
</t>
    </r>
    <r>
      <rPr>
        <b/>
        <sz val="8"/>
        <rFont val="Calibri"/>
        <family val="2"/>
        <scheme val="minor"/>
      </rPr>
      <t>¿Cómo se realiza el control?</t>
    </r>
    <r>
      <rPr>
        <sz val="8"/>
        <rFont val="Calibri"/>
        <family val="2"/>
        <scheme val="minor"/>
      </rPr>
      <t xml:space="preserve">: Usando los mecanismos de denuncia que se soportan en el canal de denuncia segura, el cual es administrado por la Oficina de Relación con el Ciudadano.
</t>
    </r>
    <r>
      <rPr>
        <b/>
        <sz val="8"/>
        <rFont val="Calibri"/>
        <family val="2"/>
        <scheme val="minor"/>
      </rPr>
      <t>Periodicidad</t>
    </r>
    <r>
      <rPr>
        <sz val="8"/>
        <rFont val="Calibri"/>
        <family val="2"/>
        <scheme val="minor"/>
      </rPr>
      <t xml:space="preserve">: Cada vez que se presente la denuncia
</t>
    </r>
    <r>
      <rPr>
        <b/>
        <sz val="8"/>
        <rFont val="Calibri"/>
        <family val="2"/>
        <scheme val="minor"/>
      </rPr>
      <t>Evidencia</t>
    </r>
    <r>
      <rPr>
        <sz val="8"/>
        <rFont val="Calibri"/>
        <family val="2"/>
        <scheme val="minor"/>
      </rPr>
      <t xml:space="preserve">: Registro de la denuncia en la herramienta informática definida por INM para tal fin.
</t>
    </r>
    <r>
      <rPr>
        <b/>
        <sz val="8"/>
        <rFont val="Calibri"/>
        <family val="2"/>
        <scheme val="minor"/>
      </rPr>
      <t>Desviaciones/Observaciones:</t>
    </r>
    <r>
      <rPr>
        <sz val="8"/>
        <rFont val="Calibri"/>
        <family val="2"/>
        <scheme val="minor"/>
      </rPr>
      <t xml:space="preserve"> en caso de fallo de alguno de los canales de recepción de denuncias se tiene a disposición canales adicionales de atención como el canal telefónico, el correo electrónico exclusivo, de tal forma que se garantice la atención continua. 
</t>
    </r>
    <r>
      <rPr>
        <b/>
        <sz val="8"/>
        <rFont val="Calibri"/>
        <family val="2"/>
        <scheme val="minor"/>
      </rPr>
      <t>Documentado</t>
    </r>
    <r>
      <rPr>
        <sz val="8"/>
        <rFont val="Calibri"/>
        <family val="2"/>
        <scheme val="minor"/>
      </rPr>
      <t>: RESOLUCIÓN NÚMERO 383 del 25 DE SEPTIEMBRE 2020 “Por la cual se vincula al INM a la Red Interinstitucional de Transparencia y Anticorrupción – RITA, se adopta el manual base y se hace una designación como Oficial de Transparencia”</t>
    </r>
  </si>
  <si>
    <t xml:space="preserve">Para el control 3: Se debe evaluar la necesidad y conveniencia de implementar dentro del control, la grabación de las llamadas que ingresan al Instituto, considerando el marco legal aplicable. </t>
  </si>
  <si>
    <t>Documento o correo que evidencia la necesidad o no de implementar las llamadas que ingresan al INM.</t>
  </si>
  <si>
    <t>Subdirectora de SSRMC</t>
  </si>
  <si>
    <t>https://metrologiainm.sharepoint.com/:b:/s/OAP/EQRnmd4pibpPtwZFEIL6EZMBnHsbY0T2Ylf3x_isoONpWQ?e=2YFVAw</t>
  </si>
  <si>
    <t>M05-RC01</t>
  </si>
  <si>
    <t>Posibilidad de recibir o solicitar cualquier dádiva o beneficio a nombre propio o de terceros con el fin de filtrar información clave durante el desarrollo del ensayo de aptitud a través del personal que tiene acceso a esta información</t>
  </si>
  <si>
    <t>Se puede presentar cuando durante la ejecución o el desarrollo de un ensayo de aptitud se beneficia a clientes por contraprestación, amiguismo o clientelismo por filtrar el valor de referencia antes de la ejecución de las mediciones por parte de los laboratorios participantes o divulgando los códigos asignados de los laboratorios participantes a un externo interesado, para favorecer intereses propios o particulares desviando la gestión de lo público en beneficio de lo privado.
Acción u omisión: Filtrar el valor de referencia antes de la ejecución de las mediciones por parte de los laboratorios participantes o divulgando los códigos asignados de los laboratorios participantes a un externo interesado
Uso del Poder: por contraprestación, amiguismo o clientelismo por parte de los involucrados en el servicio de EA
Desviar la gestión de lo Público: desviando la gestión de lo público en beneficio de lo privado.
Beneficio privado:  para favorecer intereses propios o particulares</t>
  </si>
  <si>
    <t>Intereses particulares
Proceso, documentación y controles
Ética en la función pública</t>
  </si>
  <si>
    <t xml:space="preserve">Falta de ética profesional (recibir, solicitar contraprestaciones; amiguismo, clientelismo)
</t>
  </si>
  <si>
    <t xml:space="preserve">pérdida de imagen institucional (confianza en el servicio de ensayos de aptitud)
daños contra el INM
Apertura de procesos disciplinarios
</t>
  </si>
  <si>
    <r>
      <rPr>
        <b/>
        <sz val="8"/>
        <color rgb="FF000000"/>
        <rFont val="Calibri"/>
        <family val="2"/>
        <scheme val="minor"/>
      </rPr>
      <t>Control 1</t>
    </r>
    <r>
      <rPr>
        <sz val="8"/>
        <color rgb="FF000000"/>
        <rFont val="Calibri"/>
        <family val="2"/>
        <scheme val="minor"/>
      </rPr>
      <t xml:space="preserve">: Restringir la información de los participantes a los expertos técnicos de los laboratorios y demás personal del INM que participe en el servicio de EA.
</t>
    </r>
    <r>
      <rPr>
        <b/>
        <sz val="8"/>
        <color rgb="FF000000"/>
        <rFont val="Calibri"/>
        <family val="2"/>
        <scheme val="minor"/>
      </rPr>
      <t>Propósito</t>
    </r>
    <r>
      <rPr>
        <sz val="8"/>
        <color rgb="FF000000"/>
        <rFont val="Calibri"/>
        <family val="2"/>
        <scheme val="minor"/>
      </rPr>
      <t xml:space="preserve">: Que esta información solo sea conocida por personal directamente involucrado en el proceso y que no se filtre a terceros.
</t>
    </r>
    <r>
      <rPr>
        <b/>
        <sz val="8"/>
        <color rgb="FF000000"/>
        <rFont val="Calibri"/>
        <family val="2"/>
        <scheme val="minor"/>
      </rPr>
      <t>¿Cómo se realiza el control?</t>
    </r>
    <r>
      <rPr>
        <sz val="8"/>
        <color rgb="FF000000"/>
        <rFont val="Calibri"/>
        <family val="2"/>
        <scheme val="minor"/>
      </rPr>
      <t xml:space="preserve"> Los registros en medio magnéticos son protegidos, acorde con las políticas de seguridad, copias de seguridad y accesos restringidos implementados por el INM.
</t>
    </r>
    <r>
      <rPr>
        <b/>
        <sz val="8"/>
        <color rgb="FF000000"/>
        <rFont val="Calibri"/>
        <family val="2"/>
        <scheme val="minor"/>
      </rPr>
      <t>Responsable</t>
    </r>
    <r>
      <rPr>
        <sz val="8"/>
        <color rgb="FF000000"/>
        <rFont val="Calibri"/>
        <family val="2"/>
        <scheme val="minor"/>
      </rPr>
      <t xml:space="preserve">: Coordinador del Grupo de Gestión de Ensayos de Aptitud
</t>
    </r>
    <r>
      <rPr>
        <b/>
        <sz val="8"/>
        <color rgb="FF000000"/>
        <rFont val="Calibri"/>
        <family val="2"/>
        <scheme val="minor"/>
      </rPr>
      <t>Periodicidad</t>
    </r>
    <r>
      <rPr>
        <sz val="8"/>
        <color rgb="FF000000"/>
        <rFont val="Calibri"/>
        <family val="2"/>
        <scheme val="minor"/>
      </rPr>
      <t xml:space="preserve">: Por cada ensayo de aptitud
</t>
    </r>
    <r>
      <rPr>
        <b/>
        <sz val="8"/>
        <color rgb="FF000000"/>
        <rFont val="Calibri"/>
        <family val="2"/>
        <scheme val="minor"/>
      </rPr>
      <t>Evidencia</t>
    </r>
    <r>
      <rPr>
        <sz val="8"/>
        <color rgb="FF000000"/>
        <rFont val="Calibri"/>
        <family val="2"/>
        <scheme val="minor"/>
      </rPr>
      <t xml:space="preserve">: Control de acceso a carpetas compartidas que contengan la información de los EA limitándolo a expertos técnicos de los laboratorios y demás personal del INM que participe en el servicio de EA.
</t>
    </r>
    <r>
      <rPr>
        <b/>
        <sz val="8"/>
        <color rgb="FF000000"/>
        <rFont val="Calibri"/>
        <family val="2"/>
        <scheme val="minor"/>
      </rPr>
      <t>Desviaciones/Observaciones</t>
    </r>
    <r>
      <rPr>
        <sz val="8"/>
        <color rgb="FF000000"/>
        <rFont val="Calibri"/>
        <family val="2"/>
        <scheme val="minor"/>
      </rPr>
      <t xml:space="preserve">: Si algún experto técnico requiere información adicional de los participantes, envía la solicitud de acceso al Coordinador del Grupo de Ensayos de Aptitud. 
</t>
    </r>
    <r>
      <rPr>
        <b/>
        <sz val="8"/>
        <color rgb="FF000000"/>
        <rFont val="Calibri"/>
        <family val="2"/>
        <scheme val="minor"/>
      </rPr>
      <t>Documentado</t>
    </r>
    <r>
      <rPr>
        <sz val="8"/>
        <color rgb="FF000000"/>
        <rFont val="Calibri"/>
        <family val="2"/>
        <scheme val="minor"/>
      </rPr>
      <t>: Numeral 7.10.2 Confidencialidad del M-05-M-001 Manual de ensayos de aptitud</t>
    </r>
  </si>
  <si>
    <t xml:space="preserve">Tomando como base el plan de gestión de cambio de la transición de la ISO/IEC 17043, cargar la evidencia en esta acción para abordar el riesgo, relacionada con la documentación relacionada con el manual de ensayos de aptitud teniendo en cuenta las actividades del control. </t>
  </si>
  <si>
    <t>Documentos actualizados en Isolución</t>
  </si>
  <si>
    <t>Personal del GIT de Ensayos de aptitud</t>
  </si>
  <si>
    <t>Oportunidad en la entrega de informes a los participantes de ensayos de aptitud</t>
  </si>
  <si>
    <t>Daniel Mendoza
Lida Velandia 
GIT EA</t>
  </si>
  <si>
    <t xml:space="preserve">
Durante el primer trimestre de la vigencia 2025, no se contó con información proveniente de los participantes, debido a que no hubo inscritos en ninguno de los ensayos de aptitud iniciados. Por lo tanto, no fue necesario restringir esta información a los expertos técnicos de los laboratorios ni a otros funcionarios.</t>
  </si>
  <si>
    <t>Durante el segundo trimestre de la vigencia 2025, no se envío información referente a los resultados de participantes a los expertos técnicos de los laboratorios de referencia y por otra parte los integrantes del cada ensayo de aptitud firmaron el compromiso de confidencialidad e imparcialidad.</t>
  </si>
  <si>
    <t>https://metrologiainm.sharepoint.com/:f:/s/OAP/EugeGqXa-EdIhShuyD2Gmq4BHMvdxhI0thigMcqpMYo80w?e=pOefJG</t>
  </si>
  <si>
    <t>Durante el tercer trimestre de la vigencia 2025, la información de los participantes no fue conocida por los expertos técnicos de los laboratorios de referencia y demás funcionarios porque se mantuvo el control con los registros magneticos protegidos en cada ensayo de aptitud de acuerdo con las politicas de seguridad y accesos restringidos implementados por el INM.</t>
  </si>
  <si>
    <t>https://metrologiainm.sharepoint.com/:f:/s/OAP/ErZFk_t5Xw9CgM8yPtltcM4B7uxlY17nDTPM__xYMN5wzw?e=yZHHH7</t>
  </si>
  <si>
    <t>Pérdida de imagen institucional (confianza en el servicio de ensayos de aptitud)
Daños contra el INM
Apertura de procesos disciplinarios</t>
  </si>
  <si>
    <r>
      <rPr>
        <b/>
        <sz val="8"/>
        <color rgb="FF000000"/>
        <rFont val="Calibri"/>
        <family val="2"/>
        <scheme val="minor"/>
      </rPr>
      <t>Control 2</t>
    </r>
    <r>
      <rPr>
        <sz val="8"/>
        <color rgb="FF000000"/>
        <rFont val="Calibri"/>
        <family val="2"/>
        <scheme val="minor"/>
      </rPr>
      <t xml:space="preserve">: El profesional del Grupo interno de trabajo de ensayos de aptitud o a quien designe custodia la información de los participantes ante la consulta de personal no autorizado.
</t>
    </r>
    <r>
      <rPr>
        <b/>
        <sz val="8"/>
        <color rgb="FF000000"/>
        <rFont val="Calibri"/>
        <family val="2"/>
        <scheme val="minor"/>
      </rPr>
      <t>Propósito</t>
    </r>
    <r>
      <rPr>
        <sz val="8"/>
        <color rgb="FF000000"/>
        <rFont val="Calibri"/>
        <family val="2"/>
        <scheme val="minor"/>
      </rPr>
      <t xml:space="preserve">: que esta información solo sea conocida por personal directamente involucrado en el proceso y que no se filtre a terceros.
</t>
    </r>
    <r>
      <rPr>
        <b/>
        <sz val="8"/>
        <color rgb="FF000000"/>
        <rFont val="Calibri"/>
        <family val="2"/>
        <scheme val="minor"/>
      </rPr>
      <t>¿Cómo se realiza el control?</t>
    </r>
    <r>
      <rPr>
        <sz val="8"/>
        <color rgb="FF000000"/>
        <rFont val="Calibri"/>
        <family val="2"/>
        <scheme val="minor"/>
      </rPr>
      <t xml:space="preserve">: Todos los correos y comunicaciones del cliente es solamente recibida por el equipo de ensayo de aptitud y se almacena en una carpeta compartida que solo tiene acceso el Grupo de EA. Se custodia la información de los participantes ante la consulta de personal no autorizado por medio de los lineamientos establecidos en el instructivo M-05-I-007 GESTIÓN DE REGISTROS DE ENSAYOS DE APTITUD Y COMPARACIONES INTERLABORATORIO.
</t>
    </r>
    <r>
      <rPr>
        <b/>
        <sz val="8"/>
        <color rgb="FF000000"/>
        <rFont val="Calibri"/>
        <family val="2"/>
        <scheme val="minor"/>
      </rPr>
      <t>Responsable</t>
    </r>
    <r>
      <rPr>
        <sz val="8"/>
        <color rgb="FF000000"/>
        <rFont val="Calibri"/>
        <family val="2"/>
        <scheme val="minor"/>
      </rPr>
      <t xml:space="preserve">: Coordinador del Grupo de Gestión de Ensayos de Aptitud
</t>
    </r>
    <r>
      <rPr>
        <b/>
        <sz val="8"/>
        <color rgb="FF000000"/>
        <rFont val="Calibri"/>
        <family val="2"/>
        <scheme val="minor"/>
      </rPr>
      <t>Periodicidad</t>
    </r>
    <r>
      <rPr>
        <sz val="8"/>
        <color rgb="FF000000"/>
        <rFont val="Calibri"/>
        <family val="2"/>
        <scheme val="minor"/>
      </rPr>
      <t xml:space="preserve">: Por cada ensayo de aptitud
</t>
    </r>
    <r>
      <rPr>
        <b/>
        <sz val="8"/>
        <color rgb="FF000000"/>
        <rFont val="Calibri"/>
        <family val="2"/>
        <scheme val="minor"/>
      </rPr>
      <t>Evidencia</t>
    </r>
    <r>
      <rPr>
        <sz val="8"/>
        <color rgb="FF000000"/>
        <rFont val="Calibri"/>
        <family val="2"/>
        <scheme val="minor"/>
      </rPr>
      <t xml:space="preserve">: Carpetas compartidas únicamente con el personal del proceso de EA. 
</t>
    </r>
    <r>
      <rPr>
        <b/>
        <sz val="8"/>
        <color rgb="FF000000"/>
        <rFont val="Calibri"/>
        <family val="2"/>
        <scheme val="minor"/>
      </rPr>
      <t>Desviaciones/Observaciones</t>
    </r>
    <r>
      <rPr>
        <sz val="8"/>
        <color rgb="FF000000"/>
        <rFont val="Calibri"/>
        <family val="2"/>
        <scheme val="minor"/>
      </rPr>
      <t xml:space="preserve">: Si algún experto requiere información adicional de los participantes, envía la solicitud de acceso al Coordinador del GITdel proceso de EA. 
</t>
    </r>
    <r>
      <rPr>
        <b/>
        <sz val="8"/>
        <color rgb="FF000000"/>
        <rFont val="Calibri"/>
        <family val="2"/>
        <scheme val="minor"/>
      </rPr>
      <t>Documentado</t>
    </r>
    <r>
      <rPr>
        <sz val="8"/>
        <color rgb="FF000000"/>
        <rFont val="Calibri"/>
        <family val="2"/>
        <scheme val="minor"/>
      </rPr>
      <t xml:space="preserve">: Instructivo M-05-I-007 GESTIÓN DE REGISTROS DE ENSAYOS DE APTITUD Y COMPARACIONES INTERLABORATORIO
</t>
    </r>
    <r>
      <rPr>
        <b/>
        <sz val="8"/>
        <color rgb="FF000000"/>
        <rFont val="Calibri"/>
        <family val="2"/>
        <scheme val="minor"/>
      </rPr>
      <t>Evidencia:</t>
    </r>
    <r>
      <rPr>
        <sz val="8"/>
        <color rgb="FF000000"/>
        <rFont val="Calibri"/>
        <family val="2"/>
        <scheme val="minor"/>
      </rPr>
      <t xml:space="preserve"> Control de acceso a carpetas compartidas que contengan la información de los EA limitándolo a expertos técnicos de los laboratorios y demás personal del INM que participe en el servicio de EA.
Registro de recursos compartidos de la carpeta (ci-ea) únicamente para el personal del proceso de EA.</t>
    </r>
  </si>
  <si>
    <t xml:space="preserve">
Durante el primer trimestre de la vigencia 2025, no se contó con información proveniente de los participantes, debido a que no hubo inscritos en ninguno de los ensayos de aptitud iniciados. Por lo tanto, no fue necesario custodiar la información de ningúnpraticipante ante la consulta de personal no autorizado.</t>
  </si>
  <si>
    <t>Durante el segundo trimestre de la vigencia 2025, no se envío información referente a los resultados de participantes a los expertos técnicos de los laboratorios de referencia y por otra parte los expertos técnicos, subdirectores y custodios de la informacipon (grupo de EA)  firmaron el compromiso de confidencialidad e imparcialidad.</t>
  </si>
  <si>
    <t>https://metrologiainm.sharepoint.com/:f:/s/OAP/EoP2Y2Aph0BFl2aek2HSnBYBUmZq3AOxo-b3K6dwDOMiYg?e=YvUAYd</t>
  </si>
  <si>
    <t>Durante el tercer trimestre de la vigencia 2025, la información de los participantes no fue conocida por los expertos técnicos de los laboratorios de referencia y demás funcionarios porque los correos y comunicaciones solo son de acceso para el grupo de ensayos de aptitud. Así mismo, la información de los participantes se custodia por personal autorizado de acuerdo con el instructivo M-05-I-007.</t>
  </si>
  <si>
    <t>https://metrologiainm.sharepoint.com/:w:/s/OAP/EVhdAfebYJJBrh-hTvaJUakBbNbmnU9WbYo_5e0Jib_Q5w?e=mKAEse</t>
  </si>
  <si>
    <t>M05-RC02</t>
  </si>
  <si>
    <t>Posibilidad de recibir o solicitar cualquier dádiva o beneficio a nombre propio o de terceros con el fin de alterar resultados del ensayo de aptitud, cambiando los análisis estadísticos</t>
  </si>
  <si>
    <t>Se puede presentar cuando el personal involucrado en la realización del tratamiento de los datos del ensayo de aptitud, altere los resultados del mismo, beneficiando o perjudicando a un laboratorio participante, que, por conflictos de interés, presiones comerciales, clientelismo, contraprestación, se usen para favorecer intereses propios o particulares desviando la gestión de lo público en beneficio de lo privado. 
Acción u omisión: modificar o manipular los resultados del mismo, beneficiando o perjudicando a un laboratorio participante
 Uso del Poder: personal involucrado en la realización del tratamiento de los datos del ensayo de aptitud
Desviar la gestión de lo Público: desviando la gestión de lo público en beneficio de lo privado
Beneficio privado: se usen para favorecer intereses propios o particulares</t>
  </si>
  <si>
    <t>Tecnológicos
Intereses particulares
Proceso, documentación y controles
Ética en la función pública</t>
  </si>
  <si>
    <t>pérdida de imagen institucional (confianza en el servicio de ensayos de aptitud)
demandas contra el INM
Apertura de procesos disciplinarios</t>
  </si>
  <si>
    <t xml:space="preserve">Control 1: Revisión de los datos en el formato de base de resultados. 
Propósito: Incrementar la seguridad sobre los resultados cuando se ha finalizado un ensayo de aptitud.  
¿Cómo se realiza el control?: Revisiones cruzadas, es decir, la persona que elabora no es la misma que revisa ni que aprueba. 
Dado lo anterior, el personal autorizado del GIT de Ensayos de aptitud, verifica que los datos registrados de los ensayos de aptitud finalizados, estén bien procesados, sean coherentes con los reportados y que éstos no hayan sido alterados. Se debe tener en cuenta que el acceso a esta información está restringida al personal de EA.
Estas revisiones se realizarán de acuerdo a los lineamientos de la ISO/IEC 17043 .
Responsable: Coordinador del Grupo interno de trabajo de Gestión de Ensayos de Aptitud  o quien designe.
Periodicidad: Por cada Ensayo de Aptitud. 
Evidencia: Registro de los formatos M-05-F-021 19-M-05-1.1 BD resultados y/o EA M-05-F-022 BASE DE DATOS EA-CI ENSAYOS QUÍMICOS y/o M-05-F-023 Determinación del valor asignado. 
Desviaciones: Si durante la revisión de los datos en los formatos de base de resultados y de Determinación del valor asignado, se identifican casos en los cuales los datos no son iguales a los reportados por el participante, se procede a registrar la observación y se suspende el proceso de análisis estadístico mientras se estudia la situación presentada con respectivas causas. 
Documentado: M-05-I-002 Diseño estadístico EA-CI </t>
  </si>
  <si>
    <t xml:space="preserve">Tomando como base el plan de gestión de cambio de la transición de la ISO/IEC 17043, cargar la evidencia en esta acción para abordar el riesgo, relacionada con la documentación relacionada con el diseño estadístico (formatos, instructivos si aplica) teniendo en cuenta las desviaciones de este control. </t>
  </si>
  <si>
    <t xml:space="preserve">Durante el primer trimestre de la vigencia 2025, no se contó con resultados proveniente de los participantes, debido a que se encuentra en la etapa de inscripciones en los ensayos de aptitud iniciados. Por lo tanto, no fue necesaria la  revisión de los datos en el formato de base de resultados. 
 </t>
  </si>
  <si>
    <t>Durante el segundo trimestre de la vigencia 2025, se recibieron resultados de un ensayo de aptitud, se enuentra en proceso de revisión de los datos cruzada por parte del personal autorizado del grupo de ensayo de aptitud en los formatos de base de resultados de acuerdo con lo establecido en el M-05-I-002 Diseño estadístico EA-CI.</t>
  </si>
  <si>
    <t>Durante el tercer trimestre de la vigencia 2025, se  realizó revisión cruzada de los resultados de los EA por personal autorizado del GIT EA de acuerdo con los lineamientos de la norma ISO/IEC 17043.</t>
  </si>
  <si>
    <t>https://metrologiainm.sharepoint.com/:w:/s/OAP/EbMDBLUMnzNGkqeVqg2u2JoBm-D7K3cXtNAJ7l9w4SLgYw?e=kWdknS</t>
  </si>
  <si>
    <r>
      <rPr>
        <b/>
        <sz val="8"/>
        <color rgb="FF000000"/>
        <rFont val="Calibri"/>
        <scheme val="minor"/>
      </rPr>
      <t>Control 2</t>
    </r>
    <r>
      <rPr>
        <sz val="8"/>
        <color rgb="FF000000"/>
        <rFont val="Calibri"/>
        <scheme val="minor"/>
      </rPr>
      <t xml:space="preserve">: Revisión y validación de los protocolos e informes. 
</t>
    </r>
    <r>
      <rPr>
        <b/>
        <sz val="8"/>
        <color rgb="FF000000"/>
        <rFont val="Calibri"/>
        <scheme val="minor"/>
      </rPr>
      <t xml:space="preserve">Propósito: </t>
    </r>
    <r>
      <rPr>
        <sz val="8"/>
        <color rgb="FF000000"/>
        <rFont val="Calibri"/>
        <scheme val="minor"/>
      </rPr>
      <t xml:space="preserve">Incrementar la seguridad sobre los resultados cuando se ha finalizado un ensayo de aptitud.  
</t>
    </r>
    <r>
      <rPr>
        <b/>
        <sz val="8"/>
        <color rgb="FF000000"/>
        <rFont val="Calibri"/>
        <scheme val="minor"/>
      </rPr>
      <t xml:space="preserve">¿Cómo se realiza el control?: </t>
    </r>
    <r>
      <rPr>
        <sz val="8"/>
        <color rgb="FF000000"/>
        <rFont val="Calibri"/>
        <scheme val="minor"/>
      </rPr>
      <t xml:space="preserve">Revisiones cruzadas, es decir, la persona que elabora no es la misma que revisa ni que aprueba. 
Dado lo anterior, el personal autorizado del GIT de Ensayos de aptitud, verifica que los datos registrados de los ensayos de aptitud finalizados, estén bien procesados, sean coherentes con los reportados y que éstos no hayan sido alterados. Se debe tener en cuenta que el acceso a esta información está restringida al personal de EA.
Estas revisiones se realizarán de acuerdo a los lineamientos de la ISO/IEC 17043 .
</t>
    </r>
    <r>
      <rPr>
        <b/>
        <sz val="8"/>
        <color rgb="FF000000"/>
        <rFont val="Calibri"/>
        <scheme val="minor"/>
      </rPr>
      <t>Responsable</t>
    </r>
    <r>
      <rPr>
        <sz val="8"/>
        <color rgb="FF000000"/>
        <rFont val="Calibri"/>
        <scheme val="minor"/>
      </rPr>
      <t xml:space="preserve">: Coordinador del Grupo interno de trabajo de Gestión de Ensayos de Aptitud  o quien designe
</t>
    </r>
    <r>
      <rPr>
        <b/>
        <sz val="8"/>
        <color rgb="FF000000"/>
        <rFont val="Calibri"/>
        <scheme val="minor"/>
      </rPr>
      <t>Periodicidad</t>
    </r>
    <r>
      <rPr>
        <sz val="8"/>
        <color rgb="FF000000"/>
        <rFont val="Calibri"/>
        <scheme val="minor"/>
      </rPr>
      <t xml:space="preserve">: Por cada Ensayo de Aptitud. 
</t>
    </r>
    <r>
      <rPr>
        <b/>
        <sz val="8"/>
        <color rgb="FF000000"/>
        <rFont val="Calibri"/>
        <scheme val="minor"/>
      </rPr>
      <t>Evidencia</t>
    </r>
    <r>
      <rPr>
        <sz val="8"/>
        <color rgb="FF000000"/>
        <rFont val="Calibri"/>
        <scheme val="minor"/>
      </rPr>
      <t xml:space="preserve">: Registro del formato M-05-F-015 LISTA DE VERIFICACIÓN PARA LA REVISIÓN DE PROTOCOLOS E INFORMES
</t>
    </r>
    <r>
      <rPr>
        <b/>
        <sz val="8"/>
        <color rgb="FF000000"/>
        <rFont val="Calibri"/>
        <scheme val="minor"/>
      </rPr>
      <t xml:space="preserve">Desviaciones: </t>
    </r>
    <r>
      <rPr>
        <sz val="8"/>
        <color rgb="FF000000"/>
        <rFont val="Calibri"/>
        <scheme val="minor"/>
      </rPr>
      <t xml:space="preserve">Si durante la revisión de los datos en los formatos de base de resultados y de Determinación del valor asignado, se identifican casos en los cuales los datos no son iguales a los reportados por el participante, se procede a registrar la observación y se suspende el proceso de análisis estadístico mientras se estudia la situación presentada con respectivas causas. 
</t>
    </r>
    <r>
      <rPr>
        <b/>
        <sz val="8"/>
        <color rgb="FF000000"/>
        <rFont val="Calibri"/>
        <scheme val="minor"/>
      </rPr>
      <t>Documentado</t>
    </r>
    <r>
      <rPr>
        <sz val="8"/>
        <color rgb="FF000000"/>
        <rFont val="Calibri"/>
        <scheme val="minor"/>
      </rPr>
      <t xml:space="preserve">: M-05-I-004 ELABORACIÓN Y APROBACIÓN DE INFORMES DE ENSAYOS DE APTITUD. </t>
    </r>
  </si>
  <si>
    <t xml:space="preserve">Durante el primer trimestre de la vigencia 2025, se realizó la revisión de la información de los protocolos preliminares publicados en la página web del INM en los ensayos de aptitud iniciados, por medio del formato M-05-F-015 LISTA DE VERIFICACIÓN PARA LA REVISIÓN DE PROTOCOLOS E INFORMES.
</t>
  </si>
  <si>
    <t xml:space="preserve">Durante el segundo trimestre de la vigencia 2025, se realizó la revisión de la información de los protocolos preliminares y finales publicados en la página web del INM en los ensayos de aptitud iniciados, por medio del formato M-05-F-015 LISTA DE VERIFICACIÓN PARA LA REVISIÓN DE PROTOCOLOS E INFORMES. Se recibieron resultados de un ensayo de aptitud, se enuentra en proceso de revisión de los datos cruzada por parte del personal autorizado del grupo de ensayo de aptitud en los formatos de base de resultados de acuerdo con lo establecido en el M-05-I-002 Diseño estadístico EA-CI.
</t>
  </si>
  <si>
    <t xml:space="preserve">Durante el tercer trimestre de la vigencia 2025, se realizó la revisión de la información de los protocolos e informes preliminares y finales emitidos en los ensayos de aptitud, por medio del formato M-05-F-015 LISTA DE VERIFICACIÓN PARA LA REVISIÓN DE PROTOCOLOS E INFORMES. </t>
  </si>
  <si>
    <t>https://metrologiainm.sharepoint.com/:f:/s/OAP/EkPvflZrurFNtEZjUL53qAABci1E90Qq_iacIJn-WLmOOA?e=jBMQFC</t>
  </si>
  <si>
    <t>M04-RC01</t>
  </si>
  <si>
    <t>Posibilidad de recibir o solicitar cualquier dádiva o beneficio a nombre propio o de terceros con el fin de filtrar información clave durante y posterior al desarrollo de la asistencia técnica a través del personal que tiene acceso a esta información</t>
  </si>
  <si>
    <t>Se puede presentar cuando durante o posterior la ejecución o el desarrollo de una asistencia técnica se beneficia a clientes por contraprestación, amiguismo o clientelismo por divulgar la información a terceros.
Acción u omisión: divulgar información propia de la persona jurídica a otros que pueda beneficiarse de la información. 
Uso del Poder: por contraprestación, amiguismo o clientelismo por parte de los involucrados en el servicio de AT. 
Desviar la gestión de lo Público: desviando la gestión de lo público en beneficio de lo privado.
Beneficio privado:  para favorecer intereses propios o particulares</t>
  </si>
  <si>
    <t xml:space="preserve">- falta de ética profesional (recibir, solicitar contraprestaciones; amiguismo, clientelismo)
</t>
  </si>
  <si>
    <t xml:space="preserve">pérdida de imagen institucional (confianza en el servicio de Asistencia Técnica)
Apertura de procesos disciplinarios
</t>
  </si>
  <si>
    <r>
      <rPr>
        <b/>
        <sz val="8"/>
        <rFont val="Calibri"/>
        <family val="2"/>
        <scheme val="major"/>
      </rPr>
      <t>Control 1</t>
    </r>
    <r>
      <rPr>
        <sz val="8"/>
        <rFont val="Calibri"/>
        <family val="2"/>
        <scheme val="major"/>
      </rPr>
      <t xml:space="preserve">: Convocatoria a reunión operativa de ejecución del servicio.
</t>
    </r>
    <r>
      <rPr>
        <b/>
        <sz val="8"/>
        <rFont val="Calibri"/>
        <family val="2"/>
        <scheme val="major"/>
      </rPr>
      <t>Propósito:</t>
    </r>
    <r>
      <rPr>
        <sz val="8"/>
        <rFont val="Calibri"/>
        <family val="2"/>
        <scheme val="major"/>
      </rPr>
      <t xml:space="preserve"> Determinar y aprobar la metodología, alcance de las actividades a desarrollar por cada profesional en el servicio y solicitar la firma del compromiso de confidencialidad. 
</t>
    </r>
    <r>
      <rPr>
        <b/>
        <sz val="8"/>
        <rFont val="Calibri"/>
        <family val="2"/>
        <scheme val="major"/>
      </rPr>
      <t>¿Cómo se realiza el control?:</t>
    </r>
    <r>
      <rPr>
        <sz val="8"/>
        <rFont val="Calibri"/>
        <family val="2"/>
        <scheme val="major"/>
      </rPr>
      <t xml:space="preserve"> Convoca a la reunión operativa de ejecución del servicio, aquí, de ser necesario se socializa las actividades asociadas a la asistencia técnica y a la modalidad del servicio que aplique. A esta son convocados los profesionales asignados a la ejecución del servicio y los coordinadores de grupo correspondientes.
</t>
    </r>
    <r>
      <rPr>
        <b/>
        <sz val="8"/>
        <rFont val="Calibri"/>
        <family val="2"/>
        <scheme val="major"/>
      </rPr>
      <t>Responsable:</t>
    </r>
    <r>
      <rPr>
        <sz val="8"/>
        <rFont val="Calibri"/>
        <family val="2"/>
        <scheme val="major"/>
      </rPr>
      <t xml:space="preserve"> Profesional especializado o a quien se le asigne.
</t>
    </r>
    <r>
      <rPr>
        <b/>
        <sz val="8"/>
        <rFont val="Calibri"/>
        <family val="2"/>
        <scheme val="major"/>
      </rPr>
      <t>Periodicidad:</t>
    </r>
    <r>
      <rPr>
        <sz val="8"/>
        <rFont val="Calibri"/>
        <family val="2"/>
        <scheme val="major"/>
      </rPr>
      <t xml:space="preserve"> Por cada servicio según modalidad.
</t>
    </r>
    <r>
      <rPr>
        <b/>
        <sz val="8"/>
        <rFont val="Calibri"/>
        <family val="2"/>
        <scheme val="major"/>
      </rPr>
      <t>Evidencia</t>
    </r>
    <r>
      <rPr>
        <sz val="8"/>
        <rFont val="Calibri"/>
        <family val="2"/>
        <scheme val="major"/>
      </rPr>
      <t xml:space="preserve">: Registro del formato M-04-F-014 Compromiso de confidencialidad, Acta de reunión diligenciada (E-02-F-005), evidencias adicionales de la reunión operativa (si existen). 
</t>
    </r>
    <r>
      <rPr>
        <b/>
        <sz val="8"/>
        <rFont val="Calibri"/>
        <family val="2"/>
        <scheme val="major"/>
      </rPr>
      <t>Desviaciones a las observaciones</t>
    </r>
    <r>
      <rPr>
        <sz val="8"/>
        <rFont val="Calibri"/>
        <family val="2"/>
        <scheme val="major"/>
      </rPr>
      <t xml:space="preserve">: En el caso de que se requiera de la participación de un funcionario o contratista adicional para la prestación del servicio, este debe firmar el compromiso de confidencialidad y acogerse a los procedimientos del proceso.
</t>
    </r>
    <r>
      <rPr>
        <b/>
        <sz val="8"/>
        <rFont val="Calibri"/>
        <family val="2"/>
        <scheme val="major"/>
      </rPr>
      <t xml:space="preserve">Documentado: </t>
    </r>
    <r>
      <rPr>
        <sz val="8"/>
        <rFont val="Calibri"/>
        <family val="2"/>
        <scheme val="major"/>
      </rPr>
      <t>M-04-P-001 PRESTACIÓN DEL SERVICIO DE ASISTENCIA TÉCNICA</t>
    </r>
  </si>
  <si>
    <t xml:space="preserve">Ajustar el control propuesto, agregando el propósito y desviaciones a las observaciones en el procedimiento M-04-P-001 PRESTACIÓN DEL SERVICIO DE ASISTENCIA TÉCNICA y demás documentación que sea requerida. </t>
  </si>
  <si>
    <t xml:space="preserve">Documento actualizado en Isolución. </t>
  </si>
  <si>
    <t>Profesional especializado grado 18 de asistencia técnica</t>
  </si>
  <si>
    <t>Horas de prestación del servicio ejecutadas según lo planeado que permita fortalecer la competitividad y productividad de los procesos productivos o de medición de los usuarios.</t>
  </si>
  <si>
    <t>No se presto servicio de asistencia técnica en el periodo ,  por lo tanto no fue necesario firmar acuerdos de confidencialidad.</t>
  </si>
  <si>
    <t>Luis Felipe</t>
  </si>
  <si>
    <t>Z:\530.60.3 Conceptos SAT (CA)</t>
  </si>
  <si>
    <t>E04-RC1</t>
  </si>
  <si>
    <t>Posibilidad de recibir o solicitar cualquier dádiva o beneficio a nombre propio o de terceros con el fin de realizar el ocultamiento o trámite no oportuno de una  denuncia/reclamo/queja que afecte directamente a un funcionario debido a sus actuaciones desviadas del interés público</t>
  </si>
  <si>
    <t>Se puede presentar cuando se reciba o solicite cualquier dádiva o beneficio a nombre propio o de terceros con el fin de realizar el ocultamiento o no trámite oportuno de una  denuncia/reclamo/queja que afecte directamente a un funcionario debido a sus actuaciones, desviadas del interés público.
Acción u omisión / Uso del poder: No registrar la PQRSD en el sistema OPHELIA a través de los medios disponibles
Beneficio privado: "Favorecer intereses propios o particulares".
Desviar la gestión de lo público: "desviando la gestión de lo público en beneficio de lo privado."</t>
  </si>
  <si>
    <t>Procesos, falta de procedimientos y puntos de control
 Herramientas informáticas
 Intereses particulares</t>
  </si>
  <si>
    <t>Recibir dádivas o tener intereses personales frente a las PQRSD al no registrar la PQRSD en el sistema OPHELIA a través de los medios disponibles</t>
  </si>
  <si>
    <r>
      <rPr>
        <b/>
        <sz val="8"/>
        <rFont val="Calibri"/>
        <family val="2"/>
        <scheme val="minor"/>
      </rPr>
      <t>Control 1</t>
    </r>
    <r>
      <rPr>
        <sz val="8"/>
        <rFont val="Calibri"/>
        <family val="2"/>
        <scheme val="minor"/>
      </rPr>
      <t xml:space="preserve">: Asignar PQRSDF. 
</t>
    </r>
    <r>
      <rPr>
        <b/>
        <sz val="8"/>
        <rFont val="Calibri"/>
        <family val="2"/>
        <scheme val="minor"/>
      </rPr>
      <t>Propósito</t>
    </r>
    <r>
      <rPr>
        <sz val="8"/>
        <rFont val="Calibri"/>
        <family val="2"/>
        <scheme val="minor"/>
      </rPr>
      <t xml:space="preserve">: Identificar quejas y denuncias para dar traslado según competencia.
</t>
    </r>
    <r>
      <rPr>
        <b/>
        <sz val="8"/>
        <rFont val="Calibri"/>
        <family val="2"/>
        <scheme val="minor"/>
      </rPr>
      <t>Responsable</t>
    </r>
    <r>
      <rPr>
        <sz val="8"/>
        <rFont val="Calibri"/>
        <family val="2"/>
        <scheme val="minor"/>
      </rPr>
      <t xml:space="preserve">: Colaborador de la SSMRC encargado de la Unidad de Correspondencia.
</t>
    </r>
    <r>
      <rPr>
        <b/>
        <sz val="8"/>
        <rFont val="Calibri"/>
        <family val="2"/>
        <scheme val="minor"/>
      </rPr>
      <t xml:space="preserve">¿Cómo se realiza el control?: </t>
    </r>
    <r>
      <rPr>
        <sz val="8"/>
        <rFont val="Calibri"/>
        <family val="2"/>
        <scheme val="minor"/>
      </rPr>
      <t xml:space="preserve">Direcciona la comunicación radicada al área o persona que le compete, el mismo día en que se recibe.
</t>
    </r>
    <r>
      <rPr>
        <b/>
        <sz val="8"/>
        <rFont val="Calibri"/>
        <family val="2"/>
        <scheme val="minor"/>
      </rPr>
      <t>Periodicidad</t>
    </r>
    <r>
      <rPr>
        <sz val="8"/>
        <rFont val="Calibri"/>
        <family val="2"/>
        <scheme val="minor"/>
      </rPr>
      <t xml:space="preserve">: Para cada PQRSDF. 
</t>
    </r>
    <r>
      <rPr>
        <b/>
        <sz val="8"/>
        <rFont val="Calibri"/>
        <family val="2"/>
        <scheme val="minor"/>
      </rPr>
      <t>Evidencia</t>
    </r>
    <r>
      <rPr>
        <sz val="8"/>
        <rFont val="Calibri"/>
        <family val="2"/>
        <scheme val="minor"/>
      </rPr>
      <t xml:space="preserve">: Registro en Ophelia SGDEA. Correo electrónico de la cuenta: contacto@inm.gov.co hacia el responsable.
</t>
    </r>
    <r>
      <rPr>
        <b/>
        <sz val="8"/>
        <rFont val="Calibri"/>
        <family val="2"/>
        <scheme val="minor"/>
      </rPr>
      <t>Desviaciones/Observaciones</t>
    </r>
    <r>
      <rPr>
        <sz val="8"/>
        <rFont val="Calibri"/>
        <family val="2"/>
        <scheme val="minor"/>
      </rPr>
      <t xml:space="preserve">: En el momento de la asignación de la PQRSDF en Ophelia SGDEA, de manera simultánea y automática, se direcciona al Colaborador asignado, un correo electrónico de la cuenta: contacto@inm.gov.co, informando el tipo de requerimiento y el tiempo máximo para su respuesta. Nota 1: Los reclamos son direccionados a Dirección General. Nota 2: Las quejas son direccionadas a Secretaría General.
</t>
    </r>
    <r>
      <rPr>
        <b/>
        <sz val="8"/>
        <rFont val="Calibri"/>
        <family val="2"/>
        <scheme val="minor"/>
      </rPr>
      <t>Documentado</t>
    </r>
    <r>
      <rPr>
        <sz val="8"/>
        <rFont val="Calibri"/>
        <family val="2"/>
        <scheme val="minor"/>
      </rPr>
      <t>: Procedimiento E-04-P-001 "PETICIONES, QUEJAS, RECLAMOS, SUGERENCIAS Y DENUNCIAS - PQRSD". Numeral 7. 1. Gestión de PQRSD, actividad 6.</t>
    </r>
  </si>
  <si>
    <t xml:space="preserve">Realizar sensibilización al personal del instituto en el procedimiento E-04-P-001 PETICIONES, QUEJAS, RECLAMOS, SUGERENCIAS Y DENUNCIAS - PQRSD. </t>
  </si>
  <si>
    <t>Evidencia de la sensibilización</t>
  </si>
  <si>
    <t xml:space="preserve">Profesional especializado de servicio al ciudadano. </t>
  </si>
  <si>
    <t xml:space="preserve">PQRSD gestionadas con oportunidad y efectividad que permitan el acceso oportuno, efectivo y de calidad a la oferta institucional de bienes y servicios. </t>
  </si>
  <si>
    <t xml:space="preserve">Se evidencia la radicación de 413 PQRSDF en los primeros tres meses del 2025 a través del sistema OPHELIA SGDEA. El resultado de la radicación se observa en el informe de PQRSDF Q1 2025: https://inm.gov.co/wp-content/uploads/2025/04/Informe-PQRSDF-Q1-2025.pdf  </t>
  </si>
  <si>
    <t xml:space="preserve">https://metrologiainm.sharepoint.com/:b:/s/OAP/EcHFsdCuCvNIppufSU5Dxu0BaqhxwbwB-5-7A1wC3MfecA?e=P0zPBA </t>
  </si>
  <si>
    <t>Se evidencia la radicación de 242 PQRSDF en el Q2 del 2025 a través del sistema OPHELIA SGDEA. El resultado de la radicación se observa en el informe de PQRSDF Q2 2025: https://inm.gov.co/wp-content/uploads/2025/07/Informe-PQRSDF-Q2-2025.pdf</t>
  </si>
  <si>
    <t>no aplica, la evidencia se encuentra relacionada en el seguimiento.</t>
  </si>
  <si>
    <t>Se evidencia la radicación de 325 PQRSDF en el Q3 2025 a través del sistema OPHELIA SGDEA. El resultado de la radicación se observa en el informe de PQRSDF Q3 2025: https://inm.gov.co/wp-content/uploads/2025/10/Informe-de-PQRSDF-Q3-INM.pdf</t>
  </si>
  <si>
    <r>
      <rPr>
        <b/>
        <sz val="8"/>
        <rFont val="Calibri"/>
        <family val="2"/>
        <scheme val="minor"/>
      </rPr>
      <t>Control 2</t>
    </r>
    <r>
      <rPr>
        <sz val="8"/>
        <rFont val="Calibri"/>
        <family val="2"/>
        <scheme val="minor"/>
      </rPr>
      <t xml:space="preserve">: Verificar competencia.
</t>
    </r>
    <r>
      <rPr>
        <b/>
        <sz val="8"/>
        <rFont val="Calibri"/>
        <family val="2"/>
        <scheme val="minor"/>
      </rPr>
      <t>Propósito</t>
    </r>
    <r>
      <rPr>
        <sz val="8"/>
        <rFont val="Calibri"/>
        <family val="2"/>
        <scheme val="minor"/>
      </rPr>
      <t xml:space="preserve">: Asignar o Direccionar al responsable de generar respuesta a PQRSDF con el fin de evitar demoras en el proceso de respuesta y asegurar la competencia para su tratamiento.
</t>
    </r>
    <r>
      <rPr>
        <b/>
        <sz val="8"/>
        <rFont val="Calibri"/>
        <family val="2"/>
        <scheme val="minor"/>
      </rPr>
      <t>Responsable</t>
    </r>
    <r>
      <rPr>
        <sz val="8"/>
        <rFont val="Calibri"/>
        <family val="2"/>
        <scheme val="minor"/>
      </rPr>
      <t xml:space="preserve">: Colaborador responsable del área.
</t>
    </r>
    <r>
      <rPr>
        <b/>
        <sz val="8"/>
        <rFont val="Calibri"/>
        <family val="2"/>
        <scheme val="minor"/>
      </rPr>
      <t xml:space="preserve">¿Cómo se realiza el control?:  </t>
    </r>
    <r>
      <rPr>
        <sz val="8"/>
        <rFont val="Calibri"/>
        <family val="2"/>
        <scheme val="minor"/>
      </rPr>
      <t xml:space="preserve">Determina si la PQRSDF es de competencia del área, en cuyo caso procede así:
- Recibe la información
- Determina y direcciona al responsable para que genere la respuesta.
Si el área o colaborador (responsable) de generar la respuesta considera que no es de su competencia, justifica y devuelve, la misma por medio de Ophelia SGDEA, al Colaborador encargado de la Unidad de Correspondencia, quien ejecuta lo establecido en la actividad 5.
</t>
    </r>
    <r>
      <rPr>
        <b/>
        <sz val="8"/>
        <rFont val="Calibri"/>
        <family val="2"/>
        <scheme val="minor"/>
      </rPr>
      <t>Periodicidad:</t>
    </r>
    <r>
      <rPr>
        <sz val="8"/>
        <rFont val="Calibri"/>
        <family val="2"/>
        <scheme val="minor"/>
      </rPr>
      <t xml:space="preserve"> Para cada PQRSDF. 
</t>
    </r>
    <r>
      <rPr>
        <b/>
        <sz val="8"/>
        <rFont val="Calibri"/>
        <family val="2"/>
        <scheme val="minor"/>
      </rPr>
      <t>Evidencia</t>
    </r>
    <r>
      <rPr>
        <sz val="8"/>
        <rFont val="Calibri"/>
        <family val="2"/>
        <scheme val="minor"/>
      </rPr>
      <t xml:space="preserve">: Registro en Ophelia SGDEA. Correo electrónico.
</t>
    </r>
    <r>
      <rPr>
        <b/>
        <sz val="8"/>
        <rFont val="Calibri"/>
        <family val="2"/>
        <scheme val="minor"/>
      </rPr>
      <t>Desviaciones/Observaciones</t>
    </r>
    <r>
      <rPr>
        <sz val="8"/>
        <rFont val="Calibri"/>
        <family val="2"/>
        <scheme val="minor"/>
      </rPr>
      <t xml:space="preserve">: 
Si un área recibió por equivocación la asignación de una PQRSDF y no la redireccionó máximo al día siguiente de su recibo, esta área deberá asumir todas las actividades de Gestión y Respuesta. Se exceptúa de esta situación las denuncias y las quejas, las cuales son competencia del Oficial del Transparencia y de Secretaría General, respectivamente.
</t>
    </r>
    <r>
      <rPr>
        <b/>
        <sz val="8"/>
        <rFont val="Calibri"/>
        <family val="2"/>
        <scheme val="minor"/>
      </rPr>
      <t>Documentado:</t>
    </r>
    <r>
      <rPr>
        <sz val="8"/>
        <rFont val="Calibri"/>
        <family val="2"/>
        <scheme val="minor"/>
      </rPr>
      <t xml:space="preserve"> Procedimiento E-04-P-001 "PETICIONES, QUEJAS, RECLAMOS, SUGERENCIAS Y DENUNCIAS - PQRSD". Numeral 7. 1. Gestión de PQRSD, actividad 7.</t>
    </r>
  </si>
  <si>
    <r>
      <rPr>
        <b/>
        <sz val="8"/>
        <rFont val="Calibri"/>
        <family val="2"/>
        <scheme val="minor"/>
      </rPr>
      <t>Control 3</t>
    </r>
    <r>
      <rPr>
        <sz val="8"/>
        <rFont val="Calibri"/>
        <family val="2"/>
        <scheme val="minor"/>
      </rPr>
      <t xml:space="preserve">: Revisar, aprobar y enviar respuesta.
</t>
    </r>
    <r>
      <rPr>
        <b/>
        <sz val="8"/>
        <rFont val="Calibri"/>
        <family val="2"/>
        <scheme val="minor"/>
      </rPr>
      <t>Propósito</t>
    </r>
    <r>
      <rPr>
        <sz val="8"/>
        <rFont val="Calibri"/>
        <family val="2"/>
        <scheme val="minor"/>
      </rPr>
      <t xml:space="preserve">: Asegurar la calidad de la respuesta y la oportunidad en los tiempos de contestación de PQRSDF.
</t>
    </r>
    <r>
      <rPr>
        <b/>
        <sz val="8"/>
        <rFont val="Calibri"/>
        <family val="2"/>
        <scheme val="minor"/>
      </rPr>
      <t>Responsable</t>
    </r>
    <r>
      <rPr>
        <sz val="8"/>
        <rFont val="Calibri"/>
        <family val="2"/>
        <scheme val="minor"/>
      </rPr>
      <t xml:space="preserve">: Jefe encargado del área. 
</t>
    </r>
    <r>
      <rPr>
        <b/>
        <sz val="8"/>
        <rFont val="Calibri"/>
        <family val="2"/>
        <scheme val="minor"/>
      </rPr>
      <t>¿Cómo se realiza el control?:</t>
    </r>
    <r>
      <rPr>
        <sz val="8"/>
        <rFont val="Calibri"/>
        <family val="2"/>
        <scheme val="minor"/>
      </rPr>
      <t xml:space="preserve"> Recibe notificación de respuesta proyectada a través del aplicativo OPHELIA SGDEA y revisa los términos en que se presenta la respuesta a la PQRSDF.
Si la respuesta es adecuada a la petición planteada, aprueba la comunicación en el aplicativo OPHELIA SGDEA, generando la respuesta automática al peticionario. De lo contrario, devuelve al colaborador para que realice los ajustes del caso.
La actividad se complementa con lo descrito en el procedimiento A-03-P-003 Recepción, registro y distribución de comunicaciones oficiales enviadas.
</t>
    </r>
    <r>
      <rPr>
        <b/>
        <sz val="8"/>
        <rFont val="Calibri"/>
        <family val="2"/>
        <scheme val="minor"/>
      </rPr>
      <t>Periodicidad</t>
    </r>
    <r>
      <rPr>
        <sz val="8"/>
        <rFont val="Calibri"/>
        <family val="2"/>
        <scheme val="minor"/>
      </rPr>
      <t xml:space="preserve">: Para cada PQRSDF. 
</t>
    </r>
    <r>
      <rPr>
        <b/>
        <sz val="8"/>
        <rFont val="Calibri"/>
        <family val="2"/>
        <scheme val="minor"/>
      </rPr>
      <t>Evidencia:</t>
    </r>
    <r>
      <rPr>
        <sz val="8"/>
        <rFont val="Calibri"/>
        <family val="2"/>
        <scheme val="minor"/>
      </rPr>
      <t xml:space="preserve"> Respuesta de la PQRSDF a través de Ophelia SGDEA.
</t>
    </r>
    <r>
      <rPr>
        <b/>
        <sz val="8"/>
        <rFont val="Calibri"/>
        <family val="2"/>
        <scheme val="minor"/>
      </rPr>
      <t>Desviaciones/Observaciones</t>
    </r>
    <r>
      <rPr>
        <sz val="8"/>
        <rFont val="Calibri"/>
        <family val="2"/>
        <scheme val="minor"/>
      </rPr>
      <t xml:space="preserve">: 
En caso de falla o que el Sistema de información OPHELIA SGDEA se encuentre fuera de operación, se aplica lo establecido en el numeral 6.5. Registro de contingencia para comunicaciones oficiales recibidas del procedimiento A-03-P-001 Recepción, registro y distribución de comunicaciones oficiales enviadas.
</t>
    </r>
    <r>
      <rPr>
        <b/>
        <sz val="8"/>
        <rFont val="Calibri"/>
        <family val="2"/>
        <scheme val="minor"/>
      </rPr>
      <t>Documentado</t>
    </r>
    <r>
      <rPr>
        <sz val="8"/>
        <rFont val="Calibri"/>
        <family val="2"/>
        <scheme val="minor"/>
      </rPr>
      <t>: Procedimiento E-04-P-001 "PETICIONES, QUEJAS, RECLAMOS, SUGERENCIAS Y DENUNCIAS - PQRSD". Numeral 7. 1. Gestión de PQRSD, actividad 11.</t>
    </r>
  </si>
  <si>
    <t>E01-RC01</t>
  </si>
  <si>
    <t>Posibilidad de recibir o solicitar dádivas o beneficios a nombre propio o de terceros con el fin de omitir o manipular la información del reporte del seguimiento de los proyectos de inversión del INM</t>
  </si>
  <si>
    <t>Se puede presentar cuando se beneficia a clientes, funcionarios y contratistas por amiguismo o clientelismo por aceptar promesas o pagos, para omitir o manipular el reporte del seguimiento de los proyectos de inversión del INM, para favorecer intereses propios o particulares desviando la gestión de lo público en beneficio de lo privado.
Uso del Poder: "se puede presentar cuando se beneficia a clientes, funcionarios y contratistas por amiguismo o clientelismo aceptar promesas o pagos. 
Acción u omisión: "omitir o manipular el reporte del seguimiento de los proyectos de inversión del INM"
Desviar la gestión de lo público: "desviando la gestión de lo público en beneficio de lo privado."
Beneficio privado: "Favorecer intereses propios o particulares".</t>
  </si>
  <si>
    <t xml:space="preserve">Falta de integridad y ética por parte del equipo de trabajo. 
Incumplimiento al código de ética por parte del profesional. 
Falta de cumplimiento al procedimiento. 
Desconocimiento por parte de los profesionales en la gestión de los proyectos. </t>
  </si>
  <si>
    <t>Detrimento patrimonial
Afectación negativa de la imagen institucional
Sanciones disciplinarias</t>
  </si>
  <si>
    <t>Control 1: Reportar en la plataforma PIIP, la información relacionada con el seguimiento a los proyectos del proceso, teniendo en cuenta los lineamientos del procedimiento E-01-P-001 FORMULACIÓN, REGISTRO Y SEGUIMIENTO DE PROYECTOS DE INVERSIÓN y los lineamientos del DNP. 
Propósito: Reportar la información de los proyectos en el aplicativo PIIP de manera coherente, veraz y pertinente respecto a las metas, presupuesto y actividades establecidas para el avance en la ejecución de los proyectos de inversión. 
Responsable: Gerente del proyecto o a quien este designe.
Periodicidad: Mensual. 
Evidencia: Reporte diligenciado en el aplicativo PIIP
Desviaciones/Observaciones: En los casos en que no se pueda registrar el seguimiento en la PIIP por error en la plataforma, se crea un caso ante la mesa de ayuda del DNP, como soporte. 
Documentado: Procedimiento E-01-P-001 FORMULACIÓN, REGISTRO Y SEGUIMIENTO DE PROYECTOS DE INVERSIÓN</t>
  </si>
  <si>
    <t>1.  Actualizar el Procedimiento E-01-P-001 con la inclusión de la actividad de las Desviaciones/Observaciones de este control y socializarlo en las mesas de armonización de criterios con los responsables de cada área / coordinadores</t>
  </si>
  <si>
    <t>1. Procedimiento actualizado en Isolución</t>
  </si>
  <si>
    <t>Seguimientos mensuales a los proyectos de inversión en la herramienta PIIP para el cumplimiento en la ejecución del proyecto</t>
  </si>
  <si>
    <t xml:space="preserve">Luis Hernando Vargas Alfonso </t>
  </si>
  <si>
    <t xml:space="preserve">Una vez realizado el seguimiento a los proyectos de inversión para el primer trimestre del año 2025, se pueden concluir los siguientes aspectos:
1. La subdirección de sevicios metrológicos no realizó el reporte correspondiente al mes de febrero en el aplicativo PIIP, la razón manifestada por el área es la curva de aprendizaje que está realizando el nuevo enlace presupuestal
2. La subdirección de física al momento de realizar el avance en el capítulo de focalización presentó problemas, solo se pudo focalizar una parte, queda pendiente ajustar en los periodos siguientes
3. El seguimiento correspondiente al periodo de enero es de manera cualitativa, según directrices del DNP
</t>
  </si>
  <si>
    <t>https://metrologiainm.sharepoint.com/:x:/s/OAP/ERTrmtC2JXhBuh5dqCSWkqoBRXgYIr1rjPpDAVErOjdUzA?e=NoAGKf&amp;nav=MTJfQko1Ml97MDAwMDAwMDAtMDAwMS0wMDAwLTA4MDAtMDAwMDAwMDAwMDAwfQ</t>
  </si>
  <si>
    <t xml:space="preserve">Realizado el seguimiento a los proyectos de inversión para el segundo trimestre del periodo 2025, se evidencia que la SSMRC no realizó el reporte correspondiente al mes de abril. 
La OIDT está en el proceso de ajuste en la focalización de políticas transversales </t>
  </si>
  <si>
    <t>No</t>
  </si>
  <si>
    <t>https://metrologiainm.sharepoint.com/:f:/s/OAP/EgVgyFZ9BVROmK5-JM_JVvgBMLQBY9w91U3eLP0ujk2Q7Q?e=wUWZNR</t>
  </si>
  <si>
    <t>Se realiza seguimiento al avance de ejecución de los proyectos de inversión en el aplicativo PIIP, se generan recomendaciones generales teniendo en cuenta que se aproxima el cierre de vigencia</t>
  </si>
  <si>
    <t>3. Tercer trimestre</t>
  </si>
  <si>
    <t>Control 2: Revisar la correcta aplicación y desarrollo de la Metodología de ejecución y seguimiento de los proyectos del INM, evaluando la coherencia de la cadena de valor formulada para los proyectos, teniendo en cuenta los lineamientos del procedimiento E-01-P-001 FORMULACIÓN, REGISTRO Y SEGUIMIENTO DE PROYECTOS DE INVERSIÓN. 
Propósito: Verificar que la información registrada en el aplicativo PIIP en cada uno de los proyectos sea coherente, veraz y pertinente respecto a las metas, presupuesto y actividades establecidas para el avance en la ejecución de los proyectos de inversión. 
Responsable: Profesional Especializado grado 14 de la OAP.
Periodicidad: Mensual. 
Evidencia: Registro del formato E-01-F-006 RESUMEN EJECUTIVO PROYECTO DE INVERSIÓN / Registro en el aplicativo PIIP
Desviaciones/Observaciones: En los casos de existir inconsistencia en la ejecución y seguimiento, el Profesional Especializado grado 14 de la OAP envía correo electrónico al responsable del área con las observaciones realizadas y si es el caso, se programan mesas de trabajo para que sean corregidas por el área técnica.
Documentado: Procedimiento E-01-P-001 FORMULACIÓN, REGISTRO Y SEGUIMIENTO DE PROYECTOS DE INVERSIÓN</t>
  </si>
  <si>
    <t>1.  Actualizar el Procedimiento E-01-P-001 con la actualización  de estos controles establecidos y socializarlo a los responsables de cada área / coordinadores. (Adicionar actividad relacionada con la gestión correspondiente por parte del INM en los casos en que el ministerio o el DNP realice comentarios sobre el seguimiento a los proyectos y en los traslados presupuestales)</t>
  </si>
  <si>
    <t>https://metrologiainm.sharepoint.com/:f:/s/OAP/EgVgyFZ9BVROmK5-JM_JVvgBMLQBY9w91U3eLP0ujk2Q7Q?e=pG5BUK</t>
  </si>
  <si>
    <t>E01-RC02</t>
  </si>
  <si>
    <t>Posibilidad de recibir o solicitar dádivas o beneficios a nombre propio o de terceros con el fin de  tramitar traslados presupuestales sin el cumplimiento de requisitos y de la cadena de valor en la ejecución de los proyectos.</t>
  </si>
  <si>
    <t>Se puede presentar cuando se beneficia a clientes, funcionarios y contratistas por amiguismo o clientelismo por aceptar promesas o pagos, para tramitar traslados presupuestales sin el cumplimiento de requisitos y de la cadena de valor en la ejecución de los proyectos del INM, para favorecer intereses propios o particulares desviando la gestión de lo público en beneficio de lo privado.
Acción u omisión: "tramitar traslados presupuestales sin el cumplimiento de requisitos y de la cadena de valor en la ejecución de los proyectos.
Beneficio privado: "Favorecer intereses propios o particulares".
Desviar la gestión de lo público: "desviando la gestión de lo público en beneficio de lo privado."</t>
  </si>
  <si>
    <t>Seguimientos mensuales a los proyectos de inversión en la herramienta PIIP para el cumplimiento en la ejecución del proyecto (OAP)
Expedición de CDP dentro de las 24 horas posteriores a la solicitud recibida para la gestión eficiente, oportuna, transparente y permanente de los recursos financieros del INM fortaleciendo la capacidad administrativa y de desempeño institucional.  (Gestión financiera)</t>
  </si>
  <si>
    <t>Control 2: Revisar la correcta aplicación y desarrollo de la Metodología para los traslados de los proyectos del INM, evaluando la coherencia de la cadena de valor formulada para los proyectos, teniendo en cuenta los lineamientos del procedimiento E-01-P-001 FORMULACIÓN, REGISTRO Y SEGUIMIENTO DE PROYECTOS DE INVERSIÓN. 
Propósito: Verificar que la información registrada en el aplicativo PIIP en cada uno de los proyectos sea coherente, veraz y pertinente respecto a las metas, presupuesto y actividades establecidas para el traslado presupuestal  de los proyectos de inversión. 
Responsable: Profesional Especializado grado 14 de la OAP.
Periodicidad: Cada vez que se solicite un traslado presupuestal. 
Evidencia:   Registro en el aplicativo PIIP / Registro del formato E-01-F-005 ACTUALIZACIÓN PLAN DE INVERSIÓN. 
Desviaciones/Observaciones: En los casos de existir inconsistencia en la información del traslado, el Profesional Especializado grado 14 de la OAP envía correo electrónico al responsable del área con las observaciones realizadas y si es el caso, se programan mesas de trabajo para que sean corregidas por el área técnica.
Documentado: Procedimiento E-01-P-001 FORMULACIÓN, REGISTRO Y SEGUIMIENTO DE PROYECTOS DE INVERSIÓN.</t>
  </si>
  <si>
    <t>1.  Actualizar el Procedimiento E-01-P-001 con la actualización  de estos controles establecidos y socializarlo con los responsables de cada área / coordinadores. (Adicionar actividad relacionada con la gestión correspondiente por parte del INM en los casos en que el ministerio o el DNP realice comentarios sobre el seguimiento a los proyectos y en los traslados presupuestales)</t>
  </si>
  <si>
    <t xml:space="preserve">No se han realizado traslados presupuestales entre proyectos </t>
  </si>
  <si>
    <t>Control 3: Realizar el traslado presupuestal teniendo en cuenta los lineamientos establecidos en el procedimiento A-01-P-004 TRASLADOS MODIFICACIONES PRESUPUESTALES.
Propósito: Prevenir errores en la expedición del CDP y la solicitud de traslado presupuestal, que ocasionen reiniciar nuevamente el trámite.
Responsable: Profesional con Funciones de Presupuesto de gestión financiera. 
Periodicidad: Cada vez que se solicite un traslado presupuestal. 
Evidencia: CDP expedido y Solicitud de traslado presupuestal expedida.
Correo electrónico.
Desviaciones/Observaciones: En los casos de existir inconsistencia en la información del traslado, el profesional con funciones de presupuesto de gestión financiera envía correo electrónico al responsable del área con las observaciones realizadas para que sean corregidas por el área técnica.
Documentado: Procedimiento A-01-P-004 TRASLADOS MODIFICACIONES PRESUPUESTALES.</t>
  </si>
  <si>
    <t xml:space="preserve">No se ha registrado seguimiento para el tercer trimestre. </t>
  </si>
  <si>
    <t>E05-RC01</t>
  </si>
  <si>
    <t>Posibilidad de recibir o solicitar dádivas o beneficios a nombre propio o de terceros por falta de transparencia por parte de los profesionales de la OIDT en cambios o actualizaciones de software</t>
  </si>
  <si>
    <r>
      <rPr>
        <sz val="8"/>
        <color rgb="FF000000"/>
        <rFont val="Calibri"/>
        <scheme val="minor"/>
      </rPr>
      <t xml:space="preserve">Se manifiesta al favorecer u otorgar priorización de proyectos con criterios no técnicos, sino motivados por intereses personales o de terceros, durante la adquisición,. desarrollo o mantenimiento de soluciones tecnológicas.
La falta de transparencia para este riesgo esta asociada a los siguientes aspectos: 
</t>
    </r>
    <r>
      <rPr>
        <b/>
        <sz val="8"/>
        <color rgb="FF000000"/>
        <rFont val="Calibri"/>
        <scheme val="minor"/>
      </rPr>
      <t>1. Acción u omisión:
Acción</t>
    </r>
    <r>
      <rPr>
        <sz val="8"/>
        <color rgb="FF000000"/>
        <rFont val="Calibri"/>
        <scheme val="minor"/>
      </rPr>
      <t xml:space="preserve">: Adquisición, mantenimiento o desarrollos de soluciones tecnológicas sin fundamento técnico. Priorización de adquisiciones, desarrollos o mantenimientos no alineados con los objetivos institucionales. 
</t>
    </r>
    <r>
      <rPr>
        <b/>
        <sz val="8"/>
        <color rgb="FF000000"/>
        <rFont val="Calibri"/>
        <scheme val="minor"/>
      </rPr>
      <t>Omisión:</t>
    </r>
    <r>
      <rPr>
        <sz val="8"/>
        <color rgb="FF000000"/>
        <rFont val="Calibri"/>
        <scheme val="minor"/>
      </rPr>
      <t xml:space="preserve"> Falta de documentación o registros adecuados sobre los cambios realizados, ausencia de controles o revisiones técnicas rigurosas para la toma de decisiones, ocultamiento de intereses, la omisión de información relevante. 
</t>
    </r>
    <r>
      <rPr>
        <b/>
        <sz val="8"/>
        <color rgb="FF000000"/>
        <rFont val="Calibri"/>
        <scheme val="minor"/>
      </rPr>
      <t xml:space="preserve">2. Beneficio privado:
</t>
    </r>
    <r>
      <rPr>
        <sz val="8"/>
        <color rgb="FF000000"/>
        <rFont val="Calibri"/>
        <scheme val="minor"/>
      </rPr>
      <t xml:space="preserve">Favorecer intereses personales o de terceros al manipular información o resultados de los sistemas.
Obtener beneficios económicos o políticos a través de la priorización de desarrollos/mantenimientos/adquisiciones que beneficien agendas particulares, no institucionales.
</t>
    </r>
    <r>
      <rPr>
        <b/>
        <sz val="8"/>
        <color rgb="FF000000"/>
        <rFont val="Calibri"/>
        <scheme val="minor"/>
      </rPr>
      <t xml:space="preserve">3. Desvío de recursos públicos a intereses privados:
</t>
    </r>
    <r>
      <rPr>
        <sz val="8"/>
        <color rgb="FF000000"/>
        <rFont val="Calibri"/>
        <scheme val="minor"/>
      </rPr>
      <t>Uso del tiempo, talento humano y presupuesto institucional para el desarrollo/mantenimiento/adquisición de sistemas que no responden al interés general o necesidades organizacionales, sino a agendas particulares.
Riesgo de corrupción sistemática al facultar alteraciones en la integridad de los sistemas de soporte de información de interés y gestión pública sin fundamentos que respondan al interés común o de la entidad.  manipulación de decisiones técnicas en beneficio propio o de terceros.</t>
    </r>
  </si>
  <si>
    <r>
      <rPr>
        <b/>
        <sz val="8"/>
        <color rgb="FF000000"/>
        <rFont val="Calibri"/>
        <scheme val="minor"/>
      </rPr>
      <t>Código fuente de los sistemas</t>
    </r>
    <r>
      <rPr>
        <sz val="8"/>
        <color rgb="FF000000"/>
        <rFont val="Calibri"/>
        <scheme val="minor"/>
      </rPr>
      <t xml:space="preserve">, por introducción de funcionalidades o modificaciones no soportadas técnicamente que afectarían la integridad y trazabilidad 
</t>
    </r>
    <r>
      <rPr>
        <b/>
        <sz val="8"/>
        <color rgb="FF000000"/>
        <rFont val="Calibri"/>
        <scheme val="minor"/>
      </rPr>
      <t>Documentación técnica y funcional de los sistemas.</t>
    </r>
    <r>
      <rPr>
        <sz val="8"/>
        <color rgb="FF000000"/>
        <rFont val="Calibri"/>
        <scheme val="minor"/>
      </rPr>
      <t xml:space="preserve"> Si no se documentan adecuadamente los cambios o se omiten deliberadamente, se debilita el control institucional.
</t>
    </r>
    <r>
      <rPr>
        <b/>
        <sz val="8"/>
        <color rgb="FF000000"/>
        <rFont val="Calibri"/>
        <scheme val="minor"/>
      </rPr>
      <t xml:space="preserve">Bases de datos institucionales,  </t>
    </r>
    <r>
      <rPr>
        <sz val="8"/>
        <color rgb="FF000000"/>
        <rFont val="Calibri"/>
        <scheme val="minor"/>
      </rPr>
      <t xml:space="preserve">por la alteración o manipulación de la información almacenada, se afecta la integridad y confiabilidad de los datos.
</t>
    </r>
    <r>
      <rPr>
        <b/>
        <sz val="8"/>
        <color rgb="FF000000"/>
        <rFont val="Calibri"/>
        <scheme val="minor"/>
      </rPr>
      <t>Sistema de control de versiones (repositorios)</t>
    </r>
    <r>
      <rPr>
        <sz val="8"/>
        <color rgb="FF000000"/>
        <rFont val="Calibri"/>
        <scheme val="minor"/>
      </rPr>
      <t xml:space="preserve">, comprometiendo la trazabilidad por cambios no autorizados y la transparencia en la administración de los aplicativos.
</t>
    </r>
    <r>
      <rPr>
        <b/>
        <sz val="8"/>
        <color rgb="FF000000"/>
        <rFont val="Calibri"/>
        <scheme val="minor"/>
      </rPr>
      <t xml:space="preserve">Planes de desarrollo y priorización de proyectos </t>
    </r>
    <r>
      <rPr>
        <sz val="8"/>
        <color rgb="FF000000"/>
        <rFont val="Calibri"/>
        <scheme val="minor"/>
      </rPr>
      <t>Priorizando proyectos con criterios no técnicos, se compromete la objetividad del portafolio tecnológico, favoreciendo intereses particulaes.</t>
    </r>
  </si>
  <si>
    <r>
      <rPr>
        <b/>
        <sz val="8"/>
        <color rgb="FF000000"/>
        <rFont val="Calibri"/>
        <family val="2"/>
        <scheme val="minor"/>
      </rPr>
      <t>Presiones de terceros externos</t>
    </r>
    <r>
      <rPr>
        <sz val="8"/>
        <color rgb="FF000000"/>
        <rFont val="Calibri"/>
        <family val="2"/>
        <scheme val="minor"/>
      </rPr>
      <t xml:space="preserve"> (proveedores, contratistas, grupos de interés) que buscan que los sistemas se orienten a facilitar sus intereses particulares.
</t>
    </r>
    <r>
      <rPr>
        <b/>
        <sz val="8"/>
        <color rgb="FF000000"/>
        <rFont val="Calibri"/>
        <family val="2"/>
        <scheme val="minor"/>
      </rPr>
      <t>Exigencias políticas o institucionales no técnicas</t>
    </r>
    <r>
      <rPr>
        <sz val="8"/>
        <color rgb="FF000000"/>
        <rFont val="Calibri"/>
        <family val="2"/>
        <scheme val="minor"/>
      </rPr>
      <t xml:space="preserve"> que dejan espacio para decisiones discrecionales sin justificación técnica sólida.</t>
    </r>
  </si>
  <si>
    <r>
      <rPr>
        <b/>
        <sz val="8"/>
        <color rgb="FF000000"/>
        <rFont val="Calibri"/>
        <scheme val="minor"/>
      </rPr>
      <t>Falta de segregación de funciones</t>
    </r>
    <r>
      <rPr>
        <sz val="8"/>
        <color rgb="FF000000"/>
        <rFont val="Calibri"/>
        <scheme val="minor"/>
      </rPr>
      <t xml:space="preserve">. El mismo funcionario desarrolla, prueba, aprueba y despliega el sistema sin revisión independiente o supervisión.
</t>
    </r>
    <r>
      <rPr>
        <b/>
        <sz val="8"/>
        <color rgb="FF000000"/>
        <rFont val="Calibri"/>
        <scheme val="minor"/>
      </rPr>
      <t>Debilidad en los controles de supervisión, auditoría técnica, o trazabilidad del ciclo de vida</t>
    </r>
    <r>
      <rPr>
        <sz val="8"/>
        <color rgb="FF000000"/>
        <rFont val="Calibri"/>
        <scheme val="minor"/>
      </rPr>
      <t xml:space="preserve">.
</t>
    </r>
    <r>
      <rPr>
        <b/>
        <sz val="8"/>
        <color rgb="FF000000"/>
        <rFont val="Calibri"/>
        <scheme val="minor"/>
      </rPr>
      <t xml:space="preserve">Ausencia de lineamientos claros para la priorización de proyectos
</t>
    </r>
    <r>
      <rPr>
        <sz val="8"/>
        <color rgb="FF000000"/>
        <rFont val="Calibri"/>
        <scheme val="minor"/>
      </rPr>
      <t xml:space="preserve">
</t>
    </r>
    <r>
      <rPr>
        <b/>
        <sz val="8"/>
        <color rgb="FF000000"/>
        <rFont val="Calibri"/>
        <scheme val="minor"/>
      </rPr>
      <t>Cultura organizacional permisiva con decisiones informales</t>
    </r>
  </si>
  <si>
    <t>Manipulación intencional en la gestión de los sistemas de información institucional para favorecer intereses particulares.
Asociada a abuso de privilegios, conflicto de intereses y vulneración de principios de transparencia y legalidad.</t>
  </si>
  <si>
    <t>No existen procedimientos claros y obligatorios para la trazabilidad de cambios o requerimientos funcionales.
Falta de criterios objetivos para la priorización de desarrollos o mejoras
La asignación de recursos para proyectos tecnológicos se hace sin metodología ni trazabilidad, dejando espacio a la discrecionalidad y posibles conflictos de interés.</t>
  </si>
  <si>
    <t>Alteración o manipulación de sistemas institucionales de forma unilateral, lo que compromete la transparencia, la legalidad y la confiabilidad de la información institucional, favoreciendo intereses particulares
Detrimentro patrimonial</t>
  </si>
  <si>
    <r>
      <rPr>
        <b/>
        <sz val="8"/>
        <color rgb="FF000000"/>
        <rFont val="Calibri"/>
        <scheme val="minor"/>
      </rPr>
      <t xml:space="preserve">Control 1: </t>
    </r>
    <r>
      <rPr>
        <sz val="8"/>
        <color rgb="FF000000"/>
        <rFont val="Calibri"/>
        <scheme val="minor"/>
      </rPr>
      <t xml:space="preserve">Revisión participativa y justificación técnica de solicitudes de desarrollo, mantenimiento o adquisición de software.
</t>
    </r>
    <r>
      <rPr>
        <b/>
        <sz val="8"/>
        <color rgb="FF000000"/>
        <rFont val="Calibri"/>
        <scheme val="minor"/>
      </rPr>
      <t>Propósito:</t>
    </r>
    <r>
      <rPr>
        <sz val="8"/>
        <color rgb="FF000000"/>
        <rFont val="Calibri"/>
        <scheme val="minor"/>
      </rPr>
      <t xml:space="preserve"> Garantizar que las decisiones asociadas a iniciativas de desarrollo, mantenimiento o adquisición de software cuenten con un fundamento técnico transparente, objetivo y verificable, evitando la inclusión de requerimientos sesgados, innecesarios o injustificados que puedan favorecer intereses particulares o generar riesgos de corrupción. 
</t>
    </r>
    <r>
      <rPr>
        <b/>
        <sz val="8"/>
        <color rgb="FF000000"/>
        <rFont val="Calibri"/>
        <scheme val="minor"/>
      </rPr>
      <t>Responsable</t>
    </r>
    <r>
      <rPr>
        <sz val="8"/>
        <color rgb="FF000000"/>
        <rFont val="Calibri"/>
        <scheme val="minor"/>
      </rPr>
      <t xml:space="preserve">: Coordinador Arquitectura TI / Analista de requerimientos - OIDT
</t>
    </r>
    <r>
      <rPr>
        <b/>
        <sz val="8"/>
        <color rgb="FF000000"/>
        <rFont val="Calibri"/>
        <scheme val="minor"/>
      </rPr>
      <t>¿Cómo se hace el control?:</t>
    </r>
    <r>
      <rPr>
        <sz val="8"/>
        <color rgb="FF000000"/>
        <rFont val="Calibri"/>
        <scheme val="minor"/>
      </rPr>
      <t xml:space="preserve"> Antes del inicio de las etapas de análisis o diseño de software, la OIDT convoca una sesión del Grupo Interno de Trabajo de Arquitectura de T.I. para la revisión de la solicitud presentada. Se analiza como mínimo la justificación técnica de la solicitud, su alineación con la arquitectura tecnológica institucional, los requerimientos funcionales, no funcionales, de infraestructura y desempeño, y las expectativas y alcance de uso de la solución, posibles riesgos de corrupción asociados.
</t>
    </r>
    <r>
      <rPr>
        <b/>
        <sz val="8"/>
        <color rgb="FF000000"/>
        <rFont val="Calibri"/>
        <scheme val="minor"/>
      </rPr>
      <t>Periodicidad:</t>
    </r>
    <r>
      <rPr>
        <sz val="8"/>
        <color rgb="FF000000"/>
        <rFont val="Calibri"/>
        <scheme val="minor"/>
      </rPr>
      <t xml:space="preserve"> Cada vez que se radique una iniciativa de desarrollo, mantenimiento o adquisición de software.
</t>
    </r>
    <r>
      <rPr>
        <b/>
        <sz val="8"/>
        <color rgb="FF000000"/>
        <rFont val="Calibri"/>
        <scheme val="minor"/>
      </rPr>
      <t>Evidencia:</t>
    </r>
    <r>
      <rPr>
        <sz val="8"/>
        <color rgb="FF000000"/>
        <rFont val="Calibri"/>
        <scheme val="minor"/>
      </rPr>
      <t xml:space="preserve"> Registro de aprobación del Grupo Interno de Trabajo de Arquitectura TI y E-05-F-018 ESPECIFICACIÓN DE REQUERIMIENTOS DE SOFTWARE.
</t>
    </r>
    <r>
      <rPr>
        <b/>
        <sz val="8"/>
        <color rgb="FF000000"/>
        <rFont val="Calibri"/>
        <scheme val="minor"/>
      </rPr>
      <t xml:space="preserve">Desviaciones/Observaciones: </t>
    </r>
    <r>
      <rPr>
        <sz val="8"/>
        <color rgb="FF000000"/>
        <rFont val="Calibri"/>
        <scheme val="minor"/>
      </rPr>
      <t xml:space="preserve">Previo al inicio a las etapas de análisis de requerimiento y diseño de software es fundamental la definición de propósito del proyecto, la identificación de las expectativas, el alcance de uso a la solución requerida, el adecuado entendimiento y claridad de las funcionalidades, los requisitos en infraestructura tecnológica, los comportamientos a futuro con su entrada en producción y demás requisitos de rendimiento y desempeño esperados por todas las partes interesadas involucradas en el proceso. El control permite determinar la pertinencia y justificación técnica que facultará la aprobación de la iniciativa de interés institucional propuesta.
</t>
    </r>
    <r>
      <rPr>
        <b/>
        <sz val="8"/>
        <color rgb="FF000000"/>
        <rFont val="Calibri"/>
        <scheme val="minor"/>
      </rPr>
      <t>Documentado</t>
    </r>
    <r>
      <rPr>
        <sz val="8"/>
        <color rgb="FF000000"/>
        <rFont val="Calibri"/>
        <scheme val="minor"/>
      </rPr>
      <t>: 	E-05-P-013 Adquisición, Desarrollo y Mantenimiento de Software y Automatización de Mediciones ; E-05-I-021 INSTRUCTIVO METODOLOGÍA PARA EL CICLO DE VIDA DE DESARROLLO DE SOFTWARE DEL INM</t>
    </r>
  </si>
  <si>
    <t>Evaluar la viabilidad técnica, operativa y estratégica de las iniciativas presentadas, considerando capacidades, recursos y alineación con el direccionamiento del Área, para prevenir la aprobación de proyectos inviables, no alineados o sin fundamento práctico.</t>
  </si>
  <si>
    <t>Diligenciamiento y firma de documentos de registro de aprobación de la OIDT o del Comité de Arquitectura TI y E-05-F-018 ESPECIFICACIÓN DE REQUERIMIENTOS DE SOFTWARE para cada proyecto</t>
  </si>
  <si>
    <t>Analista de requerimientos - OIDT.</t>
  </si>
  <si>
    <r>
      <rPr>
        <sz val="8"/>
        <color rgb="FF000000"/>
        <rFont val="Calibri"/>
        <scheme val="minor"/>
      </rPr>
      <t xml:space="preserve">Porcentaje de requerimientos validados = (No. proyectos de soluciones tecnológicas  ejecutados con aprobación y requerimientos documentados/No. total proyectos de soluciones tecnológicas ejecutados)*100
El 100% de los proyectos de desarrollo de soluciones tecnológicas deben estar acompañadas de la aprobación del Comité de Arquietctura de TI y documentación de requerimentos.
</t>
    </r>
  </si>
  <si>
    <t>No aplica el seguimiento por parte de las líneas de defensa para este control y riesgo correspondiente a este trimestre, debido a que fue aprobado en el marco del CIGD # 11 del 2025-10-29</t>
  </si>
  <si>
    <t>E05-RC02</t>
  </si>
  <si>
    <t> </t>
  </si>
  <si>
    <t>Posibilidad de recibir o solicitar dádivas o beneficios a nombre propio o de terceros  por otorgamiento de accesos indebidos o no autorizados</t>
  </si>
  <si>
    <t xml:space="preserve">Relacionado con acceso indebido a la información confidencial o clasificada para usarla con fines personales o de terceros, o la intervención técnica con el fin de ocultar información, deshabilitar controles o permitir conexiones o accesos no autorizados.
1. Acción u omisión:
Acción: Acceso, copia, modificación o divulgación no autorizada de información confidencial; intervención técnica para eliminar rastros de actividad, desactivar controles de seguridad, o crear accesos ocultos.
Omisión: No aplicar protocolos de seguridad idóneos, no registrar ni reportar accesos indebidos, permitir negligentemente fallas en los controles.
2. Beneficio privado:
Uso de información privilegiada para favorecer decisiones personales o de terceros.
Ocultamiento de datos o evidencia que pueda comprometer a funcionarios o aliados.
Facilitar el acceso a la información a actores externos o no autorizados con intereses particulares 
3. Desvío de recursos públicos a intereses privados:
Mal uso de la infraestructura tecnológica con fines distintos al interés público.
Posible manipulación o eliminación de datos, registros, seguimientos, evidencia de auditorías ó investigaciones internas o externas.
Compromiso de la integridad institucional al facilitar la interferencia de terceros.
</t>
  </si>
  <si>
    <t>Información confidencial o clasificada. Compromete la integridad y privacidad de datos personales, técnicos, financieros o estratégicos cuya divulgación o uso indebido representa un alto riesgo para la entidad.
Sistemas de gestión documental. Pueden ser intervenidos para eliminar, ocultar o modificar registros institucionales.
Logs de auditoría y trazabilidad de accesos. Su alteración u omisión impide detectar accesos indebidos o acciones irregulares.
Controles de acceso lógico (credenciales, roles, permisos). Pueden ser manipulados para otorgar acceso a personas no autorizadas.
Infraestructura de red y servidores. Si se crean accesos no autorizados, poniendo en riesgo la seguridad de la plataforma tecnológica.
Políticas y configuraciones de seguridad. Si son deshabilitadas o ignoradas, se afectan los mecanismos de protección de los activos de información.</t>
  </si>
  <si>
    <t>Interés de terceros en obtener información estratégica o confidencial
Empresas, contratistas o particulares con motivación para acceder a datos sensibles.
Ataques externos o actores maliciosos
Presiones indebidas para alterar, ocultar o borrar información en contextos de procesos sancionatorios, disciplinarios o contractuales.</t>
  </si>
  <si>
    <t>Controles de acceso mal implementados o desactualizados
Bajo conocimiento del personal sobre el manejo adecuado de la información clasificada.
Infraestructura tecnológica obsoleta o sin mantenimiento
Ausencia de monitoreo continuo y alertas de incidentes
Escasa independencia del área de seguridad respecto a la operación
Inadecuada gestión de usuarios privilegiados (administradores) que permite acciones no autorizadas difíciles de rastrear o controlar.</t>
  </si>
  <si>
    <t>Acceso, modificación o uso indebido de información clasificada o confidencial con fines personales o de terceros.
Se materializa cuando personas autorizadas o no autorizadas logran acceder, manipular o sustraer información institucional sensible para:
-Usarla con fines particulares o económicos.
-Ocultar hechos o evidencias en procesos investigativos, disciplinarios o de control (auditorías).
-Facilitar accesos no autorizados (puertas traseras, usuarios fantasmas, cuentas paralelas).</t>
  </si>
  <si>
    <t>Gestión deficiente de accesos y privilegios. Existen usuarios con permisos excesivos o no justificados, y no se aplica el principio de mínimo privilegio ni revisión periódica de accesos.
No se detectan ni registran adecuadamente intentos de acceso inusual, cambios en configuraciones, ni otras señales de posibles incidentes.
Debilidad en la cultura de seguridad de la información</t>
  </si>
  <si>
    <t>Exposición de datos sensibles que afectan derechos de personas o decisiones estratégicas.
Obstaculización de procesos disciplinarios, jurídicos o de control.
Sanciones por incumplimiento de normas de protección de datos o seguridad de la información.
Pérdida de credibilidad institucional.</t>
  </si>
  <si>
    <r>
      <rPr>
        <b/>
        <sz val="8"/>
        <color rgb="FF000000"/>
        <rFont val="Calibri"/>
        <scheme val="minor"/>
      </rPr>
      <t>Control 1</t>
    </r>
    <r>
      <rPr>
        <sz val="8"/>
        <color rgb="FF000000"/>
        <rFont val="Calibri"/>
        <scheme val="minor"/>
      </rPr>
      <t xml:space="preserve">: </t>
    </r>
    <r>
      <rPr>
        <b/>
        <sz val="8"/>
        <color rgb="FF000000"/>
        <rFont val="Calibri"/>
        <scheme val="minor"/>
      </rPr>
      <t>Configuración de recursos compartidos 
Propósito:</t>
    </r>
    <r>
      <rPr>
        <sz val="8"/>
        <color rgb="FF000000"/>
        <rFont val="Calibri"/>
        <scheme val="minor"/>
      </rPr>
      <t xml:space="preserve"> Asegurar que solo los usuarios autorizados, con los permisos correspondientes, accedan a los recursos compartidos y sistemas de información, limitando el acceso a información técnica y datos confidenciales según el rol o función del usuario (autorizados).
</t>
    </r>
    <r>
      <rPr>
        <b/>
        <sz val="8"/>
        <color rgb="FF000000"/>
        <rFont val="Calibri"/>
        <scheme val="minor"/>
      </rPr>
      <t xml:space="preserve">Responsable: </t>
    </r>
    <r>
      <rPr>
        <sz val="8"/>
        <color rgb="FF000000"/>
        <rFont val="Calibri"/>
        <scheme val="minor"/>
      </rPr>
      <t xml:space="preserve">Profesionales de la mesa de servicio.
</t>
    </r>
    <r>
      <rPr>
        <b/>
        <sz val="8"/>
        <color rgb="FF000000"/>
        <rFont val="Calibri"/>
        <scheme val="minor"/>
      </rPr>
      <t>¿Cómo se realiza el control?:</t>
    </r>
    <r>
      <rPr>
        <sz val="8"/>
        <color rgb="FF000000"/>
        <rFont val="Calibri"/>
        <scheme val="minor"/>
      </rPr>
      <t xml:space="preserve"> El personal responsable de la dependencia debe diligenciar el formulario "recursos compartidos" en GLPI. La mesa de servicio procederá a realizar la verificación de las autorizaciones en GLPI. Una vez creado el recurso se inicia la asignación de permisos de acuerdo con los usuarios registrados en el directorio activo y la información suministrada en la solicitud.
</t>
    </r>
    <r>
      <rPr>
        <b/>
        <sz val="8"/>
        <color rgb="FF000000"/>
        <rFont val="Calibri"/>
        <scheme val="minor"/>
      </rPr>
      <t xml:space="preserve">Periodicidad: </t>
    </r>
    <r>
      <rPr>
        <sz val="8"/>
        <color rgb="FF000000"/>
        <rFont val="Calibri"/>
        <scheme val="minor"/>
      </rPr>
      <t xml:space="preserve">Cada vez que se genere una solicitud de acceso a recursos compartidos.
</t>
    </r>
    <r>
      <rPr>
        <b/>
        <sz val="8"/>
        <color rgb="FF000000"/>
        <rFont val="Calibri"/>
        <scheme val="minor"/>
      </rPr>
      <t>Evidencia</t>
    </r>
    <r>
      <rPr>
        <sz val="8"/>
        <color rgb="FF000000"/>
        <rFont val="Calibri"/>
        <scheme val="minor"/>
      </rPr>
      <t xml:space="preserve">: Trazabilidad del caso registrado en Sistema de Información GLPI, con autorizaciones por parte del personal avalado para este proceso.
</t>
    </r>
    <r>
      <rPr>
        <b/>
        <sz val="8"/>
        <color rgb="FF000000"/>
        <rFont val="Calibri"/>
        <scheme val="minor"/>
      </rPr>
      <t>Desviaciones/observaciones:</t>
    </r>
    <r>
      <rPr>
        <sz val="8"/>
        <color rgb="FF000000"/>
        <rFont val="Calibri"/>
        <scheme val="minor"/>
      </rPr>
      <t xml:space="preserve"> Si la solicitud no es emitida directamente por el responsable de otorgar la autorización, la OIDT enviará una solicitud de validación dirigida al Director(a) General, Secretario(a) General, Subdirectores, Jefes de Oficina, Coordinadores y/o Supervisores de Contrato autorizado. El proceso continuará únicamente si se confirma dicha autorización. En caso contrario se cerrará el caso.
</t>
    </r>
    <r>
      <rPr>
        <b/>
        <sz val="8"/>
        <color rgb="FF000000"/>
        <rFont val="Calibri"/>
        <scheme val="minor"/>
      </rPr>
      <t xml:space="preserve">Documento:  </t>
    </r>
    <r>
      <rPr>
        <sz val="8"/>
        <color rgb="FF000000"/>
        <rFont val="Calibri"/>
        <scheme val="minor"/>
      </rPr>
      <t>E-05-I-010 CONFIGURACIÓN DE RECURSOS COMPARTIDOS</t>
    </r>
  </si>
  <si>
    <t>Validar las condiciones de aprobación de las solicitudes de acceso a recursos compartidos, verificando que sean tramitadas por el supervisor autorizado o cuenten con la validación correspondiente. En los casos que no cumplan con estas condiciones, el equipo de Mesa de Soporte debe generar la solicitud formal de autorización de acceso dirigida al supervisor correspondiente, conforme a la información registrada en el directorio activo.</t>
  </si>
  <si>
    <t>Registro de caso GLPI para la categoría "Recursos compartidos"</t>
  </si>
  <si>
    <t xml:space="preserve">Equpo Mesa de Soporte
</t>
  </si>
  <si>
    <r>
      <rPr>
        <b/>
        <sz val="8"/>
        <color rgb="FF000000"/>
        <rFont val="Calibri"/>
        <scheme val="minor"/>
      </rPr>
      <t>Porcentaje de solicitudes de acceso a recursos compartidos autorizadas =</t>
    </r>
    <r>
      <rPr>
        <sz val="8"/>
        <color rgb="FF000000"/>
        <rFont val="Calibri"/>
        <scheme val="minor"/>
      </rPr>
      <t xml:space="preserve"> (No. solicitudes a recursos compartidos gestionadas con aprobación de supervisor responsable/ No. solicitudes de acceso a recursos compartidos gestionadas)
El 100% de las solicitudes tramitadas para acceso a recursos compartidos deben estar acompañadas de la autorización del supervisor responsable, de acuerdo a lo indicado en el Directorio Activo.</t>
    </r>
  </si>
  <si>
    <t>No aplica el seguimiento por parte de las líneas de defensa para este control y riesgo correspondiente a este trimestre, debido a que fue aprobado en el marco del CIGD # 11 del 2025-10-29
El seguimiento de las líneas de defensa inicia a partir del último trimestre del 2025</t>
  </si>
  <si>
    <r>
      <rPr>
        <b/>
        <sz val="8"/>
        <color rgb="FF000000"/>
        <rFont val="Calibri"/>
        <scheme val="minor"/>
      </rPr>
      <t>Control 2: Firmar acuerdo de confidencialidad en el uso de la información
Propósito:</t>
    </r>
    <r>
      <rPr>
        <sz val="8"/>
        <color rgb="FF000000"/>
        <rFont val="Calibri"/>
        <scheme val="minor"/>
      </rPr>
      <t xml:space="preserve"> Suscribir los lineamientos con el fin de mitigar el uso indebido de información confidencial generada en la entidad.
</t>
    </r>
    <r>
      <rPr>
        <b/>
        <sz val="8"/>
        <color rgb="FF000000"/>
        <rFont val="Calibri"/>
        <scheme val="minor"/>
      </rPr>
      <t xml:space="preserve">Responsable: </t>
    </r>
    <r>
      <rPr>
        <sz val="8"/>
        <color rgb="FF000000"/>
        <rFont val="Calibri"/>
        <scheme val="minor"/>
      </rPr>
      <t xml:space="preserve">Funcionarios, contratistas de la OIDT
</t>
    </r>
    <r>
      <rPr>
        <b/>
        <sz val="8"/>
        <color rgb="FF000000"/>
        <rFont val="Calibri"/>
        <scheme val="minor"/>
      </rPr>
      <t>¿Cómo se realiza el control?:</t>
    </r>
    <r>
      <rPr>
        <sz val="8"/>
        <color rgb="FF000000"/>
        <rFont val="Calibri"/>
        <scheme val="minor"/>
      </rPr>
      <t xml:space="preserve"> A través de la firma del acuerdo de confidencialidad, imparcialidad y buen uso de los activos de la información para funcionarios y a través de la firma del contrato de prestación de servicios, para los contratistas
</t>
    </r>
    <r>
      <rPr>
        <b/>
        <sz val="8"/>
        <color rgb="FF000000"/>
        <rFont val="Calibri"/>
        <scheme val="minor"/>
      </rPr>
      <t xml:space="preserve">Periodicidad: </t>
    </r>
    <r>
      <rPr>
        <sz val="8"/>
        <color rgb="FF000000"/>
        <rFont val="Calibri"/>
        <scheme val="minor"/>
      </rPr>
      <t xml:space="preserve">Cada vez que se ingrese un nuevo funcionario y contratista al INM. 
</t>
    </r>
    <r>
      <rPr>
        <b/>
        <sz val="8"/>
        <color rgb="FF000000"/>
        <rFont val="Calibri"/>
        <scheme val="minor"/>
      </rPr>
      <t>Evidencia</t>
    </r>
    <r>
      <rPr>
        <sz val="8"/>
        <color rgb="FF000000"/>
        <rFont val="Calibri"/>
        <scheme val="minor"/>
      </rPr>
      <t xml:space="preserve">: A-04-F-022 Acuerdo de confidencialidad, imparcialidad y buen uso de los activos de la información (para funcionarios) y clausula de confidencialidad en los contratos de prestación de servicios A-07-F-014 Minuta contrato(Contratistas).
</t>
    </r>
    <r>
      <rPr>
        <b/>
        <sz val="8"/>
        <color rgb="FF000000"/>
        <rFont val="Calibri"/>
        <scheme val="minor"/>
      </rPr>
      <t xml:space="preserve">Desviaciones/observaciones: </t>
    </r>
    <r>
      <rPr>
        <sz val="8"/>
        <color rgb="FF000000"/>
        <rFont val="Calibri"/>
        <scheme val="minor"/>
      </rPr>
      <t xml:space="preserve">En caso de no firmar este acuerdo de confidencialidad, imparcialidad y buen uso de los activos de la información se pueden presentar posibles consecuencias juridicas, disciplinarias, legales y contractuales. Estos documentos figuran como requisitos para avanzar en el proceso contractual.
</t>
    </r>
    <r>
      <rPr>
        <b/>
        <sz val="8"/>
        <color rgb="FF000000"/>
        <rFont val="Calibri"/>
        <scheme val="minor"/>
      </rPr>
      <t xml:space="preserve">Documento: </t>
    </r>
    <r>
      <rPr>
        <sz val="8"/>
        <color rgb="FF000000"/>
        <rFont val="Calibri"/>
        <scheme val="minor"/>
      </rPr>
      <t>A-04-P-005 selección, vinculación y permanencia de personal y</t>
    </r>
    <r>
      <rPr>
        <b/>
        <sz val="8"/>
        <color rgb="FF000000"/>
        <rFont val="Calibri"/>
        <scheme val="minor"/>
      </rPr>
      <t xml:space="preserve">  </t>
    </r>
    <r>
      <rPr>
        <sz val="8"/>
        <color rgb="FF000000"/>
        <rFont val="Calibri"/>
        <scheme val="minor"/>
      </rPr>
      <t>A-07-P-001 etapa pre-contractual</t>
    </r>
  </si>
  <si>
    <t>Garantizar que todo nuevo integrante del equipo de la OIDT, sea funcionario o contratista, suscriba los acuerdos de confidencialidad y compromiso de buen uso de la información antes de iniciar sus labores, asegurando el cumplimiento de las políticas institucionales de seguridad de la información y mitigando el riesgo de divulgación o acceso no autorizado de datos institucionales.</t>
  </si>
  <si>
    <t xml:space="preserve">A-04-F-022 Acuerdo de confidencialidad, imparcialidad y buen uso de los activos de la información firmado (para funcionarios).
Contrato de prestación de servicios A-07-F-014 Minuta contrato con cláusula de confidencialidad (Contratistas) </t>
  </si>
  <si>
    <t>Enlace Financiero OIDT - Contratación</t>
  </si>
  <si>
    <r>
      <rPr>
        <b/>
        <sz val="8"/>
        <color rgb="FF000000"/>
        <rFont val="Calibri"/>
        <scheme val="minor"/>
      </rPr>
      <t xml:space="preserve">Porcentaje de integrantes con acuerdo o cláusula de confidencialidad </t>
    </r>
    <r>
      <rPr>
        <sz val="8"/>
        <color rgb="FF000000"/>
        <rFont val="Calibri"/>
        <scheme val="minor"/>
      </rPr>
      <t>= (N° de nuevos integrantes con acuerdo o cláusula de confidencialidad firmada/ total de nuevos integrantes vinculados) 
El 100% de los colaboradores del equipo de la OIDT suscriben el acuerdo de confidencialidad como requisito para el proceso de contratación.</t>
    </r>
  </si>
  <si>
    <t>Riesgo de Corrupción</t>
  </si>
  <si>
    <t>¿Afecta al grupo de funcionarios del proceso?</t>
  </si>
  <si>
    <t>¿Afecta el cumplimiento de metas y objetivos de la dependencia?</t>
  </si>
  <si>
    <t>¿Afecta el cumplimiento de misión de la entidad?</t>
  </si>
  <si>
    <t>¿Afecta el cumplimiento de la misión del sector al que pertenece la entidad?</t>
  </si>
  <si>
    <t>¿Genera pérdida de confianza de la entidad, afectando su reputación?</t>
  </si>
  <si>
    <t>¿Genera pérdida de recursos económicos?</t>
  </si>
  <si>
    <t>¿Afecta la generación de los productos o la prestación de servicios?</t>
  </si>
  <si>
    <t>¿Da lugar al detrimento de calidad de vida de la comunidad por la pérdida del bien, servicios o recursos públicos?</t>
  </si>
  <si>
    <t>¿Genera pérdida de información de la entidad?</t>
  </si>
  <si>
    <t>¿Genera intervención de los órganos de control, de la Fiscalía u otro ente?</t>
  </si>
  <si>
    <t>¿Da lugar a procesos sancionatorios?</t>
  </si>
  <si>
    <t>¿Da lugar a procesos disciplinarios?</t>
  </si>
  <si>
    <t>¿Da lugar a procesos fiscales?</t>
  </si>
  <si>
    <t>¿Da lugar a procesos penales?</t>
  </si>
  <si>
    <t>¿Genera pérdida de credibilidad del sector?</t>
  </si>
  <si>
    <t>¿Ocasiona lesiones físicas o pérdida de vidas humanas?</t>
  </si>
  <si>
    <t>¿Afecta la imagen regional?</t>
  </si>
  <si>
    <t>¿Afecta la imagen nacional?</t>
  </si>
  <si>
    <t>¿Genera daño ambiental?</t>
  </si>
  <si>
    <t>Total "SI"</t>
  </si>
  <si>
    <t>Nivel de Impacto del Riesgo</t>
  </si>
  <si>
    <t>SI</t>
  </si>
  <si>
    <t>NO</t>
  </si>
  <si>
    <t xml:space="preserve">Posibilidad de recibir o solicitar cualquier dádiva o beneficio a nombre propio o de terceros con el fin de filtrar información estratégica o confidencial que pueda usarse para ilicitos o favorecer intereses particulares, por acceso no autorizado a  personal a la información del archivo central </t>
  </si>
  <si>
    <t>Estado</t>
  </si>
  <si>
    <t>Pérdida de Integridad</t>
  </si>
  <si>
    <t>Pérdida de Confidencialidad</t>
  </si>
  <si>
    <t>Servidores</t>
  </si>
  <si>
    <t>Pérdida de Disponibilidad</t>
  </si>
  <si>
    <t>Sistemas internos</t>
  </si>
  <si>
    <t>Servicios</t>
  </si>
  <si>
    <t>Datacenter</t>
  </si>
  <si>
    <t xml:space="preserve">     El riesgo afecta la imagen de la entidad internamente, de conocimiento general, nivel interno, de junta dircetiva y accionistas y/o de provedores</t>
  </si>
  <si>
    <t>Registros técnicos de las actividades del laboratorio para el proceso M-01 Servicios de calibración y Medición Metrológica</t>
  </si>
  <si>
    <t>Equipo de cómputo esclavos de los laboratorios</t>
  </si>
  <si>
    <t>Contratos</t>
  </si>
  <si>
    <t>Instalaciones</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</si>
  <si>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</si>
  <si>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</si>
  <si>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</si>
  <si>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</si>
  <si>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</si>
  <si>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</si>
  <si>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</si>
  <si>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</si>
  <si>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</si>
  <si>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</si>
  <si>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</si>
  <si>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</si>
  <si>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</si>
  <si>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</si>
  <si>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</si>
  <si>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</si>
  <si>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</si>
  <si>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</si>
  <si>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</si>
  <si>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</si>
  <si>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directiva y accionistas y/o de provedores</t>
  </si>
  <si>
    <t>Moderado 60%</t>
  </si>
  <si>
    <t xml:space="preserve">Entre 50 y 100 SMLMV </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</si>
  <si>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</si>
  <si>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</si>
  <si>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</si>
  <si>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</si>
  <si>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</si>
  <si>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Afectación_Económica_o_presupuestal</t>
  </si>
  <si>
    <t>Pérdida_Reputacional</t>
  </si>
  <si>
    <t>Criterios</t>
  </si>
  <si>
    <t>Subcriterios</t>
  </si>
  <si>
    <t>Afectación Económica o presupuestal</t>
  </si>
  <si>
    <t>Afectación menor a 10 SMLMV .</t>
  </si>
  <si>
    <t>El riesgo afecta la imagen de la entidad internamente, de conocimiento general, nivel interno, de junta dircetiva y accionistas y/o de provedores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</si>
  <si>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</si>
  <si>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</si>
  <si>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</si>
  <si>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</si>
  <si>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</si>
  <si>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</si>
  <si>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</si>
  <si>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</si>
  <si>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</si>
  <si>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</si>
  <si>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</si>
  <si>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</si>
  <si>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</si>
  <si>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</si>
  <si>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</si>
  <si>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</si>
  <si>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</si>
  <si>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</si>
  <si>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</si>
  <si>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</si>
  <si>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Contexto</t>
  </si>
  <si>
    <r>
      <t xml:space="preserve">Nivel Impacto
</t>
    </r>
    <r>
      <rPr>
        <b/>
        <sz val="9"/>
        <color rgb="FF0070C0"/>
        <rFont val="Calibri"/>
        <family val="2"/>
        <scheme val="minor"/>
      </rPr>
      <t>(Gestión)</t>
    </r>
  </si>
  <si>
    <t>Consecuencias Cuantitativo</t>
  </si>
  <si>
    <t>Consecuencias Cualitativo</t>
  </si>
  <si>
    <r>
      <t xml:space="preserve">Nivel Impacto
</t>
    </r>
    <r>
      <rPr>
        <b/>
        <sz val="9"/>
        <color rgb="FF0070C0"/>
        <rFont val="Calibri"/>
        <family val="2"/>
        <scheme val="minor"/>
      </rPr>
      <t>(S.I)</t>
    </r>
  </si>
  <si>
    <t>Valor impacto</t>
  </si>
  <si>
    <t>Tipo Proceso</t>
  </si>
  <si>
    <t>Sigla</t>
  </si>
  <si>
    <t>Contexto Externo</t>
  </si>
  <si>
    <t xml:space="preserve"> - Impacto que afecte la ejecución presupuestal en un valor ≥50%.
- Pérdida de cobertura en la prestación de los servicios de la entidad ≥50%.
- Pago de indemnizaciones a terceros por acciones legales que pueden afectar el presupuesto total de la entidad en un valor ≥50%.
- Pago de sanciones económicas por incumplimiento en la normatividad aplicable ante un ente regulador, las cuales afectan en un valor ≥50% del presupuesto general de la entidad.</t>
  </si>
  <si>
    <t xml:space="preserve"> - Interrupción de las operaciones de la entidad por más de cinco (5) días.
- Intervención por parte de un ente de control u otro ente regulador.
- Pérdida de información crítica para la entidad que no se puede recuperar.
- Incumplimiento en las metas y objetivos institucionales afectando de forma grave la ejecución presupuestal.
- Imagen institucional afectada en el orden nacional o regional por actos o hechos de corrupción comprobados.</t>
  </si>
  <si>
    <t>Afectación ≥X% de la población.
Afectación ≥X% del presupuesto anual de la entidad.
No hay afectación medioambiental.</t>
  </si>
  <si>
    <t>Sin afectación de la integridad.
Sin afectación de la disponibilidad.
Sin afectación de la confidencialidad.</t>
  </si>
  <si>
    <t>E-01</t>
  </si>
  <si>
    <t>Contexto Interno</t>
  </si>
  <si>
    <t xml:space="preserve"> - Impacto que afecte la ejecución presupuestal en un valor ≥20%.
- Pérdida de cobertura en la prestación de los servicios de la entidad ≥20%.
- Pago de indemnizaciones a terceros por acciones legales que pueden afectar el presupuesto total de la entidad en un valor ≥20%.
- Pago de sanciones económicas por incumplimiento en la normatividad aplicable ante un ente regulador, las cuales afectan en un valor ≥20% del presupuesto general de la entidad.</t>
  </si>
  <si>
    <t xml:space="preserve"> - Interrupción de las operaciones de la entidad por más de dos (2) días.
- Pérdida de información crítica que puede ser recuperada de forma parcial o incompleta.
- Sanción por parte del ente de control u otro ente regulador.
- Incumplimiento en las metas y objetivos institucionales afectando el cumplimiento en las metas de gobierno.
- Imagen institucional afectada en el orden nacional o regional por incumplimientos en la prestación del servicio a los usuarios o ciudadanos.</t>
  </si>
  <si>
    <t>Afectación ≥X% de la población.
Afectación ≥X% del presupuesto anual de la entidad.
Afectación leve del medio ambiente, requiere de ≥X días de recuperación.</t>
  </si>
  <si>
    <t>Afectación leve de la integridad.
Afectación leve de la disponibilidad.
Afectación leve de la confidencialidad.</t>
  </si>
  <si>
    <t>E-02</t>
  </si>
  <si>
    <t>Contexto Proceso</t>
  </si>
  <si>
    <t xml:space="preserve"> - Impacto que afecte la ejecución presupuestal en un valor ≥5%.
- Pérdida de cobertura en la prestación de los servicios de la entidad ≥10%.
- Pago de indemnizaciones a terceros por acciones legales que pueden afectar el presupuesto total de la entidad en un valor ≥5%.
- Pago de sanciones económicas por incumplimiento en la normatividad aplicable ante un ente regulador, las cuales afectan en un valor ≥5% del presupuesto general de la entidad.</t>
  </si>
  <si>
    <t xml:space="preserve"> - Interrupción de las operaciones de la entidad por un (1) día.
- Reclamaciones o quejas de los usuarios que podrían implicar una denuncia ante los entes reguladores o una demanda de largo alcance para la entidad.
- Inoportunidad en la información, ocasionando retrasos en la atención a los usuarios.
- Reproceso de actividades y aumento de carga operativa.
- Imagen institucional afectada en el orden nacional o regional por retrasos en la prestación del servicio a los usuarios o ciudadanos.
- Investigaciones penales, fiscales o disciplinarias.</t>
  </si>
  <si>
    <t>Afectación ≥X% de la población.
Afectación ≥X% del presupuesto anual de la entidad.
Afectación leve del medio ambiente, requiere de ≥X semanas de recuperación.</t>
  </si>
  <si>
    <t>Afectación moderada de la integridad de la información debido al interés particular de los empleados y terceros.
Afectación moderada de la disponibilidad de la información debido al interés particular de los empleados y terceros.
Afectación moderada de la confidencialidad de la información debido al interés particular de los empleados y terceros.</t>
  </si>
  <si>
    <t>E-03</t>
  </si>
  <si>
    <t xml:space="preserve"> - Impacto que afecte la ejecución presupuestal en un valor ≥1%.
- Pérdida de cobertura en la prestación de los servicios de la entidad ≥5%.
- Pago de indemnizaciones a terceros por acciones legales que pueden afectar el presupuesto total de la entidad en un valor ≥1%.
- Pago de sanciones económicas por incumplimiento en la normatividad aplicable ante un ente regulador, las cuales afectan en un valor ≥1% del presupuesto general de la entidad.</t>
  </si>
  <si>
    <t xml:space="preserve"> - Interrupción de las operaciones de la entidad por algunas horas.
- Reclamaciones o quejas de los usuarios, que implican investigaciones internas disciplinarias.
- Imagen institucional afectada localmente por retrasos en la prestación del servicio a los usuarios o ciudadanos.</t>
  </si>
  <si>
    <t>Afectación ≥X% de la población.
Afectación ≥X% del presupuesto anual de la entidad.
Afectación importante del medio ambiente que requiere de ≥X meses de recuperación.</t>
  </si>
  <si>
    <t>Afectación grave de la integridad de la información debido al interés particular de los empleados y terceros.
Afectación grave de la disponibilidad de la información debido al interés particular de los empleados y terceros.
Afectación grave de la confidencialidad de la información debido al interés particular de los empleados y terceros.</t>
  </si>
  <si>
    <t>E-04</t>
  </si>
  <si>
    <t xml:space="preserve"> - Impacto que afecte la ejecución presupuestal en un valor ≥0,5%.
- Pérdida de cobertura en la prestación de los servicios de la entidad ≥1%.
- Pago de indemnizaciones a terceros por acciones legales que pueden afectar el presupuesto total de la entidad en un valor ≥0,5%.
- Pago de sanciones económicas por incumplimiento en la normatividad aplicable ante un ente regulador, las cuales afectan en un valor ≥0,5% del presupuesto general de la entidad.</t>
  </si>
  <si>
    <t xml:space="preserve"> - No hay interrupción de las operaciones de la entidad.
- No se generan sanciones económicas o administrativas.
- No se afecta la imagen institucional de forma significativa.</t>
  </si>
  <si>
    <t>Afectación ≥X% de la población.
Afectación ≥X% del presupuesto anual de la entidad.
Afectación muy grave del medio ambiente que requiere de ≥X años de recuperación.</t>
  </si>
  <si>
    <t>Afectación muy grave de la integridad de la información debido al interés particular de los empleados y terceros.
Afectación muy grave de la disponibilidad de la información debido al interés particular de los empleados y terceros.
Afectación muy grave de la confidencialidad de la información debido al interés particular de los empleados y terceros.</t>
  </si>
  <si>
    <t>E-05</t>
  </si>
  <si>
    <t>Misional</t>
  </si>
  <si>
    <t>M-01</t>
  </si>
  <si>
    <t>M-02</t>
  </si>
  <si>
    <t>Político</t>
  </si>
  <si>
    <t>Ejemplo esquemático para la evaluación del impacto en un Riesgo de Corrupción</t>
  </si>
  <si>
    <t>M-03</t>
  </si>
  <si>
    <t>Económico y financiero</t>
  </si>
  <si>
    <t>N°</t>
  </si>
  <si>
    <t>Si el riesgo de corrupción se materializa podría…</t>
  </si>
  <si>
    <t>Respuesta (SI / NO)</t>
  </si>
  <si>
    <t>Nivel Probabilidad</t>
  </si>
  <si>
    <t>Descriptor</t>
  </si>
  <si>
    <t>M-04</t>
  </si>
  <si>
    <t>Social y cultural</t>
  </si>
  <si>
    <t>¿Afectar al grupo de funcionarios del proceso?</t>
  </si>
  <si>
    <t>Se espera que el evento ocurra en la mayoría de las circunstancias.</t>
  </si>
  <si>
    <t>Más de 1 vez al año.</t>
  </si>
  <si>
    <t>M-05</t>
  </si>
  <si>
    <t>¿Afectar el cumplimiento de metas y objetivos de la dependencia?</t>
  </si>
  <si>
    <t>Es viable que el evento ocurra en la mayoría de las circunstancias.</t>
  </si>
  <si>
    <t>Al menos 1 vez en el último año.</t>
  </si>
  <si>
    <t>M-06</t>
  </si>
  <si>
    <t>Ambiental</t>
  </si>
  <si>
    <t>¿Afectar el cumplimiento de misión de la entidad?</t>
  </si>
  <si>
    <t>El evento podrá ocurrir en algún momento.</t>
  </si>
  <si>
    <t>Al menos 1 vez en los últimos 2 años.</t>
  </si>
  <si>
    <t>M-07</t>
  </si>
  <si>
    <t>Legal y reglamentario</t>
  </si>
  <si>
    <t>¿Afectar el cumplimiento de la misión del sector al que pertenece la entidad?</t>
  </si>
  <si>
    <t>El evento puede ocurrir en algún momento.</t>
  </si>
  <si>
    <t>Al menos 1 vez en los últimos 5 años.</t>
  </si>
  <si>
    <t>M-08</t>
  </si>
  <si>
    <t>¿Generar pérdida de confianza de la entidad, afectando su reputación?</t>
  </si>
  <si>
    <t>El evento puede ocurrir solo en circunstancias excepcionales (poco comunes o anormales).</t>
  </si>
  <si>
    <t>No se ha presentado en los últimos 5 años.</t>
  </si>
  <si>
    <t>Apoyo</t>
  </si>
  <si>
    <t>A-01</t>
  </si>
  <si>
    <t>¿Generar pérdida de recursos económicos?</t>
  </si>
  <si>
    <t>A-02</t>
  </si>
  <si>
    <t>¿Afectar la generación de los productos o la prestación de servicios?</t>
  </si>
  <si>
    <t>A-03</t>
  </si>
  <si>
    <t>¿Dar lugar al detrimento de calidad de vida de la comunidad por la pérdida del bien, servicios o recursos públicos?</t>
  </si>
  <si>
    <t>Pass</t>
  </si>
  <si>
    <t>INM-SIG</t>
  </si>
  <si>
    <t>A-04</t>
  </si>
  <si>
    <t>¿Generar pérdida de información de la entidad?</t>
  </si>
  <si>
    <t>A-05</t>
  </si>
  <si>
    <t>Personal</t>
  </si>
  <si>
    <t>¿Generar intervención de los órganos de control, de la Fiscalía u otro ente?</t>
  </si>
  <si>
    <t>Número total de Riesgos</t>
  </si>
  <si>
    <t>A-06</t>
  </si>
  <si>
    <t>¿Dar lugar a procesos sancionatorios?</t>
  </si>
  <si>
    <t>Número de Controles</t>
  </si>
  <si>
    <t>A-07</t>
  </si>
  <si>
    <t>Tecnología</t>
  </si>
  <si>
    <t>¿Dar lugar a procesos disciplinarios?</t>
  </si>
  <si>
    <t>A-08</t>
  </si>
  <si>
    <t>¿Dar lugar a procesos fiscales?</t>
  </si>
  <si>
    <t>C-01</t>
  </si>
  <si>
    <t>Comunicación Interna</t>
  </si>
  <si>
    <t>¿Dar lugar a procesos penales?</t>
  </si>
  <si>
    <t>(T)
Transversal</t>
  </si>
  <si>
    <t>T</t>
  </si>
  <si>
    <t>Infraestructura</t>
  </si>
  <si>
    <t>¿Generar pérdida de credibilidad del sector?</t>
  </si>
  <si>
    <t>¿Ocasionar lesiones físicas o pérdida de vidas humanas?</t>
  </si>
  <si>
    <t>Resultados de los posibles desplazamientos de la
probabilidad y del impacto de los riesgos.</t>
  </si>
  <si>
    <t>¿Afectar la imagen regional?</t>
  </si>
  <si>
    <t>Solidez del conjunto de controles</t>
  </si>
  <si>
    <t>Controles ayudan a disminuir probabilidad</t>
  </si>
  <si>
    <t>Controles ayudan a disminuir impacto</t>
  </si>
  <si>
    <t xml:space="preserve"> # de columnas en la matriz de riesgo que se desplaza en el eje de probabilidad</t>
  </si>
  <si>
    <t xml:space="preserve"> # de columnas en la matriz de riesgo que se desplaza en el eje de impacto</t>
  </si>
  <si>
    <t>¿Afectar la imagen nacional?</t>
  </si>
  <si>
    <t>Diseño del proceso</t>
  </si>
  <si>
    <t>¿Generar daño ambiental?</t>
  </si>
  <si>
    <t>Interacción con otros procesos</t>
  </si>
  <si>
    <t>Transversalidad</t>
  </si>
  <si>
    <t>Procedimientos asociados</t>
  </si>
  <si>
    <t>Peso de la ejecución</t>
  </si>
  <si>
    <t>Descripción de la ejecución</t>
  </si>
  <si>
    <t>Puntaje</t>
  </si>
  <si>
    <t>Responsables del proceso</t>
  </si>
  <si>
    <t>El control se ejecuta de manera consistente por parte del responsable</t>
  </si>
  <si>
    <t>Comunicación entre procesos</t>
  </si>
  <si>
    <t>El control se ejecuta algunas veces por parte del responsable</t>
  </si>
  <si>
    <t>Activos de seguridad digital</t>
  </si>
  <si>
    <t>Débil</t>
  </si>
  <si>
    <t>El control no se ejecuta por parte del responsable</t>
  </si>
  <si>
    <t>Tipología Riesgos</t>
  </si>
  <si>
    <t>Coordenada</t>
  </si>
  <si>
    <t>Nivel de Riesgo</t>
  </si>
  <si>
    <t>El promedio de la solidez individual de cada control al sumarlos y ponderarlos es igual a 100.</t>
  </si>
  <si>
    <t>El promedio de la solidez individual de cada control al sumarlos y ponderarlos está entre 50 y 99.</t>
  </si>
  <si>
    <t>El promedio de la solidez individual de cada control al sumarlos y ponderarlos es menor a 50.</t>
  </si>
  <si>
    <t>Peso o participación de cada variable en el diseño del
control para la mitigación del riesgo</t>
  </si>
  <si>
    <t>Criterio de Evaluación</t>
  </si>
  <si>
    <t>Opción de respuesta al criterio de evaluación</t>
  </si>
  <si>
    <t>Peso en la evaluación del diseño del control</t>
  </si>
  <si>
    <t>1.1 Asignación del responsable</t>
  </si>
  <si>
    <t>No asignado</t>
  </si>
  <si>
    <t>1.2 Segregación y autoridad del responsable.</t>
  </si>
  <si>
    <t>Inadecuado</t>
  </si>
  <si>
    <t>2. Periodicidad</t>
  </si>
  <si>
    <t>Inoportuna</t>
  </si>
  <si>
    <t>3. Propósito</t>
  </si>
  <si>
    <t>Tipos de Proceso</t>
  </si>
  <si>
    <t>No es un control</t>
  </si>
  <si>
    <t>4. Cómo se  realiza
la actividad de control.</t>
  </si>
  <si>
    <t>No confiable</t>
  </si>
  <si>
    <t>5. Qué pasa con las observaciones o desviaciones</t>
  </si>
  <si>
    <t>6. Evidencia de la ejecución del control.</t>
  </si>
  <si>
    <t>Respuesta cerrada</t>
  </si>
  <si>
    <t>Incompleta</t>
  </si>
  <si>
    <t>No existe</t>
  </si>
  <si>
    <t>Puntaje máximo posible</t>
  </si>
  <si>
    <t>Pto</t>
  </si>
  <si>
    <t>Rango de calificación del diseño</t>
  </si>
  <si>
    <t>Resultado - Peso en la evaluación del diseño del control</t>
  </si>
  <si>
    <t>Calificación entre 96 y 100</t>
  </si>
  <si>
    <t>Segregación y autoridad del responsable.</t>
  </si>
  <si>
    <t>EVALUACIÓN DE IMPACTO</t>
  </si>
  <si>
    <t>Calificación entre 86 y 95</t>
  </si>
  <si>
    <t>Calificación entre 0 y 85</t>
  </si>
  <si>
    <t>Peso Individual del diseño (diseño)</t>
  </si>
  <si>
    <t>El control se ejecuta de manera consistente por los responsables (ejecución)</t>
  </si>
  <si>
    <t>Solidez individual de cada control
Fuerte = 100
Moderado = 50
Débil = 0</t>
  </si>
  <si>
    <t>¿Requiere acción para mejorar el control?</t>
  </si>
  <si>
    <t>Fuerte calificación entre 96 y 100</t>
  </si>
  <si>
    <t>Fuerte (siempre se ejecuta)</t>
  </si>
  <si>
    <t>fuerte + fuerte = fuerte</t>
  </si>
  <si>
    <t>Moderado (algunas veces)</t>
  </si>
  <si>
    <t>fuerte + moderado = moderado</t>
  </si>
  <si>
    <t>Si</t>
  </si>
  <si>
    <t>Débil (no se ejecuta)</t>
  </si>
  <si>
    <t>fuerte + débil = débil</t>
  </si>
  <si>
    <t>Moderado calificación entre 86 y 95</t>
  </si>
  <si>
    <t>moderado + fuerte = moderado</t>
  </si>
  <si>
    <t>moderado + moderado = moderado</t>
  </si>
  <si>
    <t>moderado + débil = débil</t>
  </si>
  <si>
    <t>Débil calificación entre 0 y 85</t>
  </si>
  <si>
    <t>débil + fuerte = débil</t>
  </si>
  <si>
    <t>débil + moderado = débil</t>
  </si>
  <si>
    <t>Cómo se realiza la actividad de control.</t>
  </si>
  <si>
    <t>débil + débil = débil</t>
  </si>
  <si>
    <t>Evidencia de la ejecución del control.</t>
  </si>
  <si>
    <t>Tipo de Control</t>
  </si>
  <si>
    <t>Compartir</t>
  </si>
  <si>
    <t>Influencia del Control</t>
  </si>
  <si>
    <t>Tratamiento del riesgo</t>
  </si>
  <si>
    <t xml:space="preserve">Fuentes de materialización del riesgo </t>
  </si>
  <si>
    <t>3. Documentos externos</t>
  </si>
  <si>
    <t>Tipos de control</t>
  </si>
  <si>
    <t xml:space="preserve">5. Indicadores o datos </t>
  </si>
  <si>
    <t>Plan de acción (solo para la opción reducir)</t>
  </si>
  <si>
    <t>6. Resultados de la Rrevisión por la Ddirección (RPxD). </t>
  </si>
  <si>
    <t>Finalizado</t>
  </si>
  <si>
    <t>7. Satisfacción deal cliente </t>
  </si>
  <si>
    <t>En curso</t>
  </si>
  <si>
    <t>8. Fallas en los procesos que afectan la seguridad de la información. </t>
  </si>
  <si>
    <t>9. Informes de Investigación de accidentes, incidentes y enfermedades laborales. </t>
  </si>
  <si>
    <t>Clasificación del riesgo</t>
  </si>
  <si>
    <t>Atributos de eficiencia</t>
  </si>
  <si>
    <t>10. Quejas, reclamos y apelaciones. </t>
  </si>
  <si>
    <t>Daños activos físicos / Eventos externos</t>
  </si>
  <si>
    <t>11. Aseguramiento de la validez de los resultados</t>
  </si>
  <si>
    <t>Fallas tecnológicas</t>
  </si>
  <si>
    <t>13. Simulacros </t>
  </si>
  <si>
    <t>Fraude externo</t>
  </si>
  <si>
    <t>14. MIPG </t>
  </si>
  <si>
    <t>Fraude interno</t>
  </si>
  <si>
    <t>Tipos de riesgos</t>
  </si>
  <si>
    <t>15. Supervisiones de Producción y Calidad </t>
  </si>
  <si>
    <t>Relaciones laborales</t>
  </si>
  <si>
    <t>16. Encuestas de percepción </t>
  </si>
  <si>
    <t xml:space="preserve">Usuarios, productos y prácticas </t>
  </si>
  <si>
    <t>17. Hallazgos con presunta incidencia fiscal</t>
  </si>
  <si>
    <t>Variable de Seguridad que Afecta</t>
  </si>
  <si>
    <t>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t>
  </si>
  <si>
    <t>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t>
  </si>
  <si>
    <t>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t>
  </si>
  <si>
    <t>Aplica para todos los procesos del INM y los requisitos de las normas definidos dentro de la política del Sistema Integrado de Gestión. Inicia con la planificación, termina con la implementacion de acciones y su evaluacion de la eficacia</t>
  </si>
  <si>
    <t>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t>
  </si>
  <si>
    <t>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t>
  </si>
  <si>
    <t>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t>
  </si>
  <si>
    <t>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t>
  </si>
  <si>
    <t>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t>
  </si>
  <si>
    <t>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t>
  </si>
  <si>
    <t>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t>
  </si>
  <si>
    <t>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t>
  </si>
  <si>
    <t>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t>
  </si>
  <si>
    <t>Inicia con el establecimiento de los procedimientos y demás documentos del proceso y culmina con la evaluación de la satisfacción de las capacitaciones y la toma de acciones de mejoramiento por parte de los responsables del proceso.</t>
  </si>
  <si>
    <t>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t>
  </si>
  <si>
    <t>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t>
  </si>
  <si>
    <t>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t>
  </si>
  <si>
    <t>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t>
  </si>
  <si>
    <t>Seguridad de la información</t>
  </si>
  <si>
    <t>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t>
  </si>
  <si>
    <t>El proceso inicia con la planificación de los servicios de ensayos de aptitud y estudios colaborativos (comparaciones interlaboratorios) y finaliza con la aplicación de la evaluación de la satisfacción del servicio.</t>
  </si>
  <si>
    <t>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t>
  </si>
  <si>
    <t>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t>
  </si>
  <si>
    <t>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t>
  </si>
  <si>
    <t>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t>
  </si>
  <si>
    <t>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t>
  </si>
  <si>
    <t>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t>
  </si>
  <si>
    <t>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t>
  </si>
  <si>
    <t>Inicia desde la desagregación del presupuesto de gastos e ingresos y termina con la gestión del pago y el registro de las operaciones.</t>
  </si>
  <si>
    <t>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t>
  </si>
  <si>
    <t>Inicia desde la ocurrencia del hecho generador de la actuación administrativa o acción extrajudicial (conciliación) o judicial (demanda) hasta la terminación del respectivo proceso judicial o administrativo y/o archivo.</t>
  </si>
  <si>
    <t>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t>
  </si>
  <si>
    <t>Inicia desde la producción y/o recepción de los documentos y termina con la eliminación o conservación total en un archivo permanente. Aplica al manejo de toda la documentación en medio de soporte físico o electrónico.</t>
  </si>
  <si>
    <t>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t>
  </si>
  <si>
    <t>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t>
  </si>
  <si>
    <t>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t>
  </si>
  <si>
    <t>Inicia con los requerimientos institucionales y termina con la atención de las necesidades presentadas por las diferentes áreas del INM.</t>
  </si>
  <si>
    <t>Determinar la responsabilidad de los servidores públicos del INM en relación con conductas disciplinarias establecidas en las Leyes 1952 de 2019 y 2094 de 2021 (Código General Disciplinario y Reforma) adelantando oportuna y eficazmente las indagaciones o investigaciones a que haya lugar e imponiendo las sanciones legales que correspondan, para asegurar el comportamiento ético, la moralidad y la eficiencia de los servidores públicos redundando en el buen funcionamiento de los diferentes servicios a su cargo
El proceso se relaciona con el objetivo estratégico: Fortalecer la capacidad administrativa y de desempeño institucional para garantizar la eficiencia y calidad a los procesos de la entidad</t>
  </si>
  <si>
    <t>Inicia con una queja, solicitud o informe respecto a la presunta conducta irregular de un servidor público y termina con una decisión inhibitoria, de archivo, absolutoria o sancionatoria.</t>
  </si>
  <si>
    <t>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t>
  </si>
  <si>
    <t>Inicia con la radicación de solicitud de contratación y finaliza con la terminación de la relación contractual.</t>
  </si>
  <si>
    <t>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t>
  </si>
  <si>
    <t>Inicia con la verificación del cumplimiento de requerimientos de diseño y desarrollo y finaliza con la recepción y entrega del producto o servicio al cliente y la gestión de acciones de mejoramiento originadas de las diferentes fuentes identificadas.</t>
  </si>
  <si>
    <t>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t>
  </si>
  <si>
    <t>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t>
  </si>
  <si>
    <t>GRUPO</t>
  </si>
  <si>
    <t>ACTIVOS</t>
  </si>
  <si>
    <t>SURDO</t>
  </si>
  <si>
    <t>SASM</t>
  </si>
  <si>
    <t>Servicios en Línea</t>
  </si>
  <si>
    <t>Recaudos</t>
  </si>
  <si>
    <t>Intranet</t>
  </si>
  <si>
    <t>SISEPM</t>
  </si>
  <si>
    <t>Hoja de Vida Equipos</t>
  </si>
  <si>
    <t>Seguimiento Planes</t>
  </si>
  <si>
    <t>Biblioteca Digital</t>
  </si>
  <si>
    <t>Sistema Biostar</t>
  </si>
  <si>
    <t>BPMetro</t>
  </si>
  <si>
    <t>elearning</t>
  </si>
  <si>
    <t>Encuestas on line</t>
  </si>
  <si>
    <t>Hora legal</t>
  </si>
  <si>
    <t>Página WEB</t>
  </si>
  <si>
    <t>SGDEA</t>
  </si>
  <si>
    <t>SRV ANDROMEDA 2</t>
  </si>
  <si>
    <t>SRV ORION</t>
  </si>
  <si>
    <t>SRV ORION-DC</t>
  </si>
  <si>
    <t>SRV ORION-CENAM</t>
  </si>
  <si>
    <t>Srv-Wsus</t>
  </si>
  <si>
    <t>SRV Alemania</t>
  </si>
  <si>
    <t>SRV PEGASO</t>
  </si>
  <si>
    <t>SRV - Hora Legal principal</t>
  </si>
  <si>
    <t>SRV CENTAUROS</t>
  </si>
  <si>
    <t>SRV Hora legal - bkp</t>
  </si>
  <si>
    <t>SRV HERMES</t>
  </si>
  <si>
    <t>SRV HYDRA</t>
  </si>
  <si>
    <t>Planta Telefónica</t>
  </si>
  <si>
    <t>Srv-Bases-de-Datos</t>
  </si>
  <si>
    <t>srvcactus</t>
  </si>
  <si>
    <t>Srv_SGDEA</t>
  </si>
  <si>
    <t>isolucion-producción</t>
  </si>
  <si>
    <t>srv_backup</t>
  </si>
  <si>
    <t>srv_bd2</t>
  </si>
  <si>
    <t>Adm_SAN</t>
  </si>
  <si>
    <t>BK_pweb</t>
  </si>
  <si>
    <t>Srv_Transferencias</t>
  </si>
  <si>
    <t>Herramientas de copia de respaldo</t>
  </si>
  <si>
    <t>Unidad de cintas LTO6</t>
  </si>
  <si>
    <t>Cintas de backup</t>
  </si>
  <si>
    <t>Srv_backup</t>
  </si>
  <si>
    <t>Equipo de cómputo esclavo</t>
  </si>
  <si>
    <t>Computador asociado a Espectrofotómetro Thermo Scientific Evolution 201</t>
  </si>
  <si>
    <t>Computador asociado al Cromatógrafo de Gases 7890A con detectores FID, ECD y MSD</t>
  </si>
  <si>
    <t>Computador asociado al cromatógrafo de gases 7890A con detectores  FID y TCD con HS</t>
  </si>
  <si>
    <t>Laboratorios</t>
  </si>
  <si>
    <t>300.105.1 Estudios Técnicos designación de Patrones Nacionales</t>
  </si>
  <si>
    <t>300.195.19 Planes quinquenales</t>
  </si>
  <si>
    <t>310.130 HOJA DE VIDA DE EQUIPOS METROLÓGICOS</t>
  </si>
  <si>
    <t>310.135.10 Informes de Investigaciones Metrológicas</t>
  </si>
  <si>
    <t>310.145.2 Instrumentos de control de aseguramiento de la validez de los resultados</t>
  </si>
  <si>
    <t>320.130 HOJA DE VIDA DE EQUIPOS METROLÓGICOS</t>
  </si>
  <si>
    <t>320.135.10 Informes de Investigaciones Metrológicas</t>
  </si>
  <si>
    <t>320.145.2 Instrumentos de control de aseguramiento de la validez de los resultados</t>
  </si>
  <si>
    <t>330.130 HOJA DE VIDA DE EQUIPOS METROLÓGICOS</t>
  </si>
  <si>
    <t>330.135.10 Informes de Investigaciones Metrológicas</t>
  </si>
  <si>
    <t>330.145.2 Instrumentos de control de aseguramiento de la validez de los resultados</t>
  </si>
  <si>
    <t>310.205.3 Proceso de calibración y medición densidad</t>
  </si>
  <si>
    <t>310.205.5 Proceso de calibración y medición flujo de gas</t>
  </si>
  <si>
    <t>310.205.7 Proceso de calibración y medición masa</t>
  </si>
  <si>
    <t>310.205.13 Proceso de calibración y medición volumen</t>
  </si>
  <si>
    <t>310.205.14 Proceso de calibración y medición viscosidad</t>
  </si>
  <si>
    <t>320.205.4 Proceso de calibración y medición longitud</t>
  </si>
  <si>
    <t>320.205.6 Proceso de calibración y medición fuerza</t>
  </si>
  <si>
    <t>320.205.8 Proceso de calibración y medición par torsional</t>
  </si>
  <si>
    <t>320.205.10 Proceso de calibración y medición presión</t>
  </si>
  <si>
    <t>320.205.5 Proceso de calibración y medición dureza</t>
  </si>
  <si>
    <t>330.205.2 Proceso de calibración Y medición corriente continua</t>
  </si>
  <si>
    <t>330.205.11 Proceso de calibración y medición temperatura y humedad</t>
  </si>
  <si>
    <t>330.205.9 Proceso de calibración y medición potencia  y energía</t>
  </si>
  <si>
    <t>330.205.12 Proceso de calibración y medición, tiempo y frecuencia</t>
  </si>
  <si>
    <t>320.205.16 Proceso de calibración y medición calidad de energía</t>
  </si>
  <si>
    <t>220.75.1 Contrato de Ciencia y Tecnología</t>
  </si>
  <si>
    <t>220.75.2 Contrato de Compraventa</t>
  </si>
  <si>
    <t>220.75.3 Contrato de Consultoría</t>
  </si>
  <si>
    <t>220.75.4 Contrato de obra</t>
  </si>
  <si>
    <t>220.75.5 Contrato de Prestación de Servicios</t>
  </si>
  <si>
    <t>220.75.6 Contrato de Suministro</t>
  </si>
  <si>
    <t xml:space="preserve">Formato Mapa Riesgos </t>
  </si>
  <si>
    <t>Proceso:</t>
  </si>
  <si>
    <t>Objetivo:</t>
  </si>
  <si>
    <t>Alcance:</t>
  </si>
  <si>
    <t>Plan de Acción</t>
  </si>
  <si>
    <t>Fecha Seguimiento</t>
  </si>
  <si>
    <t>Seguimiento</t>
  </si>
  <si>
    <t>SDFASDFAS</t>
  </si>
  <si>
    <t>Registro Sustancial</t>
  </si>
  <si>
    <t>Registro Material</t>
  </si>
  <si>
    <t>Sin registro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</si>
</sst>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0.0%"/>
    <numFmt numFmtId="165" formatCode="d/m/yyyy"/>
    <numFmt numFmtId="166" formatCode="yyyy\-mm\-dd;@"/>
    <numFmt numFmtId="167" formatCode="yyyy/mm/dd;@"/>
  </numFmts>
  <fonts count="178" x14ac:knownFonts="1">
    <font>
      <sz val="11"/>
      <color theme="1"/>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22"/>
      <color theme="1"/>
      <name val="Arial Narrow"/>
      <family val="2"/>
    </font>
    <font>
      <sz val="11"/>
      <name val="Arial"/>
      <family val="2"/>
    </font>
    <font>
      <sz val="11"/>
      <color theme="1"/>
      <name val="Arial Narrow"/>
      <family val="2"/>
    </font>
    <font>
      <b/>
      <sz val="18"/>
      <color theme="1"/>
      <name val="Arial Narrow"/>
      <family val="2"/>
    </font>
    <font>
      <sz val="14"/>
      <color theme="1"/>
      <name val="Arial Narrow"/>
      <family val="2"/>
    </font>
    <font>
      <b/>
      <sz val="11"/>
      <color theme="1"/>
      <name val="Arial Narrow"/>
      <family val="2"/>
    </font>
    <font>
      <b/>
      <sz val="14"/>
      <color theme="1"/>
      <name val="Arial Narrow"/>
      <family val="2"/>
    </font>
    <font>
      <sz val="10"/>
      <color theme="1"/>
      <name val="Arial Narrow"/>
      <family val="2"/>
    </font>
    <font>
      <sz val="11"/>
      <color theme="1"/>
      <name val="Calibri"/>
      <family val="2"/>
    </font>
    <font>
      <b/>
      <sz val="9"/>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sz val="24"/>
      <color theme="1"/>
      <name val="Arial Narrow"/>
      <family val="2"/>
    </font>
    <font>
      <b/>
      <sz val="20"/>
      <color theme="1"/>
      <name val="Calibri"/>
      <family val="2"/>
    </font>
    <font>
      <b/>
      <sz val="12"/>
      <color rgb="FF000000"/>
      <name val="Calibri"/>
      <family val="2"/>
    </font>
    <font>
      <b/>
      <sz val="24"/>
      <color rgb="FF000000"/>
      <name val="Calibri"/>
      <family val="2"/>
    </font>
    <font>
      <b/>
      <sz val="18"/>
      <color rgb="FF000000"/>
      <name val="Calibri"/>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24"/>
      <color theme="1"/>
      <name val="Arial"/>
      <family val="2"/>
    </font>
    <font>
      <b/>
      <sz val="24"/>
      <color rgb="FF000000"/>
      <name val="Arial Narrow"/>
      <family val="2"/>
    </font>
    <font>
      <sz val="11"/>
      <color theme="0"/>
      <name val="Calibri"/>
      <family val="2"/>
    </font>
    <font>
      <sz val="26"/>
      <color rgb="FF000000"/>
      <name val="Arial Narrow"/>
      <family val="2"/>
    </font>
    <font>
      <sz val="26"/>
      <color rgb="FFFFFFFF"/>
      <name val="Arial Narrow"/>
      <family val="2"/>
    </font>
    <font>
      <sz val="16"/>
      <color rgb="FF000000"/>
      <name val="Arial Narrow"/>
      <family val="2"/>
    </font>
    <font>
      <sz val="16"/>
      <color rgb="FFFF0000"/>
      <name val="Arial Narrow"/>
      <family val="2"/>
    </font>
    <font>
      <sz val="16"/>
      <color rgb="FFFF0000"/>
      <name val="Calibri"/>
      <family val="2"/>
    </font>
    <font>
      <sz val="11"/>
      <color rgb="FFFF0000"/>
      <name val="Calibri"/>
      <family val="2"/>
    </font>
    <font>
      <sz val="11"/>
      <color rgb="FF030303"/>
      <name val="Arial"/>
      <family val="2"/>
    </font>
    <font>
      <sz val="10"/>
      <color theme="1"/>
      <name val="Calibri"/>
      <family val="2"/>
    </font>
    <font>
      <b/>
      <sz val="14"/>
      <color rgb="FF000000"/>
      <name val="Arial Narrow"/>
      <family val="2"/>
    </font>
    <font>
      <sz val="12"/>
      <color theme="1"/>
      <name val="Calibri"/>
      <family val="2"/>
    </font>
    <font>
      <b/>
      <sz val="12"/>
      <color rgb="FF000000"/>
      <name val="Arial Narrow"/>
      <family val="2"/>
    </font>
    <font>
      <sz val="12"/>
      <color rgb="FF000000"/>
      <name val="Arial Narrow"/>
      <family val="2"/>
    </font>
    <font>
      <sz val="12"/>
      <color theme="1"/>
      <name val="Arial Narrow"/>
      <family val="2"/>
    </font>
    <font>
      <sz val="10"/>
      <color rgb="FF000000"/>
      <name val="Arial Narrow"/>
      <family val="2"/>
    </font>
    <font>
      <b/>
      <sz val="11"/>
      <color rgb="FFE36C09"/>
      <name val="Arial Narrow"/>
      <family val="2"/>
    </font>
    <font>
      <b/>
      <sz val="12"/>
      <color rgb="FFE36C09"/>
      <name val="Arial Narrow"/>
      <family val="2"/>
    </font>
    <font>
      <b/>
      <sz val="11"/>
      <color theme="1"/>
      <name val="Calibri"/>
      <family val="2"/>
      <scheme val="minor"/>
    </font>
    <font>
      <b/>
      <sz val="9"/>
      <color theme="1"/>
      <name val="Calibri"/>
      <family val="2"/>
      <scheme val="minor"/>
    </font>
    <font>
      <sz val="9"/>
      <color theme="1"/>
      <name val="Calibri"/>
      <family val="2"/>
      <scheme val="minor"/>
    </font>
    <font>
      <sz val="16"/>
      <color theme="1"/>
      <name val="Calibri"/>
      <family val="2"/>
      <scheme val="minor"/>
    </font>
    <font>
      <b/>
      <sz val="12"/>
      <color theme="1"/>
      <name val="Calibri"/>
      <family val="2"/>
      <scheme val="minor"/>
    </font>
    <font>
      <u/>
      <sz val="11"/>
      <color theme="10"/>
      <name val="Calibri"/>
      <family val="2"/>
      <scheme val="minor"/>
    </font>
    <font>
      <u/>
      <sz val="11"/>
      <color theme="0"/>
      <name val="Calibri"/>
      <family val="2"/>
      <scheme val="minor"/>
    </font>
    <font>
      <sz val="10"/>
      <color theme="1"/>
      <name val="Calibri"/>
      <family val="2"/>
      <scheme val="minor"/>
    </font>
    <font>
      <b/>
      <sz val="10"/>
      <color theme="1"/>
      <name val="Calibri"/>
      <family val="2"/>
      <scheme val="minor"/>
    </font>
    <font>
      <u/>
      <sz val="11"/>
      <name val="Calibri"/>
      <family val="2"/>
      <scheme val="minor"/>
    </font>
    <font>
      <i/>
      <sz val="10"/>
      <color theme="1"/>
      <name val="Calibri"/>
      <family val="2"/>
      <scheme val="minor"/>
    </font>
    <font>
      <sz val="9"/>
      <color indexed="81"/>
      <name val="Tahoma"/>
      <family val="2"/>
    </font>
    <font>
      <sz val="8"/>
      <color theme="1"/>
      <name val="Calibri"/>
      <family val="2"/>
      <scheme val="minor"/>
    </font>
    <font>
      <sz val="8"/>
      <name val="Calibri"/>
      <family val="2"/>
      <scheme val="minor"/>
    </font>
    <font>
      <sz val="8"/>
      <color rgb="FFFF0000"/>
      <name val="Calibri"/>
      <family val="2"/>
      <scheme val="minor"/>
    </font>
    <font>
      <b/>
      <sz val="11"/>
      <color rgb="FFFF0000"/>
      <name val="Calibri"/>
      <family val="2"/>
      <scheme val="minor"/>
    </font>
    <font>
      <b/>
      <sz val="11"/>
      <color rgb="FFFFFFFF"/>
      <name val="Calibri"/>
      <family val="2"/>
      <scheme val="minor"/>
    </font>
    <font>
      <b/>
      <sz val="9"/>
      <color rgb="FF0070C0"/>
      <name val="Calibri"/>
      <family val="2"/>
      <scheme val="minor"/>
    </font>
    <font>
      <sz val="9"/>
      <color rgb="FFFF0000"/>
      <name val="Calibri"/>
      <family val="2"/>
      <scheme val="minor"/>
    </font>
    <font>
      <sz val="11"/>
      <color theme="1"/>
      <name val="Arial"/>
      <family val="2"/>
    </font>
    <font>
      <b/>
      <sz val="11"/>
      <color theme="2" tint="-4.9989318521683403E-2"/>
      <name val="Arial"/>
      <family val="2"/>
    </font>
    <font>
      <b/>
      <sz val="14"/>
      <color theme="0"/>
      <name val="Arial"/>
      <family val="2"/>
    </font>
    <font>
      <sz val="11"/>
      <color theme="1"/>
      <name val="Arial"/>
      <family val="2"/>
    </font>
    <font>
      <b/>
      <sz val="11"/>
      <color theme="1"/>
      <name val="Arial"/>
      <family val="2"/>
    </font>
    <font>
      <sz val="11"/>
      <color rgb="FF000000"/>
      <name val="Calibri"/>
      <family val="2"/>
    </font>
    <font>
      <sz val="10"/>
      <name val="Calibri"/>
      <family val="2"/>
    </font>
    <font>
      <sz val="11"/>
      <color rgb="FF444444"/>
      <name val="Calibri"/>
      <family val="2"/>
      <charset val="1"/>
    </font>
    <font>
      <b/>
      <sz val="11"/>
      <color theme="1"/>
      <name val="Calibri"/>
      <family val="2"/>
    </font>
    <font>
      <sz val="10"/>
      <name val="Arial Narrow"/>
      <family val="2"/>
    </font>
    <font>
      <b/>
      <sz val="10"/>
      <name val="Arial Narrow"/>
      <family val="2"/>
    </font>
    <font>
      <i/>
      <sz val="10"/>
      <name val="Arial Narrow"/>
      <family val="2"/>
    </font>
    <font>
      <i/>
      <sz val="10"/>
      <color rgb="FF000000"/>
      <name val="Arial Narrow"/>
      <family val="2"/>
    </font>
    <font>
      <b/>
      <i/>
      <u/>
      <sz val="10"/>
      <color rgb="FF000000"/>
      <name val="Arial Narrow"/>
      <family val="2"/>
    </font>
    <font>
      <b/>
      <sz val="11"/>
      <color rgb="FF000000"/>
      <name val="Arial Narrow"/>
      <family val="2"/>
    </font>
    <font>
      <b/>
      <sz val="11"/>
      <color theme="1"/>
      <name val="Verdana"/>
      <family val="2"/>
    </font>
    <font>
      <sz val="11"/>
      <name val="Verdana"/>
      <family val="2"/>
    </font>
    <font>
      <sz val="11"/>
      <color theme="1"/>
      <name val="Verdana"/>
      <family val="2"/>
    </font>
    <font>
      <b/>
      <sz val="14"/>
      <color theme="1"/>
      <name val="Verdana"/>
      <family val="2"/>
    </font>
    <font>
      <b/>
      <sz val="11"/>
      <color rgb="FF000000"/>
      <name val="Verdana"/>
      <family val="2"/>
    </font>
    <font>
      <sz val="11"/>
      <color rgb="FF000000"/>
      <name val="Verdana"/>
      <family val="2"/>
    </font>
    <font>
      <b/>
      <sz val="9"/>
      <color theme="0"/>
      <name val="Verdana"/>
      <family val="2"/>
    </font>
    <font>
      <b/>
      <sz val="9"/>
      <color theme="2"/>
      <name val="Verdana"/>
      <family val="2"/>
    </font>
    <font>
      <sz val="9"/>
      <color theme="1"/>
      <name val="Verdana"/>
      <family val="2"/>
    </font>
    <font>
      <b/>
      <sz val="10"/>
      <color rgb="FF000000"/>
      <name val="Verdana"/>
      <family val="2"/>
    </font>
    <font>
      <sz val="11"/>
      <color theme="2" tint="-0.34998626667073579"/>
      <name val="Verdana"/>
      <family val="2"/>
    </font>
    <font>
      <sz val="10"/>
      <color theme="1"/>
      <name val="Verdana"/>
      <family val="2"/>
    </font>
    <font>
      <b/>
      <sz val="9"/>
      <color theme="3"/>
      <name val="Verdana"/>
      <family val="2"/>
    </font>
    <font>
      <sz val="12"/>
      <color theme="1"/>
      <name val="Verdana"/>
      <family val="2"/>
    </font>
    <font>
      <b/>
      <sz val="16"/>
      <color theme="2"/>
      <name val="Verdana"/>
      <family val="2"/>
    </font>
    <font>
      <sz val="16"/>
      <color theme="2"/>
      <name val="Verdana"/>
      <family val="2"/>
    </font>
    <font>
      <b/>
      <u/>
      <sz val="11"/>
      <color theme="1"/>
      <name val="Verdana"/>
      <family val="2"/>
    </font>
    <font>
      <b/>
      <sz val="10"/>
      <color theme="1"/>
      <name val="Verdana"/>
      <family val="2"/>
    </font>
    <font>
      <b/>
      <sz val="9"/>
      <color theme="1"/>
      <name val="Verdana"/>
      <family val="2"/>
    </font>
    <font>
      <b/>
      <sz val="9"/>
      <color rgb="FFE36C09"/>
      <name val="Verdana"/>
      <family val="2"/>
    </font>
    <font>
      <b/>
      <sz val="9"/>
      <color indexed="81"/>
      <name val="Tahoma"/>
      <family val="2"/>
    </font>
    <font>
      <sz val="11"/>
      <color theme="1"/>
      <name val="Arial"/>
      <family val="2"/>
    </font>
    <font>
      <sz val="11"/>
      <color rgb="FF000000"/>
      <name val="Arial Narrow"/>
      <family val="2"/>
    </font>
    <font>
      <sz val="11"/>
      <name val="Arial Narrow"/>
      <family val="2"/>
    </font>
    <font>
      <sz val="9"/>
      <color rgb="FF000000"/>
      <name val="Verdana"/>
      <family val="2"/>
    </font>
    <font>
      <b/>
      <sz val="9"/>
      <color rgb="FF000000"/>
      <name val="Verdana"/>
      <family val="2"/>
    </font>
    <font>
      <sz val="10"/>
      <color rgb="FF000000"/>
      <name val="Verdana"/>
      <family val="2"/>
    </font>
    <font>
      <i/>
      <sz val="11"/>
      <color rgb="FF000000"/>
      <name val="Verdana"/>
      <family val="2"/>
    </font>
    <font>
      <sz val="11"/>
      <color rgb="FFFF0000"/>
      <name val="Verdana"/>
      <family val="2"/>
    </font>
    <font>
      <sz val="11"/>
      <color rgb="FF000000"/>
      <name val="Arial"/>
      <family val="2"/>
    </font>
    <font>
      <sz val="8"/>
      <name val="Arial"/>
      <family val="2"/>
    </font>
    <font>
      <b/>
      <sz val="11"/>
      <name val="Arial Narrow"/>
      <family val="2"/>
    </font>
    <font>
      <sz val="11"/>
      <color theme="1"/>
      <name val="Arial"/>
      <family val="2"/>
    </font>
    <font>
      <b/>
      <sz val="12"/>
      <name val="Arial"/>
      <family val="2"/>
    </font>
    <font>
      <sz val="12"/>
      <name val="Arial"/>
      <family val="2"/>
    </font>
    <font>
      <b/>
      <sz val="10"/>
      <color rgb="FF000000"/>
      <name val="Arial Narrow"/>
      <family val="2"/>
    </font>
    <font>
      <b/>
      <sz val="10"/>
      <color rgb="FF000000"/>
      <name val="Arial"/>
      <family val="2"/>
    </font>
    <font>
      <sz val="10"/>
      <color rgb="FF000000"/>
      <name val="Arial"/>
      <family val="2"/>
    </font>
    <font>
      <b/>
      <sz val="8"/>
      <color theme="1"/>
      <name val="Calibri"/>
      <family val="2"/>
      <scheme val="minor"/>
    </font>
    <font>
      <b/>
      <sz val="8"/>
      <color rgb="FF000000"/>
      <name val="Calibri"/>
      <family val="2"/>
      <scheme val="minor"/>
    </font>
    <font>
      <sz val="8"/>
      <color rgb="FF000000"/>
      <name val="Calibri"/>
      <family val="2"/>
      <scheme val="minor"/>
    </font>
    <font>
      <b/>
      <sz val="8"/>
      <name val="Calibri"/>
      <family val="2"/>
      <scheme val="minor"/>
    </font>
    <font>
      <sz val="9"/>
      <name val="Verdana"/>
      <family val="2"/>
    </font>
    <font>
      <u/>
      <sz val="11"/>
      <color theme="10"/>
      <name val="Arial"/>
      <family val="2"/>
    </font>
    <font>
      <u/>
      <sz val="11"/>
      <color rgb="FF0000FF"/>
      <name val="Arial"/>
      <family val="2"/>
    </font>
    <font>
      <sz val="11"/>
      <color rgb="FF808080"/>
      <name val="Arial"/>
      <family val="2"/>
    </font>
    <font>
      <strike/>
      <sz val="8"/>
      <color rgb="FF000000"/>
      <name val="Calibri"/>
      <family val="2"/>
      <scheme val="minor"/>
    </font>
    <font>
      <b/>
      <strike/>
      <sz val="8"/>
      <color rgb="FF000000"/>
      <name val="Calibri"/>
      <family val="2"/>
      <scheme val="minor"/>
    </font>
    <font>
      <sz val="8"/>
      <color rgb="FF000000"/>
      <name val="Calibri"/>
      <family val="2"/>
    </font>
    <font>
      <sz val="8"/>
      <color theme="1"/>
      <name val="Calibri"/>
      <family val="2"/>
      <scheme val="major"/>
    </font>
    <font>
      <b/>
      <sz val="9"/>
      <color theme="3"/>
      <name val="Calibri"/>
      <family val="2"/>
      <scheme val="major"/>
    </font>
    <font>
      <b/>
      <sz val="9"/>
      <color theme="0"/>
      <name val="Calibri"/>
      <family val="2"/>
      <scheme val="major"/>
    </font>
    <font>
      <b/>
      <sz val="8"/>
      <color theme="0"/>
      <name val="Calibri"/>
      <family val="2"/>
      <scheme val="major"/>
    </font>
    <font>
      <b/>
      <sz val="8"/>
      <color theme="1"/>
      <name val="Calibri"/>
      <family val="2"/>
      <scheme val="major"/>
    </font>
    <font>
      <b/>
      <sz val="8"/>
      <color rgb="FF000000"/>
      <name val="Calibri"/>
      <family val="2"/>
      <scheme val="major"/>
    </font>
    <font>
      <b/>
      <sz val="9"/>
      <color theme="2"/>
      <name val="Calibri"/>
      <family val="2"/>
      <scheme val="major"/>
    </font>
    <font>
      <sz val="8"/>
      <name val="Calibri"/>
      <family val="2"/>
      <scheme val="major"/>
    </font>
    <font>
      <b/>
      <sz val="8"/>
      <name val="Calibri"/>
      <family val="2"/>
      <scheme val="major"/>
    </font>
    <font>
      <sz val="11"/>
      <color theme="1"/>
      <name val="Calibri"/>
      <family val="2"/>
      <scheme val="major"/>
    </font>
    <font>
      <sz val="11"/>
      <color theme="2" tint="-0.34998626667073579"/>
      <name val="Calibri"/>
      <family val="2"/>
      <scheme val="major"/>
    </font>
    <font>
      <sz val="10"/>
      <color rgb="FF4F81BD"/>
      <name val="Verdana"/>
      <family val="2"/>
    </font>
    <font>
      <sz val="8"/>
      <name val="Arial"/>
      <family val="2"/>
    </font>
    <font>
      <sz val="10"/>
      <name val="Verdana"/>
      <family val="2"/>
    </font>
    <font>
      <u/>
      <sz val="10"/>
      <color rgb="FF000000"/>
      <name val="Verdana"/>
      <family val="2"/>
    </font>
    <font>
      <sz val="10"/>
      <color rgb="FF0070C0"/>
      <name val="Verdana"/>
      <family val="2"/>
    </font>
    <font>
      <b/>
      <sz val="11"/>
      <color rgb="FFFF0000"/>
      <name val="Arial Narrow"/>
      <family val="2"/>
    </font>
    <font>
      <sz val="11"/>
      <color theme="0"/>
      <name val="Arial"/>
      <family val="2"/>
    </font>
    <font>
      <sz val="9"/>
      <color rgb="FF0070C0"/>
      <name val="Verdana"/>
      <family val="2"/>
    </font>
    <font>
      <sz val="11"/>
      <color rgb="FFA6A6A6"/>
      <name val="Verdana"/>
      <family val="2"/>
    </font>
    <font>
      <b/>
      <sz val="9"/>
      <color rgb="FF0070C0"/>
      <name val="Verdana"/>
      <family val="2"/>
    </font>
    <font>
      <b/>
      <sz val="10"/>
      <color rgb="FF4F81BD"/>
      <name val="Verdana"/>
      <family val="2"/>
    </font>
    <font>
      <b/>
      <sz val="9"/>
      <color rgb="FF000000"/>
      <name val="Verdana"/>
    </font>
    <font>
      <sz val="9"/>
      <color rgb="FF000000"/>
      <name val="Verdana"/>
    </font>
    <font>
      <b/>
      <sz val="9"/>
      <color rgb="FF0070C0"/>
      <name val="Verdana"/>
    </font>
    <font>
      <sz val="11"/>
      <color rgb="FF000000"/>
      <name val="Verdana"/>
    </font>
    <font>
      <u/>
      <sz val="11"/>
      <color rgb="FF000000"/>
      <name val="Arial"/>
      <family val="2"/>
    </font>
    <font>
      <b/>
      <sz val="11"/>
      <color rgb="FF000000"/>
      <name val="Verdana"/>
    </font>
    <font>
      <i/>
      <sz val="11"/>
      <color rgb="FF000000"/>
      <name val="Verdana"/>
    </font>
    <font>
      <b/>
      <sz val="10"/>
      <color rgb="FF000000"/>
      <name val="Verdana"/>
    </font>
    <font>
      <sz val="10"/>
      <color rgb="FF000000"/>
      <name val="Verdana"/>
    </font>
    <font>
      <b/>
      <sz val="10"/>
      <color rgb="FF0070C0"/>
      <name val="Verdana"/>
    </font>
    <font>
      <sz val="10"/>
      <color rgb="FF4F81BD"/>
      <name val="Verdana"/>
    </font>
    <font>
      <sz val="11"/>
      <color rgb="FFFF0000"/>
      <name val="Verdana"/>
    </font>
    <font>
      <b/>
      <sz val="11"/>
      <color rgb="FF7030A0"/>
      <name val="Arial"/>
    </font>
    <font>
      <sz val="11"/>
      <color rgb="FF7030A0"/>
      <name val="Arial"/>
    </font>
    <font>
      <b/>
      <sz val="11"/>
      <color rgb="FF000000"/>
      <name val="Arial"/>
    </font>
    <font>
      <sz val="11"/>
      <color rgb="FF000000"/>
      <name val="Arial"/>
    </font>
    <font>
      <b/>
      <sz val="8"/>
      <color rgb="FF000000"/>
      <name val="Calibri"/>
      <scheme val="minor"/>
    </font>
    <font>
      <sz val="8"/>
      <color rgb="FF000000"/>
      <name val="Calibri"/>
      <scheme val="minor"/>
    </font>
    <font>
      <sz val="11"/>
      <color theme="1"/>
      <name val="Aptos"/>
      <family val="2"/>
      <charset val="1"/>
    </font>
    <font>
      <sz val="11"/>
      <color rgb="FF000000"/>
      <name val="Aptos"/>
      <family val="2"/>
      <charset val="1"/>
    </font>
    <font>
      <sz val="8"/>
      <color rgb="FF000000"/>
      <name val="Calibri"/>
    </font>
    <font>
      <b/>
      <sz val="11"/>
      <color rgb="FF7030A0"/>
      <name val="Arial"/>
      <family val="2"/>
    </font>
    <font>
      <b/>
      <sz val="11"/>
      <color rgb="FFE36C09"/>
      <name val="Verdana"/>
    </font>
  </fonts>
  <fills count="48">
    <fill>
      <patternFill patternType="none"/>
    </fill>
    <fill>
      <patternFill patternType="gray125"/>
    </fill>
    <fill>
      <patternFill patternType="solid">
        <fgColor rgb="FFFBD4B4"/>
        <bgColor rgb="FFFBD4B4"/>
      </patternFill>
    </fill>
    <fill>
      <patternFill patternType="solid">
        <fgColor theme="0"/>
        <bgColor theme="0"/>
      </patternFill>
    </fill>
    <fill>
      <patternFill patternType="solid">
        <fgColor rgb="FFFF0000"/>
        <bgColor rgb="FFFF0000"/>
      </patternFill>
    </fill>
    <fill>
      <patternFill patternType="solid">
        <fgColor rgb="FFFFFF00"/>
        <bgColor rgb="FFFFFF00"/>
      </patternFill>
    </fill>
    <fill>
      <patternFill patternType="solid">
        <fgColor rgb="FFFABF8F"/>
        <bgColor rgb="FFFABF8F"/>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92D050"/>
        <bgColor rgb="FF92D050"/>
      </patternFill>
    </fill>
    <fill>
      <patternFill patternType="solid">
        <fgColor rgb="FFBFBFBF"/>
        <bgColor rgb="FFBFBFBF"/>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DE9D9"/>
        <bgColor rgb="FFFDE9D9"/>
      </patternFill>
    </fill>
    <fill>
      <patternFill patternType="solid">
        <fgColor rgb="FFFFC0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rgb="FF002060"/>
        <bgColor rgb="FFFABF8F"/>
      </patternFill>
    </fill>
    <fill>
      <patternFill patternType="solid">
        <fgColor rgb="FF002060"/>
        <bgColor indexed="64"/>
      </patternFill>
    </fill>
    <fill>
      <patternFill patternType="solid">
        <fgColor theme="5"/>
        <bgColor indexed="64"/>
      </patternFill>
    </fill>
    <fill>
      <patternFill patternType="solid">
        <fgColor rgb="FF0070C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theme="4" tint="0.39997558519241921"/>
        <bgColor indexed="64"/>
      </patternFill>
    </fill>
    <fill>
      <patternFill patternType="solid">
        <fgColor theme="9"/>
        <bgColor indexed="64"/>
      </patternFill>
    </fill>
    <fill>
      <patternFill patternType="solid">
        <fgColor theme="4" tint="-0.249977111117893"/>
        <bgColor indexed="64"/>
      </patternFill>
    </fill>
    <fill>
      <patternFill patternType="solid">
        <fgColor rgb="FFFFFFFF"/>
        <bgColor rgb="FF000000"/>
      </patternFill>
    </fill>
    <fill>
      <patternFill patternType="solid">
        <fgColor rgb="FFFFFFFF"/>
        <bgColor rgb="FFFFFFFF"/>
      </patternFill>
    </fill>
    <fill>
      <patternFill patternType="solid">
        <fgColor rgb="FF00B0F0"/>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theme="8" tint="0.39997558519241921"/>
        <bgColor rgb="FFFBD4B4"/>
      </patternFill>
    </fill>
    <fill>
      <patternFill patternType="solid">
        <fgColor theme="2" tint="-0.249977111117893"/>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6" tint="0.39997558519241921"/>
        <bgColor indexed="64"/>
      </patternFill>
    </fill>
    <fill>
      <patternFill patternType="solid">
        <fgColor rgb="FF7030A0"/>
        <bgColor indexed="64"/>
      </patternFill>
    </fill>
  </fills>
  <borders count="125">
    <border>
      <left/>
      <right/>
      <top/>
      <bottom/>
      <diagonal/>
    </border>
    <border>
      <left style="dotted">
        <color rgb="FFE36C09"/>
      </left>
      <right/>
      <top style="dotted">
        <color rgb="FFE36C09"/>
      </top>
      <bottom/>
      <diagonal/>
    </border>
    <border>
      <left/>
      <right/>
      <top style="dotted">
        <color rgb="FFE36C09"/>
      </top>
      <bottom/>
      <diagonal/>
    </border>
    <border>
      <left style="dotted">
        <color rgb="FFE36C09"/>
      </left>
      <right/>
      <top style="dotted">
        <color rgb="FFE36C09"/>
      </top>
      <bottom style="dotted">
        <color rgb="FFE36C09"/>
      </bottom>
      <diagonal/>
    </border>
    <border>
      <left/>
      <right style="dotted">
        <color rgb="FFE36C09"/>
      </right>
      <top style="dotted">
        <color rgb="FFE36C09"/>
      </top>
      <bottom style="dotted">
        <color rgb="FFE36C09"/>
      </bottom>
      <diagonal/>
    </border>
    <border>
      <left/>
      <right/>
      <top style="dotted">
        <color rgb="FFE36C09"/>
      </top>
      <bottom style="dotted">
        <color rgb="FFE36C09"/>
      </bottom>
      <diagonal/>
    </border>
    <border>
      <left style="dotted">
        <color rgb="FFE36C09"/>
      </left>
      <right style="dotted">
        <color rgb="FFE36C09"/>
      </right>
      <top style="dotted">
        <color rgb="FFE36C09"/>
      </top>
      <bottom/>
      <diagonal/>
    </border>
    <border>
      <left style="dotted">
        <color rgb="FFE36C09"/>
      </left>
      <right/>
      <top/>
      <bottom/>
      <diagonal/>
    </border>
    <border>
      <left style="dotted">
        <color rgb="FFE36C09"/>
      </left>
      <right style="dotted">
        <color rgb="FFE36C09"/>
      </right>
      <top/>
      <bottom style="dotted">
        <color rgb="FFE36C09"/>
      </bottom>
      <diagonal/>
    </border>
    <border>
      <left style="dotted">
        <color rgb="FFE36C09"/>
      </left>
      <right style="dotted">
        <color rgb="FFE36C09"/>
      </right>
      <top style="dotted">
        <color rgb="FFE36C09"/>
      </top>
      <bottom style="dotted">
        <color rgb="FFE36C09"/>
      </bottom>
      <diagonal/>
    </border>
    <border>
      <left style="dotted">
        <color rgb="FFE36C09"/>
      </left>
      <right style="dotted">
        <color rgb="FFE36C09"/>
      </right>
      <top/>
      <bottom/>
      <diagonal/>
    </border>
    <border>
      <left/>
      <right style="dotted">
        <color rgb="FFE36C09"/>
      </right>
      <top style="dotted">
        <color rgb="FFE36C09"/>
      </top>
      <bottom/>
      <diagonal/>
    </border>
    <border>
      <left style="dotted">
        <color rgb="FFE36C09"/>
      </left>
      <right/>
      <top/>
      <bottom style="dotted">
        <color rgb="FFE36C09"/>
      </bottom>
      <diagonal/>
    </border>
    <border>
      <left/>
      <right/>
      <top/>
      <bottom style="dotted">
        <color rgb="FFE36C09"/>
      </bottom>
      <diagonal/>
    </border>
    <border>
      <left/>
      <right style="dotted">
        <color rgb="FFE36C09"/>
      </right>
      <top/>
      <bottom style="dotted">
        <color rgb="FFE36C09"/>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double">
        <color rgb="FF000000"/>
      </left>
      <right/>
      <top style="double">
        <color rgb="FF000000"/>
      </top>
      <bottom/>
      <diagonal/>
    </border>
    <border>
      <left/>
      <right style="thin">
        <color theme="0"/>
      </right>
      <top style="double">
        <color rgb="FF000000"/>
      </top>
      <bottom/>
      <diagonal/>
    </border>
    <border>
      <left style="thin">
        <color theme="0"/>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double">
        <color rgb="FF000000"/>
      </right>
      <top style="thin">
        <color rgb="FF000000"/>
      </top>
      <bottom style="hair">
        <color rgb="FF000000"/>
      </bottom>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uble">
        <color rgb="FF000000"/>
      </right>
      <top style="hair">
        <color rgb="FF000000"/>
      </top>
      <bottom style="hair">
        <color rgb="FF000000"/>
      </bottom>
      <diagonal/>
    </border>
    <border>
      <left/>
      <right/>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dotted">
        <color rgb="FFF79646"/>
      </left>
      <right style="dotted">
        <color rgb="FFF79646"/>
      </right>
      <top/>
      <bottom style="dotted">
        <color rgb="FFF79646"/>
      </bottom>
      <diagonal/>
    </border>
    <border>
      <left style="dotted">
        <color rgb="FFF79646"/>
      </left>
      <right style="dotted">
        <color rgb="FFF79646"/>
      </right>
      <top style="dotted">
        <color rgb="FFF79646"/>
      </top>
      <bottom style="dotted">
        <color rgb="FFF79646"/>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dashed">
        <color theme="8" tint="-0.249977111117893"/>
      </left>
      <right style="dashed">
        <color theme="8" tint="-0.249977111117893"/>
      </right>
      <top style="dashed">
        <color theme="8" tint="-0.249977111117893"/>
      </top>
      <bottom/>
      <diagonal/>
    </border>
    <border>
      <left style="dashed">
        <color theme="8" tint="-0.249977111117893"/>
      </left>
      <right style="dashed">
        <color theme="8" tint="-0.249977111117893"/>
      </right>
      <top style="thin">
        <color theme="8" tint="0.39997558519241921"/>
      </top>
      <bottom/>
      <diagonal/>
    </border>
    <border>
      <left style="dashed">
        <color theme="8" tint="-0.249977111117893"/>
      </left>
      <right style="dashed">
        <color theme="8" tint="-0.249977111117893"/>
      </right>
      <top/>
      <bottom style="dashed">
        <color theme="8" tint="-0.249977111117893"/>
      </bottom>
      <diagonal/>
    </border>
    <border>
      <left style="dashed">
        <color theme="8" tint="-0.249977111117893"/>
      </left>
      <right style="dashed">
        <color theme="8" tint="-0.249977111117893"/>
      </right>
      <top style="dashed">
        <color theme="8" tint="-0.249977111117893"/>
      </top>
      <bottom style="dashed">
        <color theme="8" tint="-0.249977111117893"/>
      </bottom>
      <diagonal/>
    </border>
    <border>
      <left style="dashed">
        <color theme="8" tint="-0.249977111117893"/>
      </left>
      <right/>
      <top/>
      <bottom style="dashed">
        <color theme="8" tint="-0.249977111117893"/>
      </bottom>
      <diagonal/>
    </border>
    <border>
      <left style="dashed">
        <color theme="8" tint="-0.249977111117893"/>
      </left>
      <right style="dashed">
        <color rgb="FF002060"/>
      </right>
      <top style="dashed">
        <color theme="8" tint="-0.249977111117893"/>
      </top>
      <bottom style="dashed">
        <color theme="8" tint="-0.249977111117893"/>
      </bottom>
      <diagonal/>
    </border>
    <border>
      <left style="dashed">
        <color rgb="FF002060"/>
      </left>
      <right style="dashed">
        <color rgb="FF002060"/>
      </right>
      <top style="dashed">
        <color rgb="FF002060"/>
      </top>
      <bottom style="dashed">
        <color theme="8" tint="-0.249977111117893"/>
      </bottom>
      <diagonal/>
    </border>
    <border>
      <left style="dashed">
        <color rgb="FF002060"/>
      </left>
      <right style="dashed">
        <color rgb="FF002060"/>
      </right>
      <top style="dashed">
        <color theme="8" tint="-0.249977111117893"/>
      </top>
      <bottom style="dashed">
        <color theme="8" tint="-0.249977111117893"/>
      </bottom>
      <diagonal/>
    </border>
    <border>
      <left style="dashed">
        <color theme="8" tint="-0.249977111117893"/>
      </left>
      <right style="dashed">
        <color rgb="FF002060"/>
      </right>
      <top style="dashed">
        <color theme="8" tint="-0.249977111117893"/>
      </top>
      <bottom/>
      <diagonal/>
    </border>
    <border>
      <left style="dashed">
        <color rgb="FF002060"/>
      </left>
      <right style="dashed">
        <color rgb="FF002060"/>
      </right>
      <top style="dashed">
        <color theme="8" tint="-0.249977111117893"/>
      </top>
      <bottom/>
      <diagonal/>
    </border>
    <border>
      <left style="dashed">
        <color theme="8" tint="-0.249977111117893"/>
      </left>
      <right style="dashed">
        <color rgb="FF002060"/>
      </right>
      <top style="hair">
        <color indexed="64"/>
      </top>
      <bottom/>
      <diagonal/>
    </border>
    <border>
      <left style="dashed">
        <color rgb="FF002060"/>
      </left>
      <right style="dashed">
        <color rgb="FF002060"/>
      </right>
      <top style="hair">
        <color indexed="64"/>
      </top>
      <bottom/>
      <diagonal/>
    </border>
    <border>
      <left style="dashed">
        <color rgb="FF002060"/>
      </left>
      <right style="dashed">
        <color theme="8" tint="-0.249977111117893"/>
      </right>
      <top style="dashed">
        <color rgb="FF002060"/>
      </top>
      <bottom style="dashed">
        <color rgb="FF002060"/>
      </bottom>
      <diagonal/>
    </border>
    <border>
      <left style="dashed">
        <color theme="8" tint="-0.249977111117893"/>
      </left>
      <right style="dashed">
        <color rgb="FF002060"/>
      </right>
      <top style="dashed">
        <color rgb="FF002060"/>
      </top>
      <bottom style="dashed">
        <color rgb="FF002060"/>
      </bottom>
      <diagonal/>
    </border>
    <border>
      <left style="dashed">
        <color rgb="FF002060"/>
      </left>
      <right style="dashed">
        <color rgb="FF002060"/>
      </right>
      <top style="dashed">
        <color rgb="FF002060"/>
      </top>
      <bottom style="dashed">
        <color rgb="FF002060"/>
      </bottom>
      <diagonal/>
    </border>
    <border>
      <left style="dashed">
        <color theme="8" tint="-0.249977111117893"/>
      </left>
      <right style="dashed">
        <color theme="8" tint="-0.249977111117893"/>
      </right>
      <top style="dashed">
        <color rgb="FF002060"/>
      </top>
      <bottom style="dashed">
        <color rgb="FF00206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indexed="64"/>
      </left>
      <right style="thin">
        <color indexed="64"/>
      </right>
      <top/>
      <bottom/>
      <diagonal/>
    </border>
    <border>
      <left/>
      <right style="dotted">
        <color rgb="FFE36C09"/>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000000"/>
      </left>
      <right style="medium">
        <color rgb="FF000000"/>
      </right>
      <top style="thin">
        <color rgb="FF000000"/>
      </top>
      <bottom/>
      <diagonal/>
    </border>
    <border>
      <left style="medium">
        <color rgb="FF000000"/>
      </left>
      <right style="medium">
        <color rgb="FF000000"/>
      </right>
      <top style="thin">
        <color rgb="FF000000"/>
      </top>
      <bottom/>
      <diagonal/>
    </border>
    <border>
      <left style="thin">
        <color rgb="FF000000"/>
      </left>
      <right style="medium">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style="dashed">
        <color theme="2" tint="-4.9989318521683403E-2"/>
      </left>
      <right style="dashed">
        <color theme="2" tint="-4.9989318521683403E-2"/>
      </right>
      <top style="dashed">
        <color theme="2" tint="-4.9989318521683403E-2"/>
      </top>
      <bottom style="dashed">
        <color theme="2" tint="-4.9989318521683403E-2"/>
      </bottom>
      <diagonal/>
    </border>
    <border>
      <left style="dashed">
        <color theme="2" tint="-4.9989318521683403E-2"/>
      </left>
      <right/>
      <top style="dashed">
        <color theme="2" tint="-4.9989318521683403E-2"/>
      </top>
      <bottom style="dashed">
        <color theme="2" tint="-4.9989318521683403E-2"/>
      </bottom>
      <diagonal/>
    </border>
    <border>
      <left/>
      <right style="dashed">
        <color theme="2" tint="-4.9989318521683403E-2"/>
      </right>
      <top style="dashed">
        <color theme="2" tint="-4.9989318521683403E-2"/>
      </top>
      <bottom style="dashed">
        <color theme="2" tint="-4.9989318521683403E-2"/>
      </bottom>
      <diagonal/>
    </border>
    <border>
      <left style="dashed">
        <color theme="2" tint="-4.9989318521683403E-2"/>
      </left>
      <right style="dotted">
        <color rgb="FFE36C09"/>
      </right>
      <top style="dotted">
        <color rgb="FFE36C09"/>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8" tint="0.39997558519241921"/>
      </left>
      <right style="thin">
        <color theme="8" tint="0.39997558519241921"/>
      </right>
      <top style="thin">
        <color theme="8" tint="0.39997558519241921"/>
      </top>
      <bottom style="thin">
        <color theme="8" tint="0.39997558519241921"/>
      </bottom>
      <diagonal/>
    </border>
    <border>
      <left style="dashed">
        <color theme="8" tint="-0.249977111117893"/>
      </left>
      <right style="dashed">
        <color theme="8" tint="-0.249977111117893"/>
      </right>
      <top/>
      <bottom/>
      <diagonal/>
    </border>
    <border>
      <left style="dashed">
        <color theme="8" tint="-0.249977111117893"/>
      </left>
      <right/>
      <top style="dashed">
        <color theme="8" tint="-0.249977111117893"/>
      </top>
      <bottom/>
      <diagonal/>
    </border>
    <border>
      <left/>
      <right style="dashed">
        <color theme="8" tint="-0.249977111117893"/>
      </right>
      <top style="dashed">
        <color theme="8" tint="-0.249977111117893"/>
      </top>
      <bottom style="dashed">
        <color theme="8" tint="-0.249977111117893"/>
      </bottom>
      <diagonal/>
    </border>
    <border>
      <left/>
      <right style="thin">
        <color rgb="FF000000"/>
      </right>
      <top style="thin">
        <color rgb="FF000000"/>
      </top>
      <bottom/>
      <diagonal/>
    </border>
    <border>
      <left/>
      <right style="dashed">
        <color rgb="FF002060"/>
      </right>
      <top style="dashed">
        <color rgb="FF002060"/>
      </top>
      <bottom style="dashed">
        <color rgb="FF002060"/>
      </bottom>
      <diagonal/>
    </border>
  </borders>
  <cellStyleXfs count="17">
    <xf numFmtId="0" fontId="0" fillId="0" borderId="0"/>
    <xf numFmtId="0" fontId="5" fillId="0" borderId="36"/>
    <xf numFmtId="0" fontId="55" fillId="0" borderId="36" applyNumberFormat="0" applyFill="0" applyBorder="0" applyAlignment="0" applyProtection="0"/>
    <xf numFmtId="0" fontId="72" fillId="0" borderId="36"/>
    <xf numFmtId="0" fontId="4" fillId="0" borderId="36"/>
    <xf numFmtId="9" fontId="4" fillId="0" borderId="36" applyFont="0" applyFill="0" applyBorder="0" applyAlignment="0" applyProtection="0"/>
    <xf numFmtId="0" fontId="3" fillId="0" borderId="36"/>
    <xf numFmtId="0" fontId="105" fillId="0" borderId="36"/>
    <xf numFmtId="0" fontId="105" fillId="0" borderId="36"/>
    <xf numFmtId="0" fontId="116" fillId="0" borderId="36"/>
    <xf numFmtId="0" fontId="2" fillId="0" borderId="36"/>
    <xf numFmtId="0" fontId="2" fillId="0" borderId="36"/>
    <xf numFmtId="0" fontId="69" fillId="0" borderId="36"/>
    <xf numFmtId="0" fontId="127" fillId="0" borderId="36" applyNumberFormat="0" applyFill="0" applyBorder="0" applyAlignment="0" applyProtection="0"/>
    <xf numFmtId="0" fontId="116" fillId="0" borderId="36"/>
    <xf numFmtId="0" fontId="116" fillId="0" borderId="36"/>
    <xf numFmtId="0" fontId="1" fillId="0" borderId="36"/>
  </cellStyleXfs>
  <cellXfs count="1099">
    <xf numFmtId="0" fontId="0" fillId="0" borderId="0" xfId="0"/>
    <xf numFmtId="0" fontId="8" fillId="0" borderId="0" xfId="0" applyFont="1"/>
    <xf numFmtId="0" fontId="11" fillId="2" borderId="9" xfId="0" applyFont="1" applyFill="1" applyBorder="1" applyAlignment="1">
      <alignment horizontal="center" vertical="center" textRotation="90"/>
    </xf>
    <xf numFmtId="0" fontId="8" fillId="0" borderId="9" xfId="0" applyFont="1" applyBorder="1" applyAlignment="1">
      <alignment horizontal="center" vertical="center"/>
    </xf>
    <xf numFmtId="9" fontId="8" fillId="0" borderId="9" xfId="0" applyNumberFormat="1" applyFont="1" applyBorder="1" applyAlignment="1">
      <alignment horizontal="center" vertical="center"/>
    </xf>
    <xf numFmtId="164" fontId="8" fillId="0" borderId="9" xfId="0" applyNumberFormat="1" applyFont="1" applyBorder="1" applyAlignment="1">
      <alignment horizontal="center" vertical="center"/>
    </xf>
    <xf numFmtId="0" fontId="11" fillId="0" borderId="9" xfId="0" applyFont="1" applyBorder="1" applyAlignment="1">
      <alignment horizontal="center" vertical="center" textRotation="90" wrapText="1"/>
    </xf>
    <xf numFmtId="9" fontId="8" fillId="0" borderId="6" xfId="0" applyNumberFormat="1" applyFont="1" applyBorder="1" applyAlignment="1">
      <alignment horizontal="center" vertical="center"/>
    </xf>
    <xf numFmtId="0" fontId="11" fillId="0" borderId="9" xfId="0" applyFont="1" applyBorder="1" applyAlignment="1">
      <alignment horizontal="center" vertical="center" textRotation="90"/>
    </xf>
    <xf numFmtId="0" fontId="8" fillId="0" borderId="9" xfId="0" applyFont="1" applyBorder="1" applyAlignment="1">
      <alignment horizontal="center" vertical="center" textRotation="90"/>
    </xf>
    <xf numFmtId="0" fontId="8" fillId="0" borderId="6" xfId="0" applyFont="1" applyBorder="1" applyAlignment="1">
      <alignment horizontal="center" vertical="center" textRotation="90"/>
    </xf>
    <xf numFmtId="0" fontId="13" fillId="0" borderId="9" xfId="0" applyFont="1" applyBorder="1" applyAlignment="1">
      <alignment horizontal="left" vertical="center" wrapText="1"/>
    </xf>
    <xf numFmtId="0" fontId="8" fillId="0" borderId="9" xfId="0" applyFont="1" applyBorder="1" applyAlignment="1">
      <alignment horizontal="left" vertical="center"/>
    </xf>
    <xf numFmtId="164" fontId="8" fillId="4" borderId="9" xfId="0" applyNumberFormat="1" applyFont="1" applyFill="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center"/>
    </xf>
    <xf numFmtId="0" fontId="11" fillId="0" borderId="0" xfId="0" applyFont="1" applyAlignment="1">
      <alignment horizontal="left" vertical="center"/>
    </xf>
    <xf numFmtId="165" fontId="8" fillId="0" borderId="9" xfId="0" applyNumberFormat="1" applyFont="1" applyBorder="1" applyAlignment="1">
      <alignment horizontal="center" vertical="center"/>
    </xf>
    <xf numFmtId="0" fontId="8" fillId="0" borderId="9" xfId="0" applyFont="1" applyBorder="1" applyAlignment="1">
      <alignment horizontal="center" vertical="center" wrapText="1"/>
    </xf>
    <xf numFmtId="0" fontId="23" fillId="8" borderId="50" xfId="0" applyFont="1" applyFill="1" applyBorder="1" applyAlignment="1">
      <alignment horizontal="center" vertical="center" wrapText="1" readingOrder="1"/>
    </xf>
    <xf numFmtId="0" fontId="23" fillId="8" borderId="51" xfId="0" applyFont="1" applyFill="1" applyBorder="1" applyAlignment="1">
      <alignment horizontal="center" vertical="center" wrapText="1" readingOrder="1"/>
    </xf>
    <xf numFmtId="0" fontId="23" fillId="8" borderId="52" xfId="0" applyFont="1" applyFill="1" applyBorder="1" applyAlignment="1">
      <alignment horizontal="center" vertical="center" wrapText="1" readingOrder="1"/>
    </xf>
    <xf numFmtId="0" fontId="23" fillId="9" borderId="50" xfId="0" applyFont="1" applyFill="1" applyBorder="1" applyAlignment="1">
      <alignment horizontal="center" wrapText="1" readingOrder="1"/>
    </xf>
    <xf numFmtId="0" fontId="23" fillId="9" borderId="51" xfId="0" applyFont="1" applyFill="1" applyBorder="1" applyAlignment="1">
      <alignment horizontal="center" wrapText="1" readingOrder="1"/>
    </xf>
    <xf numFmtId="0" fontId="23" fillId="9" borderId="52" xfId="0" applyFont="1" applyFill="1" applyBorder="1" applyAlignment="1">
      <alignment horizontal="center" wrapText="1" readingOrder="1"/>
    </xf>
    <xf numFmtId="0" fontId="23" fillId="5" borderId="50" xfId="0" applyFont="1" applyFill="1" applyBorder="1" applyAlignment="1">
      <alignment horizontal="center" wrapText="1" readingOrder="1"/>
    </xf>
    <xf numFmtId="0" fontId="23" fillId="5" borderId="51" xfId="0" applyFont="1" applyFill="1" applyBorder="1" applyAlignment="1">
      <alignment horizontal="center" wrapText="1" readingOrder="1"/>
    </xf>
    <xf numFmtId="0" fontId="23" fillId="5" borderId="52" xfId="0" applyFont="1" applyFill="1" applyBorder="1" applyAlignment="1">
      <alignment horizontal="center" wrapText="1" readingOrder="1"/>
    </xf>
    <xf numFmtId="0" fontId="23" fillId="10" borderId="50" xfId="0" applyFont="1" applyFill="1" applyBorder="1" applyAlignment="1">
      <alignment horizontal="center" wrapText="1" readingOrder="1"/>
    </xf>
    <xf numFmtId="0" fontId="23" fillId="10" borderId="51" xfId="0" applyFont="1" applyFill="1" applyBorder="1" applyAlignment="1">
      <alignment horizontal="center" wrapText="1" readingOrder="1"/>
    </xf>
    <xf numFmtId="0" fontId="23" fillId="10" borderId="52" xfId="0" applyFont="1" applyFill="1" applyBorder="1" applyAlignment="1">
      <alignment horizontal="center" wrapText="1" readingOrder="1"/>
    </xf>
    <xf numFmtId="0" fontId="25" fillId="5" borderId="51" xfId="0" applyFont="1" applyFill="1" applyBorder="1" applyAlignment="1">
      <alignment horizontal="center" wrapText="1" readingOrder="1"/>
    </xf>
    <xf numFmtId="0" fontId="26" fillId="0" borderId="0" xfId="0" applyFont="1" applyAlignment="1">
      <alignment horizontal="center" vertical="center" wrapText="1"/>
    </xf>
    <xf numFmtId="0" fontId="28" fillId="0" borderId="53" xfId="0" applyFont="1" applyBorder="1" applyAlignment="1">
      <alignment horizontal="left" vertical="center" wrapText="1" readingOrder="1"/>
    </xf>
    <xf numFmtId="9" fontId="28" fillId="0" borderId="53" xfId="0" applyNumberFormat="1" applyFont="1" applyBorder="1" applyAlignment="1">
      <alignment horizontal="center" vertical="center" wrapText="1" readingOrder="1"/>
    </xf>
    <xf numFmtId="0" fontId="28" fillId="12" borderId="54" xfId="0" applyFont="1" applyFill="1" applyBorder="1" applyAlignment="1">
      <alignment horizontal="center" vertical="center" wrapText="1" readingOrder="1"/>
    </xf>
    <xf numFmtId="0" fontId="28" fillId="0" borderId="54" xfId="0" applyFont="1" applyBorder="1" applyAlignment="1">
      <alignment horizontal="left" vertical="center" wrapText="1" readingOrder="1"/>
    </xf>
    <xf numFmtId="9" fontId="28" fillId="0" borderId="54" xfId="0" applyNumberFormat="1" applyFont="1" applyBorder="1" applyAlignment="1">
      <alignment horizontal="center" vertical="center" wrapText="1" readingOrder="1"/>
    </xf>
    <xf numFmtId="0" fontId="28" fillId="13" borderId="54" xfId="0" applyFont="1" applyFill="1" applyBorder="1" applyAlignment="1">
      <alignment horizontal="center" vertical="center" wrapText="1" readingOrder="1"/>
    </xf>
    <xf numFmtId="0" fontId="28" fillId="14" borderId="54" xfId="0" applyFont="1" applyFill="1" applyBorder="1" applyAlignment="1">
      <alignment horizontal="center" vertical="center" wrapText="1" readingOrder="1"/>
    </xf>
    <xf numFmtId="0" fontId="29" fillId="4" borderId="54" xfId="0" applyFont="1" applyFill="1" applyBorder="1" applyAlignment="1">
      <alignment horizontal="center" vertical="center" wrapText="1" readingOrder="1"/>
    </xf>
    <xf numFmtId="0" fontId="34" fillId="0" borderId="53" xfId="0" applyFont="1" applyBorder="1" applyAlignment="1">
      <alignment horizontal="center" vertical="center" wrapText="1" readingOrder="1"/>
    </xf>
    <xf numFmtId="0" fontId="34" fillId="0" borderId="53" xfId="0" applyFont="1" applyBorder="1" applyAlignment="1">
      <alignment horizontal="left" vertical="center" wrapText="1" readingOrder="1"/>
    </xf>
    <xf numFmtId="0" fontId="34" fillId="12" borderId="54" xfId="0" applyFont="1" applyFill="1" applyBorder="1" applyAlignment="1">
      <alignment horizontal="center" vertical="center" wrapText="1" readingOrder="1"/>
    </xf>
    <xf numFmtId="0" fontId="34" fillId="0" borderId="54" xfId="0" applyFont="1" applyBorder="1" applyAlignment="1">
      <alignment horizontal="center" vertical="center" wrapText="1" readingOrder="1"/>
    </xf>
    <xf numFmtId="0" fontId="34" fillId="0" borderId="54" xfId="0" applyFont="1" applyBorder="1" applyAlignment="1">
      <alignment horizontal="left" vertical="center" wrapText="1" readingOrder="1"/>
    </xf>
    <xf numFmtId="0" fontId="34" fillId="13" borderId="54" xfId="0" applyFont="1" applyFill="1" applyBorder="1" applyAlignment="1">
      <alignment horizontal="center" vertical="center" wrapText="1" readingOrder="1"/>
    </xf>
    <xf numFmtId="0" fontId="34" fillId="14" borderId="54" xfId="0" applyFont="1" applyFill="1" applyBorder="1" applyAlignment="1">
      <alignment horizontal="center" vertical="center" wrapText="1" readingOrder="1"/>
    </xf>
    <xf numFmtId="0" fontId="35" fillId="4" borderId="54" xfId="0" applyFont="1" applyFill="1" applyBorder="1" applyAlignment="1">
      <alignment horizontal="center" vertical="center" wrapText="1" readingOrder="1"/>
    </xf>
    <xf numFmtId="0" fontId="33" fillId="0" borderId="0" xfId="0" applyFont="1"/>
    <xf numFmtId="0" fontId="36" fillId="0" borderId="0" xfId="0" applyFont="1" applyAlignment="1">
      <alignment horizontal="left" vertical="center" wrapText="1" readingOrder="1"/>
    </xf>
    <xf numFmtId="0" fontId="37" fillId="0" borderId="0" xfId="0" applyFont="1" applyAlignment="1">
      <alignment vertical="center"/>
    </xf>
    <xf numFmtId="0" fontId="14" fillId="0" borderId="0" xfId="0" applyFont="1"/>
    <xf numFmtId="0" fontId="38" fillId="0" borderId="0" xfId="0" applyFont="1"/>
    <xf numFmtId="0" fontId="39" fillId="0" borderId="0" xfId="0" applyFont="1"/>
    <xf numFmtId="0" fontId="40" fillId="0" borderId="0" xfId="0" applyFont="1"/>
    <xf numFmtId="0" fontId="44" fillId="15" borderId="59" xfId="0" applyFont="1" applyFill="1" applyBorder="1" applyAlignment="1">
      <alignment horizontal="center" vertical="center" wrapText="1" readingOrder="1"/>
    </xf>
    <xf numFmtId="0" fontId="44" fillId="15" borderId="60" xfId="0" applyFont="1" applyFill="1" applyBorder="1" applyAlignment="1">
      <alignment horizontal="center" vertical="center" wrapText="1" readingOrder="1"/>
    </xf>
    <xf numFmtId="9" fontId="44" fillId="3" borderId="61" xfId="0" applyNumberFormat="1" applyFont="1" applyFill="1" applyBorder="1" applyAlignment="1">
      <alignment horizontal="center" vertical="center" wrapText="1" readingOrder="1"/>
    </xf>
    <xf numFmtId="0" fontId="44" fillId="3" borderId="64" xfId="0" applyFont="1" applyFill="1" applyBorder="1" applyAlignment="1">
      <alignment horizontal="center" vertical="center" wrapText="1" readingOrder="1"/>
    </xf>
    <xf numFmtId="0" fontId="45" fillId="3" borderId="64" xfId="0" applyFont="1" applyFill="1" applyBorder="1" applyAlignment="1">
      <alignment horizontal="left" vertical="center" wrapText="1" readingOrder="1"/>
    </xf>
    <xf numFmtId="9" fontId="44" fillId="3" borderId="65" xfId="0" applyNumberFormat="1" applyFont="1" applyFill="1" applyBorder="1" applyAlignment="1">
      <alignment horizontal="center" vertical="center" wrapText="1" readingOrder="1"/>
    </xf>
    <xf numFmtId="0" fontId="45" fillId="3" borderId="65" xfId="0" applyFont="1" applyFill="1" applyBorder="1" applyAlignment="1">
      <alignment horizontal="center" vertical="center" wrapText="1" readingOrder="1"/>
    </xf>
    <xf numFmtId="0" fontId="44" fillId="3" borderId="72" xfId="0" applyFont="1" applyFill="1" applyBorder="1" applyAlignment="1">
      <alignment horizontal="center" vertical="center" wrapText="1" readingOrder="1"/>
    </xf>
    <xf numFmtId="0" fontId="45" fillId="3" borderId="72" xfId="0" applyFont="1" applyFill="1" applyBorder="1" applyAlignment="1">
      <alignment horizontal="left" vertical="center" wrapText="1" readingOrder="1"/>
    </xf>
    <xf numFmtId="0" fontId="45" fillId="3" borderId="73" xfId="0" applyFont="1" applyFill="1" applyBorder="1" applyAlignment="1">
      <alignment horizontal="center" vertical="center" wrapText="1" readingOrder="1"/>
    </xf>
    <xf numFmtId="0" fontId="41" fillId="0" borderId="0" xfId="0" applyFont="1"/>
    <xf numFmtId="0" fontId="47" fillId="0" borderId="54" xfId="0" applyFont="1" applyBorder="1" applyAlignment="1">
      <alignment horizontal="left" vertical="center" wrapText="1" readingOrder="1"/>
    </xf>
    <xf numFmtId="0" fontId="51" fillId="17" borderId="74" xfId="0" applyFont="1" applyFill="1" applyBorder="1" applyAlignment="1">
      <alignment horizontal="center" vertical="center" wrapText="1"/>
    </xf>
    <xf numFmtId="0" fontId="0" fillId="0" borderId="0" xfId="0" applyAlignment="1">
      <alignment wrapText="1"/>
    </xf>
    <xf numFmtId="0" fontId="52" fillId="18" borderId="74" xfId="0" applyFont="1" applyFill="1" applyBorder="1" applyAlignment="1">
      <alignment horizontal="center" vertical="center"/>
    </xf>
    <xf numFmtId="0" fontId="52" fillId="0" borderId="74" xfId="0" applyFont="1" applyBorder="1" applyAlignment="1">
      <alignment horizontal="center" vertical="center"/>
    </xf>
    <xf numFmtId="0" fontId="52" fillId="0" borderId="74" xfId="0" applyFont="1" applyBorder="1" applyAlignment="1">
      <alignment horizontal="left" vertical="center"/>
    </xf>
    <xf numFmtId="0" fontId="5" fillId="0" borderId="36" xfId="1" applyAlignment="1">
      <alignment vertical="center"/>
    </xf>
    <xf numFmtId="0" fontId="54" fillId="22" borderId="76" xfId="1" applyFont="1" applyFill="1" applyBorder="1" applyAlignment="1">
      <alignment horizontal="center" vertical="center"/>
    </xf>
    <xf numFmtId="0" fontId="57" fillId="0" borderId="76" xfId="1" applyFont="1" applyBorder="1" applyAlignment="1">
      <alignment horizontal="left" vertical="center" wrapText="1"/>
    </xf>
    <xf numFmtId="0" fontId="62" fillId="0" borderId="74" xfId="1" applyFont="1" applyBorder="1" applyAlignment="1">
      <alignment vertical="center" wrapText="1"/>
    </xf>
    <xf numFmtId="0" fontId="62" fillId="0" borderId="74" xfId="1" applyFont="1" applyBorder="1" applyAlignment="1">
      <alignment horizontal="center" vertical="center" wrapText="1"/>
    </xf>
    <xf numFmtId="0" fontId="62" fillId="0" borderId="36" xfId="1" applyFont="1" applyAlignment="1">
      <alignment vertical="center"/>
    </xf>
    <xf numFmtId="0" fontId="62" fillId="0" borderId="74" xfId="1" applyFont="1" applyBorder="1" applyAlignment="1" applyProtection="1">
      <alignment horizontal="center" vertical="center"/>
      <protection locked="0"/>
    </xf>
    <xf numFmtId="0" fontId="62" fillId="0" borderId="74" xfId="1" applyFont="1" applyBorder="1" applyAlignment="1" applyProtection="1">
      <alignment horizontal="center" vertical="center" wrapText="1"/>
      <protection locked="0"/>
    </xf>
    <xf numFmtId="0" fontId="62" fillId="0" borderId="74" xfId="1" applyFont="1" applyBorder="1" applyAlignment="1">
      <alignment vertical="center"/>
    </xf>
    <xf numFmtId="0" fontId="62" fillId="0" borderId="36" xfId="1" applyFont="1" applyAlignment="1">
      <alignment horizontal="center" vertical="center"/>
    </xf>
    <xf numFmtId="0" fontId="50" fillId="0" borderId="36" xfId="1" applyFont="1" applyAlignment="1">
      <alignment horizontal="left" vertical="center"/>
    </xf>
    <xf numFmtId="0" fontId="5" fillId="0" borderId="36" xfId="1"/>
    <xf numFmtId="0" fontId="5" fillId="16" borderId="98" xfId="1" applyFill="1" applyBorder="1" applyAlignment="1">
      <alignment horizontal="center" vertical="center"/>
    </xf>
    <xf numFmtId="0" fontId="5" fillId="16" borderId="99" xfId="1" applyFill="1" applyBorder="1" applyAlignment="1">
      <alignment horizontal="center" vertical="center"/>
    </xf>
    <xf numFmtId="0" fontId="5" fillId="28" borderId="99" xfId="1" applyFill="1" applyBorder="1" applyAlignment="1">
      <alignment horizontal="center" vertical="center"/>
    </xf>
    <xf numFmtId="0" fontId="5" fillId="28" borderId="100" xfId="1" applyFill="1" applyBorder="1" applyAlignment="1">
      <alignment horizontal="center" vertical="center"/>
    </xf>
    <xf numFmtId="0" fontId="5" fillId="29" borderId="101" xfId="1" applyFill="1" applyBorder="1" applyAlignment="1">
      <alignment horizontal="center" vertical="center"/>
    </xf>
    <xf numFmtId="0" fontId="5" fillId="16" borderId="64" xfId="1" applyFill="1" applyBorder="1" applyAlignment="1">
      <alignment horizontal="center" vertical="center"/>
    </xf>
    <xf numFmtId="0" fontId="5" fillId="28" borderId="64" xfId="1" applyFill="1" applyBorder="1" applyAlignment="1">
      <alignment horizontal="center" vertical="center"/>
    </xf>
    <xf numFmtId="0" fontId="5" fillId="28" borderId="65" xfId="1" applyFill="1" applyBorder="1" applyAlignment="1">
      <alignment horizontal="center" vertical="center"/>
    </xf>
    <xf numFmtId="0" fontId="5" fillId="30" borderId="101" xfId="1" applyFill="1" applyBorder="1" applyAlignment="1">
      <alignment horizontal="center" vertical="center"/>
    </xf>
    <xf numFmtId="0" fontId="5" fillId="29" borderId="64" xfId="1" applyFill="1" applyBorder="1" applyAlignment="1">
      <alignment horizontal="center" vertical="center"/>
    </xf>
    <xf numFmtId="0" fontId="65" fillId="16" borderId="64" xfId="1" applyFont="1" applyFill="1" applyBorder="1" applyAlignment="1">
      <alignment horizontal="center" vertical="center"/>
    </xf>
    <xf numFmtId="0" fontId="66" fillId="30" borderId="64" xfId="1" applyFont="1" applyFill="1" applyBorder="1" applyAlignment="1">
      <alignment horizontal="center" vertical="center"/>
    </xf>
    <xf numFmtId="0" fontId="66" fillId="30" borderId="102" xfId="1" applyFont="1" applyFill="1" applyBorder="1" applyAlignment="1">
      <alignment horizontal="center" vertical="center"/>
    </xf>
    <xf numFmtId="0" fontId="5" fillId="30" borderId="72" xfId="1" applyFill="1" applyBorder="1" applyAlignment="1">
      <alignment horizontal="center" vertical="center"/>
    </xf>
    <xf numFmtId="0" fontId="5" fillId="29" borderId="72" xfId="1" applyFill="1" applyBorder="1" applyAlignment="1">
      <alignment horizontal="center" vertical="center"/>
    </xf>
    <xf numFmtId="0" fontId="5" fillId="16" borderId="72" xfId="1" applyFill="1" applyBorder="1" applyAlignment="1">
      <alignment horizontal="center" vertical="center"/>
    </xf>
    <xf numFmtId="0" fontId="5" fillId="28" borderId="73" xfId="1" applyFill="1" applyBorder="1" applyAlignment="1">
      <alignment horizontal="center" vertical="center"/>
    </xf>
    <xf numFmtId="0" fontId="51" fillId="17" borderId="74" xfId="1" applyFont="1" applyFill="1" applyBorder="1" applyAlignment="1">
      <alignment horizontal="center" vertical="center" wrapText="1"/>
    </xf>
    <xf numFmtId="0" fontId="52" fillId="0" borderId="36" xfId="1" applyFont="1" applyAlignment="1">
      <alignment vertical="center" wrapText="1"/>
    </xf>
    <xf numFmtId="0" fontId="52" fillId="0" borderId="74" xfId="1" applyFont="1" applyBorder="1" applyAlignment="1">
      <alignment vertical="center" wrapText="1"/>
    </xf>
    <xf numFmtId="0" fontId="52" fillId="0" borderId="74" xfId="1" applyFont="1" applyBorder="1" applyAlignment="1">
      <alignment horizontal="center" vertical="center" wrapText="1"/>
    </xf>
    <xf numFmtId="0" fontId="52" fillId="18" borderId="74" xfId="1" applyFont="1" applyFill="1" applyBorder="1" applyAlignment="1">
      <alignment horizontal="center" vertical="center" wrapText="1"/>
    </xf>
    <xf numFmtId="0" fontId="52" fillId="31" borderId="74" xfId="1" applyFont="1" applyFill="1" applyBorder="1" applyAlignment="1">
      <alignment horizontal="center" vertical="center" wrapText="1"/>
    </xf>
    <xf numFmtId="0" fontId="68" fillId="0" borderId="74" xfId="1" applyFont="1" applyBorder="1" applyAlignment="1">
      <alignment horizontal="center" vertical="center" wrapText="1"/>
    </xf>
    <xf numFmtId="0" fontId="52" fillId="19" borderId="74" xfId="1" applyFont="1" applyFill="1" applyBorder="1" applyAlignment="1">
      <alignment horizontal="center" vertical="center" wrapText="1"/>
    </xf>
    <xf numFmtId="0" fontId="51" fillId="0" borderId="74" xfId="1" applyFont="1" applyBorder="1" applyAlignment="1">
      <alignment horizontal="center" vertical="center" wrapText="1"/>
    </xf>
    <xf numFmtId="0" fontId="52" fillId="28" borderId="36" xfId="1" applyFont="1" applyFill="1" applyAlignment="1">
      <alignment vertical="center" wrapText="1"/>
    </xf>
    <xf numFmtId="0" fontId="52" fillId="22" borderId="36" xfId="1" applyFont="1" applyFill="1" applyAlignment="1">
      <alignment vertical="center" wrapText="1"/>
    </xf>
    <xf numFmtId="0" fontId="52" fillId="25" borderId="36" xfId="1" applyFont="1" applyFill="1" applyAlignment="1">
      <alignment vertical="center" wrapText="1"/>
    </xf>
    <xf numFmtId="0" fontId="52" fillId="32" borderId="36" xfId="1" applyFont="1" applyFill="1" applyAlignment="1">
      <alignment vertical="center" wrapText="1"/>
    </xf>
    <xf numFmtId="0" fontId="14" fillId="3" borderId="36" xfId="0" applyFont="1" applyFill="1" applyBorder="1"/>
    <xf numFmtId="0" fontId="0" fillId="0" borderId="74" xfId="0" applyBorder="1"/>
    <xf numFmtId="0" fontId="70" fillId="23" borderId="74" xfId="0" applyFont="1" applyFill="1" applyBorder="1" applyAlignment="1">
      <alignment horizontal="center" vertical="center" wrapText="1"/>
    </xf>
    <xf numFmtId="0" fontId="70" fillId="23" borderId="74" xfId="0" applyFont="1" applyFill="1" applyBorder="1" applyAlignment="1">
      <alignment horizontal="center" vertical="center"/>
    </xf>
    <xf numFmtId="0" fontId="73" fillId="0" borderId="64" xfId="3" applyFont="1" applyBorder="1" applyAlignment="1">
      <alignment horizontal="center"/>
    </xf>
    <xf numFmtId="0" fontId="72" fillId="0" borderId="36" xfId="3"/>
    <xf numFmtId="0" fontId="74" fillId="34" borderId="64" xfId="3" applyFont="1" applyFill="1" applyBorder="1" applyAlignment="1">
      <alignment wrapText="1"/>
    </xf>
    <xf numFmtId="0" fontId="74" fillId="0" borderId="64" xfId="3" applyFont="1" applyBorder="1" applyAlignment="1">
      <alignment wrapText="1"/>
    </xf>
    <xf numFmtId="0" fontId="74" fillId="35" borderId="64" xfId="3" applyFont="1" applyFill="1" applyBorder="1" applyAlignment="1">
      <alignment wrapText="1"/>
    </xf>
    <xf numFmtId="0" fontId="74" fillId="34" borderId="64" xfId="3" applyFont="1" applyFill="1" applyBorder="1"/>
    <xf numFmtId="0" fontId="74" fillId="0" borderId="64" xfId="3" applyFont="1" applyBorder="1"/>
    <xf numFmtId="0" fontId="75" fillId="0" borderId="64" xfId="3" applyFont="1" applyBorder="1" applyAlignment="1">
      <alignment wrapText="1"/>
    </xf>
    <xf numFmtId="0" fontId="72" fillId="0" borderId="64" xfId="3" applyBorder="1"/>
    <xf numFmtId="0" fontId="72" fillId="0" borderId="64" xfId="3" applyBorder="1" applyAlignment="1">
      <alignment wrapText="1"/>
    </xf>
    <xf numFmtId="0" fontId="75" fillId="34" borderId="64" xfId="3" applyFont="1" applyFill="1" applyBorder="1" applyAlignment="1">
      <alignment wrapText="1"/>
    </xf>
    <xf numFmtId="0" fontId="8" fillId="3" borderId="36" xfId="0" applyFont="1" applyFill="1" applyBorder="1"/>
    <xf numFmtId="0" fontId="11" fillId="3" borderId="36" xfId="0" applyFont="1" applyFill="1" applyBorder="1" applyAlignment="1">
      <alignment horizontal="center" vertical="center"/>
    </xf>
    <xf numFmtId="0" fontId="8" fillId="3" borderId="36" xfId="0" applyFont="1" applyFill="1" applyBorder="1" applyAlignment="1">
      <alignment vertical="center"/>
    </xf>
    <xf numFmtId="0" fontId="20" fillId="3" borderId="36" xfId="0" applyFont="1" applyFill="1" applyBorder="1" applyAlignment="1">
      <alignment vertical="center"/>
    </xf>
    <xf numFmtId="0" fontId="23" fillId="8" borderId="43" xfId="0" applyFont="1" applyFill="1" applyBorder="1" applyAlignment="1">
      <alignment horizontal="center" vertical="center" wrapText="1" readingOrder="1"/>
    </xf>
    <xf numFmtId="0" fontId="23" fillId="8" borderId="36" xfId="0" applyFont="1" applyFill="1" applyBorder="1" applyAlignment="1">
      <alignment horizontal="center" vertical="center" wrapText="1" readingOrder="1"/>
    </xf>
    <xf numFmtId="0" fontId="23" fillId="8" borderId="40" xfId="0" applyFont="1" applyFill="1" applyBorder="1" applyAlignment="1">
      <alignment horizontal="center" vertical="center" wrapText="1" readingOrder="1"/>
    </xf>
    <xf numFmtId="0" fontId="23" fillId="9" borderId="43" xfId="0" applyFont="1" applyFill="1" applyBorder="1" applyAlignment="1">
      <alignment horizontal="center" wrapText="1" readingOrder="1"/>
    </xf>
    <xf numFmtId="0" fontId="23" fillId="9" borderId="36" xfId="0" applyFont="1" applyFill="1" applyBorder="1" applyAlignment="1">
      <alignment horizontal="center" wrapText="1" readingOrder="1"/>
    </xf>
    <xf numFmtId="0" fontId="23" fillId="9" borderId="40" xfId="0" applyFont="1" applyFill="1" applyBorder="1" applyAlignment="1">
      <alignment horizontal="center" wrapText="1" readingOrder="1"/>
    </xf>
    <xf numFmtId="0" fontId="23" fillId="8" borderId="44" xfId="0" applyFont="1" applyFill="1" applyBorder="1" applyAlignment="1">
      <alignment horizontal="center" vertical="center" wrapText="1" readingOrder="1"/>
    </xf>
    <xf numFmtId="0" fontId="23" fillId="8" borderId="46" xfId="0" applyFont="1" applyFill="1" applyBorder="1" applyAlignment="1">
      <alignment horizontal="center" vertical="center" wrapText="1" readingOrder="1"/>
    </xf>
    <xf numFmtId="0" fontId="23" fillId="8" borderId="45" xfId="0" applyFont="1" applyFill="1" applyBorder="1" applyAlignment="1">
      <alignment horizontal="center" vertical="center" wrapText="1" readingOrder="1"/>
    </xf>
    <xf numFmtId="0" fontId="23" fillId="9" borderId="44" xfId="0" applyFont="1" applyFill="1" applyBorder="1" applyAlignment="1">
      <alignment horizontal="center" wrapText="1" readingOrder="1"/>
    </xf>
    <xf numFmtId="0" fontId="23" fillId="9" borderId="46" xfId="0" applyFont="1" applyFill="1" applyBorder="1" applyAlignment="1">
      <alignment horizontal="center" wrapText="1" readingOrder="1"/>
    </xf>
    <xf numFmtId="0" fontId="23" fillId="9" borderId="45" xfId="0" applyFont="1" applyFill="1" applyBorder="1" applyAlignment="1">
      <alignment horizontal="center" wrapText="1" readingOrder="1"/>
    </xf>
    <xf numFmtId="0" fontId="23" fillId="5" borderId="43" xfId="0" applyFont="1" applyFill="1" applyBorder="1" applyAlignment="1">
      <alignment horizontal="center" wrapText="1" readingOrder="1"/>
    </xf>
    <xf numFmtId="0" fontId="23" fillId="5" borderId="36" xfId="0" applyFont="1" applyFill="1" applyBorder="1" applyAlignment="1">
      <alignment horizontal="center" wrapText="1" readingOrder="1"/>
    </xf>
    <xf numFmtId="0" fontId="23" fillId="5" borderId="40" xfId="0" applyFont="1" applyFill="1" applyBorder="1" applyAlignment="1">
      <alignment horizontal="center" wrapText="1" readingOrder="1"/>
    </xf>
    <xf numFmtId="0" fontId="23" fillId="5" borderId="44" xfId="0" applyFont="1" applyFill="1" applyBorder="1" applyAlignment="1">
      <alignment horizontal="center" wrapText="1" readingOrder="1"/>
    </xf>
    <xf numFmtId="0" fontId="23" fillId="5" borderId="46" xfId="0" applyFont="1" applyFill="1" applyBorder="1" applyAlignment="1">
      <alignment horizontal="center" wrapText="1" readingOrder="1"/>
    </xf>
    <xf numFmtId="0" fontId="23" fillId="5" borderId="45" xfId="0" applyFont="1" applyFill="1" applyBorder="1" applyAlignment="1">
      <alignment horizontal="center" wrapText="1" readingOrder="1"/>
    </xf>
    <xf numFmtId="0" fontId="23" fillId="10" borderId="43" xfId="0" applyFont="1" applyFill="1" applyBorder="1" applyAlignment="1">
      <alignment horizontal="center" wrapText="1" readingOrder="1"/>
    </xf>
    <xf numFmtId="0" fontId="23" fillId="10" borderId="36" xfId="0" applyFont="1" applyFill="1" applyBorder="1" applyAlignment="1">
      <alignment horizontal="center" wrapText="1" readingOrder="1"/>
    </xf>
    <xf numFmtId="0" fontId="23" fillId="10" borderId="40" xfId="0" applyFont="1" applyFill="1" applyBorder="1" applyAlignment="1">
      <alignment horizontal="center" wrapText="1" readingOrder="1"/>
    </xf>
    <xf numFmtId="0" fontId="23" fillId="10" borderId="44" xfId="0" applyFont="1" applyFill="1" applyBorder="1" applyAlignment="1">
      <alignment horizontal="center" wrapText="1" readingOrder="1"/>
    </xf>
    <xf numFmtId="0" fontId="23" fillId="10" borderId="46" xfId="0" applyFont="1" applyFill="1" applyBorder="1" applyAlignment="1">
      <alignment horizontal="center" wrapText="1" readingOrder="1"/>
    </xf>
    <xf numFmtId="0" fontId="23" fillId="10" borderId="45" xfId="0" applyFont="1" applyFill="1" applyBorder="1" applyAlignment="1">
      <alignment horizontal="center" wrapText="1" readingOrder="1"/>
    </xf>
    <xf numFmtId="0" fontId="27" fillId="11" borderId="36" xfId="0" applyFont="1" applyFill="1" applyBorder="1" applyAlignment="1">
      <alignment horizontal="center" vertical="center" wrapText="1" readingOrder="1"/>
    </xf>
    <xf numFmtId="0" fontId="28" fillId="10" borderId="53" xfId="0" applyFont="1" applyFill="1" applyBorder="1" applyAlignment="1">
      <alignment horizontal="center" vertical="center" wrapText="1" readingOrder="1"/>
    </xf>
    <xf numFmtId="0" fontId="11" fillId="3" borderId="36" xfId="0" applyFont="1" applyFill="1" applyBorder="1" applyAlignment="1">
      <alignment horizontal="left" vertical="center"/>
    </xf>
    <xf numFmtId="0" fontId="33" fillId="3" borderId="36" xfId="0" applyFont="1" applyFill="1" applyBorder="1"/>
    <xf numFmtId="0" fontId="31" fillId="3" borderId="36" xfId="0" applyFont="1" applyFill="1" applyBorder="1" applyAlignment="1">
      <alignment horizontal="center" vertical="center" wrapText="1"/>
    </xf>
    <xf numFmtId="0" fontId="32" fillId="11" borderId="36" xfId="0" applyFont="1" applyFill="1" applyBorder="1" applyAlignment="1">
      <alignment horizontal="center" vertical="center" wrapText="1" readingOrder="1"/>
    </xf>
    <xf numFmtId="0" fontId="34" fillId="10" borderId="53" xfId="0" applyFont="1" applyFill="1" applyBorder="1" applyAlignment="1">
      <alignment horizontal="center" vertical="center" wrapText="1" readingOrder="1"/>
    </xf>
    <xf numFmtId="0" fontId="36" fillId="3" borderId="36" xfId="0" applyFont="1" applyFill="1" applyBorder="1" applyAlignment="1">
      <alignment horizontal="left" vertical="center" wrapText="1" readingOrder="1"/>
    </xf>
    <xf numFmtId="0" fontId="41" fillId="3" borderId="36" xfId="0" applyFont="1" applyFill="1" applyBorder="1"/>
    <xf numFmtId="0" fontId="15" fillId="3" borderId="36" xfId="0" applyFont="1" applyFill="1" applyBorder="1"/>
    <xf numFmtId="0" fontId="43" fillId="3" borderId="36" xfId="0" applyFont="1" applyFill="1" applyBorder="1"/>
    <xf numFmtId="0" fontId="44" fillId="3" borderId="66" xfId="0" applyFont="1" applyFill="1" applyBorder="1" applyAlignment="1">
      <alignment horizontal="center" vertical="center" wrapText="1" readingOrder="1"/>
    </xf>
    <xf numFmtId="0" fontId="45" fillId="3" borderId="66" xfId="0" applyFont="1" applyFill="1" applyBorder="1" applyAlignment="1">
      <alignment horizontal="left" vertical="center" wrapText="1" readingOrder="1"/>
    </xf>
    <xf numFmtId="0" fontId="8" fillId="3" borderId="36" xfId="0" applyFont="1" applyFill="1" applyBorder="1" applyAlignment="1">
      <alignment horizontal="center" vertical="center"/>
    </xf>
    <xf numFmtId="0" fontId="8" fillId="3" borderId="36" xfId="0" applyFont="1" applyFill="1" applyBorder="1" applyAlignment="1">
      <alignment horizontal="left" vertical="center"/>
    </xf>
    <xf numFmtId="0" fontId="8" fillId="3" borderId="36" xfId="0" applyFont="1" applyFill="1" applyBorder="1" applyAlignment="1">
      <alignment horizontal="center"/>
    </xf>
    <xf numFmtId="0" fontId="52" fillId="0" borderId="74" xfId="0" applyFont="1" applyBorder="1" applyAlignment="1">
      <alignment horizontal="left" vertical="center" wrapText="1"/>
    </xf>
    <xf numFmtId="0" fontId="77" fillId="0" borderId="0" xfId="0" applyFont="1"/>
    <xf numFmtId="0" fontId="73" fillId="0" borderId="0" xfId="0" applyFont="1"/>
    <xf numFmtId="0" fontId="78" fillId="0" borderId="105" xfId="0" applyFont="1" applyBorder="1" applyAlignment="1">
      <alignment horizontal="left" vertical="center" wrapText="1"/>
    </xf>
    <xf numFmtId="0" fontId="78" fillId="0" borderId="105" xfId="0" applyFont="1" applyBorder="1" applyAlignment="1">
      <alignment horizontal="justify" vertical="center" wrapText="1"/>
    </xf>
    <xf numFmtId="0" fontId="78" fillId="0" borderId="110" xfId="0" applyFont="1" applyBorder="1" applyAlignment="1">
      <alignment horizontal="left" vertical="center" wrapText="1"/>
    </xf>
    <xf numFmtId="0" fontId="78" fillId="0" borderId="60" xfId="0" applyFont="1" applyBorder="1" applyAlignment="1">
      <alignment horizontal="center" vertical="center" wrapText="1"/>
    </xf>
    <xf numFmtId="0" fontId="78" fillId="0" borderId="100" xfId="0" applyFont="1" applyBorder="1" applyAlignment="1">
      <alignment horizontal="center" vertical="center" wrapText="1"/>
    </xf>
    <xf numFmtId="0" fontId="79" fillId="37" borderId="108" xfId="0" applyFont="1" applyFill="1" applyBorder="1" applyAlignment="1">
      <alignment horizontal="center" vertical="center" wrapText="1"/>
    </xf>
    <xf numFmtId="0" fontId="80" fillId="37" borderId="106" xfId="0" applyFont="1" applyFill="1" applyBorder="1" applyAlignment="1">
      <alignment horizontal="center" vertical="center" wrapText="1"/>
    </xf>
    <xf numFmtId="0" fontId="81" fillId="37" borderId="106" xfId="0" applyFont="1" applyFill="1" applyBorder="1" applyAlignment="1">
      <alignment horizontal="center" vertical="center" wrapText="1"/>
    </xf>
    <xf numFmtId="0" fontId="7" fillId="35" borderId="64" xfId="3" applyFont="1" applyFill="1" applyBorder="1" applyAlignment="1">
      <alignment wrapText="1"/>
    </xf>
    <xf numFmtId="0" fontId="57" fillId="0" borderId="76" xfId="1" applyFont="1" applyBorder="1" applyAlignment="1">
      <alignment horizontal="left" vertical="top" wrapText="1"/>
    </xf>
    <xf numFmtId="0" fontId="56" fillId="23" borderId="76" xfId="2" applyFont="1" applyFill="1" applyBorder="1" applyAlignment="1">
      <alignment horizontal="left" vertical="center" wrapText="1" indent="1"/>
    </xf>
    <xf numFmtId="0" fontId="59" fillId="18" borderId="76" xfId="2" applyFont="1" applyFill="1" applyBorder="1" applyAlignment="1">
      <alignment horizontal="left" vertical="center" wrapText="1" indent="1"/>
    </xf>
    <xf numFmtId="0" fontId="59" fillId="24" borderId="76" xfId="2" applyFont="1" applyFill="1" applyBorder="1" applyAlignment="1">
      <alignment horizontal="left" vertical="center" wrapText="1" indent="1"/>
    </xf>
    <xf numFmtId="0" fontId="59" fillId="25" borderId="76" xfId="2" applyFont="1" applyFill="1" applyBorder="1" applyAlignment="1">
      <alignment horizontal="left" vertical="center" wrapText="1" indent="1"/>
    </xf>
    <xf numFmtId="0" fontId="69" fillId="0" borderId="0" xfId="0" applyFont="1"/>
    <xf numFmtId="0" fontId="86" fillId="0" borderId="0" xfId="0" applyFont="1"/>
    <xf numFmtId="0" fontId="86" fillId="0" borderId="0" xfId="0" applyFont="1" applyProtection="1">
      <protection locked="0"/>
    </xf>
    <xf numFmtId="0" fontId="90" fillId="40" borderId="36" xfId="1" applyFont="1" applyFill="1" applyAlignment="1">
      <alignment horizontal="center" vertical="center" wrapText="1"/>
    </xf>
    <xf numFmtId="0" fontId="91" fillId="40" borderId="36" xfId="1" applyFont="1" applyFill="1" applyAlignment="1">
      <alignment horizontal="center" vertical="center" wrapText="1"/>
    </xf>
    <xf numFmtId="0" fontId="86" fillId="3" borderId="36" xfId="0" applyFont="1" applyFill="1" applyBorder="1"/>
    <xf numFmtId="0" fontId="95" fillId="3" borderId="18" xfId="0" applyFont="1" applyFill="1" applyBorder="1"/>
    <xf numFmtId="0" fontId="95" fillId="3" borderId="19" xfId="0" applyFont="1" applyFill="1" applyBorder="1"/>
    <xf numFmtId="0" fontId="95" fillId="3" borderId="20" xfId="0" applyFont="1" applyFill="1" applyBorder="1"/>
    <xf numFmtId="0" fontId="100" fillId="3" borderId="43" xfId="0" applyFont="1" applyFill="1" applyBorder="1" applyAlignment="1">
      <alignment horizontal="left" vertical="top" wrapText="1"/>
    </xf>
    <xf numFmtId="0" fontId="84" fillId="3" borderId="36" xfId="0" applyFont="1" applyFill="1" applyBorder="1" applyAlignment="1">
      <alignment horizontal="left" vertical="top" wrapText="1"/>
    </xf>
    <xf numFmtId="0" fontId="84" fillId="3" borderId="40" xfId="0" applyFont="1" applyFill="1" applyBorder="1" applyAlignment="1">
      <alignment horizontal="left" vertical="top" wrapText="1"/>
    </xf>
    <xf numFmtId="0" fontId="95" fillId="3" borderId="43" xfId="0" applyFont="1" applyFill="1" applyBorder="1"/>
    <xf numFmtId="0" fontId="95" fillId="3" borderId="36" xfId="0" applyFont="1" applyFill="1" applyBorder="1"/>
    <xf numFmtId="0" fontId="101" fillId="3" borderId="36" xfId="0" applyFont="1" applyFill="1" applyBorder="1" applyAlignment="1">
      <alignment horizontal="left" vertical="center" wrapText="1"/>
    </xf>
    <xf numFmtId="0" fontId="95" fillId="3" borderId="36" xfId="0" applyFont="1" applyFill="1" applyBorder="1" applyAlignment="1">
      <alignment horizontal="left" vertical="center" wrapText="1"/>
    </xf>
    <xf numFmtId="0" fontId="95" fillId="3" borderId="40" xfId="0" applyFont="1" applyFill="1" applyBorder="1"/>
    <xf numFmtId="0" fontId="102" fillId="3" borderId="36" xfId="0" applyFont="1" applyFill="1" applyBorder="1" applyAlignment="1">
      <alignment horizontal="left" vertical="center" wrapText="1"/>
    </xf>
    <xf numFmtId="0" fontId="92" fillId="3" borderId="36" xfId="0" applyFont="1" applyFill="1" applyBorder="1" applyAlignment="1">
      <alignment horizontal="left" vertical="top" wrapText="1"/>
    </xf>
    <xf numFmtId="0" fontId="86" fillId="3" borderId="36" xfId="0" applyFont="1" applyFill="1" applyBorder="1" applyAlignment="1">
      <alignment wrapText="1"/>
    </xf>
    <xf numFmtId="0" fontId="86" fillId="0" borderId="0" xfId="0" applyFont="1" applyAlignment="1">
      <alignment wrapText="1"/>
    </xf>
    <xf numFmtId="0" fontId="95" fillId="3" borderId="44" xfId="0" applyFont="1" applyFill="1" applyBorder="1"/>
    <xf numFmtId="0" fontId="95" fillId="3" borderId="46" xfId="0" applyFont="1" applyFill="1" applyBorder="1"/>
    <xf numFmtId="0" fontId="95" fillId="3" borderId="45" xfId="0" applyFont="1" applyFill="1" applyBorder="1"/>
    <xf numFmtId="0" fontId="86" fillId="0" borderId="36" xfId="0" applyFont="1" applyBorder="1" applyAlignment="1">
      <alignment vertical="center" wrapText="1"/>
    </xf>
    <xf numFmtId="0" fontId="105" fillId="0" borderId="36" xfId="7"/>
    <xf numFmtId="0" fontId="105" fillId="0" borderId="36" xfId="8"/>
    <xf numFmtId="0" fontId="113" fillId="0" borderId="74" xfId="0" applyFont="1" applyBorder="1" applyAlignment="1">
      <alignment vertical="center" wrapText="1"/>
    </xf>
    <xf numFmtId="0" fontId="69" fillId="0" borderId="74" xfId="0" applyFont="1" applyBorder="1" applyAlignment="1">
      <alignment vertical="center" wrapText="1"/>
    </xf>
    <xf numFmtId="0" fontId="69" fillId="0" borderId="74" xfId="0" applyFont="1" applyBorder="1" applyAlignment="1">
      <alignment horizontal="left" vertical="center" wrapText="1" indent="1"/>
    </xf>
    <xf numFmtId="0" fontId="86" fillId="0" borderId="0" xfId="0" applyFont="1" applyAlignment="1" applyProtection="1">
      <alignment wrapText="1"/>
      <protection locked="0"/>
    </xf>
    <xf numFmtId="0" fontId="11" fillId="39" borderId="13" xfId="9" applyFont="1" applyFill="1" applyBorder="1" applyAlignment="1">
      <alignment vertical="center"/>
    </xf>
    <xf numFmtId="0" fontId="8" fillId="3" borderId="36" xfId="9" applyFont="1" applyFill="1"/>
    <xf numFmtId="0" fontId="116" fillId="0" borderId="36" xfId="9"/>
    <xf numFmtId="0" fontId="96" fillId="41" borderId="74" xfId="11" applyFont="1" applyFill="1" applyBorder="1" applyAlignment="1">
      <alignment horizontal="center" vertical="center" wrapText="1"/>
    </xf>
    <xf numFmtId="0" fontId="90" fillId="40" borderId="36" xfId="11" applyFont="1" applyFill="1" applyAlignment="1">
      <alignment horizontal="center" vertical="center" wrapText="1"/>
    </xf>
    <xf numFmtId="0" fontId="11" fillId="3" borderId="36" xfId="9" applyFont="1" applyFill="1" applyAlignment="1">
      <alignment horizontal="center" vertical="center"/>
    </xf>
    <xf numFmtId="0" fontId="96" fillId="41" borderId="97" xfId="11" applyFont="1" applyFill="1" applyBorder="1" applyAlignment="1">
      <alignment horizontal="center" vertical="center" wrapText="1"/>
    </xf>
    <xf numFmtId="0" fontId="91" fillId="40" borderId="36" xfId="11" applyFont="1" applyFill="1" applyAlignment="1">
      <alignment horizontal="center" vertical="center" wrapText="1"/>
    </xf>
    <xf numFmtId="0" fontId="96" fillId="27" borderId="97" xfId="11" applyFont="1" applyFill="1" applyBorder="1" applyAlignment="1">
      <alignment horizontal="center" vertical="center" wrapText="1"/>
    </xf>
    <xf numFmtId="0" fontId="96" fillId="42" borderId="97" xfId="11" applyFont="1" applyFill="1" applyBorder="1" applyAlignment="1">
      <alignment horizontal="center" vertical="center" wrapText="1"/>
    </xf>
    <xf numFmtId="0" fontId="11" fillId="0" borderId="6" xfId="9" applyFont="1" applyBorder="1" applyAlignment="1">
      <alignment vertical="center" wrapText="1"/>
    </xf>
    <xf numFmtId="9" fontId="8" fillId="0" borderId="6" xfId="9" applyNumberFormat="1" applyFont="1" applyBorder="1" applyAlignment="1">
      <alignment vertical="center" wrapText="1"/>
    </xf>
    <xf numFmtId="9" fontId="8" fillId="0" borderId="6" xfId="9" applyNumberFormat="1" applyFont="1" applyBorder="1" applyAlignment="1" applyProtection="1">
      <alignment vertical="center" wrapText="1"/>
      <protection locked="0"/>
    </xf>
    <xf numFmtId="0" fontId="11" fillId="0" borderId="6" xfId="9" applyFont="1" applyBorder="1" applyAlignment="1">
      <alignment vertical="center"/>
    </xf>
    <xf numFmtId="0" fontId="8" fillId="0" borderId="9" xfId="9" applyFont="1" applyBorder="1" applyAlignment="1">
      <alignment horizontal="center" vertical="center"/>
    </xf>
    <xf numFmtId="0" fontId="8" fillId="0" borderId="9" xfId="9" applyFont="1" applyBorder="1" applyAlignment="1" applyProtection="1">
      <alignment horizontal="center" vertical="center" textRotation="90"/>
      <protection locked="0"/>
    </xf>
    <xf numFmtId="9" fontId="8" fillId="0" borderId="9" xfId="9" applyNumberFormat="1" applyFont="1" applyBorder="1" applyAlignment="1">
      <alignment horizontal="center" vertical="center"/>
    </xf>
    <xf numFmtId="164" fontId="8" fillId="0" borderId="9" xfId="9" applyNumberFormat="1" applyFont="1" applyBorder="1" applyAlignment="1" applyProtection="1">
      <alignment horizontal="center" vertical="center"/>
      <protection locked="0"/>
    </xf>
    <xf numFmtId="0" fontId="11" fillId="0" borderId="9" xfId="9" applyFont="1" applyBorder="1" applyAlignment="1">
      <alignment horizontal="center" vertical="center" textRotation="90" wrapText="1"/>
    </xf>
    <xf numFmtId="9" fontId="8" fillId="0" borderId="6" xfId="9" applyNumberFormat="1" applyFont="1" applyBorder="1" applyAlignment="1">
      <alignment horizontal="center" vertical="center"/>
    </xf>
    <xf numFmtId="0" fontId="11" fillId="0" borderId="9" xfId="9" applyFont="1" applyBorder="1" applyAlignment="1">
      <alignment horizontal="center" vertical="center" textRotation="90"/>
    </xf>
    <xf numFmtId="0" fontId="8" fillId="0" borderId="6" xfId="9" applyFont="1" applyBorder="1" applyAlignment="1" applyProtection="1">
      <alignment horizontal="center" vertical="center" textRotation="90"/>
      <protection locked="0"/>
    </xf>
    <xf numFmtId="14" fontId="86" fillId="0" borderId="74" xfId="9" applyNumberFormat="1" applyFont="1" applyBorder="1" applyAlignment="1">
      <alignment horizontal="center" vertical="center"/>
    </xf>
    <xf numFmtId="0" fontId="86" fillId="0" borderId="74" xfId="9" applyFont="1" applyBorder="1" applyAlignment="1">
      <alignment horizontal="center" vertical="center" wrapText="1"/>
    </xf>
    <xf numFmtId="0" fontId="89" fillId="0" borderId="74" xfId="9" applyFont="1" applyBorder="1" applyAlignment="1">
      <alignment vertical="center" wrapText="1"/>
    </xf>
    <xf numFmtId="0" fontId="86" fillId="0" borderId="115" xfId="9" applyFont="1" applyBorder="1" applyAlignment="1">
      <alignment vertical="center" wrapText="1"/>
    </xf>
    <xf numFmtId="0" fontId="86" fillId="0" borderId="74" xfId="9" applyFont="1" applyBorder="1" applyAlignment="1">
      <alignment vertical="center" wrapText="1"/>
    </xf>
    <xf numFmtId="0" fontId="94" fillId="0" borderId="74" xfId="9" applyFont="1" applyBorder="1" applyAlignment="1">
      <alignment vertical="center" wrapText="1"/>
    </xf>
    <xf numFmtId="0" fontId="86" fillId="0" borderId="36" xfId="9" applyFont="1"/>
    <xf numFmtId="0" fontId="86" fillId="0" borderId="74" xfId="9" applyFont="1" applyBorder="1" applyAlignment="1">
      <alignment horizontal="center" vertical="center"/>
    </xf>
    <xf numFmtId="0" fontId="86" fillId="0" borderId="74" xfId="9" applyFont="1" applyBorder="1"/>
    <xf numFmtId="0" fontId="86" fillId="0" borderId="74" xfId="9" applyFont="1" applyBorder="1" applyAlignment="1">
      <alignment wrapText="1"/>
    </xf>
    <xf numFmtId="14" fontId="86" fillId="0" borderId="74" xfId="9" applyNumberFormat="1" applyFont="1" applyBorder="1" applyAlignment="1">
      <alignment vertical="center"/>
    </xf>
    <xf numFmtId="0" fontId="86" fillId="0" borderId="115" xfId="9" applyFont="1" applyBorder="1" applyAlignment="1">
      <alignment horizontal="center" vertical="center" wrapText="1"/>
    </xf>
    <xf numFmtId="0" fontId="8" fillId="0" borderId="74" xfId="12" applyFont="1" applyBorder="1" applyAlignment="1">
      <alignment horizontal="center" vertical="center" wrapText="1"/>
    </xf>
    <xf numFmtId="166" fontId="86" fillId="0" borderId="74" xfId="9" applyNumberFormat="1" applyFont="1" applyBorder="1" applyAlignment="1">
      <alignment horizontal="center" vertical="center"/>
    </xf>
    <xf numFmtId="0" fontId="116" fillId="0" borderId="36" xfId="9" applyProtection="1">
      <protection locked="0"/>
    </xf>
    <xf numFmtId="0" fontId="116" fillId="0" borderId="36" xfId="9" applyAlignment="1" applyProtection="1">
      <alignment wrapText="1"/>
      <protection locked="0"/>
    </xf>
    <xf numFmtId="0" fontId="116" fillId="0" borderId="36" xfId="9" applyAlignment="1" applyProtection="1">
      <alignment vertical="center"/>
      <protection locked="0"/>
    </xf>
    <xf numFmtId="0" fontId="116" fillId="0" borderId="36" xfId="9" applyAlignment="1" applyProtection="1">
      <alignment horizontal="center"/>
      <protection locked="0"/>
    </xf>
    <xf numFmtId="0" fontId="8" fillId="0" borderId="3" xfId="9" applyFont="1" applyBorder="1" applyAlignment="1" applyProtection="1">
      <alignment horizontal="left" vertical="center" wrapText="1"/>
      <protection locked="0"/>
    </xf>
    <xf numFmtId="0" fontId="7" fillId="0" borderId="5" xfId="9" applyFont="1" applyBorder="1" applyProtection="1">
      <protection locked="0"/>
    </xf>
    <xf numFmtId="0" fontId="7" fillId="0" borderId="5" xfId="9" applyFont="1" applyBorder="1" applyAlignment="1" applyProtection="1">
      <alignment wrapText="1"/>
      <protection locked="0"/>
    </xf>
    <xf numFmtId="0" fontId="8" fillId="0" borderId="36" xfId="9" applyFont="1" applyAlignment="1">
      <alignment horizontal="center" vertical="center"/>
    </xf>
    <xf numFmtId="0" fontId="8" fillId="0" borderId="36" xfId="9" applyFont="1" applyAlignment="1" applyProtection="1">
      <alignment horizontal="center" vertical="center"/>
      <protection locked="0"/>
    </xf>
    <xf numFmtId="0" fontId="8" fillId="0" borderId="36" xfId="9" applyFont="1" applyProtection="1">
      <protection locked="0"/>
    </xf>
    <xf numFmtId="0" fontId="8" fillId="0" borderId="36" xfId="9" applyFont="1" applyAlignment="1" applyProtection="1">
      <alignment horizontal="center"/>
      <protection locked="0"/>
    </xf>
    <xf numFmtId="0" fontId="13" fillId="0" borderId="9" xfId="9" applyFont="1" applyBorder="1" applyAlignment="1" applyProtection="1">
      <alignment horizontal="left" vertical="center" wrapText="1"/>
      <protection locked="0"/>
    </xf>
    <xf numFmtId="0" fontId="8" fillId="0" borderId="36" xfId="9" applyFont="1" applyAlignment="1" applyProtection="1">
      <alignment wrapText="1"/>
      <protection locked="0"/>
    </xf>
    <xf numFmtId="0" fontId="11" fillId="0" borderId="36" xfId="9" applyFont="1" applyAlignment="1">
      <alignment horizontal="left" vertical="center"/>
    </xf>
    <xf numFmtId="0" fontId="11" fillId="0" borderId="36" xfId="9" applyFont="1" applyAlignment="1" applyProtection="1">
      <alignment horizontal="left" vertical="center"/>
      <protection locked="0"/>
    </xf>
    <xf numFmtId="0" fontId="116" fillId="0" borderId="36" xfId="9" applyAlignment="1" applyProtection="1">
      <alignment horizontal="center" vertical="center"/>
      <protection locked="0"/>
    </xf>
    <xf numFmtId="0" fontId="94" fillId="0" borderId="36" xfId="9" applyFont="1" applyAlignment="1">
      <alignment vertical="center" wrapText="1"/>
    </xf>
    <xf numFmtId="0" fontId="86" fillId="0" borderId="36" xfId="9" applyFont="1" applyAlignment="1">
      <alignment vertical="center" wrapText="1"/>
    </xf>
    <xf numFmtId="0" fontId="62" fillId="0" borderId="36" xfId="11" applyFont="1" applyAlignment="1">
      <alignment vertical="center" wrapText="1"/>
    </xf>
    <xf numFmtId="0" fontId="63" fillId="18" borderId="81" xfId="11" applyFont="1" applyFill="1" applyBorder="1" applyAlignment="1">
      <alignment horizontal="center" vertical="center" wrapText="1"/>
    </xf>
    <xf numFmtId="0" fontId="63" fillId="0" borderId="80" xfId="11" applyFont="1" applyBorder="1" applyAlignment="1">
      <alignment vertical="center" wrapText="1"/>
    </xf>
    <xf numFmtId="0" fontId="62" fillId="26" borderId="82" xfId="11" applyFont="1" applyFill="1" applyBorder="1" applyAlignment="1">
      <alignment horizontal="center" vertical="center" wrapText="1"/>
    </xf>
    <xf numFmtId="0" fontId="62" fillId="26" borderId="80" xfId="11" applyFont="1" applyFill="1" applyBorder="1" applyAlignment="1">
      <alignment vertical="center" wrapText="1"/>
    </xf>
    <xf numFmtId="0" fontId="62" fillId="26" borderId="80" xfId="11" applyFont="1" applyFill="1" applyBorder="1" applyAlignment="1">
      <alignment horizontal="center" vertical="center" wrapText="1"/>
    </xf>
    <xf numFmtId="0" fontId="63" fillId="0" borderId="94" xfId="11" applyFont="1" applyBorder="1" applyAlignment="1">
      <alignment vertical="center" wrapText="1"/>
    </xf>
    <xf numFmtId="0" fontId="89" fillId="0" borderId="74" xfId="0" applyFont="1" applyBorder="1" applyAlignment="1">
      <alignment vertical="center" wrapText="1"/>
    </xf>
    <xf numFmtId="0" fontId="0" fillId="0" borderId="0" xfId="0" applyAlignment="1">
      <alignment vertical="center" wrapText="1"/>
    </xf>
    <xf numFmtId="0" fontId="89" fillId="0" borderId="74" xfId="7" applyFont="1" applyBorder="1" applyAlignment="1">
      <alignment vertical="center" wrapText="1"/>
    </xf>
    <xf numFmtId="0" fontId="86" fillId="0" borderId="74" xfId="0" applyFont="1" applyBorder="1" applyAlignment="1">
      <alignment vertical="center" wrapText="1"/>
    </xf>
    <xf numFmtId="0" fontId="12" fillId="39" borderId="6" xfId="9" applyFont="1" applyFill="1" applyBorder="1" applyAlignment="1">
      <alignment vertical="center" textRotation="90"/>
    </xf>
    <xf numFmtId="49" fontId="12" fillId="39" borderId="6" xfId="9" applyNumberFormat="1" applyFont="1" applyFill="1" applyBorder="1" applyAlignment="1">
      <alignment vertical="center"/>
    </xf>
    <xf numFmtId="0" fontId="11" fillId="39" borderId="6" xfId="9" applyFont="1" applyFill="1" applyBorder="1" applyAlignment="1">
      <alignment vertical="center"/>
    </xf>
    <xf numFmtId="0" fontId="83" fillId="39" borderId="1" xfId="9" applyFont="1" applyFill="1" applyBorder="1" applyAlignment="1">
      <alignment vertical="center" wrapText="1"/>
    </xf>
    <xf numFmtId="0" fontId="83" fillId="39" borderId="114" xfId="9" applyFont="1" applyFill="1" applyBorder="1" applyAlignment="1">
      <alignment vertical="center" wrapText="1"/>
    </xf>
    <xf numFmtId="0" fontId="11" fillId="39" borderId="10" xfId="9" applyFont="1" applyFill="1" applyBorder="1" applyAlignment="1">
      <alignment vertical="center" wrapText="1"/>
    </xf>
    <xf numFmtId="0" fontId="11" fillId="39" borderId="10" xfId="9" applyFont="1" applyFill="1" applyBorder="1" applyAlignment="1">
      <alignment vertical="center"/>
    </xf>
    <xf numFmtId="0" fontId="11" fillId="39" borderId="6" xfId="9" applyFont="1" applyFill="1" applyBorder="1" applyAlignment="1">
      <alignment vertical="center" wrapText="1"/>
    </xf>
    <xf numFmtId="0" fontId="11" fillId="39" borderId="7" xfId="9" applyFont="1" applyFill="1" applyBorder="1" applyAlignment="1">
      <alignment vertical="center"/>
    </xf>
    <xf numFmtId="0" fontId="11" fillId="39" borderId="7" xfId="9" applyFont="1" applyFill="1" applyBorder="1" applyAlignment="1">
      <alignment vertical="center" wrapText="1"/>
    </xf>
    <xf numFmtId="0" fontId="11" fillId="39" borderId="6" xfId="9" applyFont="1" applyFill="1" applyBorder="1" applyAlignment="1">
      <alignment vertical="center" textRotation="90" wrapText="1"/>
    </xf>
    <xf numFmtId="0" fontId="117" fillId="38" borderId="112" xfId="10" applyFont="1" applyFill="1" applyBorder="1" applyAlignment="1">
      <alignment horizontal="left" vertical="center" wrapText="1"/>
    </xf>
    <xf numFmtId="0" fontId="117" fillId="38" borderId="111" xfId="10" applyFont="1" applyFill="1" applyBorder="1" applyAlignment="1">
      <alignment horizontal="left" vertical="center" wrapText="1"/>
    </xf>
    <xf numFmtId="0" fontId="11" fillId="39" borderId="9" xfId="9" applyFont="1" applyFill="1" applyBorder="1" applyAlignment="1">
      <alignment horizontal="center" vertical="center" textRotation="90"/>
    </xf>
    <xf numFmtId="0" fontId="63" fillId="0" borderId="80" xfId="11" applyFont="1" applyBorder="1" applyAlignment="1">
      <alignment horizontal="center" vertical="center" wrapText="1"/>
    </xf>
    <xf numFmtId="0" fontId="63" fillId="0" borderId="81" xfId="11" applyFont="1" applyBorder="1" applyAlignment="1">
      <alignment vertical="center" wrapText="1"/>
    </xf>
    <xf numFmtId="0" fontId="63" fillId="18" borderId="81" xfId="11" applyFont="1" applyFill="1" applyBorder="1" applyAlignment="1">
      <alignment vertical="center" wrapText="1"/>
    </xf>
    <xf numFmtId="0" fontId="63" fillId="19" borderId="81" xfId="11" applyFont="1" applyFill="1" applyBorder="1" applyAlignment="1">
      <alignment vertical="center" wrapText="1"/>
    </xf>
    <xf numFmtId="0" fontId="124" fillId="0" borderId="82" xfId="11" applyFont="1" applyBorder="1" applyAlignment="1">
      <alignment horizontal="left" vertical="center" wrapText="1"/>
    </xf>
    <xf numFmtId="0" fontId="63" fillId="0" borderId="82" xfId="11" applyFont="1" applyBorder="1" applyAlignment="1">
      <alignment horizontal="center" vertical="center" wrapText="1"/>
    </xf>
    <xf numFmtId="0" fontId="63" fillId="18" borderId="82" xfId="11" applyFont="1" applyFill="1" applyBorder="1" applyAlignment="1">
      <alignment horizontal="center" vertical="center" wrapText="1"/>
    </xf>
    <xf numFmtId="0" fontId="63" fillId="26" borderId="82" xfId="11" applyFont="1" applyFill="1" applyBorder="1" applyAlignment="1">
      <alignment horizontal="center" vertical="center" wrapText="1"/>
    </xf>
    <xf numFmtId="0" fontId="63" fillId="26" borderId="80" xfId="11" applyFont="1" applyFill="1" applyBorder="1" applyAlignment="1">
      <alignment vertical="center" wrapText="1"/>
    </xf>
    <xf numFmtId="0" fontId="63" fillId="26" borderId="80" xfId="11" applyFont="1" applyFill="1" applyBorder="1" applyAlignment="1">
      <alignment horizontal="center" vertical="center" wrapText="1"/>
    </xf>
    <xf numFmtId="167" fontId="63" fillId="0" borderId="82" xfId="11" applyNumberFormat="1" applyFont="1" applyBorder="1" applyAlignment="1">
      <alignment horizontal="center" vertical="center" wrapText="1"/>
    </xf>
    <xf numFmtId="0" fontId="63" fillId="18" borderId="80" xfId="11" applyFont="1" applyFill="1" applyBorder="1" applyAlignment="1">
      <alignment vertical="center" wrapText="1"/>
    </xf>
    <xf numFmtId="0" fontId="63" fillId="19" borderId="80" xfId="11" applyFont="1" applyFill="1" applyBorder="1" applyAlignment="1">
      <alignment vertical="center" wrapText="1"/>
    </xf>
    <xf numFmtId="0" fontId="63" fillId="0" borderId="83" xfId="11" applyFont="1" applyBorder="1" applyAlignment="1">
      <alignment vertical="center" wrapText="1"/>
    </xf>
    <xf numFmtId="0" fontId="63" fillId="0" borderId="83" xfId="11" applyFont="1" applyBorder="1" applyAlignment="1">
      <alignment horizontal="left" vertical="center" wrapText="1"/>
    </xf>
    <xf numFmtId="0" fontId="63" fillId="0" borderId="83" xfId="11" applyFont="1" applyBorder="1" applyAlignment="1">
      <alignment horizontal="center" vertical="center" wrapText="1"/>
    </xf>
    <xf numFmtId="0" fontId="63" fillId="18" borderId="83" xfId="11" applyFont="1" applyFill="1" applyBorder="1" applyAlignment="1">
      <alignment horizontal="center" vertical="center" wrapText="1"/>
    </xf>
    <xf numFmtId="0" fontId="124" fillId="0" borderId="83" xfId="11" applyFont="1" applyBorder="1" applyAlignment="1">
      <alignment horizontal="left" vertical="center" wrapText="1"/>
    </xf>
    <xf numFmtId="167" fontId="63" fillId="0" borderId="83" xfId="11" applyNumberFormat="1" applyFont="1" applyBorder="1" applyAlignment="1">
      <alignment horizontal="center" vertical="center" wrapText="1"/>
    </xf>
    <xf numFmtId="0" fontId="63" fillId="19" borderId="83" xfId="11" applyFont="1" applyFill="1" applyBorder="1" applyAlignment="1">
      <alignment horizontal="center" vertical="center" wrapText="1"/>
    </xf>
    <xf numFmtId="0" fontId="63" fillId="26" borderId="83" xfId="11" applyFont="1" applyFill="1" applyBorder="1" applyAlignment="1">
      <alignment horizontal="center" vertical="center" wrapText="1"/>
    </xf>
    <xf numFmtId="0" fontId="63" fillId="0" borderId="81" xfId="11" applyFont="1" applyBorder="1" applyAlignment="1">
      <alignment horizontal="left" vertical="center" wrapText="1"/>
    </xf>
    <xf numFmtId="0" fontId="63" fillId="0" borderId="84" xfId="11" applyFont="1" applyBorder="1" applyAlignment="1">
      <alignment vertical="center" wrapText="1"/>
    </xf>
    <xf numFmtId="0" fontId="63" fillId="18" borderId="80" xfId="11" applyFont="1" applyFill="1" applyBorder="1" applyAlignment="1">
      <alignment horizontal="center" vertical="center" wrapText="1"/>
    </xf>
    <xf numFmtId="0" fontId="63" fillId="0" borderId="121" xfId="11" applyFont="1" applyBorder="1" applyAlignment="1">
      <alignment horizontal="center" vertical="center" wrapText="1"/>
    </xf>
    <xf numFmtId="0" fontId="63" fillId="0" borderId="83" xfId="11" applyFont="1" applyBorder="1" applyAlignment="1">
      <alignment horizontal="left" vertical="top" wrapText="1"/>
    </xf>
    <xf numFmtId="0" fontId="124" fillId="0" borderId="83" xfId="11" applyFont="1" applyBorder="1" applyAlignment="1">
      <alignment horizontal="left" vertical="top" wrapText="1"/>
    </xf>
    <xf numFmtId="0" fontId="63" fillId="0" borderId="85" xfId="11" applyFont="1" applyBorder="1" applyAlignment="1">
      <alignment vertical="center" wrapText="1"/>
    </xf>
    <xf numFmtId="0" fontId="63" fillId="0" borderId="86" xfId="11" applyFont="1" applyBorder="1" applyAlignment="1">
      <alignment vertical="center" wrapText="1"/>
    </xf>
    <xf numFmtId="0" fontId="63" fillId="0" borderId="87" xfId="11" applyFont="1" applyBorder="1" applyAlignment="1">
      <alignment vertical="center" wrapText="1"/>
    </xf>
    <xf numFmtId="0" fontId="63" fillId="0" borderId="120" xfId="11" applyFont="1" applyBorder="1" applyAlignment="1">
      <alignment vertical="center" wrapText="1"/>
    </xf>
    <xf numFmtId="0" fontId="63" fillId="0" borderId="88" xfId="11" applyFont="1" applyBorder="1" applyAlignment="1">
      <alignment vertical="center" wrapText="1"/>
    </xf>
    <xf numFmtId="0" fontId="62" fillId="0" borderId="83" xfId="11" applyFont="1" applyBorder="1" applyAlignment="1">
      <alignment horizontal="left" vertical="center" wrapText="1"/>
    </xf>
    <xf numFmtId="0" fontId="63" fillId="0" borderId="89" xfId="11" applyFont="1" applyBorder="1" applyAlignment="1">
      <alignment vertical="center" wrapText="1"/>
    </xf>
    <xf numFmtId="0" fontId="63" fillId="0" borderId="90" xfId="11" applyFont="1" applyBorder="1" applyAlignment="1">
      <alignment vertical="center" wrapText="1"/>
    </xf>
    <xf numFmtId="0" fontId="63" fillId="0" borderId="91" xfId="11" applyFont="1" applyBorder="1" applyAlignment="1">
      <alignment vertical="center" wrapText="1"/>
    </xf>
    <xf numFmtId="0" fontId="123" fillId="0" borderId="83" xfId="11" applyFont="1" applyBorder="1" applyAlignment="1">
      <alignment horizontal="left" vertical="center" wrapText="1"/>
    </xf>
    <xf numFmtId="0" fontId="63" fillId="0" borderId="92" xfId="11" applyFont="1" applyBorder="1" applyAlignment="1">
      <alignment vertical="center" wrapText="1"/>
    </xf>
    <xf numFmtId="0" fontId="63" fillId="0" borderId="93" xfId="11" applyFont="1" applyBorder="1" applyAlignment="1">
      <alignment vertical="center" wrapText="1"/>
    </xf>
    <xf numFmtId="0" fontId="63" fillId="19" borderId="95" xfId="11" applyFont="1" applyFill="1" applyBorder="1" applyAlignment="1">
      <alignment vertical="center" wrapText="1"/>
    </xf>
    <xf numFmtId="0" fontId="63" fillId="0" borderId="95" xfId="11" applyFont="1" applyBorder="1" applyAlignment="1">
      <alignment vertical="center" wrapText="1"/>
    </xf>
    <xf numFmtId="0" fontId="63" fillId="0" borderId="122" xfId="11" applyFont="1" applyBorder="1" applyAlignment="1">
      <alignment vertical="center" wrapText="1"/>
    </xf>
    <xf numFmtId="0" fontId="62" fillId="18" borderId="83" xfId="11" applyFont="1" applyFill="1" applyBorder="1" applyAlignment="1">
      <alignment horizontal="center" vertical="center" wrapText="1"/>
    </xf>
    <xf numFmtId="0" fontId="62" fillId="18" borderId="82" xfId="11" applyFont="1" applyFill="1" applyBorder="1" applyAlignment="1">
      <alignment horizontal="center" vertical="center" wrapText="1"/>
    </xf>
    <xf numFmtId="0" fontId="62" fillId="0" borderId="83" xfId="11" applyFont="1" applyBorder="1" applyAlignment="1">
      <alignment horizontal="center" vertical="center" wrapText="1"/>
    </xf>
    <xf numFmtId="167" fontId="62" fillId="0" borderId="83" xfId="11" applyNumberFormat="1" applyFont="1" applyBorder="1" applyAlignment="1">
      <alignment horizontal="center" vertical="center" wrapText="1"/>
    </xf>
    <xf numFmtId="0" fontId="62" fillId="0" borderId="81" xfId="11" applyFont="1" applyBorder="1" applyAlignment="1">
      <alignment vertical="center" wrapText="1"/>
    </xf>
    <xf numFmtId="0" fontId="63" fillId="18" borderId="94" xfId="11" applyFont="1" applyFill="1" applyBorder="1" applyAlignment="1">
      <alignment vertical="center" wrapText="1"/>
    </xf>
    <xf numFmtId="0" fontId="63" fillId="19" borderId="94" xfId="11" applyFont="1" applyFill="1" applyBorder="1" applyAlignment="1">
      <alignment vertical="center" wrapText="1"/>
    </xf>
    <xf numFmtId="0" fontId="62" fillId="18" borderId="80" xfId="11" applyFont="1" applyFill="1" applyBorder="1" applyAlignment="1">
      <alignment vertical="center" wrapText="1"/>
    </xf>
    <xf numFmtId="167" fontId="62" fillId="0" borderId="82" xfId="11" applyNumberFormat="1" applyFont="1" applyBorder="1" applyAlignment="1">
      <alignment horizontal="center" vertical="center" wrapText="1"/>
    </xf>
    <xf numFmtId="0" fontId="62" fillId="0" borderId="80" xfId="11" applyFont="1" applyBorder="1" applyAlignment="1">
      <alignment vertical="center" wrapText="1"/>
    </xf>
    <xf numFmtId="0" fontId="124" fillId="0" borderId="122" xfId="11" applyFont="1" applyBorder="1" applyAlignment="1">
      <alignment vertical="center" wrapText="1"/>
    </xf>
    <xf numFmtId="14" fontId="62" fillId="0" borderId="83" xfId="11" applyNumberFormat="1" applyFont="1" applyBorder="1" applyAlignment="1">
      <alignment horizontal="center" vertical="center" wrapText="1"/>
    </xf>
    <xf numFmtId="0" fontId="85" fillId="0" borderId="74" xfId="9" applyFont="1" applyBorder="1" applyAlignment="1">
      <alignment vertical="center" wrapText="1"/>
    </xf>
    <xf numFmtId="0" fontId="126" fillId="0" borderId="74" xfId="9" applyFont="1" applyBorder="1" applyAlignment="1">
      <alignment vertical="center" wrapText="1"/>
    </xf>
    <xf numFmtId="14" fontId="86" fillId="0" borderId="74" xfId="9" applyNumberFormat="1" applyFont="1" applyBorder="1" applyAlignment="1">
      <alignment vertical="center" wrapText="1"/>
    </xf>
    <xf numFmtId="0" fontId="127" fillId="0" borderId="74" xfId="13" applyBorder="1" applyAlignment="1" applyProtection="1">
      <alignment vertical="center" wrapText="1"/>
    </xf>
    <xf numFmtId="0" fontId="86" fillId="0" borderId="74" xfId="9" applyFont="1" applyBorder="1" applyAlignment="1">
      <alignment horizontal="left" vertical="center" wrapText="1"/>
    </xf>
    <xf numFmtId="0" fontId="86" fillId="0" borderId="74" xfId="9" applyFont="1" applyBorder="1" applyAlignment="1">
      <alignment horizontal="left" vertical="center"/>
    </xf>
    <xf numFmtId="0" fontId="14" fillId="3" borderId="36" xfId="7" applyFont="1" applyFill="1"/>
    <xf numFmtId="0" fontId="20" fillId="3" borderId="36" xfId="7" applyFont="1" applyFill="1" applyAlignment="1">
      <alignment vertical="center"/>
    </xf>
    <xf numFmtId="0" fontId="14" fillId="3" borderId="36" xfId="8" applyFont="1" applyFill="1"/>
    <xf numFmtId="0" fontId="23" fillId="8" borderId="50" xfId="8" applyFont="1" applyFill="1" applyBorder="1" applyAlignment="1">
      <alignment horizontal="center" vertical="center" wrapText="1" readingOrder="1"/>
    </xf>
    <xf numFmtId="0" fontId="23" fillId="8" borderId="51" xfId="8" applyFont="1" applyFill="1" applyBorder="1" applyAlignment="1">
      <alignment horizontal="center" vertical="center" wrapText="1" readingOrder="1"/>
    </xf>
    <xf numFmtId="0" fontId="23" fillId="8" borderId="52" xfId="8" applyFont="1" applyFill="1" applyBorder="1" applyAlignment="1">
      <alignment horizontal="center" vertical="center" wrapText="1" readingOrder="1"/>
    </xf>
    <xf numFmtId="0" fontId="23" fillId="9" borderId="50" xfId="8" applyFont="1" applyFill="1" applyBorder="1" applyAlignment="1">
      <alignment horizontal="center" wrapText="1" readingOrder="1"/>
    </xf>
    <xf numFmtId="0" fontId="23" fillId="9" borderId="51" xfId="8" applyFont="1" applyFill="1" applyBorder="1" applyAlignment="1">
      <alignment horizontal="center" wrapText="1" readingOrder="1"/>
    </xf>
    <xf numFmtId="0" fontId="23" fillId="9" borderId="52" xfId="8" applyFont="1" applyFill="1" applyBorder="1" applyAlignment="1">
      <alignment horizontal="center" wrapText="1" readingOrder="1"/>
    </xf>
    <xf numFmtId="0" fontId="23" fillId="8" borderId="43" xfId="8" applyFont="1" applyFill="1" applyBorder="1" applyAlignment="1">
      <alignment horizontal="center" vertical="center" wrapText="1" readingOrder="1"/>
    </xf>
    <xf numFmtId="0" fontId="23" fillId="8" borderId="36" xfId="8" applyFont="1" applyFill="1" applyAlignment="1">
      <alignment horizontal="center" vertical="center" wrapText="1" readingOrder="1"/>
    </xf>
    <xf numFmtId="0" fontId="23" fillId="8" borderId="40" xfId="8" applyFont="1" applyFill="1" applyBorder="1" applyAlignment="1">
      <alignment horizontal="center" vertical="center" wrapText="1" readingOrder="1"/>
    </xf>
    <xf numFmtId="0" fontId="23" fillId="9" borderId="43" xfId="8" applyFont="1" applyFill="1" applyBorder="1" applyAlignment="1">
      <alignment horizontal="center" wrapText="1" readingOrder="1"/>
    </xf>
    <xf numFmtId="0" fontId="23" fillId="9" borderId="36" xfId="8" applyFont="1" applyFill="1" applyAlignment="1">
      <alignment horizontal="center" wrapText="1" readingOrder="1"/>
    </xf>
    <xf numFmtId="0" fontId="23" fillId="9" borderId="40" xfId="8" applyFont="1" applyFill="1" applyBorder="1" applyAlignment="1">
      <alignment horizontal="center" wrapText="1" readingOrder="1"/>
    </xf>
    <xf numFmtId="0" fontId="23" fillId="8" borderId="44" xfId="8" applyFont="1" applyFill="1" applyBorder="1" applyAlignment="1">
      <alignment horizontal="center" vertical="center" wrapText="1" readingOrder="1"/>
    </xf>
    <xf numFmtId="0" fontId="23" fillId="8" borderId="46" xfId="8" applyFont="1" applyFill="1" applyBorder="1" applyAlignment="1">
      <alignment horizontal="center" vertical="center" wrapText="1" readingOrder="1"/>
    </xf>
    <xf numFmtId="0" fontId="23" fillId="8" borderId="45" xfId="8" applyFont="1" applyFill="1" applyBorder="1" applyAlignment="1">
      <alignment horizontal="center" vertical="center" wrapText="1" readingOrder="1"/>
    </xf>
    <xf numFmtId="0" fontId="23" fillId="9" borderId="44" xfId="8" applyFont="1" applyFill="1" applyBorder="1" applyAlignment="1">
      <alignment horizontal="center" wrapText="1" readingOrder="1"/>
    </xf>
    <xf numFmtId="0" fontId="23" fillId="9" borderId="46" xfId="8" applyFont="1" applyFill="1" applyBorder="1" applyAlignment="1">
      <alignment horizontal="center" wrapText="1" readingOrder="1"/>
    </xf>
    <xf numFmtId="0" fontId="23" fillId="9" borderId="45" xfId="8" applyFont="1" applyFill="1" applyBorder="1" applyAlignment="1">
      <alignment horizontal="center" wrapText="1" readingOrder="1"/>
    </xf>
    <xf numFmtId="0" fontId="23" fillId="5" borderId="50" xfId="8" applyFont="1" applyFill="1" applyBorder="1" applyAlignment="1">
      <alignment horizontal="center" wrapText="1" readingOrder="1"/>
    </xf>
    <xf numFmtId="0" fontId="23" fillId="5" borderId="51" xfId="8" applyFont="1" applyFill="1" applyBorder="1" applyAlignment="1">
      <alignment horizontal="center" wrapText="1" readingOrder="1"/>
    </xf>
    <xf numFmtId="0" fontId="23" fillId="5" borderId="52" xfId="8" applyFont="1" applyFill="1" applyBorder="1" applyAlignment="1">
      <alignment horizontal="center" wrapText="1" readingOrder="1"/>
    </xf>
    <xf numFmtId="0" fontId="23" fillId="5" borderId="43" xfId="8" applyFont="1" applyFill="1" applyBorder="1" applyAlignment="1">
      <alignment horizontal="center" wrapText="1" readingOrder="1"/>
    </xf>
    <xf numFmtId="0" fontId="23" fillId="5" borderId="36" xfId="8" applyFont="1" applyFill="1" applyAlignment="1">
      <alignment horizontal="center" wrapText="1" readingOrder="1"/>
    </xf>
    <xf numFmtId="0" fontId="23" fillId="5" borderId="40" xfId="8" applyFont="1" applyFill="1" applyBorder="1" applyAlignment="1">
      <alignment horizontal="center" wrapText="1" readingOrder="1"/>
    </xf>
    <xf numFmtId="0" fontId="23" fillId="5" borderId="44" xfId="8" applyFont="1" applyFill="1" applyBorder="1" applyAlignment="1">
      <alignment horizontal="center" wrapText="1" readingOrder="1"/>
    </xf>
    <xf numFmtId="0" fontId="23" fillId="5" borderId="46" xfId="8" applyFont="1" applyFill="1" applyBorder="1" applyAlignment="1">
      <alignment horizontal="center" wrapText="1" readingOrder="1"/>
    </xf>
    <xf numFmtId="0" fontId="23" fillId="5" borderId="45" xfId="8" applyFont="1" applyFill="1" applyBorder="1" applyAlignment="1">
      <alignment horizontal="center" wrapText="1" readingOrder="1"/>
    </xf>
    <xf numFmtId="0" fontId="23" fillId="10" borderId="50" xfId="8" applyFont="1" applyFill="1" applyBorder="1" applyAlignment="1">
      <alignment horizontal="center" wrapText="1" readingOrder="1"/>
    </xf>
    <xf numFmtId="0" fontId="23" fillId="10" borderId="51" xfId="8" applyFont="1" applyFill="1" applyBorder="1" applyAlignment="1">
      <alignment horizontal="center" wrapText="1" readingOrder="1"/>
    </xf>
    <xf numFmtId="0" fontId="23" fillId="10" borderId="52" xfId="8" applyFont="1" applyFill="1" applyBorder="1" applyAlignment="1">
      <alignment horizontal="center" wrapText="1" readingOrder="1"/>
    </xf>
    <xf numFmtId="0" fontId="23" fillId="10" borderId="43" xfId="8" applyFont="1" applyFill="1" applyBorder="1" applyAlignment="1">
      <alignment horizontal="center" wrapText="1" readingOrder="1"/>
    </xf>
    <xf numFmtId="0" fontId="23" fillId="10" borderId="36" xfId="8" applyFont="1" applyFill="1" applyAlignment="1">
      <alignment horizontal="center" wrapText="1" readingOrder="1"/>
    </xf>
    <xf numFmtId="0" fontId="23" fillId="10" borderId="40" xfId="8" applyFont="1" applyFill="1" applyBorder="1" applyAlignment="1">
      <alignment horizontal="center" wrapText="1" readingOrder="1"/>
    </xf>
    <xf numFmtId="0" fontId="23" fillId="10" borderId="44" xfId="8" applyFont="1" applyFill="1" applyBorder="1" applyAlignment="1">
      <alignment horizontal="center" wrapText="1" readingOrder="1"/>
    </xf>
    <xf numFmtId="0" fontId="23" fillId="10" borderId="46" xfId="8" applyFont="1" applyFill="1" applyBorder="1" applyAlignment="1">
      <alignment horizontal="center" wrapText="1" readingOrder="1"/>
    </xf>
    <xf numFmtId="0" fontId="23" fillId="10" borderId="45" xfId="8" applyFont="1" applyFill="1" applyBorder="1" applyAlignment="1">
      <alignment horizontal="center" wrapText="1" readingOrder="1"/>
    </xf>
    <xf numFmtId="0" fontId="25" fillId="5" borderId="51" xfId="8" applyFont="1" applyFill="1" applyBorder="1" applyAlignment="1">
      <alignment horizontal="center" wrapText="1" readingOrder="1"/>
    </xf>
    <xf numFmtId="0" fontId="20" fillId="3" borderId="36" xfId="8" applyFont="1" applyFill="1" applyAlignment="1">
      <alignment vertical="center"/>
    </xf>
    <xf numFmtId="0" fontId="97" fillId="17" borderId="36" xfId="0" applyFont="1" applyFill="1" applyBorder="1" applyAlignment="1">
      <alignment horizontal="center"/>
    </xf>
    <xf numFmtId="0" fontId="86" fillId="29" borderId="0" xfId="0" applyFont="1" applyFill="1"/>
    <xf numFmtId="0" fontId="133" fillId="0" borderId="36" xfId="11" applyFont="1" applyAlignment="1">
      <alignment horizontal="center" vertical="center" wrapText="1"/>
    </xf>
    <xf numFmtId="0" fontId="133" fillId="0" borderId="36" xfId="11" applyFont="1" applyAlignment="1">
      <alignment vertical="center" wrapText="1"/>
    </xf>
    <xf numFmtId="0" fontId="135" fillId="40" borderId="36" xfId="11" applyFont="1" applyFill="1" applyAlignment="1">
      <alignment horizontal="center" vertical="center" wrapText="1"/>
    </xf>
    <xf numFmtId="0" fontId="136" fillId="23" borderId="119" xfId="11" applyFont="1" applyFill="1" applyBorder="1" applyAlignment="1">
      <alignment horizontal="center" vertical="center" wrapText="1"/>
    </xf>
    <xf numFmtId="0" fontId="137" fillId="18" borderId="36" xfId="11" applyFont="1" applyFill="1" applyAlignment="1">
      <alignment horizontal="center" vertical="center" wrapText="1"/>
    </xf>
    <xf numFmtId="0" fontId="138" fillId="18" borderId="36" xfId="11" applyFont="1" applyFill="1" applyAlignment="1">
      <alignment horizontal="center" vertical="center" wrapText="1"/>
    </xf>
    <xf numFmtId="0" fontId="138" fillId="24" borderId="36" xfId="11" applyFont="1" applyFill="1" applyAlignment="1">
      <alignment horizontal="center" vertical="center" wrapText="1"/>
    </xf>
    <xf numFmtId="0" fontId="137" fillId="25" borderId="36" xfId="11" applyFont="1" applyFill="1" applyAlignment="1">
      <alignment horizontal="center" vertical="center" wrapText="1"/>
    </xf>
    <xf numFmtId="0" fontId="134" fillId="41" borderId="97" xfId="11" applyFont="1" applyFill="1" applyBorder="1" applyAlignment="1">
      <alignment horizontal="center" vertical="center" wrapText="1"/>
    </xf>
    <xf numFmtId="0" fontId="134" fillId="41" borderId="74" xfId="11" applyFont="1" applyFill="1" applyBorder="1" applyAlignment="1">
      <alignment horizontal="center" vertical="center" wrapText="1"/>
    </xf>
    <xf numFmtId="0" fontId="139" fillId="40" borderId="36" xfId="11" applyFont="1" applyFill="1" applyAlignment="1">
      <alignment horizontal="center" vertical="center" wrapText="1"/>
    </xf>
    <xf numFmtId="0" fontId="134" fillId="27" borderId="97" xfId="11" applyFont="1" applyFill="1" applyBorder="1" applyAlignment="1">
      <alignment horizontal="center" vertical="center" wrapText="1"/>
    </xf>
    <xf numFmtId="0" fontId="134" fillId="42" borderId="97" xfId="11" applyFont="1" applyFill="1" applyBorder="1" applyAlignment="1">
      <alignment horizontal="center" vertical="center" wrapText="1"/>
    </xf>
    <xf numFmtId="0" fontId="140" fillId="0" borderId="80" xfId="11" applyFont="1" applyBorder="1" applyAlignment="1">
      <alignment horizontal="center" vertical="center" wrapText="1"/>
    </xf>
    <xf numFmtId="0" fontId="140" fillId="0" borderId="94" xfId="11" applyFont="1" applyBorder="1" applyAlignment="1">
      <alignment vertical="center" wrapText="1"/>
    </xf>
    <xf numFmtId="0" fontId="140" fillId="18" borderId="81" xfId="11" applyFont="1" applyFill="1" applyBorder="1" applyAlignment="1">
      <alignment horizontal="center" vertical="center" wrapText="1"/>
    </xf>
    <xf numFmtId="0" fontId="140" fillId="18" borderId="94" xfId="11" applyFont="1" applyFill="1" applyBorder="1" applyAlignment="1">
      <alignment vertical="center" wrapText="1"/>
    </xf>
    <xf numFmtId="0" fontId="140" fillId="19" borderId="94" xfId="11" applyFont="1" applyFill="1" applyBorder="1" applyAlignment="1">
      <alignment vertical="center" wrapText="1"/>
    </xf>
    <xf numFmtId="0" fontId="140" fillId="0" borderId="122" xfId="11" applyFont="1" applyBorder="1" applyAlignment="1">
      <alignment vertical="center" wrapText="1"/>
    </xf>
    <xf numFmtId="0" fontId="140" fillId="0" borderId="83" xfId="11" applyFont="1" applyBorder="1" applyAlignment="1">
      <alignment horizontal="center" vertical="center" wrapText="1"/>
    </xf>
    <xf numFmtId="0" fontId="133" fillId="18" borderId="83" xfId="11" applyFont="1" applyFill="1" applyBorder="1" applyAlignment="1">
      <alignment horizontal="center" vertical="center" wrapText="1"/>
    </xf>
    <xf numFmtId="0" fontId="133" fillId="18" borderId="82" xfId="11" applyFont="1" applyFill="1" applyBorder="1" applyAlignment="1">
      <alignment horizontal="center" vertical="center" wrapText="1"/>
    </xf>
    <xf numFmtId="0" fontId="133" fillId="26" borderId="82" xfId="11" applyFont="1" applyFill="1" applyBorder="1" applyAlignment="1">
      <alignment horizontal="center" vertical="center" wrapText="1"/>
    </xf>
    <xf numFmtId="0" fontId="133" fillId="26" borderId="80" xfId="11" applyFont="1" applyFill="1" applyBorder="1" applyAlignment="1">
      <alignment vertical="center" wrapText="1"/>
    </xf>
    <xf numFmtId="0" fontId="133" fillId="18" borderId="80" xfId="11" applyFont="1" applyFill="1" applyBorder="1" applyAlignment="1">
      <alignment vertical="center" wrapText="1"/>
    </xf>
    <xf numFmtId="0" fontId="133" fillId="26" borderId="80" xfId="11" applyFont="1" applyFill="1" applyBorder="1" applyAlignment="1">
      <alignment horizontal="center" vertical="center" wrapText="1"/>
    </xf>
    <xf numFmtId="0" fontId="140" fillId="0" borderId="80" xfId="11" applyFont="1" applyBorder="1" applyAlignment="1">
      <alignment vertical="center" wrapText="1"/>
    </xf>
    <xf numFmtId="0" fontId="133" fillId="0" borderId="83" xfId="11" applyFont="1" applyBorder="1" applyAlignment="1">
      <alignment horizontal="center" vertical="center" wrapText="1"/>
    </xf>
    <xf numFmtId="14" fontId="133" fillId="0" borderId="83" xfId="11" applyNumberFormat="1" applyFont="1" applyBorder="1" applyAlignment="1">
      <alignment horizontal="center" vertical="center" wrapText="1"/>
    </xf>
    <xf numFmtId="167" fontId="133" fillId="0" borderId="83" xfId="11" applyNumberFormat="1" applyFont="1" applyBorder="1" applyAlignment="1">
      <alignment horizontal="center" vertical="center" wrapText="1"/>
    </xf>
    <xf numFmtId="0" fontId="133" fillId="0" borderId="80" xfId="11" applyFont="1" applyBorder="1" applyAlignment="1">
      <alignment vertical="center" wrapText="1"/>
    </xf>
    <xf numFmtId="14" fontId="142" fillId="0" borderId="74" xfId="9" applyNumberFormat="1" applyFont="1" applyBorder="1" applyAlignment="1">
      <alignment vertical="center"/>
    </xf>
    <xf numFmtId="0" fontId="142" fillId="0" borderId="74" xfId="9" applyFont="1" applyBorder="1" applyAlignment="1">
      <alignment vertical="center" wrapText="1"/>
    </xf>
    <xf numFmtId="0" fontId="142" fillId="0" borderId="115" xfId="9" applyFont="1" applyBorder="1" applyAlignment="1">
      <alignment vertical="center" wrapText="1"/>
    </xf>
    <xf numFmtId="0" fontId="142" fillId="0" borderId="74" xfId="9" applyFont="1" applyBorder="1" applyAlignment="1">
      <alignment wrapText="1"/>
    </xf>
    <xf numFmtId="0" fontId="143" fillId="0" borderId="74" xfId="9" applyFont="1" applyBorder="1" applyAlignment="1">
      <alignment vertical="center" wrapText="1"/>
    </xf>
    <xf numFmtId="14" fontId="142" fillId="0" borderId="74" xfId="9" applyNumberFormat="1" applyFont="1" applyBorder="1" applyAlignment="1">
      <alignment horizontal="center" vertical="center"/>
    </xf>
    <xf numFmtId="0" fontId="142" fillId="0" borderId="74" xfId="9" applyFont="1" applyBorder="1" applyAlignment="1">
      <alignment horizontal="center" vertical="center"/>
    </xf>
    <xf numFmtId="0" fontId="142" fillId="0" borderId="74" xfId="9" applyFont="1" applyBorder="1" applyAlignment="1">
      <alignment horizontal="center" vertical="center" wrapText="1"/>
    </xf>
    <xf numFmtId="0" fontId="142" fillId="0" borderId="74" xfId="9" applyFont="1" applyBorder="1"/>
    <xf numFmtId="0" fontId="142" fillId="0" borderId="36" xfId="9" applyFont="1"/>
    <xf numFmtId="0" fontId="142" fillId="0" borderId="74" xfId="9" applyFont="1" applyBorder="1" applyAlignment="1">
      <alignment vertical="center"/>
    </xf>
    <xf numFmtId="0" fontId="142" fillId="0" borderId="115" xfId="9" applyFont="1" applyBorder="1" applyAlignment="1">
      <alignment horizontal="center" vertical="center" wrapText="1"/>
    </xf>
    <xf numFmtId="14" fontId="86" fillId="0" borderId="74" xfId="9" applyNumberFormat="1" applyFont="1" applyBorder="1"/>
    <xf numFmtId="0" fontId="127" fillId="0" borderId="74" xfId="13" applyBorder="1" applyAlignment="1">
      <alignment vertical="center" wrapText="1"/>
    </xf>
    <xf numFmtId="0" fontId="86" fillId="0" borderId="74" xfId="0" applyFont="1" applyBorder="1" applyAlignment="1">
      <alignment vertical="center"/>
    </xf>
    <xf numFmtId="166" fontId="86" fillId="0" borderId="74" xfId="0" applyNumberFormat="1" applyFont="1" applyBorder="1" applyAlignment="1">
      <alignment vertical="center"/>
    </xf>
    <xf numFmtId="0" fontId="89" fillId="0" borderId="74" xfId="9" applyFont="1" applyBorder="1" applyAlignment="1">
      <alignment horizontal="left" vertical="center" wrapText="1"/>
    </xf>
    <xf numFmtId="0" fontId="86" fillId="0" borderId="115" xfId="9" applyFont="1" applyBorder="1" applyAlignment="1">
      <alignment horizontal="left" vertical="top" wrapText="1"/>
    </xf>
    <xf numFmtId="0" fontId="86" fillId="0" borderId="74" xfId="9" applyFont="1" applyBorder="1" applyAlignment="1">
      <alignment horizontal="left" vertical="top" wrapText="1"/>
    </xf>
    <xf numFmtId="0" fontId="89" fillId="0" borderId="74" xfId="9" applyFont="1" applyBorder="1" applyAlignment="1">
      <alignment horizontal="left" vertical="top" wrapText="1"/>
    </xf>
    <xf numFmtId="0" fontId="89" fillId="0" borderId="74" xfId="9" applyFont="1" applyBorder="1" applyAlignment="1">
      <alignment vertical="top" wrapText="1"/>
    </xf>
    <xf numFmtId="0" fontId="89" fillId="0" borderId="115" xfId="9" applyFont="1" applyBorder="1" applyAlignment="1">
      <alignment horizontal="left" vertical="top" wrapText="1"/>
    </xf>
    <xf numFmtId="0" fontId="89" fillId="45" borderId="74" xfId="9" applyFont="1" applyFill="1" applyBorder="1" applyAlignment="1">
      <alignment vertical="center" wrapText="1"/>
    </xf>
    <xf numFmtId="0" fontId="86" fillId="29" borderId="115" xfId="9" applyFont="1" applyFill="1" applyBorder="1" applyAlignment="1">
      <alignment vertical="center" wrapText="1"/>
    </xf>
    <xf numFmtId="14" fontId="86" fillId="45" borderId="74" xfId="9" applyNumberFormat="1" applyFont="1" applyFill="1" applyBorder="1" applyAlignment="1">
      <alignment horizontal="center" vertical="center"/>
    </xf>
    <xf numFmtId="0" fontId="86" fillId="45" borderId="74" xfId="9" applyFont="1" applyFill="1" applyBorder="1" applyAlignment="1">
      <alignment horizontal="center" vertical="center" wrapText="1"/>
    </xf>
    <xf numFmtId="0" fontId="126" fillId="45" borderId="74" xfId="9" applyFont="1" applyFill="1" applyBorder="1" applyAlignment="1">
      <alignment vertical="center" wrapText="1"/>
    </xf>
    <xf numFmtId="0" fontId="85" fillId="45" borderId="74" xfId="9" applyFont="1" applyFill="1" applyBorder="1" applyAlignment="1">
      <alignment vertical="center" wrapText="1"/>
    </xf>
    <xf numFmtId="0" fontId="86" fillId="45" borderId="115" xfId="9" applyFont="1" applyFill="1" applyBorder="1" applyAlignment="1">
      <alignment vertical="center" wrapText="1"/>
    </xf>
    <xf numFmtId="14" fontId="86" fillId="0" borderId="74" xfId="9" applyNumberFormat="1" applyFont="1" applyBorder="1" applyAlignment="1">
      <alignment horizontal="center" vertical="center" wrapText="1"/>
    </xf>
    <xf numFmtId="0" fontId="127" fillId="45" borderId="74" xfId="13" applyFill="1" applyBorder="1" applyAlignment="1">
      <alignment vertical="center" wrapText="1"/>
    </xf>
    <xf numFmtId="14" fontId="86" fillId="0" borderId="74" xfId="9" applyNumberFormat="1" applyFont="1" applyBorder="1" applyAlignment="1">
      <alignment horizontal="left" vertical="center" wrapText="1"/>
    </xf>
    <xf numFmtId="0" fontId="127" fillId="0" borderId="74" xfId="13" applyBorder="1" applyAlignment="1">
      <alignment horizontal="left" vertical="top" wrapText="1"/>
    </xf>
    <xf numFmtId="0" fontId="89" fillId="45" borderId="74" xfId="9" applyFont="1" applyFill="1" applyBorder="1" applyAlignment="1">
      <alignment horizontal="left" vertical="top" wrapText="1"/>
    </xf>
    <xf numFmtId="0" fontId="127" fillId="0" borderId="74" xfId="13" applyBorder="1" applyAlignment="1">
      <alignment horizontal="center" vertical="center" wrapText="1"/>
    </xf>
    <xf numFmtId="0" fontId="127" fillId="0" borderId="74" xfId="13" applyBorder="1" applyAlignment="1" applyProtection="1">
      <alignment horizontal="center" vertical="center" wrapText="1"/>
    </xf>
    <xf numFmtId="0" fontId="89" fillId="0" borderId="74" xfId="0" applyFont="1" applyBorder="1" applyAlignment="1">
      <alignment horizontal="center" vertical="center" wrapText="1"/>
    </xf>
    <xf numFmtId="0" fontId="39" fillId="3" borderId="36" xfId="0" applyFont="1" applyFill="1" applyBorder="1"/>
    <xf numFmtId="0" fontId="37" fillId="3" borderId="36" xfId="0" applyFont="1" applyFill="1" applyBorder="1" applyAlignment="1">
      <alignment horizontal="left" vertical="center" wrapText="1" readingOrder="1"/>
    </xf>
    <xf numFmtId="0" fontId="149" fillId="3" borderId="36" xfId="0" applyFont="1" applyFill="1" applyBorder="1" applyAlignment="1">
      <alignment vertical="center"/>
    </xf>
    <xf numFmtId="0" fontId="150" fillId="0" borderId="0" xfId="0" applyFont="1"/>
    <xf numFmtId="14" fontId="89" fillId="0" borderId="74" xfId="0" applyNumberFormat="1" applyFont="1" applyBorder="1" applyAlignment="1">
      <alignment horizontal="center" vertical="center"/>
    </xf>
    <xf numFmtId="0" fontId="127" fillId="0" borderId="74" xfId="13" applyBorder="1" applyAlignment="1">
      <alignment horizontal="left" vertical="center" wrapText="1"/>
    </xf>
    <xf numFmtId="0" fontId="159" fillId="0" borderId="74" xfId="13" applyFont="1" applyBorder="1" applyAlignment="1">
      <alignment vertical="center" wrapText="1"/>
    </xf>
    <xf numFmtId="0" fontId="63" fillId="0" borderId="122" xfId="11" applyFont="1" applyBorder="1" applyAlignment="1">
      <alignment vertical="top" wrapText="1"/>
    </xf>
    <xf numFmtId="0" fontId="86" fillId="0" borderId="74" xfId="9" applyFont="1" applyBorder="1" applyAlignment="1">
      <alignment vertical="top" wrapText="1"/>
    </xf>
    <xf numFmtId="0" fontId="127" fillId="0" borderId="74" xfId="13" applyFill="1" applyBorder="1" applyAlignment="1">
      <alignment vertical="center" wrapText="1"/>
    </xf>
    <xf numFmtId="0" fontId="127" fillId="0" borderId="74" xfId="13" applyFill="1" applyBorder="1" applyAlignment="1" applyProtection="1">
      <alignment vertical="center" wrapText="1"/>
    </xf>
    <xf numFmtId="166" fontId="86" fillId="0" borderId="74" xfId="12" applyNumberFormat="1" applyFont="1" applyBorder="1" applyAlignment="1">
      <alignment horizontal="center" vertical="center"/>
    </xf>
    <xf numFmtId="0" fontId="86" fillId="0" borderId="74" xfId="12" applyFont="1" applyBorder="1" applyAlignment="1">
      <alignment horizontal="center" vertical="center" wrapText="1"/>
    </xf>
    <xf numFmtId="0" fontId="86" fillId="0" borderId="64" xfId="9" applyFont="1" applyBorder="1"/>
    <xf numFmtId="0" fontId="127" fillId="0" borderId="115" xfId="13" applyBorder="1" applyAlignment="1">
      <alignment vertical="center" wrapText="1"/>
    </xf>
    <xf numFmtId="0" fontId="86" fillId="0" borderId="67" xfId="9" applyFont="1" applyBorder="1"/>
    <xf numFmtId="0" fontId="158" fillId="0" borderId="74" xfId="9" applyFont="1" applyBorder="1" applyAlignment="1">
      <alignment vertical="center" wrapText="1"/>
    </xf>
    <xf numFmtId="0" fontId="86" fillId="0" borderId="74" xfId="9" applyFont="1" applyBorder="1" applyAlignment="1">
      <alignment vertical="center"/>
    </xf>
    <xf numFmtId="0" fontId="0" fillId="0" borderId="0" xfId="0" applyAlignment="1">
      <alignment vertical="top"/>
    </xf>
    <xf numFmtId="0" fontId="0" fillId="0" borderId="74" xfId="0" applyBorder="1" applyAlignment="1">
      <alignment vertical="center" wrapText="1"/>
    </xf>
    <xf numFmtId="0" fontId="172" fillId="0" borderId="83" xfId="11" applyFont="1" applyBorder="1" applyAlignment="1">
      <alignment horizontal="left" vertical="center" wrapText="1"/>
    </xf>
    <xf numFmtId="0" fontId="172" fillId="0" borderId="83" xfId="11" applyFont="1" applyBorder="1" applyAlignment="1">
      <alignment horizontal="left" vertical="top" wrapText="1"/>
    </xf>
    <xf numFmtId="0" fontId="171" fillId="0" borderId="83" xfId="11" applyFont="1" applyBorder="1" applyAlignment="1">
      <alignment horizontal="left" vertical="center" wrapText="1"/>
    </xf>
    <xf numFmtId="0" fontId="86" fillId="0" borderId="64" xfId="9" applyFont="1" applyBorder="1" applyAlignment="1">
      <alignment vertical="center"/>
    </xf>
    <xf numFmtId="0" fontId="86" fillId="0" borderId="96" xfId="9" applyFont="1" applyBorder="1" applyAlignment="1">
      <alignment vertical="center"/>
    </xf>
    <xf numFmtId="0" fontId="89" fillId="0" borderId="96" xfId="9" applyFont="1" applyBorder="1" applyAlignment="1">
      <alignment vertical="center" wrapText="1"/>
    </xf>
    <xf numFmtId="0" fontId="127" fillId="0" borderId="64" xfId="13" applyBorder="1" applyAlignment="1">
      <alignment vertical="center"/>
    </xf>
    <xf numFmtId="0" fontId="94" fillId="0" borderId="96" xfId="9" applyFont="1" applyBorder="1" applyAlignment="1">
      <alignment vertical="center" wrapText="1"/>
    </xf>
    <xf numFmtId="0" fontId="173" fillId="0" borderId="0" xfId="0" applyFont="1" applyAlignment="1">
      <alignment vertical="center" wrapText="1"/>
    </xf>
    <xf numFmtId="0" fontId="173" fillId="0" borderId="64" xfId="0" applyFont="1" applyBorder="1" applyAlignment="1">
      <alignment vertical="center" wrapText="1"/>
    </xf>
    <xf numFmtId="0" fontId="86" fillId="0" borderId="116" xfId="9" applyFont="1" applyBorder="1" applyAlignment="1">
      <alignment vertical="center"/>
    </xf>
    <xf numFmtId="0" fontId="89" fillId="0" borderId="123" xfId="9" applyFont="1" applyBorder="1" applyAlignment="1">
      <alignment vertical="center" wrapText="1"/>
    </xf>
    <xf numFmtId="0" fontId="173" fillId="0" borderId="66" xfId="0" applyFont="1" applyBorder="1" applyAlignment="1">
      <alignment vertical="center" wrapText="1"/>
    </xf>
    <xf numFmtId="0" fontId="174" fillId="0" borderId="64" xfId="0" applyFont="1" applyBorder="1" applyAlignment="1">
      <alignment vertical="center" wrapText="1"/>
    </xf>
    <xf numFmtId="0" fontId="86" fillId="0" borderId="96" xfId="9" applyFont="1" applyBorder="1" applyAlignment="1">
      <alignment horizontal="center" vertical="center" wrapText="1"/>
    </xf>
    <xf numFmtId="0" fontId="172" fillId="0" borderId="122" xfId="11" applyFont="1" applyBorder="1" applyAlignment="1">
      <alignment vertical="top" wrapText="1"/>
    </xf>
    <xf numFmtId="0" fontId="176" fillId="0" borderId="74" xfId="0" applyFont="1" applyBorder="1" applyAlignment="1">
      <alignment vertical="center" wrapText="1"/>
    </xf>
    <xf numFmtId="0" fontId="8" fillId="0" borderId="6" xfId="9" applyFont="1" applyBorder="1" applyAlignment="1">
      <alignment horizontal="center" vertical="center"/>
    </xf>
    <xf numFmtId="0" fontId="8" fillId="0" borderId="6" xfId="9" applyFont="1" applyBorder="1" applyAlignment="1">
      <alignment vertical="center"/>
    </xf>
    <xf numFmtId="0" fontId="8" fillId="0" borderId="6" xfId="9" applyFont="1" applyBorder="1" applyAlignment="1">
      <alignment vertical="center" wrapText="1"/>
    </xf>
    <xf numFmtId="0" fontId="8" fillId="0" borderId="10" xfId="9" applyFont="1" applyBorder="1" applyAlignment="1">
      <alignment vertical="center" wrapText="1"/>
    </xf>
    <xf numFmtId="0" fontId="8" fillId="0" borderId="6" xfId="9" applyFont="1" applyBorder="1" applyAlignment="1">
      <alignment horizontal="center" vertical="center" wrapText="1"/>
    </xf>
    <xf numFmtId="0" fontId="47" fillId="0" borderId="9" xfId="9" applyFont="1" applyBorder="1" applyAlignment="1">
      <alignment horizontal="left" vertical="center" wrapText="1"/>
    </xf>
    <xf numFmtId="0" fontId="8" fillId="0" borderId="9" xfId="9" applyFont="1" applyBorder="1" applyAlignment="1">
      <alignment horizontal="center" vertical="center" textRotation="90"/>
    </xf>
    <xf numFmtId="164" fontId="8" fillId="0" borderId="9" xfId="9" applyNumberFormat="1" applyFont="1" applyBorder="1" applyAlignment="1">
      <alignment horizontal="center" vertical="center"/>
    </xf>
    <xf numFmtId="0" fontId="8" fillId="0" borderId="6" xfId="9" applyFont="1" applyBorder="1" applyAlignment="1">
      <alignment horizontal="center" vertical="center" textRotation="90"/>
    </xf>
    <xf numFmtId="0" fontId="8" fillId="0" borderId="9" xfId="9" applyFont="1" applyBorder="1" applyAlignment="1">
      <alignment horizontal="center" vertical="center" wrapText="1"/>
    </xf>
    <xf numFmtId="167" fontId="8" fillId="0" borderId="9" xfId="9" applyNumberFormat="1" applyFont="1" applyBorder="1" applyAlignment="1">
      <alignment horizontal="center" vertical="center"/>
    </xf>
    <xf numFmtId="0" fontId="8" fillId="3" borderId="36" xfId="9" applyFont="1" applyFill="1" applyAlignment="1">
      <alignment vertical="center"/>
    </xf>
    <xf numFmtId="0" fontId="127" fillId="0" borderId="36" xfId="13" applyBorder="1" applyAlignment="1" applyProtection="1">
      <alignment vertical="center"/>
    </xf>
    <xf numFmtId="0" fontId="8" fillId="0" borderId="9" xfId="9" applyFont="1" applyBorder="1" applyAlignment="1">
      <alignment horizontal="left" vertical="center" wrapText="1"/>
    </xf>
    <xf numFmtId="0" fontId="7" fillId="0" borderId="10" xfId="9" applyFont="1" applyBorder="1" applyAlignment="1">
      <alignment horizontal="center" vertical="center"/>
    </xf>
    <xf numFmtId="0" fontId="8" fillId="0" borderId="10" xfId="9" applyFont="1" applyBorder="1" applyAlignment="1">
      <alignment horizontal="center" vertical="center"/>
    </xf>
    <xf numFmtId="0" fontId="107" fillId="0" borderId="6" xfId="9" applyFont="1" applyBorder="1" applyAlignment="1">
      <alignment vertical="center" wrapText="1"/>
    </xf>
    <xf numFmtId="0" fontId="11" fillId="0" borderId="6" xfId="9" applyFont="1" applyBorder="1" applyAlignment="1">
      <alignment horizontal="center" vertical="center" wrapText="1"/>
    </xf>
    <xf numFmtId="0" fontId="120" fillId="0" borderId="9" xfId="9" applyFont="1" applyBorder="1" applyAlignment="1">
      <alignment horizontal="left" vertical="center" wrapText="1"/>
    </xf>
    <xf numFmtId="166" fontId="86" fillId="0" borderId="74" xfId="9" applyNumberFormat="1" applyFont="1" applyBorder="1" applyAlignment="1">
      <alignment horizontal="center" vertical="center" wrapText="1"/>
    </xf>
    <xf numFmtId="0" fontId="119" fillId="0" borderId="9" xfId="9" applyFont="1" applyBorder="1" applyAlignment="1">
      <alignment horizontal="left" vertical="center" wrapText="1"/>
    </xf>
    <xf numFmtId="165" fontId="8" fillId="0" borderId="9" xfId="9" applyNumberFormat="1" applyFont="1" applyBorder="1" applyAlignment="1">
      <alignment horizontal="center" vertical="center"/>
    </xf>
    <xf numFmtId="0" fontId="8" fillId="0" borderId="9" xfId="9" applyFont="1" applyBorder="1" applyAlignment="1">
      <alignment horizontal="center" vertical="top"/>
    </xf>
    <xf numFmtId="0" fontId="8" fillId="0" borderId="9" xfId="9" applyFont="1" applyBorder="1" applyAlignment="1">
      <alignment horizontal="center" vertical="top" textRotation="90"/>
    </xf>
    <xf numFmtId="9" fontId="8" fillId="0" borderId="9" xfId="9" applyNumberFormat="1" applyFont="1" applyBorder="1" applyAlignment="1">
      <alignment horizontal="center" vertical="top"/>
    </xf>
    <xf numFmtId="164" fontId="8" fillId="0" borderId="9" xfId="9" applyNumberFormat="1" applyFont="1" applyBorder="1" applyAlignment="1">
      <alignment horizontal="center" vertical="top"/>
    </xf>
    <xf numFmtId="0" fontId="11" fillId="0" borderId="9" xfId="9" applyFont="1" applyBorder="1" applyAlignment="1">
      <alignment horizontal="center" vertical="top" textRotation="90" wrapText="1"/>
    </xf>
    <xf numFmtId="9" fontId="8" fillId="0" borderId="6" xfId="9" applyNumberFormat="1" applyFont="1" applyBorder="1" applyAlignment="1">
      <alignment horizontal="center" vertical="top"/>
    </xf>
    <xf numFmtId="0" fontId="11" fillId="0" borderId="9" xfId="9" applyFont="1" applyBorder="1" applyAlignment="1">
      <alignment horizontal="center" vertical="top" textRotation="90"/>
    </xf>
    <xf numFmtId="0" fontId="8" fillId="0" borderId="6" xfId="9" applyFont="1" applyBorder="1" applyAlignment="1">
      <alignment horizontal="center" vertical="top" textRotation="90"/>
    </xf>
    <xf numFmtId="0" fontId="8" fillId="0" borderId="9" xfId="9" applyFont="1" applyBorder="1" applyAlignment="1">
      <alignment horizontal="center" vertical="top" wrapText="1"/>
    </xf>
    <xf numFmtId="165" fontId="8" fillId="0" borderId="9" xfId="9" applyNumberFormat="1" applyFont="1" applyBorder="1" applyAlignment="1">
      <alignment horizontal="center" vertical="top"/>
    </xf>
    <xf numFmtId="0" fontId="79" fillId="0" borderId="9" xfId="9" applyFont="1" applyBorder="1" applyAlignment="1">
      <alignment horizontal="left" vertical="center" wrapText="1"/>
    </xf>
    <xf numFmtId="0" fontId="86" fillId="0" borderId="74" xfId="9" applyFont="1" applyBorder="1" applyAlignment="1">
      <alignment horizontal="center" vertical="top" wrapText="1"/>
    </xf>
    <xf numFmtId="0" fontId="94" fillId="41" borderId="74" xfId="9" applyFont="1" applyFill="1" applyBorder="1" applyAlignment="1">
      <alignment vertical="center" wrapText="1"/>
    </xf>
    <xf numFmtId="0" fontId="119" fillId="0" borderId="9" xfId="9" applyFont="1" applyBorder="1" applyAlignment="1">
      <alignment horizontal="left" vertical="top" wrapText="1"/>
    </xf>
    <xf numFmtId="0" fontId="116" fillId="0" borderId="36" xfId="9" applyAlignment="1">
      <alignment wrapText="1"/>
    </xf>
    <xf numFmtId="14" fontId="8" fillId="0" borderId="9" xfId="9" applyNumberFormat="1" applyFont="1" applyBorder="1" applyAlignment="1">
      <alignment horizontal="center" vertical="center"/>
    </xf>
    <xf numFmtId="0" fontId="83" fillId="0" borderId="9" xfId="9" applyFont="1" applyBorder="1" applyAlignment="1">
      <alignment horizontal="left" vertical="top" wrapText="1"/>
    </xf>
    <xf numFmtId="0" fontId="127" fillId="29" borderId="74" xfId="13" applyFill="1" applyBorder="1" applyAlignment="1">
      <alignment vertical="center" wrapText="1"/>
    </xf>
    <xf numFmtId="0" fontId="8" fillId="0" borderId="6" xfId="0" applyFont="1" applyBorder="1" applyAlignment="1">
      <alignment horizontal="center" vertical="center" wrapText="1"/>
    </xf>
    <xf numFmtId="0" fontId="95" fillId="0" borderId="74" xfId="9" applyFont="1" applyBorder="1" applyAlignment="1">
      <alignment vertical="center" wrapText="1"/>
    </xf>
    <xf numFmtId="0" fontId="96" fillId="41" borderId="74" xfId="1" applyFont="1" applyFill="1" applyBorder="1" applyAlignment="1" applyProtection="1">
      <alignment horizontal="center" vertical="center" wrapText="1"/>
      <protection locked="0"/>
    </xf>
    <xf numFmtId="0" fontId="97" fillId="17" borderId="36" xfId="0" applyFont="1" applyFill="1" applyBorder="1" applyAlignment="1" applyProtection="1">
      <alignment horizontal="center"/>
      <protection locked="0"/>
    </xf>
    <xf numFmtId="0" fontId="0" fillId="0" borderId="0" xfId="0" applyProtection="1">
      <protection locked="0"/>
    </xf>
    <xf numFmtId="0" fontId="90" fillId="40" borderId="36" xfId="1" applyFont="1" applyFill="1" applyAlignment="1" applyProtection="1">
      <alignment horizontal="center" vertical="center" wrapText="1"/>
      <protection locked="0"/>
    </xf>
    <xf numFmtId="0" fontId="91" fillId="40" borderId="36" xfId="1" applyFont="1" applyFill="1" applyAlignment="1" applyProtection="1">
      <alignment horizontal="center" vertical="center" wrapText="1"/>
      <protection locked="0"/>
    </xf>
    <xf numFmtId="0" fontId="96" fillId="27" borderId="97" xfId="1" applyFont="1" applyFill="1" applyBorder="1" applyAlignment="1" applyProtection="1">
      <alignment horizontal="center" vertical="center" wrapText="1"/>
      <protection locked="0"/>
    </xf>
    <xf numFmtId="0" fontId="96" fillId="42" borderId="97" xfId="1" applyFont="1" applyFill="1" applyBorder="1" applyAlignment="1" applyProtection="1">
      <alignment horizontal="center" vertical="center" wrapText="1"/>
      <protection locked="0"/>
    </xf>
    <xf numFmtId="0" fontId="86" fillId="0" borderId="74" xfId="0" applyFont="1" applyBorder="1" applyProtection="1">
      <protection locked="0"/>
    </xf>
    <xf numFmtId="0" fontId="94" fillId="0" borderId="74" xfId="0" applyFont="1" applyBorder="1" applyAlignment="1" applyProtection="1">
      <alignment vertical="center" wrapText="1"/>
      <protection locked="0"/>
    </xf>
    <xf numFmtId="14" fontId="86" fillId="0" borderId="74" xfId="0" applyNumberFormat="1" applyFont="1" applyBorder="1" applyAlignment="1" applyProtection="1">
      <alignment horizontal="center" vertical="center" wrapText="1"/>
      <protection locked="0"/>
    </xf>
    <xf numFmtId="0" fontId="86" fillId="0" borderId="74" xfId="0" applyFont="1" applyBorder="1" applyAlignment="1" applyProtection="1">
      <alignment horizontal="center" vertical="center" wrapText="1"/>
      <protection locked="0"/>
    </xf>
    <xf numFmtId="0" fontId="86" fillId="0" borderId="74" xfId="0" applyFont="1" applyBorder="1" applyAlignment="1" applyProtection="1">
      <alignment vertical="center" wrapText="1"/>
      <protection locked="0"/>
    </xf>
    <xf numFmtId="14" fontId="86" fillId="0" borderId="74" xfId="0" applyNumberFormat="1" applyFont="1" applyBorder="1" applyAlignment="1" applyProtection="1">
      <alignment vertical="top"/>
      <protection locked="0"/>
    </xf>
    <xf numFmtId="0" fontId="86" fillId="0" borderId="74" xfId="0" applyFont="1" applyBorder="1" applyAlignment="1" applyProtection="1">
      <alignment vertical="top"/>
      <protection locked="0"/>
    </xf>
    <xf numFmtId="0" fontId="158" fillId="0" borderId="74" xfId="0" applyFont="1" applyBorder="1" applyAlignment="1" applyProtection="1">
      <alignment vertical="center" wrapText="1"/>
      <protection locked="0"/>
    </xf>
    <xf numFmtId="0" fontId="86" fillId="0" borderId="74" xfId="0" applyFont="1" applyBorder="1" applyAlignment="1" applyProtection="1">
      <alignment vertical="top" wrapText="1"/>
      <protection locked="0"/>
    </xf>
    <xf numFmtId="166" fontId="86" fillId="0" borderId="74" xfId="0" applyNumberFormat="1" applyFont="1" applyBorder="1" applyAlignment="1" applyProtection="1">
      <alignment horizontal="left" vertical="top"/>
      <protection locked="0"/>
    </xf>
    <xf numFmtId="0" fontId="89" fillId="0" borderId="74" xfId="0" applyFont="1" applyBorder="1" applyAlignment="1" applyProtection="1">
      <alignment vertical="center" wrapText="1"/>
      <protection locked="0"/>
    </xf>
    <xf numFmtId="0" fontId="86" fillId="0" borderId="74" xfId="0" applyFont="1" applyBorder="1" applyAlignment="1" applyProtection="1">
      <alignment wrapText="1"/>
      <protection locked="0"/>
    </xf>
    <xf numFmtId="0" fontId="86" fillId="29" borderId="74" xfId="0" applyFont="1" applyFill="1" applyBorder="1" applyProtection="1">
      <protection locked="0"/>
    </xf>
    <xf numFmtId="0" fontId="94" fillId="29" borderId="74" xfId="0" applyFont="1" applyFill="1" applyBorder="1" applyAlignment="1" applyProtection="1">
      <alignment vertical="center" wrapText="1"/>
      <protection locked="0"/>
    </xf>
    <xf numFmtId="0" fontId="0" fillId="29" borderId="0" xfId="0" applyFill="1" applyProtection="1">
      <protection locked="0"/>
    </xf>
    <xf numFmtId="0" fontId="96" fillId="41" borderId="74" xfId="1" applyFont="1" applyFill="1" applyBorder="1" applyAlignment="1">
      <alignment horizontal="center" vertical="center" wrapText="1"/>
    </xf>
    <xf numFmtId="0" fontId="87" fillId="2" borderId="6" xfId="0" applyFont="1" applyFill="1" applyBorder="1" applyAlignment="1">
      <alignment vertical="center" textRotation="90"/>
    </xf>
    <xf numFmtId="0" fontId="84" fillId="2" borderId="6" xfId="0" applyFont="1" applyFill="1" applyBorder="1" applyAlignment="1">
      <alignment vertical="center" wrapText="1"/>
    </xf>
    <xf numFmtId="0" fontId="88" fillId="2" borderId="6" xfId="0" applyFont="1" applyFill="1" applyBorder="1" applyAlignment="1">
      <alignment vertical="center" wrapText="1"/>
    </xf>
    <xf numFmtId="0" fontId="84" fillId="2" borderId="6" xfId="0" applyFont="1" applyFill="1" applyBorder="1" applyAlignment="1">
      <alignment vertical="center"/>
    </xf>
    <xf numFmtId="0" fontId="84" fillId="2" borderId="6" xfId="0" applyFont="1" applyFill="1" applyBorder="1" applyAlignment="1">
      <alignment vertical="center" textRotation="90" wrapText="1"/>
    </xf>
    <xf numFmtId="0" fontId="84" fillId="2" borderId="1" xfId="0" applyFont="1" applyFill="1" applyBorder="1" applyAlignment="1">
      <alignment vertical="center" wrapText="1"/>
    </xf>
    <xf numFmtId="0" fontId="0" fillId="0" borderId="0" xfId="0" applyAlignment="1">
      <alignment vertical="center"/>
    </xf>
    <xf numFmtId="0" fontId="84" fillId="2" borderId="9" xfId="0" applyFont="1" applyFill="1" applyBorder="1" applyAlignment="1">
      <alignment horizontal="center" vertical="center" textRotation="90"/>
    </xf>
    <xf numFmtId="0" fontId="96" fillId="27" borderId="97" xfId="1" applyFont="1" applyFill="1" applyBorder="1" applyAlignment="1">
      <alignment horizontal="center" vertical="center" wrapText="1"/>
    </xf>
    <xf numFmtId="0" fontId="96" fillId="42" borderId="97" xfId="1" applyFont="1" applyFill="1" applyBorder="1" applyAlignment="1">
      <alignment horizontal="center" vertical="center" wrapText="1"/>
    </xf>
    <xf numFmtId="0" fontId="86" fillId="0" borderId="6" xfId="0" applyFont="1" applyBorder="1" applyAlignment="1">
      <alignment horizontal="center" vertical="center"/>
    </xf>
    <xf numFmtId="0" fontId="86" fillId="0" borderId="6" xfId="0" applyFont="1" applyBorder="1" applyAlignment="1">
      <alignment vertical="center" wrapText="1"/>
    </xf>
    <xf numFmtId="0" fontId="8" fillId="0" borderId="6" xfId="0" applyFont="1" applyBorder="1" applyAlignment="1">
      <alignment vertical="center" wrapText="1"/>
    </xf>
    <xf numFmtId="0" fontId="8" fillId="0" borderId="6" xfId="0" applyFont="1" applyBorder="1" applyAlignment="1">
      <alignment horizontal="left" vertical="center" wrapText="1"/>
    </xf>
    <xf numFmtId="0" fontId="84" fillId="0" borderId="6" xfId="0" applyFont="1" applyBorder="1" applyAlignment="1">
      <alignment vertical="center" wrapText="1"/>
    </xf>
    <xf numFmtId="9" fontId="86" fillId="0" borderId="6" xfId="0" applyNumberFormat="1" applyFont="1" applyBorder="1" applyAlignment="1">
      <alignment vertical="center" wrapText="1"/>
    </xf>
    <xf numFmtId="9" fontId="8" fillId="0" borderId="6" xfId="7" applyNumberFormat="1" applyFont="1" applyBorder="1" applyAlignment="1">
      <alignment horizontal="center" vertical="center" wrapText="1"/>
    </xf>
    <xf numFmtId="0" fontId="11" fillId="0" borderId="6" xfId="7" applyFont="1" applyBorder="1" applyAlignment="1">
      <alignment horizontal="center" vertical="center" wrapText="1"/>
    </xf>
    <xf numFmtId="0" fontId="11" fillId="0" borderId="6" xfId="7" applyFont="1" applyBorder="1" applyAlignment="1">
      <alignment horizontal="center" vertical="center"/>
    </xf>
    <xf numFmtId="0" fontId="106" fillId="0" borderId="9" xfId="0" applyFont="1" applyBorder="1" applyAlignment="1">
      <alignment horizontal="center" vertical="center"/>
    </xf>
    <xf numFmtId="0" fontId="106" fillId="0" borderId="9" xfId="0" applyFont="1" applyBorder="1" applyAlignment="1">
      <alignment horizontal="left" vertical="center" wrapText="1"/>
    </xf>
    <xf numFmtId="0" fontId="8" fillId="0" borderId="9" xfId="7" applyFont="1" applyBorder="1" applyAlignment="1">
      <alignment horizontal="center" vertical="center"/>
    </xf>
    <xf numFmtId="0" fontId="8" fillId="0" borderId="9" xfId="7" applyFont="1" applyBorder="1" applyAlignment="1">
      <alignment horizontal="center" vertical="center" textRotation="90"/>
    </xf>
    <xf numFmtId="9" fontId="86" fillId="0" borderId="9" xfId="0" applyNumberFormat="1" applyFont="1" applyBorder="1" applyAlignment="1">
      <alignment horizontal="center" vertical="center"/>
    </xf>
    <xf numFmtId="164" fontId="86" fillId="0" borderId="9" xfId="0" applyNumberFormat="1" applyFont="1" applyBorder="1" applyAlignment="1">
      <alignment horizontal="center" vertical="center"/>
    </xf>
    <xf numFmtId="0" fontId="84" fillId="0" borderId="9" xfId="0" applyFont="1" applyBorder="1" applyAlignment="1">
      <alignment horizontal="center" vertical="center" textRotation="90" wrapText="1"/>
    </xf>
    <xf numFmtId="9" fontId="86" fillId="0" borderId="6" xfId="0" applyNumberFormat="1" applyFont="1" applyBorder="1" applyAlignment="1">
      <alignment horizontal="center" vertical="center"/>
    </xf>
    <xf numFmtId="0" fontId="84" fillId="0" borderId="9" xfId="0" applyFont="1" applyBorder="1" applyAlignment="1">
      <alignment horizontal="center" vertical="center" textRotation="90"/>
    </xf>
    <xf numFmtId="0" fontId="8" fillId="0" borderId="6" xfId="7" applyFont="1" applyBorder="1" applyAlignment="1">
      <alignment horizontal="center" vertical="center" textRotation="90"/>
    </xf>
    <xf numFmtId="0" fontId="8" fillId="0" borderId="9" xfId="7" applyFont="1" applyBorder="1" applyAlignment="1">
      <alignment horizontal="center" vertical="center" wrapText="1"/>
    </xf>
    <xf numFmtId="167" fontId="8" fillId="0" borderId="9" xfId="7" applyNumberFormat="1" applyFont="1" applyBorder="1" applyAlignment="1">
      <alignment horizontal="center" vertical="center"/>
    </xf>
    <xf numFmtId="167" fontId="8" fillId="0" borderId="9" xfId="7" applyNumberFormat="1" applyFont="1" applyBorder="1" applyAlignment="1">
      <alignment horizontal="center" vertical="center" wrapText="1"/>
    </xf>
    <xf numFmtId="0" fontId="86" fillId="0" borderId="3" xfId="0" applyFont="1" applyBorder="1" applyAlignment="1">
      <alignment horizontal="center" vertical="center" wrapText="1"/>
    </xf>
    <xf numFmtId="0" fontId="86" fillId="0" borderId="36" xfId="0" applyFont="1" applyBorder="1" applyAlignment="1">
      <alignment horizontal="center" vertical="center" wrapText="1"/>
    </xf>
    <xf numFmtId="166" fontId="86" fillId="0" borderId="74" xfId="7" applyNumberFormat="1" applyFont="1" applyBorder="1" applyAlignment="1">
      <alignment horizontal="center" vertical="center"/>
    </xf>
    <xf numFmtId="0" fontId="86" fillId="0" borderId="74" xfId="7" applyFont="1" applyBorder="1" applyAlignment="1">
      <alignment horizontal="center" vertical="center" wrapText="1"/>
    </xf>
    <xf numFmtId="0" fontId="86" fillId="0" borderId="74" xfId="7" applyFont="1" applyBorder="1" applyAlignment="1">
      <alignment horizontal="left" vertical="center" wrapText="1"/>
    </xf>
    <xf numFmtId="0" fontId="86" fillId="0" borderId="115" xfId="0" applyFont="1" applyBorder="1" applyAlignment="1">
      <alignment vertical="center" wrapText="1"/>
    </xf>
    <xf numFmtId="0" fontId="89" fillId="0" borderId="74" xfId="7" applyFont="1" applyBorder="1" applyAlignment="1">
      <alignment vertical="center"/>
    </xf>
    <xf numFmtId="0" fontId="8" fillId="0" borderId="36" xfId="7" applyFont="1"/>
    <xf numFmtId="14" fontId="86" fillId="0" borderId="74" xfId="0" applyNumberFormat="1" applyFont="1" applyBorder="1" applyAlignment="1">
      <alignment horizontal="center" vertical="center"/>
    </xf>
    <xf numFmtId="0" fontId="86" fillId="0" borderId="74" xfId="0" applyFont="1" applyBorder="1" applyAlignment="1">
      <alignment horizontal="center" vertical="center"/>
    </xf>
    <xf numFmtId="0" fontId="86" fillId="0" borderId="74" xfId="0" applyFont="1" applyBorder="1" applyAlignment="1">
      <alignment horizontal="center" vertical="center" wrapText="1"/>
    </xf>
    <xf numFmtId="0" fontId="86" fillId="0" borderId="74" xfId="0" applyFont="1" applyBorder="1"/>
    <xf numFmtId="0" fontId="94" fillId="0" borderId="74" xfId="0" applyFont="1" applyBorder="1" applyAlignment="1">
      <alignment vertical="center" wrapText="1"/>
    </xf>
    <xf numFmtId="0" fontId="86" fillId="0" borderId="74" xfId="0" applyFont="1" applyBorder="1" applyAlignment="1">
      <alignment horizontal="left" vertical="center"/>
    </xf>
    <xf numFmtId="0" fontId="86" fillId="0" borderId="74" xfId="0" applyFont="1" applyBorder="1" applyAlignment="1">
      <alignment horizontal="left" vertical="center" wrapText="1"/>
    </xf>
    <xf numFmtId="166" fontId="86" fillId="0" borderId="74" xfId="0" applyNumberFormat="1" applyFont="1" applyBorder="1" applyAlignment="1">
      <alignment horizontal="center" vertical="center"/>
    </xf>
    <xf numFmtId="0" fontId="85" fillId="0" borderId="10" xfId="0" applyFont="1" applyBorder="1" applyAlignment="1">
      <alignment horizontal="center" vertical="center"/>
    </xf>
    <xf numFmtId="0" fontId="86" fillId="0" borderId="10" xfId="0" applyFont="1" applyBorder="1" applyAlignment="1">
      <alignment vertical="center" wrapText="1"/>
    </xf>
    <xf numFmtId="0" fontId="106" fillId="0" borderId="6" xfId="0" applyFont="1" applyBorder="1" applyAlignment="1">
      <alignment vertical="center" wrapText="1"/>
    </xf>
    <xf numFmtId="0" fontId="106" fillId="0" borderId="6" xfId="0" applyFont="1" applyBorder="1" applyAlignment="1">
      <alignment horizontal="left" vertical="center" wrapText="1"/>
    </xf>
    <xf numFmtId="0" fontId="106" fillId="0" borderId="6" xfId="0" applyFont="1" applyBorder="1" applyAlignment="1">
      <alignment horizontal="center" vertical="center" wrapText="1"/>
    </xf>
    <xf numFmtId="14" fontId="86" fillId="0" borderId="74" xfId="0" applyNumberFormat="1" applyFont="1" applyBorder="1" applyAlignment="1">
      <alignment vertical="center"/>
    </xf>
    <xf numFmtId="0" fontId="8" fillId="0" borderId="6" xfId="7" applyFont="1" applyBorder="1" applyAlignment="1">
      <alignment vertical="center" wrapText="1"/>
    </xf>
    <xf numFmtId="0" fontId="8" fillId="0" borderId="6" xfId="7" applyFont="1" applyBorder="1" applyAlignment="1">
      <alignment horizontal="left" vertical="center" wrapText="1"/>
    </xf>
    <xf numFmtId="0" fontId="8" fillId="0" borderId="6" xfId="7" applyFont="1" applyBorder="1" applyAlignment="1">
      <alignment horizontal="center" vertical="center" wrapText="1"/>
    </xf>
    <xf numFmtId="0" fontId="8" fillId="0" borderId="9" xfId="7" applyFont="1" applyBorder="1" applyAlignment="1">
      <alignment horizontal="left" vertical="center" wrapText="1"/>
    </xf>
    <xf numFmtId="0" fontId="85" fillId="0" borderId="8" xfId="0" applyFont="1" applyBorder="1" applyAlignment="1">
      <alignment horizontal="center" vertical="center"/>
    </xf>
    <xf numFmtId="0" fontId="86" fillId="0" borderId="8" xfId="0" applyFont="1" applyBorder="1" applyAlignment="1">
      <alignment vertical="center" wrapText="1"/>
    </xf>
    <xf numFmtId="167" fontId="8" fillId="0" borderId="6" xfId="7" applyNumberFormat="1" applyFont="1" applyBorder="1" applyAlignment="1">
      <alignment horizontal="center" vertical="center"/>
    </xf>
    <xf numFmtId="0" fontId="85" fillId="0" borderId="74" xfId="0" applyFont="1" applyBorder="1" applyAlignment="1">
      <alignment horizontal="center" vertical="center" wrapText="1"/>
    </xf>
    <xf numFmtId="0" fontId="85" fillId="0" borderId="74" xfId="0" applyFont="1" applyBorder="1" applyAlignment="1">
      <alignment horizontal="left" vertical="center" wrapText="1"/>
    </xf>
    <xf numFmtId="0" fontId="8" fillId="0" borderId="10" xfId="7" applyFont="1" applyBorder="1" applyAlignment="1">
      <alignment horizontal="center" vertical="center" wrapText="1"/>
    </xf>
    <xf numFmtId="0" fontId="8" fillId="0" borderId="8" xfId="7" applyFont="1" applyBorder="1" applyAlignment="1">
      <alignment horizontal="center" vertical="center" wrapText="1"/>
    </xf>
    <xf numFmtId="167" fontId="8" fillId="0" borderId="8" xfId="7" applyNumberFormat="1" applyFont="1" applyBorder="1" applyAlignment="1">
      <alignment horizontal="center" vertical="center"/>
    </xf>
    <xf numFmtId="0" fontId="86" fillId="0" borderId="6" xfId="0" applyFont="1" applyBorder="1" applyAlignment="1">
      <alignment vertical="top" wrapText="1"/>
    </xf>
    <xf numFmtId="0" fontId="86" fillId="0" borderId="115" xfId="0" applyFont="1" applyBorder="1" applyAlignment="1">
      <alignment vertical="center"/>
    </xf>
    <xf numFmtId="0" fontId="110" fillId="16" borderId="74" xfId="0" applyFont="1" applyFill="1" applyBorder="1" applyAlignment="1">
      <alignment vertical="top" wrapText="1"/>
    </xf>
    <xf numFmtId="0" fontId="85" fillId="0" borderId="74" xfId="0" applyFont="1" applyBorder="1" applyAlignment="1">
      <alignment vertical="center" wrapText="1"/>
    </xf>
    <xf numFmtId="0" fontId="107" fillId="0" borderId="6" xfId="7" applyFont="1" applyBorder="1" applyAlignment="1">
      <alignment horizontal="left" vertical="center" wrapText="1"/>
    </xf>
    <xf numFmtId="0" fontId="107" fillId="0" borderId="6" xfId="7" applyFont="1" applyBorder="1" applyAlignment="1">
      <alignment vertical="center" wrapText="1"/>
    </xf>
    <xf numFmtId="0" fontId="107" fillId="0" borderId="9" xfId="7" applyFont="1" applyBorder="1" applyAlignment="1">
      <alignment horizontal="left" vertical="center" wrapText="1"/>
    </xf>
    <xf numFmtId="0" fontId="108" fillId="0" borderId="74" xfId="0" applyFont="1" applyBorder="1" applyAlignment="1">
      <alignment vertical="top" wrapText="1"/>
    </xf>
    <xf numFmtId="0" fontId="110" fillId="44" borderId="74" xfId="0" applyFont="1" applyFill="1" applyBorder="1" applyAlignment="1">
      <alignment vertical="top" wrapText="1"/>
    </xf>
    <xf numFmtId="0" fontId="108" fillId="44" borderId="74" xfId="0" applyFont="1" applyFill="1" applyBorder="1" applyAlignment="1">
      <alignment vertical="top" wrapText="1"/>
    </xf>
    <xf numFmtId="0" fontId="89" fillId="0" borderId="96" xfId="7" applyFont="1" applyBorder="1" applyAlignment="1">
      <alignment vertical="center"/>
    </xf>
    <xf numFmtId="0" fontId="86" fillId="0" borderId="74" xfId="0" applyFont="1" applyBorder="1" applyAlignment="1">
      <alignment wrapText="1"/>
    </xf>
    <xf numFmtId="0" fontId="89" fillId="0" borderId="115" xfId="7" applyFont="1" applyBorder="1" applyAlignment="1">
      <alignment vertical="center" wrapText="1"/>
    </xf>
    <xf numFmtId="0" fontId="0" fillId="0" borderId="64" xfId="0" applyBorder="1" applyAlignment="1">
      <alignment vertical="center" wrapText="1"/>
    </xf>
    <xf numFmtId="0" fontId="89" fillId="0" borderId="97" xfId="0" applyFont="1" applyBorder="1" applyAlignment="1">
      <alignment vertical="center" wrapText="1"/>
    </xf>
    <xf numFmtId="0" fontId="163" fillId="44" borderId="74" xfId="0" applyFont="1" applyFill="1" applyBorder="1" applyAlignment="1">
      <alignment vertical="top" wrapText="1"/>
    </xf>
    <xf numFmtId="164" fontId="86" fillId="4" borderId="9" xfId="0" applyNumberFormat="1" applyFont="1" applyFill="1" applyBorder="1" applyAlignment="1">
      <alignment horizontal="center" vertical="center"/>
    </xf>
    <xf numFmtId="0" fontId="86" fillId="0" borderId="96" xfId="0" applyFont="1" applyBorder="1" applyAlignment="1">
      <alignment vertical="center"/>
    </xf>
    <xf numFmtId="0" fontId="89" fillId="0" borderId="74" xfId="0" applyFont="1" applyBorder="1" applyAlignment="1">
      <alignment vertical="top" wrapText="1"/>
    </xf>
    <xf numFmtId="14" fontId="86" fillId="0" borderId="74" xfId="0" applyNumberFormat="1" applyFont="1" applyBorder="1" applyAlignment="1">
      <alignment vertical="center" wrapText="1"/>
    </xf>
    <xf numFmtId="14" fontId="86" fillId="29" borderId="74" xfId="0" applyNumberFormat="1" applyFont="1" applyFill="1" applyBorder="1" applyAlignment="1">
      <alignment horizontal="center" vertical="center"/>
    </xf>
    <xf numFmtId="0" fontId="86" fillId="29" borderId="74" xfId="0" applyFont="1" applyFill="1" applyBorder="1" applyAlignment="1">
      <alignment vertical="center"/>
    </xf>
    <xf numFmtId="0" fontId="85" fillId="29" borderId="74" xfId="0" applyFont="1" applyFill="1" applyBorder="1" applyAlignment="1">
      <alignment vertical="center" wrapText="1"/>
    </xf>
    <xf numFmtId="0" fontId="86" fillId="47" borderId="74" xfId="0" applyFont="1" applyFill="1" applyBorder="1" applyAlignment="1">
      <alignment vertical="center" wrapText="1"/>
    </xf>
    <xf numFmtId="0" fontId="86" fillId="29" borderId="74" xfId="0" applyFont="1" applyFill="1" applyBorder="1" applyAlignment="1">
      <alignment vertical="center" wrapText="1"/>
    </xf>
    <xf numFmtId="0" fontId="110" fillId="0" borderId="74" xfId="0" applyFont="1" applyBorder="1" applyAlignment="1">
      <alignment vertical="center" wrapText="1"/>
    </xf>
    <xf numFmtId="0" fontId="146" fillId="0" borderId="74" xfId="0" applyFont="1" applyBorder="1" applyAlignment="1">
      <alignment vertical="center" wrapText="1"/>
    </xf>
    <xf numFmtId="166" fontId="86" fillId="0" borderId="74" xfId="0" applyNumberFormat="1" applyFont="1" applyBorder="1" applyAlignment="1">
      <alignment vertical="center" wrapText="1"/>
    </xf>
    <xf numFmtId="14" fontId="86" fillId="0" borderId="74" xfId="0" applyNumberFormat="1" applyFont="1" applyBorder="1"/>
    <xf numFmtId="14" fontId="86" fillId="0" borderId="74" xfId="0" applyNumberFormat="1" applyFont="1" applyBorder="1" applyAlignment="1">
      <alignment horizontal="left" vertical="center" wrapText="1"/>
    </xf>
    <xf numFmtId="0" fontId="86" fillId="0" borderId="74" xfId="0" applyFont="1" applyBorder="1" applyAlignment="1">
      <alignment horizontal="center" wrapText="1"/>
    </xf>
    <xf numFmtId="14" fontId="86" fillId="0" borderId="74" xfId="0" applyNumberFormat="1" applyFont="1" applyBorder="1" applyAlignment="1">
      <alignment horizontal="left" vertical="center"/>
    </xf>
    <xf numFmtId="14" fontId="86" fillId="0" borderId="74" xfId="0" applyNumberFormat="1" applyFont="1" applyBorder="1" applyAlignment="1">
      <alignment horizontal="left" vertical="top" wrapText="1"/>
    </xf>
    <xf numFmtId="0" fontId="86" fillId="0" borderId="74" xfId="0" applyFont="1" applyBorder="1" applyAlignment="1">
      <alignment horizontal="left" vertical="top" wrapText="1"/>
    </xf>
    <xf numFmtId="0" fontId="89" fillId="0" borderId="74" xfId="0" applyFont="1" applyBorder="1" applyAlignment="1">
      <alignment horizontal="left" vertical="top" wrapText="1"/>
    </xf>
    <xf numFmtId="0" fontId="86" fillId="0" borderId="74" xfId="0" applyFont="1" applyBorder="1" applyAlignment="1">
      <alignment horizontal="left" vertical="top"/>
    </xf>
    <xf numFmtId="0" fontId="89" fillId="0" borderId="74" xfId="0" applyFont="1" applyBorder="1" applyAlignment="1">
      <alignment vertical="center"/>
    </xf>
    <xf numFmtId="0" fontId="158" fillId="0" borderId="74" xfId="0" applyFont="1" applyBorder="1" applyAlignment="1">
      <alignment vertical="center" wrapText="1"/>
    </xf>
    <xf numFmtId="0" fontId="107" fillId="0" borderId="10" xfId="7" applyFont="1" applyBorder="1" applyAlignment="1">
      <alignment horizontal="center" vertical="center"/>
    </xf>
    <xf numFmtId="14" fontId="8" fillId="0" borderId="9" xfId="7" applyNumberFormat="1" applyFont="1" applyBorder="1" applyAlignment="1">
      <alignment horizontal="center" vertical="center" wrapText="1"/>
    </xf>
    <xf numFmtId="14" fontId="86" fillId="0" borderId="74" xfId="0" applyNumberFormat="1" applyFont="1" applyBorder="1" applyAlignment="1">
      <alignment horizontal="center" vertical="center" wrapText="1"/>
    </xf>
    <xf numFmtId="0" fontId="8" fillId="0" borderId="9" xfId="7" applyFont="1" applyBorder="1" applyAlignment="1">
      <alignment horizontal="left" vertical="center" wrapText="1" indent="1"/>
    </xf>
    <xf numFmtId="14" fontId="86" fillId="0" borderId="74" xfId="0" applyNumberFormat="1" applyFont="1" applyBorder="1" applyAlignment="1">
      <alignment horizontal="left" vertical="top"/>
    </xf>
    <xf numFmtId="14" fontId="92" fillId="18" borderId="74" xfId="0" applyNumberFormat="1" applyFont="1" applyFill="1" applyBorder="1" applyAlignment="1">
      <alignment horizontal="center"/>
    </xf>
    <xf numFmtId="0" fontId="92" fillId="0" borderId="74" xfId="0" applyFont="1" applyBorder="1" applyAlignment="1">
      <alignment wrapText="1"/>
    </xf>
    <xf numFmtId="0" fontId="92" fillId="18" borderId="74" xfId="0" applyFont="1" applyFill="1" applyBorder="1" applyAlignment="1">
      <alignment wrapText="1"/>
    </xf>
    <xf numFmtId="0" fontId="92" fillId="0" borderId="74" xfId="0" applyFont="1" applyBorder="1"/>
    <xf numFmtId="0" fontId="8" fillId="29" borderId="9" xfId="7" applyFont="1" applyFill="1" applyBorder="1" applyAlignment="1">
      <alignment horizontal="left" vertical="center" wrapText="1"/>
    </xf>
    <xf numFmtId="164" fontId="8" fillId="0" borderId="9" xfId="7" applyNumberFormat="1" applyFont="1" applyBorder="1" applyAlignment="1">
      <alignment horizontal="center" vertical="center"/>
    </xf>
    <xf numFmtId="0" fontId="86" fillId="45" borderId="74" xfId="0" applyFont="1" applyFill="1" applyBorder="1" applyAlignment="1">
      <alignment vertical="center" wrapText="1"/>
    </xf>
    <xf numFmtId="0" fontId="8" fillId="45" borderId="6" xfId="7" applyFont="1" applyFill="1" applyBorder="1" applyAlignment="1">
      <alignment horizontal="left" vertical="center" wrapText="1"/>
    </xf>
    <xf numFmtId="0" fontId="89" fillId="45" borderId="74" xfId="0" applyFont="1" applyFill="1" applyBorder="1" applyAlignment="1">
      <alignment vertical="center" wrapText="1"/>
    </xf>
    <xf numFmtId="0" fontId="110" fillId="0" borderId="74" xfId="0" applyFont="1" applyBorder="1" applyAlignment="1">
      <alignment vertical="top" wrapText="1"/>
    </xf>
    <xf numFmtId="0" fontId="8" fillId="29" borderId="6" xfId="7" applyFont="1" applyFill="1" applyBorder="1" applyAlignment="1">
      <alignment horizontal="left" vertical="center" wrapText="1"/>
    </xf>
    <xf numFmtId="0" fontId="86" fillId="29" borderId="74" xfId="0" applyFont="1" applyFill="1" applyBorder="1" applyAlignment="1">
      <alignment horizontal="center" vertical="center"/>
    </xf>
    <xf numFmtId="0" fontId="86" fillId="29" borderId="74" xfId="0" applyFont="1" applyFill="1" applyBorder="1" applyAlignment="1">
      <alignment horizontal="center" vertical="center" wrapText="1"/>
    </xf>
    <xf numFmtId="0" fontId="106" fillId="0" borderId="6" xfId="7" applyFont="1" applyBorder="1" applyAlignment="1">
      <alignment horizontal="left" vertical="center" wrapText="1"/>
    </xf>
    <xf numFmtId="0" fontId="107" fillId="0" borderId="10" xfId="7" applyFont="1" applyBorder="1" applyAlignment="1">
      <alignment horizontal="center" vertical="center" wrapText="1"/>
    </xf>
    <xf numFmtId="0" fontId="86" fillId="0" borderId="115" xfId="0" applyFont="1" applyBorder="1" applyAlignment="1">
      <alignment horizontal="center" vertical="center" wrapText="1"/>
    </xf>
    <xf numFmtId="0" fontId="8" fillId="0" borderId="36" xfId="7" applyFont="1" applyAlignment="1">
      <alignment horizontal="center" vertical="center" wrapText="1"/>
    </xf>
    <xf numFmtId="0" fontId="8" fillId="0" borderId="36" xfId="7" applyFont="1" applyAlignment="1">
      <alignment horizontal="center" vertical="center"/>
    </xf>
    <xf numFmtId="0" fontId="8" fillId="45" borderId="9" xfId="7" applyFont="1" applyFill="1" applyBorder="1" applyAlignment="1">
      <alignment horizontal="left" vertical="center" wrapText="1"/>
    </xf>
    <xf numFmtId="0" fontId="8" fillId="0" borderId="7" xfId="7" applyFont="1" applyBorder="1" applyAlignment="1">
      <alignment horizontal="center" vertical="center"/>
    </xf>
    <xf numFmtId="0" fontId="8" fillId="0" borderId="104" xfId="7" applyFont="1" applyBorder="1" applyAlignment="1">
      <alignment horizontal="center" vertical="center"/>
    </xf>
    <xf numFmtId="0" fontId="89" fillId="0" borderId="74" xfId="12" applyFont="1" applyBorder="1" applyAlignment="1">
      <alignment vertical="center"/>
    </xf>
    <xf numFmtId="0" fontId="86" fillId="0" borderId="115" xfId="0" applyFont="1" applyBorder="1" applyAlignment="1">
      <alignment horizontal="left" vertical="center"/>
    </xf>
    <xf numFmtId="0" fontId="89" fillId="0" borderId="74" xfId="7" applyFont="1" applyBorder="1" applyAlignment="1">
      <alignment horizontal="center" vertical="center"/>
    </xf>
    <xf numFmtId="0" fontId="106" fillId="0" borderId="6" xfId="7" applyFont="1" applyBorder="1" applyAlignment="1">
      <alignment vertical="center" wrapText="1"/>
    </xf>
    <xf numFmtId="0" fontId="106" fillId="0" borderId="9" xfId="7" applyFont="1" applyBorder="1" applyAlignment="1">
      <alignment horizontal="center" vertical="center" wrapText="1"/>
    </xf>
    <xf numFmtId="167" fontId="106" fillId="0" borderId="9" xfId="7" applyNumberFormat="1" applyFont="1" applyBorder="1" applyAlignment="1">
      <alignment horizontal="center" vertical="center"/>
    </xf>
    <xf numFmtId="10" fontId="8" fillId="0" borderId="9" xfId="7" applyNumberFormat="1" applyFont="1" applyBorder="1" applyAlignment="1">
      <alignment horizontal="center" vertical="center" textRotation="90"/>
    </xf>
    <xf numFmtId="9" fontId="8" fillId="0" borderId="9" xfId="7" applyNumberFormat="1" applyFont="1" applyBorder="1" applyAlignment="1">
      <alignment horizontal="center" vertical="center" textRotation="90"/>
    </xf>
    <xf numFmtId="0" fontId="8" fillId="0" borderId="9" xfId="7" applyFont="1" applyBorder="1" applyAlignment="1">
      <alignment horizontal="left" vertical="top" wrapText="1"/>
    </xf>
    <xf numFmtId="0" fontId="89" fillId="29" borderId="74" xfId="0" applyFont="1" applyFill="1" applyBorder="1" applyAlignment="1">
      <alignment vertical="center" wrapText="1"/>
    </xf>
    <xf numFmtId="0" fontId="86" fillId="0" borderId="9" xfId="7" applyFont="1" applyBorder="1" applyAlignment="1">
      <alignment horizontal="left" vertical="center" wrapText="1"/>
    </xf>
    <xf numFmtId="0" fontId="86" fillId="0" borderId="74" xfId="0" applyFont="1" applyBorder="1" applyAlignment="1">
      <alignment vertical="top"/>
    </xf>
    <xf numFmtId="0" fontId="11" fillId="0" borderId="9" xfId="7" applyFont="1" applyBorder="1" applyAlignment="1">
      <alignment horizontal="left" vertical="top" wrapText="1"/>
    </xf>
    <xf numFmtId="0" fontId="85" fillId="0" borderId="74" xfId="0" applyFont="1" applyBorder="1" applyAlignment="1">
      <alignment vertical="top" wrapText="1"/>
    </xf>
    <xf numFmtId="0" fontId="86" fillId="0" borderId="115" xfId="0" applyFont="1" applyBorder="1" applyAlignment="1">
      <alignment horizontal="left" vertical="center" wrapText="1"/>
    </xf>
    <xf numFmtId="166" fontId="86" fillId="45" borderId="74" xfId="7" applyNumberFormat="1" applyFont="1" applyFill="1" applyBorder="1" applyAlignment="1">
      <alignment horizontal="center" vertical="center"/>
    </xf>
    <xf numFmtId="0" fontId="86" fillId="45" borderId="74" xfId="7" applyFont="1" applyFill="1" applyBorder="1" applyAlignment="1">
      <alignment horizontal="center" vertical="center" wrapText="1"/>
    </xf>
    <xf numFmtId="0" fontId="8" fillId="0" borderId="8" xfId="7" applyFont="1" applyBorder="1" applyAlignment="1">
      <alignment horizontal="left" vertical="center" wrapText="1"/>
    </xf>
    <xf numFmtId="0" fontId="86" fillId="0" borderId="115" xfId="0" applyFont="1" applyBorder="1" applyAlignment="1">
      <alignment horizontal="center" vertical="center"/>
    </xf>
    <xf numFmtId="0" fontId="8" fillId="0" borderId="10" xfId="7" applyFont="1" applyBorder="1" applyAlignment="1">
      <alignment horizontal="left" vertical="center" wrapText="1"/>
    </xf>
    <xf numFmtId="0" fontId="89" fillId="0" borderId="74" xfId="1" applyFont="1" applyBorder="1" applyAlignment="1">
      <alignment horizontal="left" vertical="center" wrapText="1"/>
    </xf>
    <xf numFmtId="0" fontId="89" fillId="29" borderId="74" xfId="1" applyFont="1" applyFill="1" applyBorder="1" applyAlignment="1">
      <alignment horizontal="left" vertical="center" wrapText="1"/>
    </xf>
    <xf numFmtId="0" fontId="8" fillId="0" borderId="104" xfId="7" applyFont="1" applyBorder="1" applyAlignment="1">
      <alignment vertical="center" wrapText="1"/>
    </xf>
    <xf numFmtId="0" fontId="8" fillId="0" borderId="104" xfId="7" applyFont="1" applyBorder="1" applyAlignment="1">
      <alignment horizontal="left" vertical="center" wrapText="1"/>
    </xf>
    <xf numFmtId="0" fontId="8" fillId="0" borderId="10" xfId="7" applyFont="1" applyBorder="1" applyAlignment="1">
      <alignment vertical="center" wrapText="1"/>
    </xf>
    <xf numFmtId="0" fontId="86" fillId="29" borderId="6" xfId="0" applyFont="1" applyFill="1" applyBorder="1" applyAlignment="1">
      <alignment horizontal="center" vertical="center"/>
    </xf>
    <xf numFmtId="0" fontId="86" fillId="29" borderId="6" xfId="0" applyFont="1" applyFill="1" applyBorder="1" applyAlignment="1">
      <alignment vertical="center" wrapText="1"/>
    </xf>
    <xf numFmtId="0" fontId="8" fillId="29" borderId="6" xfId="7" applyFont="1" applyFill="1" applyBorder="1" applyAlignment="1">
      <alignment horizontal="center" vertical="center" wrapText="1"/>
    </xf>
    <xf numFmtId="0" fontId="8" fillId="29" borderId="8" xfId="7" applyFont="1" applyFill="1" applyBorder="1" applyAlignment="1">
      <alignment horizontal="left" vertical="center" wrapText="1"/>
    </xf>
    <xf numFmtId="0" fontId="107" fillId="29" borderId="10" xfId="7" applyFont="1" applyFill="1" applyBorder="1" applyAlignment="1">
      <alignment horizontal="center" vertical="center" wrapText="1"/>
    </xf>
    <xf numFmtId="0" fontId="8" fillId="29" borderId="7" xfId="7" applyFont="1" applyFill="1" applyBorder="1" applyAlignment="1">
      <alignment horizontal="center" vertical="center"/>
    </xf>
    <xf numFmtId="0" fontId="86" fillId="29" borderId="74" xfId="0" applyFont="1" applyFill="1" applyBorder="1"/>
    <xf numFmtId="0" fontId="0" fillId="29" borderId="0" xfId="0" applyFill="1"/>
    <xf numFmtId="0" fontId="94" fillId="29" borderId="74" xfId="0" applyFont="1" applyFill="1" applyBorder="1" applyAlignment="1">
      <alignment vertical="center" wrapText="1"/>
    </xf>
    <xf numFmtId="14" fontId="86" fillId="29" borderId="74" xfId="0" applyNumberFormat="1" applyFont="1" applyFill="1" applyBorder="1"/>
    <xf numFmtId="0" fontId="112" fillId="29" borderId="74" xfId="0" applyFont="1" applyFill="1" applyBorder="1" applyAlignment="1">
      <alignment vertical="center" wrapText="1"/>
    </xf>
    <xf numFmtId="0" fontId="8" fillId="46" borderId="36" xfId="7" applyFont="1" applyFill="1" applyAlignment="1">
      <alignment horizontal="left" vertical="top" wrapText="1"/>
    </xf>
    <xf numFmtId="166" fontId="106" fillId="0" borderId="9" xfId="7" applyNumberFormat="1" applyFont="1" applyBorder="1" applyAlignment="1">
      <alignment horizontal="center" vertical="center" wrapText="1"/>
    </xf>
    <xf numFmtId="0" fontId="89" fillId="24" borderId="74" xfId="7" applyFont="1" applyFill="1" applyBorder="1" applyAlignment="1">
      <alignment horizontal="center" vertical="center" wrapText="1"/>
    </xf>
    <xf numFmtId="14" fontId="86" fillId="0" borderId="74" xfId="0" applyNumberFormat="1" applyFont="1" applyBorder="1" applyAlignment="1">
      <alignment vertical="top" wrapText="1"/>
    </xf>
    <xf numFmtId="0" fontId="158" fillId="0" borderId="74" xfId="0" applyFont="1" applyBorder="1" applyAlignment="1">
      <alignment vertical="top" wrapText="1"/>
    </xf>
    <xf numFmtId="0" fontId="89" fillId="0" borderId="74" xfId="7" applyFont="1" applyBorder="1" applyAlignment="1">
      <alignment horizontal="center" vertical="center" wrapText="1"/>
    </xf>
    <xf numFmtId="0" fontId="86" fillId="0" borderId="74" xfId="7" applyFont="1" applyBorder="1" applyAlignment="1">
      <alignment horizontal="left" vertical="top" wrapText="1"/>
    </xf>
    <xf numFmtId="0" fontId="160" fillId="0" borderId="74" xfId="0" applyFont="1" applyBorder="1" applyAlignment="1">
      <alignment vertical="top" wrapText="1"/>
    </xf>
    <xf numFmtId="0" fontId="8" fillId="46" borderId="9" xfId="7" applyFont="1" applyFill="1" applyBorder="1" applyAlignment="1">
      <alignment horizontal="left" vertical="top" wrapText="1"/>
    </xf>
    <xf numFmtId="0" fontId="89" fillId="0" borderId="74" xfId="7" applyFont="1" applyBorder="1" applyAlignment="1">
      <alignment horizontal="left" vertical="top" wrapText="1"/>
    </xf>
    <xf numFmtId="0" fontId="8" fillId="29" borderId="9" xfId="7" applyFont="1" applyFill="1" applyBorder="1" applyAlignment="1">
      <alignment horizontal="center" vertical="center" wrapText="1"/>
    </xf>
    <xf numFmtId="0" fontId="106" fillId="29" borderId="9" xfId="7" applyFont="1" applyFill="1" applyBorder="1" applyAlignment="1">
      <alignment horizontal="center" vertical="center" wrapText="1"/>
    </xf>
    <xf numFmtId="0" fontId="107" fillId="0" borderId="8" xfId="7" applyFont="1" applyBorder="1" applyAlignment="1">
      <alignment horizontal="center" vertical="center" wrapText="1"/>
    </xf>
    <xf numFmtId="0" fontId="88" fillId="0" borderId="74" xfId="0" applyFont="1" applyBorder="1" applyAlignment="1">
      <alignment vertical="top" wrapText="1"/>
    </xf>
    <xf numFmtId="0" fontId="86" fillId="43" borderId="74" xfId="7" applyFont="1" applyFill="1" applyBorder="1" applyAlignment="1">
      <alignment horizontal="center" vertical="center" wrapText="1"/>
    </xf>
    <xf numFmtId="0" fontId="89" fillId="26" borderId="74" xfId="0" applyFont="1" applyFill="1" applyBorder="1" applyAlignment="1">
      <alignment horizontal="left" vertical="top" wrapText="1"/>
    </xf>
    <xf numFmtId="0" fontId="86" fillId="24" borderId="74" xfId="7" applyFont="1" applyFill="1" applyBorder="1" applyAlignment="1">
      <alignment horizontal="center" vertical="center" wrapText="1"/>
    </xf>
    <xf numFmtId="0" fontId="175" fillId="0" borderId="124" xfId="0" applyFont="1" applyBorder="1" applyAlignment="1">
      <alignment vertical="center" wrapText="1"/>
    </xf>
    <xf numFmtId="0" fontId="172" fillId="0" borderId="94" xfId="16" applyFont="1" applyBorder="1" applyAlignment="1">
      <alignment vertical="center" wrapText="1"/>
    </xf>
    <xf numFmtId="0" fontId="63" fillId="18" borderId="81" xfId="16" applyFont="1" applyFill="1" applyBorder="1" applyAlignment="1">
      <alignment horizontal="center" vertical="center" wrapText="1"/>
    </xf>
    <xf numFmtId="0" fontId="63" fillId="18" borderId="94" xfId="16" applyFont="1" applyFill="1" applyBorder="1" applyAlignment="1">
      <alignment vertical="center" wrapText="1"/>
    </xf>
    <xf numFmtId="0" fontId="172" fillId="19" borderId="94" xfId="16" applyFont="1" applyFill="1" applyBorder="1" applyAlignment="1">
      <alignment vertical="center" wrapText="1"/>
    </xf>
    <xf numFmtId="0" fontId="124" fillId="0" borderId="94" xfId="16" applyFont="1" applyBorder="1" applyAlignment="1">
      <alignment vertical="center" wrapText="1"/>
    </xf>
    <xf numFmtId="0" fontId="63" fillId="19" borderId="94" xfId="16" applyFont="1" applyFill="1" applyBorder="1" applyAlignment="1">
      <alignment vertical="center" wrapText="1"/>
    </xf>
    <xf numFmtId="0" fontId="63" fillId="0" borderId="94" xfId="16" applyFont="1" applyBorder="1" applyAlignment="1">
      <alignment vertical="center" wrapText="1"/>
    </xf>
    <xf numFmtId="0" fontId="172" fillId="0" borderId="122" xfId="16" applyFont="1" applyBorder="1" applyAlignment="1">
      <alignment horizontal="left" vertical="center" wrapText="1"/>
    </xf>
    <xf numFmtId="14" fontId="62" fillId="0" borderId="82" xfId="11" applyNumberFormat="1" applyFont="1" applyBorder="1" applyAlignment="1">
      <alignment horizontal="center" vertical="center" wrapText="1"/>
    </xf>
    <xf numFmtId="0" fontId="172" fillId="0" borderId="83" xfId="16" applyFont="1" applyBorder="1" applyAlignment="1">
      <alignment horizontal="left" vertical="center" wrapText="1"/>
    </xf>
    <xf numFmtId="0" fontId="172" fillId="0" borderId="80" xfId="16" applyFont="1" applyBorder="1" applyAlignment="1">
      <alignment horizontal="left" vertical="center" wrapText="1"/>
    </xf>
    <xf numFmtId="0" fontId="58" fillId="27" borderId="74" xfId="1" applyFont="1" applyFill="1" applyBorder="1" applyAlignment="1">
      <alignment horizontal="center" vertical="center" wrapText="1"/>
    </xf>
    <xf numFmtId="0" fontId="62" fillId="24" borderId="74" xfId="1" applyFont="1" applyFill="1" applyBorder="1" applyAlignment="1">
      <alignment horizontal="center" vertical="center" wrapText="1"/>
    </xf>
    <xf numFmtId="0" fontId="64" fillId="24" borderId="74" xfId="1" applyFont="1" applyFill="1" applyBorder="1" applyAlignment="1">
      <alignment horizontal="center" vertical="center" wrapText="1"/>
    </xf>
    <xf numFmtId="0" fontId="62" fillId="0" borderId="74" xfId="11" applyFont="1" applyBorder="1" applyAlignment="1">
      <alignment horizontal="center" vertical="center"/>
    </xf>
    <xf numFmtId="0" fontId="62" fillId="0" borderId="74" xfId="11" applyFont="1" applyBorder="1" applyAlignment="1">
      <alignment horizontal="left" vertical="center" wrapText="1"/>
    </xf>
    <xf numFmtId="0" fontId="62" fillId="0" borderId="74" xfId="11" applyFont="1" applyBorder="1" applyAlignment="1">
      <alignment vertical="center"/>
    </xf>
    <xf numFmtId="0" fontId="132" fillId="0" borderId="74" xfId="0" applyFont="1" applyBorder="1" applyAlignment="1">
      <alignment horizontal="center" vertical="center"/>
    </xf>
    <xf numFmtId="0" fontId="132" fillId="0" borderId="74" xfId="0" applyFont="1" applyBorder="1" applyAlignment="1">
      <alignment vertical="center"/>
    </xf>
    <xf numFmtId="0" fontId="62" fillId="0" borderId="74" xfId="1" applyFont="1" applyBorder="1" applyAlignment="1">
      <alignment horizontal="center" vertical="center"/>
    </xf>
    <xf numFmtId="0" fontId="62" fillId="0" borderId="74" xfId="16" applyFont="1" applyBorder="1" applyAlignment="1">
      <alignment horizontal="center" vertical="center"/>
    </xf>
    <xf numFmtId="0" fontId="18" fillId="8" borderId="36" xfId="0" applyFont="1" applyFill="1" applyBorder="1" applyAlignment="1">
      <alignment horizontal="center" vertical="center" wrapText="1" readingOrder="1"/>
    </xf>
    <xf numFmtId="0" fontId="7" fillId="0" borderId="40" xfId="0" applyFont="1" applyBorder="1"/>
    <xf numFmtId="0" fontId="7" fillId="0" borderId="36" xfId="0" applyFont="1" applyBorder="1"/>
    <xf numFmtId="0" fontId="18" fillId="9" borderId="43" xfId="0" applyFont="1" applyFill="1" applyBorder="1" applyAlignment="1">
      <alignment horizontal="center" wrapText="1" readingOrder="1"/>
    </xf>
    <xf numFmtId="0" fontId="7" fillId="0" borderId="43" xfId="0" applyFont="1" applyBorder="1"/>
    <xf numFmtId="0" fontId="18" fillId="9" borderId="36" xfId="0" applyFont="1" applyFill="1" applyBorder="1" applyAlignment="1">
      <alignment horizontal="center" wrapText="1" readingOrder="1"/>
    </xf>
    <xf numFmtId="0" fontId="18" fillId="8" borderId="50" xfId="0" applyFont="1" applyFill="1" applyBorder="1" applyAlignment="1">
      <alignment horizontal="center" vertical="center" wrapText="1" readingOrder="1"/>
    </xf>
    <xf numFmtId="0" fontId="7" fillId="0" borderId="51" xfId="0" applyFont="1" applyBorder="1"/>
    <xf numFmtId="0" fontId="18" fillId="8" borderId="51" xfId="0" applyFont="1" applyFill="1" applyBorder="1" applyAlignment="1">
      <alignment horizontal="center" vertical="center" wrapText="1" readingOrder="1"/>
    </xf>
    <xf numFmtId="0" fontId="18" fillId="8" borderId="43" xfId="0" applyFont="1" applyFill="1" applyBorder="1" applyAlignment="1">
      <alignment horizontal="center" vertical="center" wrapText="1" readingOrder="1"/>
    </xf>
    <xf numFmtId="0" fontId="18" fillId="9" borderId="51" xfId="0" applyFont="1" applyFill="1" applyBorder="1" applyAlignment="1">
      <alignment horizontal="center" wrapText="1" readingOrder="1"/>
    </xf>
    <xf numFmtId="0" fontId="7" fillId="0" borderId="44" xfId="0" applyFont="1" applyBorder="1"/>
    <xf numFmtId="0" fontId="7" fillId="0" borderId="46" xfId="0" applyFont="1" applyBorder="1"/>
    <xf numFmtId="0" fontId="7" fillId="0" borderId="45" xfId="0" applyFont="1" applyBorder="1"/>
    <xf numFmtId="0" fontId="18" fillId="5" borderId="51" xfId="0" applyFont="1" applyFill="1" applyBorder="1" applyAlignment="1">
      <alignment horizontal="center" wrapText="1" readingOrder="1"/>
    </xf>
    <xf numFmtId="0" fontId="7" fillId="0" borderId="52" xfId="0" applyFont="1" applyBorder="1"/>
    <xf numFmtId="0" fontId="18" fillId="5" borderId="50" xfId="0" applyFont="1" applyFill="1" applyBorder="1" applyAlignment="1">
      <alignment horizontal="center" wrapText="1" readingOrder="1"/>
    </xf>
    <xf numFmtId="0" fontId="18" fillId="9" borderId="50" xfId="0" applyFont="1" applyFill="1" applyBorder="1" applyAlignment="1">
      <alignment horizontal="center" wrapText="1" readingOrder="1"/>
    </xf>
    <xf numFmtId="0" fontId="18" fillId="10" borderId="36" xfId="0" applyFont="1" applyFill="1" applyBorder="1" applyAlignment="1">
      <alignment horizontal="center" wrapText="1" readingOrder="1"/>
    </xf>
    <xf numFmtId="0" fontId="18" fillId="5" borderId="36" xfId="0" applyFont="1" applyFill="1" applyBorder="1" applyAlignment="1">
      <alignment horizontal="center" wrapText="1" readingOrder="1"/>
    </xf>
    <xf numFmtId="0" fontId="18" fillId="5" borderId="43" xfId="0" applyFont="1" applyFill="1" applyBorder="1" applyAlignment="1">
      <alignment horizontal="center" wrapText="1" readingOrder="1"/>
    </xf>
    <xf numFmtId="0" fontId="19" fillId="10" borderId="37" xfId="0" applyFont="1" applyFill="1" applyBorder="1" applyAlignment="1">
      <alignment horizontal="center" vertical="center" wrapText="1" readingOrder="1"/>
    </xf>
    <xf numFmtId="0" fontId="7" fillId="0" borderId="38" xfId="0" applyFont="1" applyBorder="1"/>
    <xf numFmtId="0" fontId="7" fillId="0" borderId="39" xfId="0" applyFont="1" applyBorder="1"/>
    <xf numFmtId="0" fontId="7" fillId="0" borderId="41" xfId="0" applyFont="1" applyBorder="1"/>
    <xf numFmtId="0" fontId="0" fillId="0" borderId="0" xfId="0"/>
    <xf numFmtId="0" fontId="7" fillId="0" borderId="42" xfId="0" applyFont="1" applyBorder="1"/>
    <xf numFmtId="0" fontId="7" fillId="0" borderId="47" xfId="0" applyFont="1" applyBorder="1"/>
    <xf numFmtId="0" fontId="7" fillId="0" borderId="48" xfId="0" applyFont="1" applyBorder="1"/>
    <xf numFmtId="0" fontId="7" fillId="0" borderId="49" xfId="0" applyFont="1" applyBorder="1"/>
    <xf numFmtId="0" fontId="19" fillId="8" borderId="37" xfId="0" applyFont="1" applyFill="1" applyBorder="1" applyAlignment="1">
      <alignment horizontal="center" vertical="center" wrapText="1" readingOrder="1"/>
    </xf>
    <xf numFmtId="0" fontId="19" fillId="5" borderId="37" xfId="0" applyFont="1" applyFill="1" applyBorder="1" applyAlignment="1">
      <alignment horizontal="center" vertical="center" wrapText="1" readingOrder="1"/>
    </xf>
    <xf numFmtId="0" fontId="19" fillId="9" borderId="37" xfId="0" applyFont="1" applyFill="1" applyBorder="1" applyAlignment="1">
      <alignment horizontal="center" vertical="center" wrapText="1" readingOrder="1"/>
    </xf>
    <xf numFmtId="0" fontId="17" fillId="0" borderId="50" xfId="0" applyFont="1" applyBorder="1" applyAlignment="1">
      <alignment horizontal="center" vertical="center" wrapText="1"/>
    </xf>
    <xf numFmtId="0" fontId="18" fillId="10" borderId="50" xfId="0" applyFont="1" applyFill="1" applyBorder="1" applyAlignment="1">
      <alignment horizontal="center" wrapText="1" readingOrder="1"/>
    </xf>
    <xf numFmtId="0" fontId="18" fillId="10" borderId="43" xfId="0" applyFont="1" applyFill="1" applyBorder="1" applyAlignment="1">
      <alignment horizontal="center" wrapText="1" readingOrder="1"/>
    </xf>
    <xf numFmtId="0" fontId="18" fillId="10" borderId="51" xfId="0" applyFont="1" applyFill="1" applyBorder="1" applyAlignment="1">
      <alignment horizontal="center" wrapText="1" readingOrder="1"/>
    </xf>
    <xf numFmtId="0" fontId="6" fillId="0" borderId="0" xfId="0" applyFont="1" applyAlignment="1">
      <alignment horizontal="center" vertical="center" wrapText="1"/>
    </xf>
    <xf numFmtId="0" fontId="16" fillId="7" borderId="36" xfId="0" applyFont="1" applyFill="1" applyBorder="1" applyAlignment="1">
      <alignment horizontal="center" vertical="center" wrapText="1" readingOrder="1"/>
    </xf>
    <xf numFmtId="0" fontId="16" fillId="7" borderId="36" xfId="0" applyFont="1" applyFill="1" applyBorder="1" applyAlignment="1">
      <alignment horizontal="center" vertical="center" textRotation="90" wrapText="1" readingOrder="1"/>
    </xf>
    <xf numFmtId="0" fontId="24" fillId="8" borderId="37" xfId="0" applyFont="1" applyFill="1" applyBorder="1" applyAlignment="1">
      <alignment horizontal="center" vertical="center" wrapText="1" readingOrder="1"/>
    </xf>
    <xf numFmtId="0" fontId="24" fillId="5" borderId="37" xfId="0" applyFont="1" applyFill="1" applyBorder="1" applyAlignment="1">
      <alignment horizontal="center" vertical="center" wrapText="1" readingOrder="1"/>
    </xf>
    <xf numFmtId="0" fontId="24" fillId="9" borderId="37" xfId="0" applyFont="1" applyFill="1" applyBorder="1" applyAlignment="1">
      <alignment horizontal="center" vertical="center" wrapText="1" readingOrder="1"/>
    </xf>
    <xf numFmtId="0" fontId="24" fillId="10" borderId="37" xfId="0" applyFont="1" applyFill="1" applyBorder="1" applyAlignment="1">
      <alignment horizontal="center" vertical="center" wrapText="1" readingOrder="1"/>
    </xf>
    <xf numFmtId="0" fontId="22" fillId="0" borderId="50" xfId="0" applyFont="1" applyBorder="1" applyAlignment="1">
      <alignment horizontal="center" vertical="center" wrapText="1"/>
    </xf>
    <xf numFmtId="0" fontId="21" fillId="0" borderId="0" xfId="0" applyFont="1" applyAlignment="1">
      <alignment horizontal="center" vertical="center" wrapText="1"/>
    </xf>
    <xf numFmtId="0" fontId="6" fillId="0" borderId="36" xfId="7" applyFont="1" applyAlignment="1">
      <alignment horizontal="center" vertical="center" wrapText="1"/>
    </xf>
    <xf numFmtId="0" fontId="105" fillId="0" borderId="36" xfId="7"/>
    <xf numFmtId="0" fontId="16" fillId="7" borderId="36" xfId="7" applyFont="1" applyFill="1" applyAlignment="1">
      <alignment horizontal="center" vertical="center" wrapText="1" readingOrder="1"/>
    </xf>
    <xf numFmtId="0" fontId="7" fillId="0" borderId="36" xfId="7" applyFont="1"/>
    <xf numFmtId="0" fontId="16" fillId="7" borderId="36" xfId="7" applyFont="1" applyFill="1" applyAlignment="1">
      <alignment horizontal="center" vertical="center" textRotation="90" wrapText="1" readingOrder="1"/>
    </xf>
    <xf numFmtId="0" fontId="7" fillId="0" borderId="40" xfId="7" applyFont="1" applyBorder="1"/>
    <xf numFmtId="0" fontId="17" fillId="0" borderId="50" xfId="7" applyFont="1" applyBorder="1" applyAlignment="1">
      <alignment horizontal="center" vertical="center" wrapText="1"/>
    </xf>
    <xf numFmtId="0" fontId="7" fillId="0" borderId="51" xfId="7" applyFont="1" applyBorder="1"/>
    <xf numFmtId="0" fontId="7" fillId="0" borderId="52" xfId="7" applyFont="1" applyBorder="1"/>
    <xf numFmtId="0" fontId="7" fillId="0" borderId="43" xfId="7" applyFont="1" applyBorder="1"/>
    <xf numFmtId="0" fontId="7" fillId="0" borderId="44" xfId="7" applyFont="1" applyBorder="1"/>
    <xf numFmtId="0" fontId="7" fillId="0" borderId="46" xfId="7" applyFont="1" applyBorder="1"/>
    <xf numFmtId="0" fontId="7" fillId="0" borderId="45" xfId="7" applyFont="1" applyBorder="1"/>
    <xf numFmtId="0" fontId="18" fillId="8" borderId="50" xfId="7" applyFont="1" applyFill="1" applyBorder="1" applyAlignment="1">
      <alignment horizontal="center" vertical="center" wrapText="1" readingOrder="1"/>
    </xf>
    <xf numFmtId="0" fontId="18" fillId="8" borderId="51" xfId="7" applyFont="1" applyFill="1" applyBorder="1" applyAlignment="1">
      <alignment horizontal="center" vertical="center" wrapText="1" readingOrder="1"/>
    </xf>
    <xf numFmtId="0" fontId="18" fillId="9" borderId="50" xfId="7" applyFont="1" applyFill="1" applyBorder="1" applyAlignment="1">
      <alignment horizontal="center" wrapText="1" readingOrder="1"/>
    </xf>
    <xf numFmtId="0" fontId="18" fillId="9" borderId="51" xfId="7" applyFont="1" applyFill="1" applyBorder="1" applyAlignment="1">
      <alignment horizontal="center" wrapText="1" readingOrder="1"/>
    </xf>
    <xf numFmtId="0" fontId="18" fillId="8" borderId="36" xfId="7" applyFont="1" applyFill="1" applyAlignment="1">
      <alignment horizontal="center" vertical="center" wrapText="1" readingOrder="1"/>
    </xf>
    <xf numFmtId="0" fontId="18" fillId="8" borderId="43" xfId="7" applyFont="1" applyFill="1" applyBorder="1" applyAlignment="1">
      <alignment horizontal="center" vertical="center" wrapText="1" readingOrder="1"/>
    </xf>
    <xf numFmtId="0" fontId="18" fillId="9" borderId="36" xfId="7" applyFont="1" applyFill="1" applyAlignment="1">
      <alignment horizontal="center" wrapText="1" readingOrder="1"/>
    </xf>
    <xf numFmtId="0" fontId="19" fillId="9" borderId="37" xfId="7" applyFont="1" applyFill="1" applyBorder="1" applyAlignment="1">
      <alignment horizontal="center" vertical="center" wrapText="1" readingOrder="1"/>
    </xf>
    <xf numFmtId="0" fontId="7" fillId="0" borderId="38" xfId="7" applyFont="1" applyBorder="1"/>
    <xf numFmtId="0" fontId="7" fillId="0" borderId="39" xfId="7" applyFont="1" applyBorder="1"/>
    <xf numFmtId="0" fontId="7" fillId="0" borderId="41" xfId="7" applyFont="1" applyBorder="1"/>
    <xf numFmtId="0" fontId="7" fillId="0" borderId="42" xfId="7" applyFont="1" applyBorder="1"/>
    <xf numFmtId="0" fontId="7" fillId="0" borderId="47" xfId="7" applyFont="1" applyBorder="1"/>
    <xf numFmtId="0" fontId="7" fillId="0" borderId="48" xfId="7" applyFont="1" applyBorder="1"/>
    <xf numFmtId="0" fontId="7" fillId="0" borderId="49" xfId="7" applyFont="1" applyBorder="1"/>
    <xf numFmtId="0" fontId="18" fillId="9" borderId="43" xfId="7" applyFont="1" applyFill="1" applyBorder="1" applyAlignment="1">
      <alignment horizontal="center" wrapText="1" readingOrder="1"/>
    </xf>
    <xf numFmtId="0" fontId="18" fillId="5" borderId="50" xfId="7" applyFont="1" applyFill="1" applyBorder="1" applyAlignment="1">
      <alignment horizontal="center" wrapText="1" readingOrder="1"/>
    </xf>
    <xf numFmtId="0" fontId="18" fillId="5" borderId="51" xfId="7" applyFont="1" applyFill="1" applyBorder="1" applyAlignment="1">
      <alignment horizontal="center" wrapText="1" readingOrder="1"/>
    </xf>
    <xf numFmtId="0" fontId="18" fillId="5" borderId="43" xfId="7" applyFont="1" applyFill="1" applyBorder="1" applyAlignment="1">
      <alignment horizontal="center" wrapText="1" readingOrder="1"/>
    </xf>
    <xf numFmtId="0" fontId="18" fillId="5" borderId="36" xfId="7" applyFont="1" applyFill="1" applyAlignment="1">
      <alignment horizontal="center" wrapText="1" readingOrder="1"/>
    </xf>
    <xf numFmtId="0" fontId="19" fillId="8" borderId="37" xfId="7" applyFont="1" applyFill="1" applyBorder="1" applyAlignment="1">
      <alignment horizontal="center" vertical="center" wrapText="1" readingOrder="1"/>
    </xf>
    <xf numFmtId="0" fontId="19" fillId="5" borderId="37" xfId="7" applyFont="1" applyFill="1" applyBorder="1" applyAlignment="1">
      <alignment horizontal="center" vertical="center" wrapText="1" readingOrder="1"/>
    </xf>
    <xf numFmtId="0" fontId="18" fillId="10" borderId="50" xfId="7" applyFont="1" applyFill="1" applyBorder="1" applyAlignment="1">
      <alignment horizontal="center" wrapText="1" readingOrder="1"/>
    </xf>
    <xf numFmtId="0" fontId="18" fillId="10" borderId="51" xfId="7" applyFont="1" applyFill="1" applyBorder="1" applyAlignment="1">
      <alignment horizontal="center" wrapText="1" readingOrder="1"/>
    </xf>
    <xf numFmtId="0" fontId="19" fillId="10" borderId="37" xfId="7" applyFont="1" applyFill="1" applyBorder="1" applyAlignment="1">
      <alignment horizontal="center" vertical="center" wrapText="1" readingOrder="1"/>
    </xf>
    <xf numFmtId="0" fontId="18" fillId="10" borderId="43" xfId="7" applyFont="1" applyFill="1" applyBorder="1" applyAlignment="1">
      <alignment horizontal="center" wrapText="1" readingOrder="1"/>
    </xf>
    <xf numFmtId="0" fontId="18" fillId="10" borderId="36" xfId="7" applyFont="1" applyFill="1" applyAlignment="1">
      <alignment horizontal="center" wrapText="1" readingOrder="1"/>
    </xf>
    <xf numFmtId="0" fontId="21" fillId="0" borderId="36" xfId="8" applyFont="1" applyAlignment="1">
      <alignment horizontal="center" vertical="center" wrapText="1"/>
    </xf>
    <xf numFmtId="0" fontId="105" fillId="0" borderId="36" xfId="8"/>
    <xf numFmtId="0" fontId="16" fillId="7" borderId="36" xfId="8" applyFont="1" applyFill="1" applyAlignment="1">
      <alignment horizontal="center" vertical="center" wrapText="1" readingOrder="1"/>
    </xf>
    <xf numFmtId="0" fontId="7" fillId="0" borderId="36" xfId="8" applyFont="1"/>
    <xf numFmtId="0" fontId="16" fillId="7" borderId="36" xfId="8" applyFont="1" applyFill="1" applyAlignment="1">
      <alignment horizontal="center" vertical="center" textRotation="90" wrapText="1" readingOrder="1"/>
    </xf>
    <xf numFmtId="0" fontId="7" fillId="0" borderId="40" xfId="8" applyFont="1" applyBorder="1"/>
    <xf numFmtId="0" fontId="22" fillId="0" borderId="50" xfId="8" applyFont="1" applyBorder="1" applyAlignment="1">
      <alignment horizontal="center" vertical="center" wrapText="1"/>
    </xf>
    <xf numFmtId="0" fontId="7" fillId="0" borderId="51" xfId="8" applyFont="1" applyBorder="1"/>
    <xf numFmtId="0" fontId="7" fillId="0" borderId="52" xfId="8" applyFont="1" applyBorder="1"/>
    <xf numFmtId="0" fontId="7" fillId="0" borderId="43" xfId="8" applyFont="1" applyBorder="1"/>
    <xf numFmtId="0" fontId="7" fillId="0" borderId="44" xfId="8" applyFont="1" applyBorder="1"/>
    <xf numFmtId="0" fontId="7" fillId="0" borderId="46" xfId="8" applyFont="1" applyBorder="1"/>
    <xf numFmtId="0" fontId="7" fillId="0" borderId="45" xfId="8" applyFont="1" applyBorder="1"/>
    <xf numFmtId="0" fontId="24" fillId="9" borderId="37" xfId="8" applyFont="1" applyFill="1" applyBorder="1" applyAlignment="1">
      <alignment horizontal="center" vertical="center" wrapText="1" readingOrder="1"/>
    </xf>
    <xf numFmtId="0" fontId="7" fillId="0" borderId="38" xfId="8" applyFont="1" applyBorder="1"/>
    <xf numFmtId="0" fontId="7" fillId="0" borderId="39" xfId="8" applyFont="1" applyBorder="1"/>
    <xf numFmtId="0" fontId="7" fillId="0" borderId="41" xfId="8" applyFont="1" applyBorder="1"/>
    <xf numFmtId="0" fontId="7" fillId="0" borderId="42" xfId="8" applyFont="1" applyBorder="1"/>
    <xf numFmtId="0" fontId="7" fillId="0" borderId="47" xfId="8" applyFont="1" applyBorder="1"/>
    <xf numFmtId="0" fontId="7" fillId="0" borderId="48" xfId="8" applyFont="1" applyBorder="1"/>
    <xf numFmtId="0" fontId="7" fillId="0" borderId="49" xfId="8" applyFont="1" applyBorder="1"/>
    <xf numFmtId="0" fontId="24" fillId="8" borderId="37" xfId="8" applyFont="1" applyFill="1" applyBorder="1" applyAlignment="1">
      <alignment horizontal="center" vertical="center" wrapText="1" readingOrder="1"/>
    </xf>
    <xf numFmtId="0" fontId="24" fillId="5" borderId="37" xfId="8" applyFont="1" applyFill="1" applyBorder="1" applyAlignment="1">
      <alignment horizontal="center" vertical="center" wrapText="1" readingOrder="1"/>
    </xf>
    <xf numFmtId="0" fontId="24" fillId="10" borderId="37" xfId="8" applyFont="1" applyFill="1" applyBorder="1" applyAlignment="1">
      <alignment horizontal="center" vertical="center" wrapText="1" readingOrder="1"/>
    </xf>
    <xf numFmtId="0" fontId="71" fillId="33" borderId="75" xfId="0" applyFont="1" applyFill="1" applyBorder="1" applyAlignment="1">
      <alignment horizontal="center" vertical="center"/>
    </xf>
    <xf numFmtId="0" fontId="69" fillId="0" borderId="96" xfId="0" applyFont="1" applyBorder="1" applyAlignment="1">
      <alignment horizontal="left" vertical="center" wrapText="1"/>
    </xf>
    <xf numFmtId="0" fontId="69" fillId="0" borderId="103" xfId="0" applyFont="1" applyBorder="1" applyAlignment="1">
      <alignment horizontal="left" vertical="center" wrapText="1"/>
    </xf>
    <xf numFmtId="0" fontId="69" fillId="0" borderId="97" xfId="0" applyFont="1" applyBorder="1" applyAlignment="1">
      <alignment horizontal="left" vertical="center" wrapText="1"/>
    </xf>
    <xf numFmtId="0" fontId="0" fillId="0" borderId="96" xfId="0" applyBorder="1" applyAlignment="1">
      <alignment horizontal="left" vertical="top" wrapText="1"/>
    </xf>
    <xf numFmtId="0" fontId="69" fillId="0" borderId="103" xfId="0" applyFont="1" applyBorder="1" applyAlignment="1">
      <alignment horizontal="left" vertical="top" wrapText="1"/>
    </xf>
    <xf numFmtId="0" fontId="69" fillId="0" borderId="97" xfId="0" applyFont="1" applyBorder="1" applyAlignment="1">
      <alignment horizontal="left" vertical="top" wrapText="1"/>
    </xf>
    <xf numFmtId="17" fontId="0" fillId="0" borderId="96" xfId="0" applyNumberFormat="1" applyBorder="1" applyAlignment="1">
      <alignment horizontal="left" vertical="center" indent="1"/>
    </xf>
    <xf numFmtId="17" fontId="0" fillId="0" borderId="103" xfId="0" applyNumberFormat="1" applyBorder="1" applyAlignment="1">
      <alignment horizontal="left" vertical="center" indent="1"/>
    </xf>
    <xf numFmtId="17" fontId="0" fillId="0" borderId="97" xfId="0" applyNumberFormat="1" applyBorder="1" applyAlignment="1">
      <alignment horizontal="left" vertical="center" indent="1"/>
    </xf>
    <xf numFmtId="0" fontId="98" fillId="20" borderId="15" xfId="0" applyFont="1" applyFill="1" applyBorder="1" applyAlignment="1">
      <alignment horizontal="center" vertical="center" wrapText="1"/>
    </xf>
    <xf numFmtId="0" fontId="99" fillId="21" borderId="16" xfId="0" applyFont="1" applyFill="1" applyBorder="1"/>
    <xf numFmtId="0" fontId="99" fillId="21" borderId="17" xfId="0" applyFont="1" applyFill="1" applyBorder="1"/>
    <xf numFmtId="0" fontId="86" fillId="0" borderId="43" xfId="0" applyFont="1" applyBorder="1" applyAlignment="1">
      <alignment horizontal="left" vertical="center" wrapText="1"/>
    </xf>
    <xf numFmtId="0" fontId="86" fillId="0" borderId="0" xfId="0" applyFont="1"/>
    <xf numFmtId="0" fontId="85" fillId="0" borderId="40" xfId="0" applyFont="1" applyBorder="1"/>
    <xf numFmtId="0" fontId="85" fillId="0" borderId="21" xfId="0" applyFont="1" applyBorder="1"/>
    <xf numFmtId="0" fontId="85" fillId="0" borderId="22" xfId="0" applyFont="1" applyBorder="1"/>
    <xf numFmtId="0" fontId="85" fillId="0" borderId="23" xfId="0" applyFont="1" applyBorder="1"/>
    <xf numFmtId="0" fontId="100" fillId="3" borderId="18" xfId="0" quotePrefix="1" applyFont="1" applyFill="1" applyBorder="1" applyAlignment="1">
      <alignment horizontal="left" vertical="center" wrapText="1"/>
    </xf>
    <xf numFmtId="0" fontId="85" fillId="0" borderId="19" xfId="0" applyFont="1" applyBorder="1" applyAlignment="1">
      <alignment horizontal="left" vertical="center"/>
    </xf>
    <xf numFmtId="0" fontId="85" fillId="0" borderId="20" xfId="0" applyFont="1" applyBorder="1" applyAlignment="1">
      <alignment horizontal="left" vertical="center"/>
    </xf>
    <xf numFmtId="0" fontId="86" fillId="3" borderId="21" xfId="0" applyFont="1" applyFill="1" applyBorder="1" applyAlignment="1">
      <alignment horizontal="left" vertical="center" wrapText="1"/>
    </xf>
    <xf numFmtId="0" fontId="86" fillId="0" borderId="43" xfId="0" applyFont="1" applyBorder="1" applyAlignment="1">
      <alignment horizontal="left" vertical="top" wrapText="1"/>
    </xf>
    <xf numFmtId="0" fontId="85" fillId="0" borderId="43" xfId="0" applyFont="1" applyBorder="1"/>
    <xf numFmtId="0" fontId="102" fillId="6" borderId="24" xfId="0" applyFont="1" applyFill="1" applyBorder="1" applyAlignment="1">
      <alignment horizontal="center" vertical="center" wrapText="1"/>
    </xf>
    <xf numFmtId="0" fontId="85" fillId="0" borderId="25" xfId="0" applyFont="1" applyBorder="1"/>
    <xf numFmtId="0" fontId="102" fillId="6" borderId="26" xfId="0" applyFont="1" applyFill="1" applyBorder="1" applyAlignment="1">
      <alignment horizontal="center" vertical="center"/>
    </xf>
    <xf numFmtId="0" fontId="85" fillId="0" borderId="27" xfId="0" applyFont="1" applyBorder="1"/>
    <xf numFmtId="0" fontId="102" fillId="0" borderId="28" xfId="0" applyFont="1" applyBorder="1" applyAlignment="1">
      <alignment horizontal="left" vertical="center" wrapText="1" readingOrder="1"/>
    </xf>
    <xf numFmtId="0" fontId="85" fillId="0" borderId="29" xfId="0" applyFont="1" applyBorder="1" applyAlignment="1">
      <alignment vertical="center"/>
    </xf>
    <xf numFmtId="0" fontId="92" fillId="0" borderId="30" xfId="0" applyFont="1" applyBorder="1" applyAlignment="1">
      <alignment horizontal="left" vertical="center" wrapText="1"/>
    </xf>
    <xf numFmtId="0" fontId="85" fillId="0" borderId="31" xfId="0" applyFont="1" applyBorder="1"/>
    <xf numFmtId="0" fontId="92" fillId="3" borderId="30" xfId="0" applyFont="1" applyFill="1" applyBorder="1" applyAlignment="1">
      <alignment horizontal="left" vertical="center" wrapText="1"/>
    </xf>
    <xf numFmtId="0" fontId="102" fillId="3" borderId="28" xfId="0" applyFont="1" applyFill="1" applyBorder="1" applyAlignment="1">
      <alignment horizontal="left" vertical="center" wrapText="1" readingOrder="1"/>
    </xf>
    <xf numFmtId="0" fontId="102" fillId="0" borderId="32" xfId="0" applyFont="1" applyBorder="1" applyAlignment="1">
      <alignment horizontal="left" vertical="center" wrapText="1"/>
    </xf>
    <xf numFmtId="0" fontId="85" fillId="0" borderId="33" xfId="0" applyFont="1" applyBorder="1" applyAlignment="1">
      <alignment vertical="center"/>
    </xf>
    <xf numFmtId="0" fontId="92" fillId="0" borderId="34" xfId="0" applyFont="1" applyBorder="1" applyAlignment="1">
      <alignment horizontal="left" vertical="center" wrapText="1"/>
    </xf>
    <xf numFmtId="0" fontId="85" fillId="0" borderId="35" xfId="0" applyFont="1" applyBorder="1"/>
    <xf numFmtId="0" fontId="102" fillId="3" borderId="32" xfId="0" applyFont="1" applyFill="1" applyBorder="1" applyAlignment="1">
      <alignment horizontal="left" vertical="center" wrapText="1"/>
    </xf>
    <xf numFmtId="0" fontId="85" fillId="0" borderId="33" xfId="0" applyFont="1" applyBorder="1"/>
    <xf numFmtId="0" fontId="102" fillId="3" borderId="33" xfId="0" applyFont="1" applyFill="1" applyBorder="1" applyAlignment="1">
      <alignment horizontal="left" vertical="center" wrapText="1"/>
    </xf>
    <xf numFmtId="0" fontId="92" fillId="3" borderId="34" xfId="0" applyFont="1" applyFill="1" applyBorder="1" applyAlignment="1">
      <alignment horizontal="left" vertical="center" wrapText="1"/>
    </xf>
    <xf numFmtId="0" fontId="92" fillId="3" borderId="35" xfId="0" applyFont="1" applyFill="1" applyBorder="1" applyAlignment="1">
      <alignment horizontal="left" vertical="center" wrapText="1"/>
    </xf>
    <xf numFmtId="0" fontId="95" fillId="3" borderId="43" xfId="0" applyFont="1" applyFill="1" applyBorder="1" applyAlignment="1">
      <alignment horizontal="left" vertical="top" wrapText="1"/>
    </xf>
    <xf numFmtId="0" fontId="85" fillId="0" borderId="36" xfId="0" applyFont="1" applyBorder="1"/>
    <xf numFmtId="0" fontId="85" fillId="0" borderId="36" xfId="0" applyFont="1" applyBorder="1" applyAlignment="1">
      <alignment wrapText="1"/>
    </xf>
    <xf numFmtId="0" fontId="85" fillId="0" borderId="40" xfId="0" applyFont="1" applyBorder="1" applyAlignment="1">
      <alignment wrapText="1"/>
    </xf>
    <xf numFmtId="167" fontId="106" fillId="0" borderId="6" xfId="7" applyNumberFormat="1" applyFont="1" applyBorder="1" applyAlignment="1">
      <alignment horizontal="center" vertical="center" wrapText="1"/>
    </xf>
    <xf numFmtId="167" fontId="106" fillId="0" borderId="8" xfId="7" applyNumberFormat="1" applyFont="1" applyBorder="1" applyAlignment="1">
      <alignment horizontal="center" vertical="center" wrapText="1"/>
    </xf>
    <xf numFmtId="0" fontId="86" fillId="0" borderId="1" xfId="0" applyFont="1" applyBorder="1" applyAlignment="1">
      <alignment horizontal="center" vertical="center" wrapText="1"/>
    </xf>
    <xf numFmtId="0" fontId="86" fillId="0" borderId="12" xfId="0" applyFont="1" applyBorder="1" applyAlignment="1">
      <alignment horizontal="center" vertical="center" wrapText="1"/>
    </xf>
    <xf numFmtId="0" fontId="8" fillId="0" borderId="6" xfId="7" applyFont="1" applyBorder="1" applyAlignment="1">
      <alignment horizontal="center" vertical="center" wrapText="1"/>
    </xf>
    <xf numFmtId="0" fontId="8" fillId="0" borderId="10" xfId="7" applyFont="1" applyBorder="1" applyAlignment="1">
      <alignment horizontal="center" vertical="center" wrapText="1"/>
    </xf>
    <xf numFmtId="0" fontId="8" fillId="0" borderId="8" xfId="7" applyFont="1" applyBorder="1" applyAlignment="1">
      <alignment horizontal="center" vertical="center" wrapText="1"/>
    </xf>
    <xf numFmtId="0" fontId="86" fillId="0" borderId="6" xfId="0" applyFont="1" applyBorder="1" applyAlignment="1">
      <alignment horizontal="center" vertical="center" wrapText="1"/>
    </xf>
    <xf numFmtId="0" fontId="86" fillId="0" borderId="10" xfId="0" applyFont="1" applyBorder="1" applyAlignment="1">
      <alignment horizontal="center" vertical="center" wrapText="1"/>
    </xf>
    <xf numFmtId="0" fontId="86" fillId="0" borderId="8" xfId="0" applyFont="1" applyBorder="1" applyAlignment="1">
      <alignment horizontal="center" vertical="center" wrapText="1"/>
    </xf>
    <xf numFmtId="167" fontId="8" fillId="0" borderId="6" xfId="7" applyNumberFormat="1" applyFont="1" applyBorder="1" applyAlignment="1">
      <alignment horizontal="center" vertical="center"/>
    </xf>
    <xf numFmtId="167" fontId="8" fillId="0" borderId="10" xfId="7" applyNumberFormat="1" applyFont="1" applyBorder="1" applyAlignment="1">
      <alignment horizontal="center" vertical="center"/>
    </xf>
    <xf numFmtId="167" fontId="8" fillId="0" borderId="8" xfId="7" applyNumberFormat="1" applyFont="1" applyBorder="1" applyAlignment="1">
      <alignment horizontal="center" vertical="center"/>
    </xf>
    <xf numFmtId="0" fontId="86" fillId="0" borderId="1" xfId="0" applyFont="1" applyBorder="1" applyAlignment="1">
      <alignment horizontal="left" vertical="center" wrapText="1"/>
    </xf>
    <xf numFmtId="0" fontId="86" fillId="0" borderId="7" xfId="0" applyFont="1" applyBorder="1" applyAlignment="1">
      <alignment horizontal="left" vertical="center" wrapText="1"/>
    </xf>
    <xf numFmtId="0" fontId="86" fillId="0" borderId="12" xfId="0" applyFont="1" applyBorder="1" applyAlignment="1">
      <alignment horizontal="left" vertical="center" wrapText="1"/>
    </xf>
    <xf numFmtId="0" fontId="86" fillId="0" borderId="7" xfId="0" applyFont="1" applyBorder="1" applyAlignment="1">
      <alignment horizontal="center" vertical="center" wrapText="1"/>
    </xf>
    <xf numFmtId="0" fontId="96" fillId="27" borderId="74" xfId="1" applyFont="1" applyFill="1" applyBorder="1" applyAlignment="1" applyProtection="1">
      <alignment horizontal="center" vertical="center" wrapText="1"/>
      <protection locked="0"/>
    </xf>
    <xf numFmtId="0" fontId="96" fillId="42" borderId="74" xfId="1" applyFont="1" applyFill="1" applyBorder="1" applyAlignment="1" applyProtection="1">
      <alignment horizontal="center" vertical="center" wrapText="1"/>
      <protection locked="0"/>
    </xf>
    <xf numFmtId="0" fontId="96" fillId="41" borderId="74" xfId="1" applyFont="1" applyFill="1" applyBorder="1" applyAlignment="1">
      <alignment horizontal="center" vertical="center" wrapText="1"/>
    </xf>
    <xf numFmtId="0" fontId="96" fillId="41" borderId="116" xfId="1" applyFont="1" applyFill="1" applyBorder="1" applyAlignment="1">
      <alignment horizontal="center" vertical="center" wrapText="1"/>
    </xf>
    <xf numFmtId="0" fontId="96" fillId="41" borderId="75" xfId="1" applyFont="1" applyFill="1" applyBorder="1" applyAlignment="1">
      <alignment horizontal="center" vertical="center" wrapText="1"/>
    </xf>
    <xf numFmtId="0" fontId="96" fillId="41" borderId="75" xfId="1" applyFont="1" applyFill="1" applyBorder="1" applyAlignment="1">
      <alignment horizontal="center" vertical="top" wrapText="1"/>
    </xf>
    <xf numFmtId="0" fontId="96" fillId="41" borderId="74" xfId="1" applyFont="1" applyFill="1" applyBorder="1" applyAlignment="1" applyProtection="1">
      <alignment horizontal="center" vertical="center" wrapText="1"/>
      <protection locked="0"/>
    </xf>
    <xf numFmtId="0" fontId="96" fillId="42" borderId="74" xfId="1" applyFont="1" applyFill="1" applyBorder="1" applyAlignment="1">
      <alignment horizontal="center" vertical="center" wrapText="1"/>
    </xf>
    <xf numFmtId="0" fontId="96" fillId="27" borderId="74" xfId="1" applyFont="1" applyFill="1" applyBorder="1" applyAlignment="1">
      <alignment horizontal="center" vertical="center" wrapText="1"/>
    </xf>
    <xf numFmtId="0" fontId="84" fillId="2" borderId="12" xfId="0" applyFont="1" applyFill="1" applyBorder="1" applyAlignment="1">
      <alignment horizontal="center" vertical="center"/>
    </xf>
    <xf numFmtId="0" fontId="84" fillId="2" borderId="13" xfId="0" applyFont="1" applyFill="1" applyBorder="1" applyAlignment="1">
      <alignment horizontal="center" vertical="center"/>
    </xf>
    <xf numFmtId="0" fontId="84" fillId="2" borderId="3" xfId="0" applyFont="1" applyFill="1" applyBorder="1" applyAlignment="1">
      <alignment horizontal="center" vertical="center"/>
    </xf>
    <xf numFmtId="0" fontId="84" fillId="2" borderId="5" xfId="0" applyFont="1" applyFill="1" applyBorder="1" applyAlignment="1">
      <alignment horizontal="center" vertical="center"/>
    </xf>
    <xf numFmtId="0" fontId="84" fillId="2" borderId="4" xfId="0" applyFont="1" applyFill="1" applyBorder="1" applyAlignment="1">
      <alignment horizontal="center" vertical="center"/>
    </xf>
    <xf numFmtId="0" fontId="84" fillId="2" borderId="3" xfId="0" applyFont="1" applyFill="1" applyBorder="1" applyAlignment="1">
      <alignment horizontal="center" vertical="center" wrapText="1"/>
    </xf>
    <xf numFmtId="0" fontId="84" fillId="2" borderId="5" xfId="0" applyFont="1" applyFill="1" applyBorder="1" applyAlignment="1">
      <alignment horizontal="center" vertical="center" wrapText="1"/>
    </xf>
    <xf numFmtId="0" fontId="84" fillId="2" borderId="4" xfId="0" applyFont="1" applyFill="1" applyBorder="1" applyAlignment="1">
      <alignment horizontal="center" vertical="center" wrapText="1"/>
    </xf>
    <xf numFmtId="0" fontId="84" fillId="2" borderId="6" xfId="0" applyFont="1" applyFill="1" applyBorder="1" applyAlignment="1">
      <alignment horizontal="center" vertical="center" textRotation="90" wrapText="1"/>
    </xf>
    <xf numFmtId="0" fontId="84" fillId="2" borderId="8" xfId="0" applyFont="1" applyFill="1" applyBorder="1" applyAlignment="1">
      <alignment horizontal="center" vertical="center" textRotation="90" wrapText="1"/>
    </xf>
    <xf numFmtId="0" fontId="78" fillId="37" borderId="107" xfId="0" applyFont="1" applyFill="1" applyBorder="1" applyAlignment="1">
      <alignment horizontal="center" vertical="center" wrapText="1"/>
    </xf>
    <xf numFmtId="0" fontId="78" fillId="37" borderId="109" xfId="0" applyFont="1" applyFill="1" applyBorder="1" applyAlignment="1">
      <alignment horizontal="center" vertical="center" wrapText="1"/>
    </xf>
    <xf numFmtId="0" fontId="73" fillId="36" borderId="0" xfId="0" applyFont="1" applyFill="1" applyAlignment="1">
      <alignment horizontal="center" vertical="center"/>
    </xf>
    <xf numFmtId="0" fontId="96" fillId="41" borderId="74" xfId="11" applyFont="1" applyFill="1" applyBorder="1" applyAlignment="1">
      <alignment horizontal="center" vertical="center" wrapText="1"/>
    </xf>
    <xf numFmtId="0" fontId="96" fillId="27" borderId="74" xfId="11" applyFont="1" applyFill="1" applyBorder="1" applyAlignment="1">
      <alignment horizontal="center" vertical="center" wrapText="1"/>
    </xf>
    <xf numFmtId="0" fontId="96" fillId="42" borderId="74" xfId="11" applyFont="1" applyFill="1" applyBorder="1" applyAlignment="1">
      <alignment horizontal="center" vertical="center" wrapText="1"/>
    </xf>
    <xf numFmtId="0" fontId="8" fillId="0" borderId="6" xfId="9" applyFont="1" applyBorder="1" applyAlignment="1">
      <alignment horizontal="center" vertical="center" wrapText="1"/>
    </xf>
    <xf numFmtId="0" fontId="8" fillId="0" borderId="8" xfId="9" applyFont="1" applyBorder="1" applyAlignment="1">
      <alignment horizontal="center" vertical="center" wrapText="1"/>
    </xf>
    <xf numFmtId="0" fontId="8" fillId="0" borderId="10" xfId="9" applyFont="1" applyBorder="1" applyAlignment="1">
      <alignment horizontal="center" vertical="center" wrapText="1"/>
    </xf>
    <xf numFmtId="9" fontId="8" fillId="0" borderId="6" xfId="9" applyNumberFormat="1" applyFont="1" applyBorder="1" applyAlignment="1">
      <alignment vertical="center" wrapText="1"/>
    </xf>
    <xf numFmtId="9" fontId="8" fillId="0" borderId="10" xfId="9" applyNumberFormat="1" applyFont="1" applyBorder="1" applyAlignment="1">
      <alignment vertical="center" wrapText="1"/>
    </xf>
    <xf numFmtId="0" fontId="117" fillId="38" borderId="112" xfId="10" applyFont="1" applyFill="1" applyBorder="1" applyAlignment="1">
      <alignment horizontal="center" vertical="center" wrapText="1"/>
    </xf>
    <xf numFmtId="0" fontId="117" fillId="38" borderId="113" xfId="10" applyFont="1" applyFill="1" applyBorder="1" applyAlignment="1">
      <alignment horizontal="center" vertical="center" wrapText="1"/>
    </xf>
    <xf numFmtId="0" fontId="11" fillId="39" borderId="3" xfId="9" applyFont="1" applyFill="1" applyBorder="1" applyAlignment="1">
      <alignment horizontal="center" vertical="center" wrapText="1"/>
    </xf>
    <xf numFmtId="0" fontId="7" fillId="38" borderId="5" xfId="9" applyFont="1" applyFill="1" applyBorder="1"/>
    <xf numFmtId="0" fontId="7" fillId="38" borderId="4" xfId="9" applyFont="1" applyFill="1" applyBorder="1"/>
    <xf numFmtId="0" fontId="11" fillId="39" borderId="1" xfId="9" applyFont="1" applyFill="1" applyBorder="1" applyAlignment="1">
      <alignment horizontal="left" vertical="center" wrapText="1"/>
    </xf>
    <xf numFmtId="0" fontId="11" fillId="39" borderId="12" xfId="9" applyFont="1" applyFill="1" applyBorder="1" applyAlignment="1">
      <alignment horizontal="left" vertical="center" wrapText="1"/>
    </xf>
    <xf numFmtId="0" fontId="11" fillId="0" borderId="6" xfId="9" applyFont="1" applyBorder="1" applyAlignment="1">
      <alignment horizontal="center" vertical="center" wrapText="1"/>
    </xf>
    <xf numFmtId="0" fontId="11" fillId="0" borderId="10" xfId="9" applyFont="1" applyBorder="1" applyAlignment="1">
      <alignment horizontal="center" vertical="center" wrapText="1"/>
    </xf>
    <xf numFmtId="0" fontId="11" fillId="0" borderId="8" xfId="9" applyFont="1" applyBorder="1" applyAlignment="1">
      <alignment horizontal="center" vertical="center" wrapText="1"/>
    </xf>
    <xf numFmtId="9" fontId="8" fillId="0" borderId="8" xfId="9" applyNumberFormat="1" applyFont="1" applyBorder="1" applyAlignment="1">
      <alignment vertical="center" wrapText="1"/>
    </xf>
    <xf numFmtId="0" fontId="11" fillId="0" borderId="6" xfId="9" applyFont="1" applyBorder="1" applyAlignment="1">
      <alignment vertical="center" wrapText="1"/>
    </xf>
    <xf numFmtId="0" fontId="11" fillId="0" borderId="10" xfId="9" applyFont="1" applyBorder="1" applyAlignment="1">
      <alignment vertical="center" wrapText="1"/>
    </xf>
    <xf numFmtId="0" fontId="11" fillId="0" borderId="8" xfId="9" applyFont="1" applyBorder="1" applyAlignment="1">
      <alignment vertical="center" wrapText="1"/>
    </xf>
    <xf numFmtId="0" fontId="11" fillId="0" borderId="6" xfId="9" applyFont="1" applyBorder="1" applyAlignment="1">
      <alignment vertical="center"/>
    </xf>
    <xf numFmtId="0" fontId="11" fillId="0" borderId="10" xfId="9" applyFont="1" applyBorder="1" applyAlignment="1">
      <alignment vertical="center"/>
    </xf>
    <xf numFmtId="0" fontId="97" fillId="17" borderId="36" xfId="9" applyFont="1" applyFill="1" applyAlignment="1">
      <alignment horizontal="center" vertical="center"/>
    </xf>
    <xf numFmtId="0" fontId="11" fillId="39" borderId="3" xfId="9" applyFont="1" applyFill="1" applyBorder="1" applyAlignment="1">
      <alignment horizontal="center" vertical="center"/>
    </xf>
    <xf numFmtId="0" fontId="11" fillId="39" borderId="5" xfId="9" applyFont="1" applyFill="1" applyBorder="1" applyAlignment="1">
      <alignment horizontal="center" vertical="center"/>
    </xf>
    <xf numFmtId="0" fontId="11" fillId="39" borderId="2" xfId="9" applyFont="1" applyFill="1" applyBorder="1" applyAlignment="1">
      <alignment horizontal="center" vertical="center"/>
    </xf>
    <xf numFmtId="0" fontId="7" fillId="38" borderId="5" xfId="9" applyFont="1" applyFill="1" applyBorder="1" applyAlignment="1">
      <alignment vertical="center"/>
    </xf>
    <xf numFmtId="0" fontId="7" fillId="38" borderId="4" xfId="9" applyFont="1" applyFill="1" applyBorder="1" applyAlignment="1">
      <alignment vertical="center"/>
    </xf>
    <xf numFmtId="0" fontId="11" fillId="39" borderId="12" xfId="9" applyFont="1" applyFill="1" applyBorder="1" applyAlignment="1">
      <alignment horizontal="center" vertical="center"/>
    </xf>
    <xf numFmtId="0" fontId="11" fillId="39" borderId="13" xfId="9" applyFont="1" applyFill="1" applyBorder="1" applyAlignment="1">
      <alignment horizontal="center" vertical="center"/>
    </xf>
    <xf numFmtId="0" fontId="5" fillId="0" borderId="36" xfId="1" applyAlignment="1">
      <alignment horizontal="center" vertical="center" textRotation="90" wrapText="1"/>
    </xf>
    <xf numFmtId="0" fontId="5" fillId="0" borderId="36" xfId="1" applyAlignment="1">
      <alignment horizontal="center"/>
    </xf>
    <xf numFmtId="0" fontId="53" fillId="29" borderId="36" xfId="1" applyFont="1" applyFill="1" applyAlignment="1">
      <alignment horizontal="center" vertical="center" wrapText="1"/>
    </xf>
    <xf numFmtId="0" fontId="5" fillId="0" borderId="36" xfId="1" applyAlignment="1">
      <alignment horizontal="center" vertical="center"/>
    </xf>
    <xf numFmtId="0" fontId="5" fillId="0" borderId="36" xfId="1" applyAlignment="1">
      <alignment horizontal="left" vertical="center" wrapText="1"/>
    </xf>
    <xf numFmtId="0" fontId="56" fillId="23" borderId="77" xfId="2" applyFont="1" applyFill="1" applyBorder="1" applyAlignment="1">
      <alignment horizontal="left" vertical="center" wrapText="1" indent="1"/>
    </xf>
    <xf numFmtId="0" fontId="56" fillId="23" borderId="78" xfId="2" applyFont="1" applyFill="1" applyBorder="1" applyAlignment="1">
      <alignment horizontal="left" vertical="center" wrapText="1" indent="1"/>
    </xf>
    <xf numFmtId="0" fontId="56" fillId="23" borderId="79" xfId="2" applyFont="1" applyFill="1" applyBorder="1" applyAlignment="1">
      <alignment horizontal="left" vertical="center" wrapText="1" indent="1"/>
    </xf>
    <xf numFmtId="0" fontId="57" fillId="0" borderId="77" xfId="1" applyFont="1" applyBorder="1" applyAlignment="1">
      <alignment horizontal="left" vertical="top" wrapText="1"/>
    </xf>
    <xf numFmtId="0" fontId="57" fillId="0" borderId="78" xfId="1" applyFont="1" applyBorder="1" applyAlignment="1">
      <alignment horizontal="left" vertical="top" wrapText="1"/>
    </xf>
    <xf numFmtId="0" fontId="57" fillId="0" borderId="79" xfId="1" applyFont="1" applyBorder="1" applyAlignment="1">
      <alignment horizontal="left" vertical="top" wrapText="1"/>
    </xf>
    <xf numFmtId="0" fontId="62" fillId="0" borderId="80" xfId="11" applyFont="1" applyBorder="1" applyAlignment="1">
      <alignment horizontal="center" vertical="center" wrapText="1"/>
    </xf>
    <xf numFmtId="0" fontId="62" fillId="0" borderId="82" xfId="11" applyFont="1" applyBorder="1" applyAlignment="1">
      <alignment horizontal="center" vertical="center" wrapText="1"/>
    </xf>
    <xf numFmtId="167" fontId="62" fillId="0" borderId="80" xfId="11" applyNumberFormat="1" applyFont="1" applyBorder="1" applyAlignment="1">
      <alignment horizontal="center" vertical="center" wrapText="1"/>
    </xf>
    <xf numFmtId="167" fontId="62" fillId="0" borderId="82" xfId="11" applyNumberFormat="1" applyFont="1" applyBorder="1" applyAlignment="1">
      <alignment horizontal="center" vertical="center" wrapText="1"/>
    </xf>
    <xf numFmtId="0" fontId="62" fillId="0" borderId="120" xfId="11" applyFont="1" applyBorder="1" applyAlignment="1">
      <alignment horizontal="center" vertical="center" wrapText="1"/>
    </xf>
    <xf numFmtId="167" fontId="62" fillId="0" borderId="120" xfId="11" applyNumberFormat="1" applyFont="1" applyBorder="1" applyAlignment="1">
      <alignment horizontal="center" vertical="center" wrapText="1"/>
    </xf>
    <xf numFmtId="0" fontId="63" fillId="0" borderId="80" xfId="11" applyFont="1" applyBorder="1" applyAlignment="1">
      <alignment horizontal="center" vertical="center" wrapText="1"/>
    </xf>
    <xf numFmtId="0" fontId="63" fillId="0" borderId="82" xfId="11" applyFont="1" applyBorder="1" applyAlignment="1">
      <alignment horizontal="center" vertical="center" wrapText="1"/>
    </xf>
    <xf numFmtId="167" fontId="63" fillId="0" borderId="80" xfId="11" applyNumberFormat="1" applyFont="1" applyBorder="1" applyAlignment="1">
      <alignment horizontal="center" vertical="center" wrapText="1"/>
    </xf>
    <xf numFmtId="167" fontId="63" fillId="0" borderId="82" xfId="11" applyNumberFormat="1" applyFont="1" applyBorder="1" applyAlignment="1">
      <alignment horizontal="center" vertical="center" wrapText="1"/>
    </xf>
    <xf numFmtId="0" fontId="63" fillId="0" borderId="120" xfId="11" applyFont="1" applyBorder="1" applyAlignment="1">
      <alignment horizontal="center" vertical="center" wrapText="1"/>
    </xf>
    <xf numFmtId="167" fontId="63" fillId="0" borderId="120" xfId="11" applyNumberFormat="1" applyFont="1" applyBorder="1" applyAlignment="1">
      <alignment horizontal="center" vertical="center" wrapText="1"/>
    </xf>
    <xf numFmtId="0" fontId="134" fillId="42" borderId="115" xfId="11" applyFont="1" applyFill="1" applyBorder="1" applyAlignment="1">
      <alignment horizontal="center" vertical="center" wrapText="1"/>
    </xf>
    <xf numFmtId="0" fontId="134" fillId="42" borderId="117" xfId="11" applyFont="1" applyFill="1" applyBorder="1" applyAlignment="1">
      <alignment horizontal="center" vertical="center" wrapText="1"/>
    </xf>
    <xf numFmtId="0" fontId="134" fillId="42" borderId="118" xfId="11" applyFont="1" applyFill="1" applyBorder="1" applyAlignment="1">
      <alignment horizontal="center" vertical="center" wrapText="1"/>
    </xf>
    <xf numFmtId="0" fontId="134" fillId="41" borderId="115" xfId="11" applyFont="1" applyFill="1" applyBorder="1" applyAlignment="1">
      <alignment horizontal="center" vertical="center" wrapText="1"/>
    </xf>
    <xf numFmtId="0" fontId="134" fillId="41" borderId="117" xfId="11" applyFont="1" applyFill="1" applyBorder="1" applyAlignment="1">
      <alignment horizontal="center" vertical="center" wrapText="1"/>
    </xf>
    <xf numFmtId="0" fontId="134" fillId="41" borderId="118" xfId="11" applyFont="1" applyFill="1" applyBorder="1" applyAlignment="1">
      <alignment horizontal="center" vertical="center" wrapText="1"/>
    </xf>
    <xf numFmtId="0" fontId="134" fillId="27" borderId="115" xfId="11" applyFont="1" applyFill="1" applyBorder="1" applyAlignment="1">
      <alignment horizontal="center" vertical="center" wrapText="1"/>
    </xf>
    <xf numFmtId="0" fontId="134" fillId="27" borderId="117" xfId="11" applyFont="1" applyFill="1" applyBorder="1" applyAlignment="1">
      <alignment horizontal="center" vertical="center" wrapText="1"/>
    </xf>
    <xf numFmtId="0" fontId="134" fillId="27" borderId="118" xfId="11" applyFont="1" applyFill="1" applyBorder="1" applyAlignment="1">
      <alignment horizontal="center" vertical="center" wrapText="1"/>
    </xf>
    <xf numFmtId="0" fontId="9" fillId="0" borderId="0" xfId="0" applyFont="1" applyAlignment="1">
      <alignment horizontal="center" vertical="center"/>
    </xf>
    <xf numFmtId="0" fontId="30" fillId="0" borderId="0" xfId="0" applyFont="1" applyAlignment="1">
      <alignment horizontal="center" vertical="center"/>
    </xf>
    <xf numFmtId="0" fontId="46" fillId="3" borderId="36" xfId="0" applyFont="1" applyFill="1" applyBorder="1" applyAlignment="1">
      <alignment horizontal="left" vertical="center" wrapText="1"/>
    </xf>
    <xf numFmtId="0" fontId="44" fillId="3" borderId="67" xfId="0" applyFont="1" applyFill="1" applyBorder="1" applyAlignment="1">
      <alignment horizontal="center" vertical="center" wrapText="1" readingOrder="1"/>
    </xf>
    <xf numFmtId="0" fontId="7" fillId="0" borderId="66" xfId="0" applyFont="1" applyBorder="1"/>
    <xf numFmtId="0" fontId="7" fillId="0" borderId="71" xfId="0" applyFont="1" applyBorder="1"/>
    <xf numFmtId="0" fontId="42" fillId="15" borderId="55" xfId="0" applyFont="1" applyFill="1" applyBorder="1" applyAlignment="1">
      <alignment horizontal="center" vertical="center" wrapText="1" readingOrder="1"/>
    </xf>
    <xf numFmtId="0" fontId="7" fillId="0" borderId="56" xfId="0" applyFont="1" applyBorder="1"/>
    <xf numFmtId="0" fontId="7" fillId="0" borderId="57" xfId="0" applyFont="1" applyBorder="1"/>
    <xf numFmtId="0" fontId="44" fillId="15" borderId="55" xfId="0" applyFont="1" applyFill="1" applyBorder="1" applyAlignment="1">
      <alignment horizontal="center" vertical="center" wrapText="1" readingOrder="1"/>
    </xf>
    <xf numFmtId="0" fontId="7" fillId="0" borderId="58" xfId="0" applyFont="1" applyBorder="1"/>
    <xf numFmtId="0" fontId="44" fillId="3" borderId="62" xfId="0" applyFont="1" applyFill="1" applyBorder="1" applyAlignment="1">
      <alignment horizontal="center" vertical="center" wrapText="1" readingOrder="1"/>
    </xf>
    <xf numFmtId="0" fontId="7" fillId="0" borderId="62" xfId="0" applyFont="1" applyBorder="1"/>
    <xf numFmtId="0" fontId="7" fillId="0" borderId="68" xfId="0" applyFont="1" applyBorder="1"/>
    <xf numFmtId="0" fontId="44" fillId="3" borderId="63" xfId="0" applyFont="1" applyFill="1" applyBorder="1" applyAlignment="1">
      <alignment horizontal="center" vertical="center" wrapText="1" readingOrder="1"/>
    </xf>
    <xf numFmtId="0" fontId="7" fillId="0" borderId="63" xfId="0" applyFont="1" applyBorder="1"/>
    <xf numFmtId="0" fontId="44" fillId="3" borderId="69" xfId="0" applyFont="1" applyFill="1" applyBorder="1" applyAlignment="1">
      <alignment horizontal="center" vertical="center" wrapText="1" readingOrder="1"/>
    </xf>
    <xf numFmtId="0" fontId="7" fillId="0" borderId="70" xfId="0" applyFont="1" applyBorder="1"/>
    <xf numFmtId="0" fontId="52" fillId="0" borderId="74" xfId="1" applyFont="1" applyBorder="1" applyAlignment="1">
      <alignment horizontal="center" vertical="center" wrapText="1"/>
    </xf>
    <xf numFmtId="0" fontId="52" fillId="19" borderId="74" xfId="1" applyFont="1" applyFill="1" applyBorder="1" applyAlignment="1">
      <alignment horizontal="center" vertical="center"/>
    </xf>
    <xf numFmtId="0" fontId="52" fillId="19" borderId="74" xfId="1" applyFont="1" applyFill="1" applyBorder="1" applyAlignment="1">
      <alignment horizontal="center" vertical="center" wrapText="1"/>
    </xf>
    <xf numFmtId="0" fontId="52" fillId="0" borderId="96" xfId="1" applyFont="1" applyBorder="1" applyAlignment="1">
      <alignment horizontal="center" vertical="center" wrapText="1"/>
    </xf>
    <xf numFmtId="0" fontId="52" fillId="0" borderId="103" xfId="1" applyFont="1" applyBorder="1" applyAlignment="1">
      <alignment horizontal="center" vertical="center" wrapText="1"/>
    </xf>
    <xf numFmtId="0" fontId="52" fillId="0" borderId="97" xfId="1" applyFont="1" applyBorder="1" applyAlignment="1">
      <alignment horizontal="center" vertical="center" wrapText="1"/>
    </xf>
    <xf numFmtId="0" fontId="76" fillId="0" borderId="64" xfId="3" applyFont="1" applyBorder="1" applyAlignment="1">
      <alignment horizontal="center" vertical="center" wrapText="1"/>
    </xf>
    <xf numFmtId="0" fontId="72" fillId="0" borderId="64" xfId="3" applyBorder="1" applyAlignment="1">
      <alignment horizontal="center" vertical="center"/>
    </xf>
    <xf numFmtId="0" fontId="74" fillId="0" borderId="64" xfId="3" applyFont="1" applyBorder="1" applyAlignment="1">
      <alignment horizontal="center" vertical="center" wrapText="1"/>
    </xf>
    <xf numFmtId="0" fontId="72" fillId="0" borderId="64" xfId="3" applyBorder="1" applyAlignment="1">
      <alignment horizontal="center" vertical="center" wrapText="1"/>
    </xf>
    <xf numFmtId="0" fontId="74" fillId="0" borderId="64" xfId="3" applyFont="1" applyBorder="1" applyAlignment="1">
      <alignment horizontal="center" vertical="center"/>
    </xf>
    <xf numFmtId="0" fontId="9" fillId="2" borderId="3" xfId="0" applyFont="1" applyFill="1" applyBorder="1" applyAlignment="1">
      <alignment horizontal="left" vertical="center"/>
    </xf>
    <xf numFmtId="0" fontId="7" fillId="0" borderId="4" xfId="0" applyFont="1" applyBorder="1"/>
    <xf numFmtId="0" fontId="10" fillId="3" borderId="3" xfId="0" applyFont="1" applyFill="1" applyBorder="1" applyAlignment="1">
      <alignment horizontal="left" vertical="center" wrapText="1"/>
    </xf>
    <xf numFmtId="0" fontId="7" fillId="0" borderId="5" xfId="0" applyFont="1" applyBorder="1"/>
    <xf numFmtId="0" fontId="11" fillId="2" borderId="3" xfId="0" applyFont="1" applyFill="1" applyBorder="1" applyAlignment="1">
      <alignment horizontal="center" vertical="center"/>
    </xf>
    <xf numFmtId="0" fontId="6" fillId="2" borderId="1" xfId="0" applyFont="1" applyFill="1" applyBorder="1" applyAlignment="1">
      <alignment horizontal="center" vertical="center"/>
    </xf>
    <xf numFmtId="0" fontId="7" fillId="0" borderId="2" xfId="0" applyFont="1" applyBorder="1"/>
    <xf numFmtId="0" fontId="7" fillId="0" borderId="11" xfId="0" applyFont="1" applyBorder="1"/>
    <xf numFmtId="0" fontId="7" fillId="0" borderId="12" xfId="0" applyFont="1" applyBorder="1"/>
    <xf numFmtId="0" fontId="7" fillId="0" borderId="13" xfId="0" applyFont="1" applyBorder="1"/>
    <xf numFmtId="0" fontId="7" fillId="0" borderId="14" xfId="0" applyFont="1" applyBorder="1"/>
    <xf numFmtId="0" fontId="10" fillId="3" borderId="3" xfId="0" applyFont="1" applyFill="1" applyBorder="1" applyAlignment="1">
      <alignment horizontal="left" vertical="center"/>
    </xf>
    <xf numFmtId="0" fontId="8" fillId="3" borderId="36" xfId="0" applyFont="1" applyFill="1" applyBorder="1" applyAlignment="1">
      <alignment horizontal="left" vertical="center"/>
    </xf>
    <xf numFmtId="0" fontId="11" fillId="2" borderId="6" xfId="0" applyFont="1" applyFill="1" applyBorder="1" applyAlignment="1">
      <alignment horizontal="center" vertical="center" wrapText="1"/>
    </xf>
    <xf numFmtId="0" fontId="7" fillId="0" borderId="8" xfId="0" applyFont="1" applyBorder="1"/>
    <xf numFmtId="0" fontId="11" fillId="2" borderId="7"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10" xfId="0" applyFont="1" applyFill="1" applyBorder="1" applyAlignment="1">
      <alignment horizontal="center" vertical="center" wrapText="1"/>
    </xf>
    <xf numFmtId="0" fontId="11" fillId="2" borderId="6" xfId="0" applyFont="1" applyFill="1" applyBorder="1" applyAlignment="1">
      <alignment horizontal="center" vertical="center" textRotation="90" wrapText="1"/>
    </xf>
    <xf numFmtId="0" fontId="12" fillId="2" borderId="6" xfId="0" applyFont="1" applyFill="1" applyBorder="1" applyAlignment="1">
      <alignment horizontal="center" vertical="center" textRotation="90"/>
    </xf>
    <xf numFmtId="0" fontId="11" fillId="2" borderId="6"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3" xfId="0" applyFont="1" applyFill="1" applyBorder="1" applyAlignment="1">
      <alignment horizontal="center" vertical="center" wrapText="1"/>
    </xf>
    <xf numFmtId="0" fontId="11" fillId="0" borderId="6" xfId="0" applyFont="1" applyBorder="1" applyAlignment="1">
      <alignment horizontal="center" vertical="center"/>
    </xf>
    <xf numFmtId="0" fontId="7" fillId="0" borderId="10" xfId="0" applyFont="1" applyBorder="1"/>
    <xf numFmtId="9" fontId="8" fillId="0" borderId="6" xfId="0" applyNumberFormat="1" applyFont="1" applyBorder="1" applyAlignment="1">
      <alignment horizontal="center" vertical="center" wrapText="1"/>
    </xf>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8" fillId="0" borderId="3" xfId="0" applyFont="1" applyBorder="1" applyAlignment="1">
      <alignment horizontal="left" vertical="center" wrapText="1"/>
    </xf>
  </cellXfs>
  <cellStyles count="17">
    <cellStyle name="Hipervínculo 2" xfId="2" xr:uid="{00000000-0005-0000-0000-000000000000}"/>
    <cellStyle name="Hyperlink" xfId="13" xr:uid="{EC6F3E95-AC01-4037-A574-29EDB8BE09C2}"/>
    <cellStyle name="Normal" xfId="0" builtinId="0"/>
    <cellStyle name="Normal 10" xfId="15" xr:uid="{27CA0767-E780-41EE-9416-67D166504EAC}"/>
    <cellStyle name="Normal 2" xfId="1" xr:uid="{00000000-0005-0000-0000-000002000000}"/>
    <cellStyle name="Normal 2 2" xfId="11" xr:uid="{87FDC39A-F0F4-4F77-8A14-3A6CBBF3C98C}"/>
    <cellStyle name="Normal 2 3" xfId="16" xr:uid="{E47E45F7-774C-4DC5-9DD5-F934789E4C4F}"/>
    <cellStyle name="Normal 3" xfId="3" xr:uid="{FEC1DFB7-903D-4287-A514-A3A48D7D1B58}"/>
    <cellStyle name="Normal 4" xfId="4" xr:uid="{B499DC4A-00C5-4F22-840B-C9C6207A4E39}"/>
    <cellStyle name="Normal 4 2" xfId="10" xr:uid="{D1B18F5D-528A-4EA3-B6E5-D7FD9DCE2C53}"/>
    <cellStyle name="Normal 5" xfId="7" xr:uid="{91DEE7A2-9C1D-4DA2-A583-50D8BB55BD92}"/>
    <cellStyle name="Normal 5 2" xfId="12" xr:uid="{284ED403-B172-4294-BCAC-2F0D5473FF68}"/>
    <cellStyle name="Normal 6" xfId="6" xr:uid="{09AAC867-E957-4629-B424-956B90B4F488}"/>
    <cellStyle name="Normal 7" xfId="8" xr:uid="{2914B64A-1330-4778-89A8-C0EC6154C47B}"/>
    <cellStyle name="Normal 8" xfId="9" xr:uid="{73811056-D708-4D1E-B5B4-38C0123F5A8A}"/>
    <cellStyle name="Normal 9" xfId="14" xr:uid="{D3E55FE6-C0C4-4881-A8F6-5232FF4CEADB}"/>
    <cellStyle name="Porcentaje 2" xfId="5" xr:uid="{AFE9E831-9D22-46C2-A598-433481A80F00}"/>
  </cellStyles>
  <dxfs count="267">
    <dxf>
      <fill>
        <patternFill patternType="solid">
          <fgColor rgb="FFFFFF00"/>
          <bgColor rgb="FFFFFF00"/>
        </patternFill>
      </fill>
    </dxf>
    <dxf>
      <fill>
        <patternFill patternType="solid">
          <fgColor rgb="FF92D050"/>
          <bgColor rgb="FF92D050"/>
        </patternFill>
      </fill>
    </dxf>
    <dxf>
      <fill>
        <patternFill patternType="solid">
          <fgColor rgb="FFE36C09"/>
          <bgColor rgb="FFE36C09"/>
        </patternFill>
      </fill>
    </dxf>
    <dxf>
      <fill>
        <patternFill patternType="solid">
          <fgColor rgb="FFC00000"/>
          <bgColor rgb="FFC00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E36C09"/>
          <bgColor rgb="FFE36C09"/>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0000"/>
          <bgColor rgb="FFFF000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C000"/>
          <bgColor rgb="FFFFC000"/>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92D050"/>
          <bgColor rgb="FF92D050"/>
        </patternFill>
      </fill>
    </dxf>
    <dxf>
      <fill>
        <patternFill patternType="solid">
          <fgColor rgb="FFFFFF00"/>
          <bgColor rgb="FFFFFF00"/>
        </patternFill>
      </fill>
    </dxf>
    <dxf>
      <fill>
        <patternFill patternType="solid">
          <fgColor rgb="FFC00000"/>
          <bgColor rgb="FFC00000"/>
        </patternFill>
      </fill>
    </dxf>
    <dxf>
      <fill>
        <patternFill patternType="solid">
          <fgColor rgb="FFE36C09"/>
          <bgColor rgb="FFE36C09"/>
        </patternFill>
      </fill>
    </dxf>
    <dxf>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E36C09"/>
          <bgColor rgb="FFE36C09"/>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xr9:uid="{00000000-0011-0000-FFFF-FFFF00000000}">
      <tableStyleElement type="headerRow" dxfId="266"/>
      <tableStyleElement type="firstRowStripe" dxfId="265"/>
      <tableStyleElement type="secondRowStripe" dxfId="26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theme" Target="theme/theme1.xml"/><Relationship Id="rId42"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41"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externalLink" Target="externalLinks/externalLink9.xml"/><Relationship Id="rId37" Type="http://schemas.openxmlformats.org/officeDocument/2006/relationships/sheetMetadata" Target="metadata.xml"/><Relationship Id="rId40"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externalLink" Target="externalLinks/externalLink10.xml"/><Relationship Id="rId38" Type="http://schemas.microsoft.com/office/2017/10/relationships/person" Target="persons/person.xml"/></Relationships>
</file>

<file path=xl/documenttasks/documenttask1.xml><?xml version="1.0" encoding="utf-8"?>
<Tasks xmlns="http://schemas.microsoft.com/office/tasks/2019/documenttasks">
  <Task id="{1981F216-F16A-4A97-971C-621E73EA9ACE}">
    <Anchor>
      <Comment id="{C631655E-F00E-48DC-A4D6-AB2DFA3AE4DD}"/>
    </Anchor>
    <History>
      <Event time="2025-04-23T16:33:15.99" id="{42F91CB4-DBE9-408D-B4F4-021CA4EB6612}">
        <Attribution userId="S::lkpetro@inm.gov.co::dada2d6b-d192-4c32-8ab5-c6158b1d5738" userName="Linda Karina Petro Martínez" userProvider="AD"/>
        <Anchor>
          <Comment id="{C631655E-F00E-48DC-A4D6-AB2DFA3AE4DD}"/>
        </Anchor>
        <Create/>
      </Event>
      <Event time="2025-04-23T16:33:15.99" id="{FAC1191E-8C4E-4511-AC2D-4543AD444A83}">
        <Attribution userId="S::lkpetro@inm.gov.co::dada2d6b-d192-4c32-8ab5-c6158b1d5738" userName="Linda Karina Petro Martínez" userProvider="AD"/>
        <Anchor>
          <Comment id="{C631655E-F00E-48DC-A4D6-AB2DFA3AE4DD}"/>
        </Anchor>
        <Assign userId="S::magutierrez@inm.gov.co::c056fb11-31de-4376-8ac8-030578b2b7c8" userName="Mónica Alejandra Gutierrez Cifuentes" userProvider="AD"/>
      </Event>
      <Event time="2025-04-23T16:33:15.99" id="{D05AA682-85A5-4464-9ED2-7EA412A829F0}">
        <Attribution userId="S::lkpetro@inm.gov.co::dada2d6b-d192-4c32-8ab5-c6158b1d5738" userName="Linda Karina Petro Martínez" userProvider="AD"/>
        <Anchor>
          <Comment id="{C631655E-F00E-48DC-A4D6-AB2DFA3AE4DD}"/>
        </Anchor>
        <SetTitle title="@Mónica Alejandra Gutierrez Cifuentes haciendo un barrido inicial como revisión, encuentro que falta por diligenciar información. Agradezco sea completada. Mil gracias. "/>
      </Event>
    </History>
  </Task>
  <Task id="{F19C0918-6914-4F1D-80F9-AFFB20234774}">
    <Anchor>
      <Comment id="{A8B4FE71-30FD-4EA2-9B57-E92C3F57214C}"/>
    </Anchor>
    <History>
      <Event time="2025-12-01T14:56:09.99" id="{87FB6705-25D8-429B-83D9-AB19589FBDB5}">
        <Attribution userId="S::lkpetro@inm.gov.co::dada2d6b-d192-4c32-8ab5-c6158b1d5738" userName="Linda Karina Petro Martínez" userProvider="AD"/>
        <Anchor>
          <Comment id="{A8B4FE71-30FD-4EA2-9B57-E92C3F57214C}"/>
        </Anchor>
        <Create/>
      </Event>
      <Event time="2025-12-01T14:56:09.99" id="{034E8C21-2F35-4DCB-A1E6-AC698E668D34}">
        <Attribution userId="S::lkpetro@inm.gov.co::dada2d6b-d192-4c32-8ab5-c6158b1d5738" userName="Linda Karina Petro Martínez" userProvider="AD"/>
        <Anchor>
          <Comment id="{A8B4FE71-30FD-4EA2-9B57-E92C3F57214C}"/>
        </Anchor>
        <Assign userId="S::djvasquez@inm.gov.co::ef140590-02b2-4342-b67d-f3b0b8e03a5d" userName="Daisy Janneth Vasquez Acosta" userProvider="AD"/>
      </Event>
      <Event time="2025-12-01T14:56:09.99" id="{59A5000F-370C-4EAD-B093-7529A8B7DFC2}">
        <Attribution userId="S::lkpetro@inm.gov.co::dada2d6b-d192-4c32-8ab5-c6158b1d5738" userName="Linda Karina Petro Martínez" userProvider="AD"/>
        <Anchor>
          <Comment id="{A8B4FE71-30FD-4EA2-9B57-E92C3F57214C}"/>
        </Anchor>
        <SetTitle title="@Daisy Janneth Vasquez Acosta Estimada Dai buenos días, agradezco porfa la actualización de esta celda apenas se culmine la elaboración de la ficha de TNC en Isolución. Lo anterior, con el fin de realizar el respectivo monitoreo. "/>
      </Event>
    </History>
  </Task>
  <Task id="{CBBEF427-1374-41D2-AFF9-8AB4C627AF25}">
    <Anchor>
      <Comment id="{35D983B1-1F9E-43A7-B8AB-AF934DC9E704}"/>
    </Anchor>
    <History>
      <Event time="2025-11-28T21:22:46.26" id="{49DD3292-DFDE-425A-BBB6-F63A15FD5FE1}">
        <Attribution userId="S::saospino@inm.gov.co::2954912c-468c-41f4-afb7-8027ef7482a9" userName="Santiago Adolfo Cotes Ospino" userProvider="AD"/>
        <Anchor>
          <Comment id="{35D983B1-1F9E-43A7-B8AB-AF934DC9E704}"/>
        </Anchor>
        <Create/>
      </Event>
      <Event time="2025-11-28T21:22:46.26" id="{39308953-6850-4FE1-B985-5DCC962E9CA0}">
        <Attribution userId="S::saospino@inm.gov.co::2954912c-468c-41f4-afb7-8027ef7482a9" userName="Santiago Adolfo Cotes Ospino" userProvider="AD"/>
        <Anchor>
          <Comment id="{35D983B1-1F9E-43A7-B8AB-AF934DC9E704}"/>
        </Anchor>
        <Assign userId="S::lkpetro@inm.gov.co::dada2d6b-d192-4c32-8ab5-c6158b1d5738" userName="Linda Karina Petro Martínez" userProvider="AD"/>
      </Event>
      <Event time="2025-11-28T21:22:46.26" id="{86169BCC-E6BE-48E5-898B-6750284F76EA}">
        <Attribution userId="S::saospino@inm.gov.co::2954912c-468c-41f4-afb7-8027ef7482a9" userName="Santiago Adolfo Cotes Ospino" userProvider="AD"/>
        <Anchor>
          <Comment id="{35D983B1-1F9E-43A7-B8AB-AF934DC9E704}"/>
        </Anchor>
        <SetTitle title="@Linda Karina Petro Martínez lo coloque así, échale un vistazo cuando puedas :D"/>
      </Event>
      <Event time="2025-12-10T15:57:12.90" id="{A3F50B45-3BB5-4A59-9E1E-3ACAF564B124}">
        <Attribution userId="S::lkpetro@inm.gov.co::dada2d6b-d192-4c32-8ab5-c6158b1d5738" userName="Linda Karina Petro Martínez" userProvider="AD"/>
        <Progress percentComplete="100"/>
      </Event>
    </History>
  </Task>
  <Task id="{2834953A-74FC-4342-8D19-5152CBF35033}">
    <Anchor>
      <Comment id="{1A0E9638-F6B2-4573-9DD9-535F2C3C933B}"/>
    </Anchor>
    <History>
      <Event time="2025-11-25T21:19:19.07" id="{6AB51136-CEA3-4309-8FB3-5FC1FD0D5F6E}">
        <Attribution userId="S::lkpetro@inm.gov.co::dada2d6b-d192-4c32-8ab5-c6158b1d5738" userName="Linda Karina Petro Martínez" userProvider="AD"/>
        <Anchor>
          <Comment id="{1A0E9638-F6B2-4573-9DD9-535F2C3C933B}"/>
        </Anchor>
        <Create/>
      </Event>
      <Event time="2025-11-25T21:19:19.07" id="{CF2CA139-B7DD-4BFF-8924-5A69123D2117}">
        <Attribution userId="S::lkpetro@inm.gov.co::dada2d6b-d192-4c32-8ab5-c6158b1d5738" userName="Linda Karina Petro Martínez" userProvider="AD"/>
        <Anchor>
          <Comment id="{1A0E9638-F6B2-4573-9DD9-535F2C3C933B}"/>
        </Anchor>
        <Assign userId="S::jmwalteros@inm.gov.co::3ac8b271-0476-4bd9-9519-f61284f349c9" userName="Jeimi Medina Walteros" userProvider="AD"/>
      </Event>
      <Event time="2025-11-25T21:19:19.07" id="{293571ED-45D3-40A9-B58F-E985BDB9D9F1}">
        <Attribution userId="S::lkpetro@inm.gov.co::dada2d6b-d192-4c32-8ab5-c6158b1d5738" userName="Linda Karina Petro Martínez" userProvider="AD"/>
        <Anchor>
          <Comment id="{1A0E9638-F6B2-4573-9DD9-535F2C3C933B}"/>
        </Anchor>
        <SetTitle title="@Jeimi Medina Walteros estimada Jei, haciendo seguimiento a la acción correctiva # 145, identifico que hace falta el análisis de causas y el plan de mejoramiento para tratar el mismo. Agradezco la gestión respectiva desde el proceso. Mil gracias. "/>
      </Event>
    </History>
  </Task>
  <Task id="{63454745-EA7F-41EB-8E6B-55492AC8D2B8}">
    <Anchor>
      <Comment id="{E19FF87A-CFEA-4017-A20E-440CDBA953F5}"/>
    </Anchor>
    <History>
      <Event time="2025-12-01T21:38:06.10" id="{368609C4-396F-4122-921A-64ABBA4C0BCD}">
        <Attribution userId="S::lkpetro@inm.gov.co::dada2d6b-d192-4c32-8ab5-c6158b1d5738" userName="Linda Karina Petro Martínez" userProvider="AD"/>
        <Anchor>
          <Comment id="{E19FF87A-CFEA-4017-A20E-440CDBA953F5}"/>
        </Anchor>
        <Create/>
      </Event>
      <Event time="2025-12-01T21:38:06.10" id="{E4AD0944-D37D-4645-891F-5BBBD89EE687}">
        <Attribution userId="S::lkpetro@inm.gov.co::dada2d6b-d192-4c32-8ab5-c6158b1d5738" userName="Linda Karina Petro Martínez" userProvider="AD"/>
        <Anchor>
          <Comment id="{E19FF87A-CFEA-4017-A20E-440CDBA953F5}"/>
        </Anchor>
        <Assign userId="S::djvasquez@inm.gov.co::ef140590-02b2-4342-b67d-f3b0b8e03a5d" userName="Daisy Janneth Vasquez Acosta" userProvider="AD"/>
      </Event>
      <Event time="2025-12-01T21:38:06.10" id="{6272B531-D286-4075-96F9-4C8A9AD2C043}">
        <Attribution userId="S::lkpetro@inm.gov.co::dada2d6b-d192-4c32-8ab5-c6158b1d5738" userName="Linda Karina Petro Martínez" userProvider="AD"/>
        <Anchor>
          <Comment id="{E19FF87A-CFEA-4017-A20E-440CDBA953F5}"/>
        </Anchor>
        <SetTitle title="Andrea Margarita Torres Castillo @Daisy Janneth Vasquez Acosta @Diana Jimena Camargo Hormaza Estimadas buena tarde, espero se encuentren bien. Haciendo lectura del seguimiento realizado, no se materializa el riesgo. Sin embargo, si me parece importante…"/>
      </Event>
    </History>
  </Task>
  <Task id="{93E8A54F-3EC9-45FC-9F1C-F7C812594FBD}">
    <Anchor>
      <Comment id="{5B093FC5-024E-4084-9434-8FBA1584F862}"/>
    </Anchor>
    <History>
      <Event time="2025-12-01T21:38:06.10" id="{368609C4-396F-4122-921A-64ABBA4C0BCD}">
        <Attribution userId="S::lkpetro@inm.gov.co::dada2d6b-d192-4c32-8ab5-c6158b1d5738" userName="Linda Karina Petro Martínez" userProvider="AD"/>
        <Anchor>
          <Comment id="{5B093FC5-024E-4084-9434-8FBA1584F862}"/>
        </Anchor>
        <Create/>
      </Event>
      <Event time="2025-12-01T21:38:06.10" id="{E4AD0944-D37D-4645-891F-5BBBD89EE687}">
        <Attribution userId="S::lkpetro@inm.gov.co::dada2d6b-d192-4c32-8ab5-c6158b1d5738" userName="Linda Karina Petro Martínez" userProvider="AD"/>
        <Anchor>
          <Comment id="{5B093FC5-024E-4084-9434-8FBA1584F862}"/>
        </Anchor>
        <Assign userId="S::djvasquez@inm.gov.co::ef140590-02b2-4342-b67d-f3b0b8e03a5d" userName="Daisy Janneth Vasquez Acosta" userProvider="AD"/>
      </Event>
      <Event time="2025-12-01T21:38:06.10" id="{6272B531-D286-4075-96F9-4C8A9AD2C043}">
        <Attribution userId="S::lkpetro@inm.gov.co::dada2d6b-d192-4c32-8ab5-c6158b1d5738" userName="Linda Karina Petro Martínez" userProvider="AD"/>
        <Anchor>
          <Comment id="{5B093FC5-024E-4084-9434-8FBA1584F862}"/>
        </Anchor>
        <SetTitle title="Andrea Margarita Torres Castillo @Daisy Janneth Vasquez Acosta @Diana Jimena Camargo Hormaza Estimadas buena tarde, espero se encuentren bien. Haciendo lectura del seguimiento realizado, no se materializa el riesgo. Sin embargo, si me parece importante…"/>
      </Event>
    </History>
  </Task>
  <Task id="{858F0C71-0B23-4D7A-9943-14E027D80F19}">
    <Anchor>
      <Comment id="{33607E99-7B36-4D0D-BD47-A7505F276659}"/>
    </Anchor>
    <History>
      <Event time="2025-05-05T13:52:13.06" id="{E901B90C-1F99-42A8-A4E5-9E4FB0B22D43}">
        <Attribution userId="S::lkpetro@inm.gov.co::dada2d6b-d192-4c32-8ab5-c6158b1d5738" userName="Linda Karina Petro Martínez" userProvider="AD"/>
        <Anchor>
          <Comment id="{33607E99-7B36-4D0D-BD47-A7505F276659}"/>
        </Anchor>
        <Create/>
      </Event>
      <Event time="2025-05-05T13:52:13.06" id="{446199BB-1590-408B-81B6-2982FA13820C}">
        <Attribution userId="S::lkpetro@inm.gov.co::dada2d6b-d192-4c32-8ab5-c6158b1d5738" userName="Linda Karina Petro Martínez" userProvider="AD"/>
        <Anchor>
          <Comment id="{33607E99-7B36-4D0D-BD47-A7505F276659}"/>
        </Anchor>
        <Assign userId="S::jmwalteros@inm.gov.co::3ac8b271-0476-4bd9-9519-f61284f349c9" userName="Jeimi Medina Walteros" userProvider="AD"/>
      </Event>
      <Event time="2025-05-05T13:52:13.06" id="{56BFDD61-A7E2-4469-BAB9-B45F3E5F29B6}">
        <Attribution userId="S::lkpetro@inm.gov.co::dada2d6b-d192-4c32-8ab5-c6158b1d5738" userName="Linda Karina Petro Martínez" userProvider="AD"/>
        <Anchor>
          <Comment id="{33607E99-7B36-4D0D-BD47-A7505F276659}"/>
        </Anchor>
        <SetTitle title="@Jeimi Medina Walteros Estimada buen día, dado el comentario realizado de su parte como primera línea, por favor actualizar el formato de insumos para la actualización del riesgo y generar las mesas de trabajo aplicables para esta actividad. Mil gracias. "/>
      </Event>
    </History>
  </Task>
  <Task id="{CB495B71-37D8-477C-9B13-C6BD40604CFE}">
    <Anchor>
      <Comment id="{E43E8AED-058F-4A87-97F0-B8CF22B181F3}"/>
    </Anchor>
    <History>
      <Event time="2025-05-05T14:37:32.47" id="{596F53FD-6EDD-4B1A-B64D-26AAD01EDD3E}">
        <Attribution userId="S::lkpetro@inm.gov.co::dada2d6b-d192-4c32-8ab5-c6158b1d5738" userName="Linda Karina Petro Martínez" userProvider="AD"/>
        <Anchor>
          <Comment id="{E43E8AED-058F-4A87-97F0-B8CF22B181F3}"/>
        </Anchor>
        <Create/>
      </Event>
      <Event time="2025-05-05T14:37:32.47" id="{4EF2C994-F890-4F4E-9D6A-9292460DC722}">
        <Attribution userId="S::lkpetro@inm.gov.co::dada2d6b-d192-4c32-8ab5-c6158b1d5738" userName="Linda Karina Petro Martínez" userProvider="AD"/>
        <Anchor>
          <Comment id="{E43E8AED-058F-4A87-97F0-B8CF22B181F3}"/>
        </Anchor>
        <Assign userId="S::jmwalteros@inm.gov.co::3ac8b271-0476-4bd9-9519-f61284f349c9" userName="Jeimi Medina Walteros" userProvider="AD"/>
      </Event>
      <Event time="2025-05-05T14:37:32.47" id="{32BD6348-B368-4D2A-865A-0E52F7A18D98}">
        <Attribution userId="S::lkpetro@inm.gov.co::dada2d6b-d192-4c32-8ab5-c6158b1d5738" userName="Linda Karina Petro Martínez" userProvider="AD"/>
        <Anchor>
          <Comment id="{E43E8AED-058F-4A87-97F0-B8CF22B181F3}"/>
        </Anchor>
        <SetTitle title="@Jeimi Medina Walteros Estimada buen día, mismo comentario que realicé para el proceso de comercio exterior. Registrar en el formato de insumos para generar los espacios y cambiar lo necesario en este riesgo. "/>
      </Event>
    </History>
  </Task>
  <Task id="{6FC80B7C-509B-4B89-BEFD-188205F627F2}">
    <Anchor>
      <Comment id="{F926BDBA-7BF1-4689-8DD0-6C92D5DD8072}"/>
    </Anchor>
    <History>
      <Event time="2025-11-25T16:32:26.11" id="{4DB4FE46-FF49-4AFA-A9E1-379C771FF5F6}">
        <Attribution userId="S::lkpetro@inm.gov.co::dada2d6b-d192-4c32-8ab5-c6158b1d5738" userName="Linda Karina Petro Martínez" userProvider="AD"/>
        <Anchor>
          <Comment id="{F926BDBA-7BF1-4689-8DD0-6C92D5DD8072}"/>
        </Anchor>
        <Create/>
      </Event>
      <Event time="2025-11-25T16:32:26.11" id="{02D24768-8273-48B6-8227-F1014FA9D0CC}">
        <Attribution userId="S::lkpetro@inm.gov.co::dada2d6b-d192-4c32-8ab5-c6158b1d5738" userName="Linda Karina Petro Martínez" userProvider="AD"/>
        <Anchor>
          <Comment id="{F926BDBA-7BF1-4689-8DD0-6C92D5DD8072}"/>
        </Anchor>
        <Assign userId="S::saospino@inm.gov.co::2954912c-468c-41f4-afb7-8027ef7482a9" userName="Santiago Adolfo Cotes Ospino" userProvider="AD"/>
      </Event>
      <Event time="2025-11-25T16:32:26.11" id="{0723D2A0-F629-4E00-8BEF-03D3BFC28A5D}">
        <Attribution userId="S::lkpetro@inm.gov.co::dada2d6b-d192-4c32-8ab5-c6158b1d5738" userName="Linda Karina Petro Martínez" userProvider="AD"/>
        <Anchor>
          <Comment id="{F926BDBA-7BF1-4689-8DD0-6C92D5DD8072}"/>
        </Anchor>
        <SetTitle title="@Santiago Adolfo Cotes Ospino Estimado Santi buenos días, agradezco validar con el proceso la fecha en la cual se trabajará sobre la actualización de los riesgos de gestión en la vigencia 2026. Porfa para que quede registrada en el project del plan de…"/>
      </Event>
    </History>
  </Task>
  <Task id="{0ADF4C7D-4CF4-49DB-B2E5-58B8D7DD4390}">
    <Anchor>
      <Comment id="{4F485098-4319-48C7-B40C-6AC0DA8EADD8}"/>
    </Anchor>
    <History>
      <Event time="2025-11-25T21:02:14.32" id="{0BC226D6-9745-4B1C-8456-C7109EC3EB03}">
        <Attribution userId="S::lkpetro@inm.gov.co::dada2d6b-d192-4c32-8ab5-c6158b1d5738" userName="Linda Karina Petro Martínez" userProvider="AD"/>
        <Anchor>
          <Comment id="{4F485098-4319-48C7-B40C-6AC0DA8EADD8}"/>
        </Anchor>
        <Create/>
      </Event>
      <Event time="2025-11-25T21:02:14.32" id="{3BA4E27D-4362-4464-B1FE-A83138493903}">
        <Attribution userId="S::lkpetro@inm.gov.co::dada2d6b-d192-4c32-8ab5-c6158b1d5738" userName="Linda Karina Petro Martínez" userProvider="AD"/>
        <Anchor>
          <Comment id="{4F485098-4319-48C7-B40C-6AC0DA8EADD8}"/>
        </Anchor>
        <Assign userId="S::jmwalteros@inm.gov.co::3ac8b271-0476-4bd9-9519-f61284f349c9" userName="Jeimi Medina Walteros" userProvider="AD"/>
      </Event>
      <Event time="2025-11-25T21:02:14.32" id="{DC34EF66-F168-4CAD-8B00-F2C6038E10CF}">
        <Attribution userId="S::lkpetro@inm.gov.co::dada2d6b-d192-4c32-8ab5-c6158b1d5738" userName="Linda Karina Petro Martínez" userProvider="AD"/>
        <Anchor>
          <Comment id="{4F485098-4319-48C7-B40C-6AC0DA8EADD8}"/>
        </Anchor>
        <SetTitle title="@Jeimi Medina Walteros agradezco validar con los procesos de secretaría general, la fecha en la cual se trabajará sobre la actualización de los riesgos de gestión en la vigencia 2026. Porfa para que quede registrada en el project del plan de trabajo del…"/>
      </Event>
    </History>
  </Task>
  <Task id="{A0FD047E-6C83-4080-AC61-F7100E52C864}">
    <Anchor>
      <Comment id="{DFA54B60-CF1B-4317-B5DE-6E8DD78E1A99}"/>
    </Anchor>
    <History>
      <Event time="2025-12-01T21:38:06.10" id="{368609C4-396F-4122-921A-64ABBA4C0BCD}">
        <Attribution userId="S::lkpetro@inm.gov.co::dada2d6b-d192-4c32-8ab5-c6158b1d5738" userName="Linda Karina Petro Martínez" userProvider="AD"/>
        <Anchor>
          <Comment id="{DFA54B60-CF1B-4317-B5DE-6E8DD78E1A99}"/>
        </Anchor>
        <Create/>
      </Event>
      <Event time="2025-12-01T21:38:06.10" id="{E4AD0944-D37D-4645-891F-5BBBD89EE687}">
        <Attribution userId="S::lkpetro@inm.gov.co::dada2d6b-d192-4c32-8ab5-c6158b1d5738" userName="Linda Karina Petro Martínez" userProvider="AD"/>
        <Anchor>
          <Comment id="{DFA54B60-CF1B-4317-B5DE-6E8DD78E1A99}"/>
        </Anchor>
        <Assign userId="S::djvasquez@inm.gov.co::ef140590-02b2-4342-b67d-f3b0b8e03a5d" userName="Daisy Janneth Vasquez Acosta" userProvider="AD"/>
      </Event>
      <Event time="2025-12-01T21:38:06.10" id="{6272B531-D286-4075-96F9-4C8A9AD2C043}">
        <Attribution userId="S::lkpetro@inm.gov.co::dada2d6b-d192-4c32-8ab5-c6158b1d5738" userName="Linda Karina Petro Martínez" userProvider="AD"/>
        <Anchor>
          <Comment id="{DFA54B60-CF1B-4317-B5DE-6E8DD78E1A99}"/>
        </Anchor>
        <SetTitle title="Andrea Margarita Torres Castillo @Daisy Janneth Vasquez Acosta @Diana Jimena Camargo Hormaza Estimadas buena tarde, espero se encuentren bien. Haciendo lectura del seguimiento realizado, no se materializa el riesgo. Sin embargo, si me parece importante…"/>
      </Event>
    </History>
  </Task>
  <Task id="{63C6B4A2-58C9-45FF-AC56-BB1A38BE8078}">
    <Anchor>
      <Comment id="{BE991FE1-64FD-4490-A6A1-77626124A3F0}"/>
    </Anchor>
    <History>
      <Event time="2025-11-25T21:23:04.50" id="{DC86B221-ED6E-42F2-ADAE-1487300CDA0C}">
        <Attribution userId="S::lkpetro@inm.gov.co::dada2d6b-d192-4c32-8ab5-c6158b1d5738" userName="Linda Karina Petro Martínez" userProvider="AD"/>
        <Anchor>
          <Comment id="{BE991FE1-64FD-4490-A6A1-77626124A3F0}"/>
        </Anchor>
        <Create/>
      </Event>
      <Event time="2025-11-25T21:23:04.50" id="{AFB678D6-D766-451B-A6DF-ED6246547BFF}">
        <Attribution userId="S::lkpetro@inm.gov.co::dada2d6b-d192-4c32-8ab5-c6158b1d5738" userName="Linda Karina Petro Martínez" userProvider="AD"/>
        <Anchor>
          <Comment id="{BE991FE1-64FD-4490-A6A1-77626124A3F0}"/>
        </Anchor>
        <Assign userId="S::jmwalteros@inm.gov.co::3ac8b271-0476-4bd9-9519-f61284f349c9" userName="Jeimi Medina Walteros" userProvider="AD"/>
      </Event>
      <Event time="2025-11-25T21:23:04.50" id="{DFA22A92-9F46-477B-92FA-2B03354C84B8}">
        <Attribution userId="S::lkpetro@inm.gov.co::dada2d6b-d192-4c32-8ab5-c6158b1d5738" userName="Linda Karina Petro Martínez" userProvider="AD"/>
        <Anchor>
          <Comment id="{BE991FE1-64FD-4490-A6A1-77626124A3F0}"/>
        </Anchor>
        <SetTitle title="@Jeimi Medina Walteros estimada Jei, haciendo seguimiento a la acción correctiva # 146, identifico que hace falta el análisis de causas y el plan de mejoramiento para tratar el mismo. Agradezco la gestión respectiva desde el proceso. Mil gracias. "/>
      </Event>
    </History>
  </Task>
  <Task id="{193044A8-7EF3-4681-8AFD-93BB2D99086B}">
    <Anchor>
      <Comment id="{0D7AD314-AC61-4E7A-91ED-CE2D4A0F1688}"/>
    </Anchor>
    <History>
      <Event time="2025-05-05T21:09:25.46" id="{13231025-F0A9-424B-96CF-71B7B1499A5B}">
        <Attribution userId="S::lkpetro@inm.gov.co::dada2d6b-d192-4c32-8ab5-c6158b1d5738" userName="Linda Karina Petro Martínez" userProvider="AD"/>
        <Anchor>
          <Comment id="{0D7AD314-AC61-4E7A-91ED-CE2D4A0F1688}"/>
        </Anchor>
        <Create/>
      </Event>
      <Event time="2025-05-05T21:09:25.46" id="{49F6E185-9CE0-4DA4-B8A2-A7F1F167A360}">
        <Attribution userId="S::lkpetro@inm.gov.co::dada2d6b-d192-4c32-8ab5-c6158b1d5738" userName="Linda Karina Petro Martínez" userProvider="AD"/>
        <Anchor>
          <Comment id="{0D7AD314-AC61-4E7A-91ED-CE2D4A0F1688}"/>
        </Anchor>
        <Assign userId="S::magutierrez@inm.gov.co::c056fb11-31de-4376-8ac8-030578b2b7c8" userName="Mónica Alejandra Gutierrez Cifuentes" userProvider="AD"/>
      </Event>
      <Event time="2025-05-05T21:09:25.46" id="{8C10C18D-299A-4992-8194-0013B3AF5796}">
        <Attribution userId="S::lkpetro@inm.gov.co::dada2d6b-d192-4c32-8ab5-c6158b1d5738" userName="Linda Karina Petro Martínez" userProvider="AD"/>
        <Anchor>
          <Comment id="{0D7AD314-AC61-4E7A-91ED-CE2D4A0F1688}"/>
        </Anchor>
        <SetTitle title="@Mónica Alejandra Gutierrez Cifuentes Estimada buen día, me queda la inquietud, ¿por qué se materializa el riesgo?"/>
      </Event>
    </History>
  </Task>
  <Task id="{CBB69DC9-CDEF-4AD7-90F1-6063AEEA3572}">
    <Anchor>
      <Comment id="{6FD684A4-4952-4AF5-A8BC-EF2D77F6932B}"/>
    </Anchor>
    <History>
      <Event time="2025-05-05T13:52:13.06" id="{E901B90C-1F99-42A8-A4E5-9E4FB0B22D43}">
        <Attribution userId="S::lkpetro@inm.gov.co::dada2d6b-d192-4c32-8ab5-c6158b1d5738" userName="Linda Karina Petro Martínez" userProvider="AD"/>
        <Anchor>
          <Comment id="{6FD684A4-4952-4AF5-A8BC-EF2D77F6932B}"/>
        </Anchor>
        <Create/>
      </Event>
      <Event time="2025-05-05T13:52:13.06" id="{446199BB-1590-408B-81B6-2982FA13820C}">
        <Attribution userId="S::lkpetro@inm.gov.co::dada2d6b-d192-4c32-8ab5-c6158b1d5738" userName="Linda Karina Petro Martínez" userProvider="AD"/>
        <Anchor>
          <Comment id="{6FD684A4-4952-4AF5-A8BC-EF2D77F6932B}"/>
        </Anchor>
        <Assign userId="S::jmwalteros@inm.gov.co::3ac8b271-0476-4bd9-9519-f61284f349c9" userName="Jeimi Medina Walteros" userProvider="AD"/>
      </Event>
      <Event time="2025-05-05T13:52:13.06" id="{56BFDD61-A7E2-4469-BAB9-B45F3E5F29B6}">
        <Attribution userId="S::lkpetro@inm.gov.co::dada2d6b-d192-4c32-8ab5-c6158b1d5738" userName="Linda Karina Petro Martínez" userProvider="AD"/>
        <Anchor>
          <Comment id="{6FD684A4-4952-4AF5-A8BC-EF2D77F6932B}"/>
        </Anchor>
        <SetTitle title="@Jeimi Medina Walteros Estimada buen día, dado el comentario realizado de su parte como primera línea, por favor actualizar el formato de insumos para la actualización del riesgo y generar las mesas de trabajo aplicables para esta actividad. Mil gracias. "/>
      </Event>
    </History>
  </Task>
  <Task id="{4CB88FCF-6402-4108-B6E3-E3277EEFCEDF}">
    <Anchor>
      <Comment id="{F2333197-B48F-4922-8AA0-56FDCCBA9E42}"/>
    </Anchor>
    <History>
      <Event time="2025-07-31T17:04:51.21" id="{3BAFF3EE-CE04-4DD2-837D-6309587C6228}">
        <Attribution userId="S::lkpetro@inm.gov.co::dada2d6b-d192-4c32-8ab5-c6158b1d5738" userName="Linda Karina Petro Martínez" userProvider="AD"/>
        <Anchor>
          <Comment id="{F2333197-B48F-4922-8AA0-56FDCCBA9E42}"/>
        </Anchor>
        <Create/>
      </Event>
      <Event time="2025-07-31T17:04:51.21" id="{9BFC5FA8-22D6-4A3F-B01B-8E9C314F804D}">
        <Attribution userId="S::lkpetro@inm.gov.co::dada2d6b-d192-4c32-8ab5-c6158b1d5738" userName="Linda Karina Petro Martínez" userProvider="AD"/>
        <Anchor>
          <Comment id="{F2333197-B48F-4922-8AA0-56FDCCBA9E42}"/>
        </Anchor>
        <Assign userId="S::saospino@inm.gov.co::2954912c-468c-41f4-afb7-8027ef7482a9" userName="Santiago Adolfo Cotes Ospino" userProvider="AD"/>
      </Event>
      <Event time="2025-07-31T17:04:51.21" id="{FE65541D-DAA7-4362-8B16-9F98326DE1A0}">
        <Attribution userId="S::lkpetro@inm.gov.co::dada2d6b-d192-4c32-8ab5-c6158b1d5738" userName="Linda Karina Petro Martínez" userProvider="AD"/>
        <Anchor>
          <Comment id="{F2333197-B48F-4922-8AA0-56FDCCBA9E42}"/>
        </Anchor>
        <SetTitle title="@Santiago Adolfo Cotes Ospino @Diana Jimena Camargo Hormaza estimados buen día, revisando el tema con Edgar y con Sebastián por una duda que yo tenia, ellos me informaron que la corrección 234 no es la que se relaciona con la situación presentada para …"/>
      </Event>
      <Event time="2025-10-15T21:40:19.31" id="{40892F87-FDC4-44F6-8446-2812DFC1427F}">
        <Attribution userId="S::saospino@inm.gov.co::2954912c-468c-41f4-afb7-8027ef7482a9" userName="Santiago Adolfo Cotes Ospino" userProvider="AD"/>
        <Anchor>
          <Comment id="{D01CE767-22AD-4195-829D-4ADA79164189}"/>
        </Anchor>
        <UnassignAll/>
      </Event>
      <Event time="2025-10-15T21:40:19.31" id="{A7EFC003-6362-4672-A253-4481A0942900}">
        <Attribution userId="S::saospino@inm.gov.co::2954912c-468c-41f4-afb7-8027ef7482a9" userName="Santiago Adolfo Cotes Ospino" userProvider="AD"/>
        <Anchor>
          <Comment id="{D01CE767-22AD-4195-829D-4ADA79164189}"/>
        </Anchor>
        <Assign userId="S::djcamargo@inm.gov.co::6f3ed502-9bb9-43c7-ad54-aee64e2d4f5a" userName="Diana Jimena Camargo Hormaza" userProvider="AD"/>
      </Event>
    </History>
  </Task>
  <Task id="{2DDA53D1-C62E-464E-9966-8C823A3D9343}">
    <Anchor>
      <Comment id="{BE09113F-C017-474D-8D25-498633FA2417}"/>
    </Anchor>
    <History>
      <Event time="2025-07-31T15:02:06.04" id="{92CEE719-4EF7-4D5C-96FD-9389F066780B}">
        <Attribution userId="S::lkpetro@inm.gov.co::dada2d6b-d192-4c32-8ab5-c6158b1d5738" userName="Linda Karina Petro Martínez" userProvider="AD"/>
        <Anchor>
          <Comment id="{BE09113F-C017-474D-8D25-498633FA2417}"/>
        </Anchor>
        <Create/>
      </Event>
      <Event time="2025-07-31T15:02:06.04" id="{AB93847C-C430-47DF-BA19-CC6085330704}">
        <Attribution userId="S::lkpetro@inm.gov.co::dada2d6b-d192-4c32-8ab5-c6158b1d5738" userName="Linda Karina Petro Martínez" userProvider="AD"/>
        <Anchor>
          <Comment id="{BE09113F-C017-474D-8D25-498633FA2417}"/>
        </Anchor>
        <Assign userId="S::llrios@inm.gov.co::e895c5d5-57e4-4d3a-b06d-e0581e8b27df" userName="Leidy Liliana Rios Martinez" userProvider="AD"/>
      </Event>
      <Event time="2025-07-31T15:02:06.04" id="{07E32E8F-77BF-4393-8D2B-CB7BD62203B4}">
        <Attribution userId="S::lkpetro@inm.gov.co::dada2d6b-d192-4c32-8ab5-c6158b1d5738" userName="Linda Karina Petro Martínez" userProvider="AD"/>
        <Anchor>
          <Comment id="{BE09113F-C017-474D-8D25-498633FA2417}"/>
        </Anchor>
        <SetTitle title="@Leidy Liliana Rios Martinez Buen día, agradezco por favor terminar de diligenciar la información de las columnas BH, BI, BJ para todos los riesgos del proceso."/>
      </Event>
    </History>
  </Task>
  <Task id="{D4E7D3F7-8B8D-4636-9E2B-42F43EE6DB00}">
    <Anchor>
      <Comment id="{61EAD860-0162-49B3-8779-263BB740D1B9}"/>
    </Anchor>
    <History>
      <Event time="2025-05-05T14:46:38.47" id="{3D514D00-162A-490D-BAE7-AB6226508BFE}">
        <Attribution userId="S::lkpetro@inm.gov.co::dada2d6b-d192-4c32-8ab5-c6158b1d5738" userName="Linda Karina Petro Martínez" userProvider="AD"/>
        <Anchor>
          <Comment id="{61EAD860-0162-49B3-8779-263BB740D1B9}"/>
        </Anchor>
        <Create/>
      </Event>
      <Event time="2025-05-05T14:46:38.47" id="{269B1A70-1D17-4B35-9C11-68D801E05210}">
        <Attribution userId="S::lkpetro@inm.gov.co::dada2d6b-d192-4c32-8ab5-c6158b1d5738" userName="Linda Karina Petro Martínez" userProvider="AD"/>
        <Anchor>
          <Comment id="{61EAD860-0162-49B3-8779-263BB740D1B9}"/>
        </Anchor>
        <Assign userId="S::saospino@inm.gov.co::2954912c-468c-41f4-afb7-8027ef7482a9" userName="Santiago Adolfo Cotes Ospino" userProvider="AD"/>
      </Event>
      <Event time="2025-05-05T14:46:38.47" id="{D735EFC2-FCED-4E31-BF7E-99475637D63D}">
        <Attribution userId="S::lkpetro@inm.gov.co::dada2d6b-d192-4c32-8ab5-c6158b1d5738" userName="Linda Karina Petro Martínez" userProvider="AD"/>
        <Anchor>
          <Comment id="{61EAD860-0162-49B3-8779-263BB740D1B9}"/>
        </Anchor>
        <SetTitle title="@Santiago Adolfo Cotes Ospino @Edgar Javier Pinilla Feria Por favor tener en cuenta el comentario realizado de mi parte. "/>
      </Event>
    </History>
  </Task>
  <Task id="{164817F9-61E2-4779-9D4F-B3B5D0B53850}">
    <Anchor>
      <Comment id="{3024EAAD-A8C0-4F5A-92A9-B7409A0E24A5}"/>
    </Anchor>
    <History>
      <Event time="2025-07-23T20:56:43.07" id="{F91995FE-4F8B-4A24-BC3C-A8B815CF12E7}">
        <Attribution userId="S::lkpetro@inm.gov.co::dada2d6b-d192-4c32-8ab5-c6158b1d5738" userName="Linda Karina Petro Martínez" userProvider="AD"/>
        <Anchor>
          <Comment id="{3024EAAD-A8C0-4F5A-92A9-B7409A0E24A5}"/>
        </Anchor>
        <Create/>
      </Event>
      <Event time="2025-07-23T20:56:43.07" id="{35E9B07D-9360-4186-823B-F9039E8C07FE}">
        <Attribution userId="S::lkpetro@inm.gov.co::dada2d6b-d192-4c32-8ab5-c6158b1d5738" userName="Linda Karina Petro Martínez" userProvider="AD"/>
        <Anchor>
          <Comment id="{3024EAAD-A8C0-4F5A-92A9-B7409A0E24A5}"/>
        </Anchor>
        <Assign userId="S::ejpinilla@inm.gov.co::f9bddb84-ed97-46db-9532-bd775f8dc2d7" userName="Edgar Javier Pinilla Feria" userProvider="AD"/>
      </Event>
      <Event time="2025-07-23T20:56:43.07" id="{913FFBAE-8167-45FA-B122-2F7BE2279CFD}">
        <Attribution userId="S::lkpetro@inm.gov.co::dada2d6b-d192-4c32-8ab5-c6158b1d5738" userName="Linda Karina Petro Martínez" userProvider="AD"/>
        <Anchor>
          <Comment id="{3024EAAD-A8C0-4F5A-92A9-B7409A0E24A5}"/>
        </Anchor>
        <SetTitle title="@Edgar Javier Pinilla Feria @Sebastian Gil Herrera Estimados buena tarde, no me es claro por qué se materializa el riesgo. Agradezco aclarar o brindar mayor información en el seguimiento."/>
      </Event>
    </History>
  </Task>
</Tasks>
</file>

<file path=xl/documenttasks/documenttask2.xml><?xml version="1.0" encoding="utf-8"?>
<Tasks xmlns="http://schemas.microsoft.com/office/tasks/2019/documenttasks">
  <Task id="{03800E85-B153-4195-87DF-8859609BA175}">
    <Anchor>
      <Comment id="{18351A0B-0D6B-4F3E-87EE-4D72EF5819D0}"/>
    </Anchor>
    <History>
      <Event time="2025-12-09T15:32:39.72" id="{876C8582-24BF-413C-AC98-49D5DB224308}">
        <Attribution userId="S::lkpetro@inm.gov.co::dada2d6b-d192-4c32-8ab5-c6158b1d5738" userName="Linda Karina Petro Martínez" userProvider="AD"/>
        <Anchor>
          <Comment id="{18351A0B-0D6B-4F3E-87EE-4D72EF5819D0}"/>
        </Anchor>
        <Create/>
      </Event>
      <Event time="2025-12-09T15:32:39.72" id="{C2E6E649-3B72-4F7A-BE92-59C2299627C9}">
        <Attribution userId="S::lkpetro@inm.gov.co::dada2d6b-d192-4c32-8ab5-c6158b1d5738" userName="Linda Karina Petro Martínez" userProvider="AD"/>
        <Anchor>
          <Comment id="{18351A0B-0D6B-4F3E-87EE-4D72EF5819D0}"/>
        </Anchor>
        <Assign userId="S::jabernal@inm.gov.co::b46ed11f-05ae-49f6-bcb2-ed29e7420359" userName="Juan Andres Bernal Fino" userProvider="AD"/>
      </Event>
      <Event time="2025-12-09T15:32:39.72" id="{50007FD0-E74C-4DAA-9B30-F3441D9984D3}">
        <Attribution userId="S::lkpetro@inm.gov.co::dada2d6b-d192-4c32-8ab5-c6158b1d5738" userName="Linda Karina Petro Martínez" userProvider="AD"/>
        <Anchor>
          <Comment id="{18351A0B-0D6B-4F3E-87EE-4D72EF5819D0}"/>
        </Anchor>
        <SetTitle title="@Juan Andres Bernal Fino @Santiago Adolfo Cotes Ospino Estimados buen día, espero estén bien, agradezco porfa cargar los registros de evidencia de ejecución de los controles para este riesgo."/>
      </Event>
    </History>
  </Task>
  <Task id="{9ABF45A9-B38D-4D89-98EE-D2225976834F}">
    <Anchor>
      <Comment id="{647BA320-4576-4C25-96F6-9AA67659C494}"/>
    </Anchor>
    <History>
      <Event time="2025-10-14T13:54:37.86" id="{9556DE14-F186-495F-B93C-9BDADD86976F}">
        <Attribution userId="S::saospino@inm.gov.co::2954912c-468c-41f4-afb7-8027ef7482a9" userName="Santiago Adolfo Cotes Ospino" userProvider="AD"/>
        <Anchor>
          <Comment id="{647BA320-4576-4C25-96F6-9AA67659C494}"/>
        </Anchor>
        <Create/>
      </Event>
      <Event time="2025-10-14T13:54:37.86" id="{17F12E86-EB4F-4938-8579-4C7C3C326F60}">
        <Attribution userId="S::saospino@inm.gov.co::2954912c-468c-41f4-afb7-8027ef7482a9" userName="Santiago Adolfo Cotes Ospino" userProvider="AD"/>
        <Anchor>
          <Comment id="{647BA320-4576-4C25-96F6-9AA67659C494}"/>
        </Anchor>
        <Assign userId="S::jabernal@inm.gov.co::b46ed11f-05ae-49f6-bcb2-ed29e7420359" userName="Juan Andres Bernal Fino" userProvider="AD"/>
      </Event>
      <Event time="2025-10-14T13:54:37.86" id="{15736802-DB88-48DD-9AC0-A4ED40B6C83D}">
        <Attribution userId="S::saospino@inm.gov.co::2954912c-468c-41f4-afb7-8027ef7482a9" userName="Santiago Adolfo Cotes Ospino" userProvider="AD"/>
        <Anchor>
          <Comment id="{647BA320-4576-4C25-96F6-9AA67659C494}"/>
        </Anchor>
        <SetTitle title="@Juan Andres Bernal Fino"/>
      </Event>
    </History>
  </Task>
  <Task id="{16B7A7D1-DF46-4E71-A204-A6EF86711A27}">
    <Anchor>
      <Comment id="{921A6755-F3C4-47D6-90A3-C69A5D2EE1B1}"/>
    </Anchor>
    <History>
      <Event time="2025-10-14T13:54:29.75" id="{003F15E5-1C43-46BF-A2B6-7E9CB0A6E10E}">
        <Attribution userId="S::saospino@inm.gov.co::2954912c-468c-41f4-afb7-8027ef7482a9" userName="Santiago Adolfo Cotes Ospino" userProvider="AD"/>
        <Anchor>
          <Comment id="{921A6755-F3C4-47D6-90A3-C69A5D2EE1B1}"/>
        </Anchor>
        <Create/>
      </Event>
      <Event time="2025-10-14T13:54:29.75" id="{99085DA7-169F-4EE1-AE85-940BF9066AE6}">
        <Attribution userId="S::saospino@inm.gov.co::2954912c-468c-41f4-afb7-8027ef7482a9" userName="Santiago Adolfo Cotes Ospino" userProvider="AD"/>
        <Anchor>
          <Comment id="{921A6755-F3C4-47D6-90A3-C69A5D2EE1B1}"/>
        </Anchor>
        <Assign userId="S::jabernal@inm.gov.co::b46ed11f-05ae-49f6-bcb2-ed29e7420359" userName="Juan Andres Bernal Fino" userProvider="AD"/>
      </Event>
      <Event time="2025-10-14T13:54:29.75" id="{698C2929-AD1C-4E8E-877A-5593F1B65186}">
        <Attribution userId="S::saospino@inm.gov.co::2954912c-468c-41f4-afb7-8027ef7482a9" userName="Santiago Adolfo Cotes Ospino" userProvider="AD"/>
        <Anchor>
          <Comment id="{921A6755-F3C4-47D6-90A3-C69A5D2EE1B1}"/>
        </Anchor>
        <SetTitle title="@Juan Andres Bernal Fino"/>
      </Event>
    </History>
  </Task>
  <Task id="{5DBDD9D3-4FEF-4BA9-91C4-AB18A8175838}">
    <Anchor>
      <Comment id="{CFB7D049-9718-4538-8C7E-A1E95F1BD032}"/>
    </Anchor>
    <History>
      <Event time="2025-12-09T14:47:08.53" id="{C53103E8-019F-41FA-A942-EAA5D7F60A66}">
        <Attribution userId="S::lkpetro@inm.gov.co::dada2d6b-d192-4c32-8ab5-c6158b1d5738" userName="Linda Karina Petro Martínez" userProvider="AD"/>
        <Anchor>
          <Comment id="{CFB7D049-9718-4538-8C7E-A1E95F1BD032}"/>
        </Anchor>
        <Create/>
      </Event>
      <Event time="2025-12-09T14:47:08.53" id="{F6FE34E9-1181-4255-BAD2-244152A2B1EC}">
        <Attribution userId="S::lkpetro@inm.gov.co::dada2d6b-d192-4c32-8ab5-c6158b1d5738" userName="Linda Karina Petro Martínez" userProvider="AD"/>
        <Anchor>
          <Comment id="{CFB7D049-9718-4538-8C7E-A1E95F1BD032}"/>
        </Anchor>
        <Assign userId="S::jmwalteros@inm.gov.co::3ac8b271-0476-4bd9-9519-f61284f349c9" userName="Jeimi Medina Walteros" userProvider="AD"/>
      </Event>
      <Event time="2025-12-09T14:47:08.53" id="{851EC1BA-2FB3-4161-AC86-F198C08862C9}">
        <Attribution userId="S::lkpetro@inm.gov.co::dada2d6b-d192-4c32-8ab5-c6158b1d5738" userName="Linda Karina Petro Martínez" userProvider="AD"/>
        <Anchor>
          <Comment id="{CFB7D049-9718-4538-8C7E-A1E95F1BD032}"/>
        </Anchor>
        <SetTitle title="@Jeimi Medina Walteros Estimada buen día, agradezco chinita bella, tengan presente con el profesional de gestión financiera, el registro del seguimiento a este control para el último trimestre del 2025. Lo anterior, dado que no hubo registro de …"/>
      </Event>
    </History>
  </Task>
  <Task id="{25EA3FE0-6F53-450C-B8B2-9A1FE0859C2C}">
    <Anchor>
      <Comment id="{018905A8-517A-436A-8881-354A4E63BEB4}"/>
    </Anchor>
    <History>
      <Event time="2025-12-09T12:51:22.97" id="{D5A1C130-5531-4810-BEE0-A78AF5A8D0AA}">
        <Attribution userId="S::lkpetro@inm.gov.co::dada2d6b-d192-4c32-8ab5-c6158b1d5738" userName="Linda Karina Petro Martínez" userProvider="AD"/>
        <Anchor>
          <Comment id="{018905A8-517A-436A-8881-354A4E63BEB4}"/>
        </Anchor>
        <Create/>
      </Event>
      <Event time="2025-12-09T12:51:22.97" id="{CE15F376-7FFD-41DD-88CA-3785C8F5B72A}">
        <Attribution userId="S::lkpetro@inm.gov.co::dada2d6b-d192-4c32-8ab5-c6158b1d5738" userName="Linda Karina Petro Martínez" userProvider="AD"/>
        <Anchor>
          <Comment id="{018905A8-517A-436A-8881-354A4E63BEB4}"/>
        </Anchor>
        <Assign userId="S::sgherrera@inm.gov.co::f57a323a-247b-4f57-a830-3ef2231ee34c" userName="Sebastian Gil Herrera" userProvider="AD"/>
      </Event>
      <Event time="2025-12-09T12:51:22.97" id="{ED0F0781-9188-4448-ABFD-7CADE7AFC271}">
        <Attribution userId="S::lkpetro@inm.gov.co::dada2d6b-d192-4c32-8ab5-c6158b1d5738" userName="Linda Karina Petro Martínez" userProvider="AD"/>
        <Anchor>
          <Comment id="{018905A8-517A-436A-8881-354A4E63BEB4}"/>
        </Anchor>
        <SetTitle title="@Sebastian Gil Herrera @Santiago Adolfo Cotes Ospino Estimados buenos días, espero estén bien. Agradezco su colaboración con el diligenciamiento de las celdas relacionadas con el seguimiento a tercer trimestre. Recuerden por favor que hay que cargar…"/>
      </Event>
      <Event time="2025-12-15T12:57:33.02" id="{D882FD75-403E-4952-8C2B-2DAEB7BFFB50}">
        <Attribution userId="S::jabernal@inm.gov.co::b46ed11f-05ae-49f6-bcb2-ed29e7420359" userName="Juan Andres Bernal Fino" userProvider="AD"/>
        <Progress percentComplete="100"/>
      </Event>
    </History>
  </Task>
</Task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6</xdr:col>
      <xdr:colOff>238125</xdr:colOff>
      <xdr:row>5</xdr:row>
      <xdr:rowOff>333375</xdr:rowOff>
    </xdr:from>
    <xdr:to>
      <xdr:col>6</xdr:col>
      <xdr:colOff>514350</xdr:colOff>
      <xdr:row>6</xdr:row>
      <xdr:rowOff>266700</xdr:rowOff>
    </xdr:to>
    <xdr:sp macro="" textlink="">
      <xdr:nvSpPr>
        <xdr:cNvPr id="2" name="Flecha abajo 1">
          <a:extLst>
            <a:ext uri="{FF2B5EF4-FFF2-40B4-BE49-F238E27FC236}">
              <a16:creationId xmlns:a16="http://schemas.microsoft.com/office/drawing/2014/main" id="{905E8B59-5D0A-4534-9192-C24092561AB7}"/>
            </a:ext>
          </a:extLst>
        </xdr:cNvPr>
        <xdr:cNvSpPr/>
      </xdr:nvSpPr>
      <xdr:spPr>
        <a:xfrm>
          <a:off x="3676650" y="1895475"/>
          <a:ext cx="276225" cy="428625"/>
        </a:xfrm>
        <a:prstGeom prst="downArrow">
          <a:avLst/>
        </a:prstGeom>
        <a:solidFill>
          <a:srgbClr val="FFFFFF"/>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a:p>
      </xdr:txBody>
    </xdr:sp>
    <xdr:clientData/>
  </xdr:twoCellAnchor>
  <xdr:twoCellAnchor>
    <xdr:from>
      <xdr:col>5</xdr:col>
      <xdr:colOff>495300</xdr:colOff>
      <xdr:row>6</xdr:row>
      <xdr:rowOff>104775</xdr:rowOff>
    </xdr:from>
    <xdr:to>
      <xdr:col>6</xdr:col>
      <xdr:colOff>228600</xdr:colOff>
      <xdr:row>6</xdr:row>
      <xdr:rowOff>400050</xdr:rowOff>
    </xdr:to>
    <xdr:sp macro="" textlink="">
      <xdr:nvSpPr>
        <xdr:cNvPr id="3" name="Flecha izquierda 2">
          <a:extLst>
            <a:ext uri="{FF2B5EF4-FFF2-40B4-BE49-F238E27FC236}">
              <a16:creationId xmlns:a16="http://schemas.microsoft.com/office/drawing/2014/main" id="{9492ECA5-6F0C-4F7C-8A01-564ACC6A6C81}"/>
            </a:ext>
            <a:ext uri="{147F2762-F138-4A5C-976F-8EAC2B608ADB}">
              <a16:predDERef xmlns:a16="http://schemas.microsoft.com/office/drawing/2014/main" pred="{7D5050DC-FFA0-494D-945D-2C5759281E9D}"/>
            </a:ext>
          </a:extLst>
        </xdr:cNvPr>
        <xdr:cNvSpPr/>
      </xdr:nvSpPr>
      <xdr:spPr>
        <a:xfrm>
          <a:off x="3181350" y="2162175"/>
          <a:ext cx="485775" cy="295275"/>
        </a:xfrm>
        <a:prstGeom prst="leftArrow">
          <a:avLst/>
        </a:prstGeom>
        <a:solidFill>
          <a:srgbClr val="FFFFFF"/>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a:p>
      </xdr:txBody>
    </xdr:sp>
    <xdr:clientData/>
  </xdr:twoCellAnchor>
  <xdr:twoCellAnchor>
    <xdr:from>
      <xdr:col>4</xdr:col>
      <xdr:colOff>9525</xdr:colOff>
      <xdr:row>10</xdr:row>
      <xdr:rowOff>19050</xdr:rowOff>
    </xdr:from>
    <xdr:to>
      <xdr:col>8</xdr:col>
      <xdr:colOff>733425</xdr:colOff>
      <xdr:row>10</xdr:row>
      <xdr:rowOff>161926</xdr:rowOff>
    </xdr:to>
    <xdr:sp macro="" textlink="">
      <xdr:nvSpPr>
        <xdr:cNvPr id="4" name="Rectángulo redondeado 3">
          <a:extLst>
            <a:ext uri="{FF2B5EF4-FFF2-40B4-BE49-F238E27FC236}">
              <a16:creationId xmlns:a16="http://schemas.microsoft.com/office/drawing/2014/main" id="{27BFDEB7-D326-4244-8149-DEF882943ADD}"/>
            </a:ext>
          </a:extLst>
        </xdr:cNvPr>
        <xdr:cNvSpPr/>
      </xdr:nvSpPr>
      <xdr:spPr>
        <a:xfrm>
          <a:off x="1943100" y="3448050"/>
          <a:ext cx="3733800" cy="142876"/>
        </a:xfrm>
        <a:prstGeom prst="roundRect">
          <a:avLst/>
        </a:prstGeom>
        <a:gradFill flip="none" rotWithShape="1">
          <a:gsLst>
            <a:gs pos="0">
              <a:srgbClr val="FF0000"/>
            </a:gs>
            <a:gs pos="50000">
              <a:srgbClr val="FFFF00"/>
            </a:gs>
            <a:gs pos="100000">
              <a:srgbClr val="00B050"/>
            </a:gs>
          </a:gsLst>
          <a:lin ang="108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ysClr val="windowText" lastClr="000000"/>
              </a:solidFill>
            </a:rPr>
            <a:t>Impacto</a:t>
          </a:r>
        </a:p>
      </xdr:txBody>
    </xdr:sp>
    <xdr:clientData/>
  </xdr:twoCellAnchor>
  <xdr:twoCellAnchor>
    <xdr:from>
      <xdr:col>1</xdr:col>
      <xdr:colOff>147637</xdr:colOff>
      <xdr:row>2</xdr:row>
      <xdr:rowOff>176213</xdr:rowOff>
    </xdr:from>
    <xdr:to>
      <xdr:col>1</xdr:col>
      <xdr:colOff>291637</xdr:colOff>
      <xdr:row>8</xdr:row>
      <xdr:rowOff>0</xdr:rowOff>
    </xdr:to>
    <xdr:sp macro="" textlink="">
      <xdr:nvSpPr>
        <xdr:cNvPr id="5" name="Rectángulo redondeado 4">
          <a:extLst>
            <a:ext uri="{FF2B5EF4-FFF2-40B4-BE49-F238E27FC236}">
              <a16:creationId xmlns:a16="http://schemas.microsoft.com/office/drawing/2014/main" id="{60DA58A5-48F0-4943-B6D0-B6DDC408C885}"/>
            </a:ext>
          </a:extLst>
        </xdr:cNvPr>
        <xdr:cNvSpPr/>
      </xdr:nvSpPr>
      <xdr:spPr>
        <a:xfrm rot="16200000">
          <a:off x="-263757" y="1730607"/>
          <a:ext cx="2490787" cy="144000"/>
        </a:xfrm>
        <a:prstGeom prst="roundRect">
          <a:avLst/>
        </a:prstGeom>
        <a:gradFill flip="none" rotWithShape="1">
          <a:gsLst>
            <a:gs pos="0">
              <a:srgbClr val="FF0000"/>
            </a:gs>
            <a:gs pos="50000">
              <a:srgbClr val="FFFF00"/>
            </a:gs>
            <a:gs pos="100000">
              <a:srgbClr val="00B050"/>
            </a:gs>
          </a:gsLst>
          <a:lin ang="108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ysClr val="windowText" lastClr="000000"/>
              </a:solidFill>
            </a:rPr>
            <a:t>Probabilidad de ocurrencia</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metrologiainm.sharepoint.com/D:/lkpetro/Descargas/Matriz%20de%20riesgos%20SI%20Aprobada.xlsx" TargetMode="External"/><Relationship Id="rId1" Type="http://schemas.openxmlformats.org/officeDocument/2006/relationships/externalLinkPath" Target="https://metrologiainm.sharepoint.com/lkpetro/Descargas/Matriz%20de%20riesgos%20SI%20Aprobad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etrologiainm.sharepoint.com/Users/ANDRES/Downloads/Matriz%20Riesgos%20Modelo%202019-01%20-%20Editable.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metrologiainm.sharepoint.com/C:/Users/lkpetro/Downloads/E02F014MatrizderiesgosV3_1_1%20(1).xlsx" TargetMode="External"/><Relationship Id="rId1" Type="http://schemas.openxmlformats.org/officeDocument/2006/relationships/externalLinkPath" Target="E02F014MatrizderiesgosV3_1_1%20(1).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metrologiainm.sharepoint.com/sites/OAP/Documentos%20compartidos/SIG/Gesti&#243;n%20del%20riesgo/2025/1.%20Vigente/Matriz%20de%20riesgos%20-%20Aprobaci&#243;n%20CIGD%20# 3 2025-03-26VF.xlsx" TargetMode="External"/><Relationship Id="rId1" Type="http://schemas.openxmlformats.org/officeDocument/2006/relationships/externalLinkPath" Target="https://metrologiainm.sharepoint.com/sites/OAP/Documentos%20compartidos/SIG/Gesti&#243;n%20del%20riesgo/2025/1.%20Vigente/Matriz%20de%20riesgos%20-%20Aprobaci&#243;n%20CIGD%20# 3 2025-03-26VF.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Descargas\FORMATO%20DE%20RIESGO%20vF.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metrologiainm.sharepoint.com/lkpetro/Descargas/CIGD%202021-%20E-02-F014%20MatrizdeRiesgos%20V.1%2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metrologiainm.sharepoint.com/Users/ANDRES/Downloads/E02F14MatrizdeRiesgosV.1.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https://metrologiainm.sharepoint.com/sites/OAP/Documentos%20compartidos/SIG/Gesti&#243;n%20del%20riesgo/2024/1.%20Vigente/Matriz%20de%20riesgos%20Aprobaci&#243;n%20CIGD%20# 1 2024-01-25.xlsx" TargetMode="External"/><Relationship Id="rId1" Type="http://schemas.openxmlformats.org/officeDocument/2006/relationships/externalLinkPath" Target="https://metrologiainm.sharepoint.com/sites/OAP/Documentos%20compartidos/SIG/Gesti&#243;n%20del%20riesgo/2024/1.%20Vigente/Matriz%20de%20riesgos%20Aprobaci&#243;n%20CIGD%20# 1 2024-01-25.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lkpetro\Descargas\Matriz%20de%20riesgos%20RCM.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https://metrologiainm.sharepoint.com/sites/OAP/Documentos%20compartidos/SIG/Estrategia%20SIG/5%20Riesgos/Matriz%20de%20trabajo/Riesgos%20fiscales%20M-08%20Gesti&#243;n%20de%20patrones%20nacionales%20y%20SM/Riesgos%20fiscales%20(M-08).xlsx" TargetMode="External"/><Relationship Id="rId1" Type="http://schemas.openxmlformats.org/officeDocument/2006/relationships/externalLinkPath" Target="https://metrologiainm.sharepoint.com/sites/OAP/Documentos%20compartidos/SIG/Estrategia%20SIG/5%20Riesgos/Matriz%20de%20trabajo/Riesgos%20fiscales%20M-08%20Gesti&#243;n%20de%20patrones%20nacionales%20y%20SM/Riesgos%20fiscales%20(M-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trol de cambios"/>
      <sheetName val="Seguimiento"/>
      <sheetName val="Mapa de procesos"/>
      <sheetName val="Grupo de activos - SI"/>
      <sheetName val=" Inst. Riesgos procesos"/>
      <sheetName val="Matriz Calor Inherente"/>
      <sheetName val="Matriz Calor Residual"/>
      <sheetName val="Tabla probabil."/>
      <sheetName val="Tabla Impacto"/>
      <sheetName val="Tabla Valoración controles"/>
      <sheetName val="Inst. riesgos corrupción"/>
      <sheetName val="Matriz riesgos corrupción"/>
      <sheetName val="ImpCorrup"/>
      <sheetName val="MapaCalor"/>
      <sheetName val="Base corrupción"/>
      <sheetName val="Base de datos procesos"/>
      <sheetName val="Mapa final back up"/>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DetalleRiesgo"/>
      <sheetName val="ImpCorrup"/>
      <sheetName val="Materialización"/>
      <sheetName val="Base"/>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 Riesgos procesos"/>
      <sheetName val="Mapa de procesos"/>
      <sheetName val="Matriz Calor Inherente"/>
      <sheetName val="Matriz Calor Residual"/>
      <sheetName val="Tabla probabil."/>
      <sheetName val="Tabla Impacto"/>
      <sheetName val="Tabla Valoración controles"/>
      <sheetName val="Matriz riesgos fiscales"/>
      <sheetName val="Catálogo puntos riesgo fiscal"/>
      <sheetName val="Matriz Calor Inherente fiscal"/>
      <sheetName val="Matriz Calor Residual fiscal"/>
      <sheetName val="Inst. riesgos corrupción"/>
      <sheetName val="Matriz riesgos corrupción"/>
      <sheetName val="ImpCorrup"/>
      <sheetName val="MapaCalor"/>
      <sheetName val="Seguimiento"/>
      <sheetName val="Base corrupción"/>
      <sheetName val="Control de cambios"/>
      <sheetName val="Base de datos gestión"/>
      <sheetName val="Mapa final back up"/>
      <sheetName val="Hoja1"/>
    </sheetNames>
    <sheetDataSet>
      <sheetData sheetId="0"/>
      <sheetData sheetId="1">
        <row r="4">
          <cell r="A4">
            <v>1</v>
          </cell>
          <cell r="L4" t="str">
            <v/>
          </cell>
          <cell r="P4" t="str">
            <v/>
          </cell>
          <cell r="S4">
            <v>1</v>
          </cell>
          <cell r="AC4" t="str">
            <v/>
          </cell>
          <cell r="AE4" t="str">
            <v/>
          </cell>
        </row>
        <row r="5">
          <cell r="S5">
            <v>2</v>
          </cell>
          <cell r="AC5" t="str">
            <v/>
          </cell>
          <cell r="AE5" t="str">
            <v/>
          </cell>
        </row>
        <row r="6">
          <cell r="S6">
            <v>3</v>
          </cell>
          <cell r="AC6" t="str">
            <v/>
          </cell>
          <cell r="AE6" t="str">
            <v/>
          </cell>
        </row>
        <row r="7">
          <cell r="S7">
            <v>4</v>
          </cell>
          <cell r="AC7" t="str">
            <v/>
          </cell>
          <cell r="AE7" t="str">
            <v/>
          </cell>
        </row>
        <row r="8">
          <cell r="S8">
            <v>5</v>
          </cell>
          <cell r="AC8" t="str">
            <v/>
          </cell>
          <cell r="AE8" t="str">
            <v/>
          </cell>
        </row>
        <row r="9">
          <cell r="S9">
            <v>6</v>
          </cell>
          <cell r="AC9" t="str">
            <v/>
          </cell>
          <cell r="AE9" t="str">
            <v/>
          </cell>
        </row>
        <row r="10">
          <cell r="A10">
            <v>2</v>
          </cell>
          <cell r="L10" t="str">
            <v/>
          </cell>
          <cell r="P10" t="str">
            <v/>
          </cell>
          <cell r="S10">
            <v>1</v>
          </cell>
          <cell r="AC10" t="str">
            <v/>
          </cell>
          <cell r="AE10" t="str">
            <v/>
          </cell>
        </row>
        <row r="11">
          <cell r="S11">
            <v>2</v>
          </cell>
          <cell r="AC11" t="str">
            <v/>
          </cell>
          <cell r="AE11" t="str">
            <v/>
          </cell>
        </row>
        <row r="12">
          <cell r="S12">
            <v>3</v>
          </cell>
          <cell r="AC12" t="str">
            <v/>
          </cell>
          <cell r="AE12" t="str">
            <v/>
          </cell>
        </row>
        <row r="13">
          <cell r="S13">
            <v>4</v>
          </cell>
          <cell r="AC13" t="str">
            <v/>
          </cell>
          <cell r="AE13" t="str">
            <v/>
          </cell>
        </row>
        <row r="14">
          <cell r="S14">
            <v>5</v>
          </cell>
          <cell r="AC14" t="str">
            <v/>
          </cell>
          <cell r="AE14" t="str">
            <v/>
          </cell>
        </row>
        <row r="15">
          <cell r="S15">
            <v>6</v>
          </cell>
          <cell r="AC15" t="str">
            <v/>
          </cell>
          <cell r="AE15" t="str">
            <v/>
          </cell>
        </row>
        <row r="16">
          <cell r="A16">
            <v>3</v>
          </cell>
          <cell r="L16" t="str">
            <v/>
          </cell>
          <cell r="P16" t="str">
            <v/>
          </cell>
          <cell r="S16">
            <v>1</v>
          </cell>
          <cell r="AC16" t="str">
            <v/>
          </cell>
          <cell r="AE16" t="str">
            <v/>
          </cell>
        </row>
        <row r="17">
          <cell r="S17">
            <v>2</v>
          </cell>
          <cell r="AC17" t="str">
            <v/>
          </cell>
          <cell r="AE17" t="str">
            <v/>
          </cell>
        </row>
        <row r="18">
          <cell r="S18">
            <v>3</v>
          </cell>
          <cell r="AC18" t="str">
            <v/>
          </cell>
          <cell r="AE18" t="str">
            <v/>
          </cell>
        </row>
        <row r="19">
          <cell r="S19">
            <v>4</v>
          </cell>
          <cell r="AC19" t="str">
            <v/>
          </cell>
          <cell r="AE19" t="str">
            <v/>
          </cell>
        </row>
        <row r="20">
          <cell r="S20">
            <v>5</v>
          </cell>
          <cell r="AC20" t="str">
            <v/>
          </cell>
          <cell r="AE20" t="str">
            <v/>
          </cell>
        </row>
        <row r="21">
          <cell r="S21">
            <v>6</v>
          </cell>
          <cell r="AC21" t="str">
            <v/>
          </cell>
          <cell r="AE21" t="str">
            <v/>
          </cell>
        </row>
        <row r="22">
          <cell r="A22">
            <v>4</v>
          </cell>
          <cell r="L22" t="str">
            <v/>
          </cell>
          <cell r="P22" t="str">
            <v/>
          </cell>
          <cell r="S22">
            <v>1</v>
          </cell>
          <cell r="AC22" t="str">
            <v/>
          </cell>
          <cell r="AE22" t="str">
            <v/>
          </cell>
        </row>
        <row r="23">
          <cell r="S23">
            <v>2</v>
          </cell>
          <cell r="AC23" t="str">
            <v/>
          </cell>
          <cell r="AE23" t="str">
            <v/>
          </cell>
        </row>
        <row r="24">
          <cell r="S24">
            <v>3</v>
          </cell>
          <cell r="AC24" t="str">
            <v/>
          </cell>
          <cell r="AE24" t="str">
            <v/>
          </cell>
        </row>
        <row r="25">
          <cell r="S25">
            <v>4</v>
          </cell>
          <cell r="AC25" t="str">
            <v/>
          </cell>
          <cell r="AE25" t="str">
            <v/>
          </cell>
        </row>
        <row r="26">
          <cell r="S26">
            <v>5</v>
          </cell>
          <cell r="AC26" t="str">
            <v/>
          </cell>
          <cell r="AE26" t="str">
            <v/>
          </cell>
        </row>
        <row r="27">
          <cell r="S27">
            <v>6</v>
          </cell>
          <cell r="AC27" t="str">
            <v/>
          </cell>
          <cell r="AE27" t="str">
            <v/>
          </cell>
        </row>
        <row r="28">
          <cell r="A28">
            <v>5</v>
          </cell>
          <cell r="L28" t="str">
            <v/>
          </cell>
          <cell r="P28" t="str">
            <v/>
          </cell>
          <cell r="S28">
            <v>1</v>
          </cell>
          <cell r="AC28" t="str">
            <v/>
          </cell>
          <cell r="AE28" t="str">
            <v/>
          </cell>
        </row>
        <row r="29">
          <cell r="S29">
            <v>2</v>
          </cell>
          <cell r="AC29" t="str">
            <v/>
          </cell>
          <cell r="AE29" t="str">
            <v/>
          </cell>
        </row>
        <row r="30">
          <cell r="S30">
            <v>3</v>
          </cell>
          <cell r="AC30" t="str">
            <v/>
          </cell>
          <cell r="AE30" t="str">
            <v/>
          </cell>
        </row>
        <row r="31">
          <cell r="S31">
            <v>4</v>
          </cell>
          <cell r="AC31" t="str">
            <v/>
          </cell>
          <cell r="AE31" t="str">
            <v/>
          </cell>
        </row>
        <row r="32">
          <cell r="S32">
            <v>5</v>
          </cell>
          <cell r="AC32" t="str">
            <v/>
          </cell>
          <cell r="AE32" t="str">
            <v/>
          </cell>
        </row>
        <row r="33">
          <cell r="S33">
            <v>6</v>
          </cell>
          <cell r="AC33" t="str">
            <v/>
          </cell>
          <cell r="AE33" t="str">
            <v/>
          </cell>
        </row>
        <row r="34">
          <cell r="A34">
            <v>6</v>
          </cell>
          <cell r="L34" t="str">
            <v/>
          </cell>
          <cell r="P34" t="str">
            <v/>
          </cell>
          <cell r="S34">
            <v>1</v>
          </cell>
          <cell r="AC34" t="str">
            <v/>
          </cell>
          <cell r="AE34" t="str">
            <v/>
          </cell>
        </row>
        <row r="35">
          <cell r="S35">
            <v>2</v>
          </cell>
          <cell r="AC35" t="str">
            <v/>
          </cell>
          <cell r="AE35" t="str">
            <v/>
          </cell>
        </row>
        <row r="36">
          <cell r="S36">
            <v>3</v>
          </cell>
          <cell r="AC36" t="str">
            <v/>
          </cell>
          <cell r="AE36" t="str">
            <v/>
          </cell>
        </row>
        <row r="37">
          <cell r="S37">
            <v>4</v>
          </cell>
          <cell r="AC37" t="str">
            <v/>
          </cell>
          <cell r="AE37" t="str">
            <v/>
          </cell>
        </row>
        <row r="38">
          <cell r="S38">
            <v>5</v>
          </cell>
          <cell r="AC38" t="str">
            <v/>
          </cell>
          <cell r="AE38" t="str">
            <v/>
          </cell>
        </row>
        <row r="39">
          <cell r="S39">
            <v>6</v>
          </cell>
          <cell r="AC39" t="str">
            <v/>
          </cell>
          <cell r="AE39" t="str">
            <v/>
          </cell>
        </row>
        <row r="40">
          <cell r="A40">
            <v>7</v>
          </cell>
          <cell r="L40" t="str">
            <v/>
          </cell>
          <cell r="P40" t="str">
            <v/>
          </cell>
          <cell r="S40">
            <v>1</v>
          </cell>
          <cell r="AC40" t="str">
            <v/>
          </cell>
          <cell r="AE40" t="str">
            <v/>
          </cell>
        </row>
        <row r="41">
          <cell r="S41">
            <v>2</v>
          </cell>
          <cell r="AC41" t="str">
            <v/>
          </cell>
          <cell r="AE41" t="str">
            <v/>
          </cell>
        </row>
        <row r="42">
          <cell r="S42">
            <v>3</v>
          </cell>
          <cell r="AC42" t="str">
            <v/>
          </cell>
          <cell r="AE42" t="str">
            <v/>
          </cell>
        </row>
        <row r="43">
          <cell r="S43">
            <v>4</v>
          </cell>
          <cell r="AC43" t="str">
            <v/>
          </cell>
          <cell r="AE43" t="str">
            <v/>
          </cell>
        </row>
        <row r="44">
          <cell r="S44">
            <v>5</v>
          </cell>
          <cell r="AC44" t="str">
            <v/>
          </cell>
          <cell r="AE44" t="str">
            <v/>
          </cell>
        </row>
        <row r="45">
          <cell r="S45">
            <v>6</v>
          </cell>
          <cell r="AC45" t="str">
            <v/>
          </cell>
          <cell r="AE45" t="str">
            <v/>
          </cell>
        </row>
        <row r="46">
          <cell r="A46">
            <v>8</v>
          </cell>
          <cell r="L46" t="str">
            <v/>
          </cell>
          <cell r="P46" t="str">
            <v/>
          </cell>
          <cell r="S46">
            <v>1</v>
          </cell>
          <cell r="AC46" t="str">
            <v/>
          </cell>
          <cell r="AE46" t="str">
            <v/>
          </cell>
        </row>
        <row r="47">
          <cell r="S47">
            <v>2</v>
          </cell>
          <cell r="AC47" t="str">
            <v/>
          </cell>
          <cell r="AE47" t="str">
            <v/>
          </cell>
        </row>
        <row r="48">
          <cell r="S48">
            <v>3</v>
          </cell>
          <cell r="AC48" t="str">
            <v/>
          </cell>
          <cell r="AE48" t="str">
            <v/>
          </cell>
        </row>
        <row r="49">
          <cell r="S49">
            <v>4</v>
          </cell>
          <cell r="AC49" t="str">
            <v/>
          </cell>
          <cell r="AE49" t="str">
            <v/>
          </cell>
        </row>
        <row r="50">
          <cell r="S50">
            <v>5</v>
          </cell>
          <cell r="AC50" t="str">
            <v/>
          </cell>
          <cell r="AE50" t="str">
            <v/>
          </cell>
        </row>
        <row r="51">
          <cell r="S51">
            <v>6</v>
          </cell>
          <cell r="AC51" t="str">
            <v/>
          </cell>
          <cell r="AE51" t="str">
            <v/>
          </cell>
        </row>
        <row r="52">
          <cell r="A52">
            <v>7</v>
          </cell>
          <cell r="L52" t="str">
            <v/>
          </cell>
          <cell r="P52" t="str">
            <v/>
          </cell>
          <cell r="S52">
            <v>1</v>
          </cell>
          <cell r="AC52" t="str">
            <v/>
          </cell>
          <cell r="AE52" t="str">
            <v/>
          </cell>
        </row>
        <row r="53">
          <cell r="S53">
            <v>2</v>
          </cell>
          <cell r="AC53" t="str">
            <v/>
          </cell>
          <cell r="AE53" t="str">
            <v/>
          </cell>
        </row>
        <row r="54">
          <cell r="S54">
            <v>3</v>
          </cell>
          <cell r="AC54" t="str">
            <v/>
          </cell>
          <cell r="AE54" t="str">
            <v/>
          </cell>
        </row>
        <row r="55">
          <cell r="S55">
            <v>4</v>
          </cell>
          <cell r="AC55" t="str">
            <v/>
          </cell>
          <cell r="AE55" t="str">
            <v/>
          </cell>
        </row>
        <row r="56">
          <cell r="S56">
            <v>5</v>
          </cell>
          <cell r="AC56" t="str">
            <v/>
          </cell>
          <cell r="AE56" t="str">
            <v/>
          </cell>
        </row>
        <row r="57">
          <cell r="S57">
            <v>6</v>
          </cell>
          <cell r="AC57" t="str">
            <v/>
          </cell>
          <cell r="AE57" t="str">
            <v/>
          </cell>
        </row>
        <row r="58">
          <cell r="A58">
            <v>8</v>
          </cell>
          <cell r="L58" t="str">
            <v/>
          </cell>
          <cell r="P58" t="str">
            <v/>
          </cell>
          <cell r="S58">
            <v>1</v>
          </cell>
          <cell r="AC58" t="str">
            <v/>
          </cell>
          <cell r="AE58" t="str">
            <v/>
          </cell>
        </row>
        <row r="59">
          <cell r="S59">
            <v>2</v>
          </cell>
          <cell r="AC59" t="str">
            <v/>
          </cell>
          <cell r="AE59" t="str">
            <v/>
          </cell>
        </row>
        <row r="60">
          <cell r="S60">
            <v>3</v>
          </cell>
          <cell r="AC60" t="str">
            <v/>
          </cell>
          <cell r="AE60" t="str">
            <v/>
          </cell>
        </row>
        <row r="61">
          <cell r="S61">
            <v>4</v>
          </cell>
          <cell r="AC61" t="str">
            <v/>
          </cell>
          <cell r="AE61" t="str">
            <v/>
          </cell>
        </row>
        <row r="62">
          <cell r="S62">
            <v>5</v>
          </cell>
          <cell r="AC62" t="str">
            <v/>
          </cell>
          <cell r="AE62" t="str">
            <v/>
          </cell>
        </row>
        <row r="63">
          <cell r="S63">
            <v>6</v>
          </cell>
          <cell r="AC63" t="str">
            <v/>
          </cell>
          <cell r="AE63" t="str">
            <v/>
          </cell>
        </row>
        <row r="64">
          <cell r="A64">
            <v>7</v>
          </cell>
        </row>
        <row r="70">
          <cell r="A70">
            <v>8</v>
          </cell>
          <cell r="L70" t="str">
            <v/>
          </cell>
          <cell r="P70" t="str">
            <v/>
          </cell>
        </row>
        <row r="1040">
          <cell r="M1040"/>
          <cell r="Q1040"/>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C2" t="str">
            <v>Catastrófico</v>
          </cell>
          <cell r="G2" t="str">
            <v>Insignificante</v>
          </cell>
          <cell r="H2">
            <v>1</v>
          </cell>
          <cell r="M2" t="str">
            <v>(E-01)
Direccionamiento Estratégico y Planeación</v>
          </cell>
        </row>
        <row r="3">
          <cell r="C3" t="str">
            <v>Mayor</v>
          </cell>
          <cell r="G3" t="str">
            <v>Menor</v>
          </cell>
          <cell r="H3">
            <v>2</v>
          </cell>
          <cell r="M3" t="str">
            <v>(E-02)
Administración del Sistema Integrado de Gestión</v>
          </cell>
        </row>
        <row r="4">
          <cell r="C4" t="str">
            <v>Moderado</v>
          </cell>
          <cell r="G4" t="str">
            <v>Moderado</v>
          </cell>
          <cell r="H4">
            <v>3</v>
          </cell>
          <cell r="M4" t="str">
            <v>(E-03)
Comunicaciones</v>
          </cell>
        </row>
        <row r="5">
          <cell r="C5" t="str">
            <v>Menor</v>
          </cell>
          <cell r="G5" t="str">
            <v>Mayor</v>
          </cell>
          <cell r="H5">
            <v>4</v>
          </cell>
          <cell r="M5" t="str">
            <v>(E-04)
Servicio al Ciudadano</v>
          </cell>
        </row>
        <row r="6">
          <cell r="C6" t="str">
            <v>Insignificante</v>
          </cell>
          <cell r="G6" t="str">
            <v>Catastrófico</v>
          </cell>
          <cell r="H6">
            <v>5</v>
          </cell>
          <cell r="M6" t="str">
            <v>(E-05)
Gestión de las Tecnologías de la Información</v>
          </cell>
        </row>
        <row r="7">
          <cell r="M7" t="str">
            <v>(M-01)
Servicios de Calibración y medición metrológica</v>
          </cell>
        </row>
        <row r="8">
          <cell r="M8" t="str">
            <v>(M-02)
Capacitación, Formación y Cultura Metrológica</v>
          </cell>
        </row>
        <row r="9">
          <cell r="M9" t="str">
            <v>(M-03)
Producción de Materiales de Referencia y Desarrollo de Métodos Analíticos</v>
          </cell>
        </row>
        <row r="10">
          <cell r="M10" t="str">
            <v>(M-04)
Asistencia Técnica</v>
          </cell>
        </row>
        <row r="11">
          <cell r="G11" t="str">
            <v>Casi seguro</v>
          </cell>
          <cell r="H11">
            <v>5</v>
          </cell>
          <cell r="M11" t="str">
            <v>(M-05)
Ensayos de Aptitud</v>
          </cell>
        </row>
        <row r="12">
          <cell r="G12" t="str">
            <v>Probable</v>
          </cell>
          <cell r="H12">
            <v>4</v>
          </cell>
          <cell r="M12" t="str">
            <v>(M-06)
Red Colombiana de Metrología</v>
          </cell>
        </row>
        <row r="13">
          <cell r="G13" t="str">
            <v>Posible</v>
          </cell>
          <cell r="H13">
            <v>3</v>
          </cell>
          <cell r="M13" t="str">
            <v>(M-07)
Investigación, Desarrollo e Innovación</v>
          </cell>
        </row>
        <row r="14">
          <cell r="G14" t="str">
            <v>Improbable</v>
          </cell>
          <cell r="H14">
            <v>2</v>
          </cell>
          <cell r="M14" t="str">
            <v>(M-08)
Gestión de patrones nacionales y sistemas medición</v>
          </cell>
        </row>
        <row r="15">
          <cell r="G15" t="str">
            <v>Rara vez</v>
          </cell>
          <cell r="H15">
            <v>1</v>
          </cell>
          <cell r="M15" t="str">
            <v>(A-01)
Gestión Financiera</v>
          </cell>
        </row>
        <row r="16">
          <cell r="M16" t="str">
            <v>(A-02)
Defensa Judicial</v>
          </cell>
        </row>
        <row r="17">
          <cell r="M17" t="str">
            <v>(A-03)
Gestión Documental</v>
          </cell>
        </row>
        <row r="18">
          <cell r="M18" t="str">
            <v>(A-04)
Gestión de Talento Humano</v>
          </cell>
        </row>
        <row r="19">
          <cell r="M19" t="str">
            <v>(A-05)
Gestión Administrativa</v>
          </cell>
        </row>
        <row r="20">
          <cell r="M20" t="str">
            <v>(A-06)
Control Disciplinario</v>
          </cell>
        </row>
        <row r="21">
          <cell r="M21" t="str">
            <v>(A-07)
Contratación y Adquisición de Bienes y Servicios</v>
          </cell>
        </row>
        <row r="22">
          <cell r="M22" t="str">
            <v>(A-08)
Gestión de Servicios Metrológicos</v>
          </cell>
        </row>
        <row r="23">
          <cell r="M23" t="str">
            <v>(C-01)
Evaluación, acompañamiento y asesoría al Sistema de Control Interno</v>
          </cell>
        </row>
        <row r="24">
          <cell r="M24" t="str">
            <v>(T)
Transversal</v>
          </cell>
        </row>
        <row r="33">
          <cell r="C33" t="str">
            <v>Fuerte</v>
          </cell>
        </row>
        <row r="34">
          <cell r="C34" t="str">
            <v>Moderado</v>
          </cell>
        </row>
        <row r="35">
          <cell r="C35" t="str">
            <v>Débil</v>
          </cell>
        </row>
        <row r="40">
          <cell r="D40">
            <v>11</v>
          </cell>
          <cell r="E40" t="str">
            <v>Bajo</v>
          </cell>
        </row>
        <row r="41">
          <cell r="D41">
            <v>12</v>
          </cell>
          <cell r="E41" t="str">
            <v>Bajo</v>
          </cell>
        </row>
        <row r="42">
          <cell r="D42">
            <v>13</v>
          </cell>
          <cell r="E42" t="str">
            <v>Bajo</v>
          </cell>
        </row>
        <row r="43">
          <cell r="D43">
            <v>14</v>
          </cell>
          <cell r="E43" t="str">
            <v>Moderado</v>
          </cell>
        </row>
        <row r="44">
          <cell r="D44">
            <v>15</v>
          </cell>
          <cell r="E44" t="str">
            <v>Alto</v>
          </cell>
        </row>
        <row r="45">
          <cell r="D45">
            <v>21</v>
          </cell>
          <cell r="E45" t="str">
            <v>Bajo</v>
          </cell>
        </row>
        <row r="46">
          <cell r="D46">
            <v>22</v>
          </cell>
          <cell r="E46" t="str">
            <v>Bajo</v>
          </cell>
        </row>
        <row r="47">
          <cell r="D47">
            <v>23</v>
          </cell>
          <cell r="E47" t="str">
            <v>Moderado</v>
          </cell>
        </row>
        <row r="48">
          <cell r="D48">
            <v>24</v>
          </cell>
          <cell r="E48" t="str">
            <v>Alto</v>
          </cell>
        </row>
        <row r="49">
          <cell r="D49">
            <v>25</v>
          </cell>
          <cell r="E49" t="str">
            <v>Alto</v>
          </cell>
        </row>
        <row r="50">
          <cell r="D50">
            <v>31</v>
          </cell>
          <cell r="E50" t="str">
            <v>Moderado</v>
          </cell>
        </row>
        <row r="51">
          <cell r="D51">
            <v>32</v>
          </cell>
          <cell r="E51" t="str">
            <v>Moderado</v>
          </cell>
        </row>
        <row r="52">
          <cell r="D52">
            <v>33</v>
          </cell>
          <cell r="E52" t="str">
            <v>Alto</v>
          </cell>
        </row>
        <row r="53">
          <cell r="D53">
            <v>34</v>
          </cell>
          <cell r="E53" t="str">
            <v>Alto</v>
          </cell>
        </row>
        <row r="54">
          <cell r="D54">
            <v>35</v>
          </cell>
          <cell r="E54" t="str">
            <v>Extremo</v>
          </cell>
        </row>
        <row r="55">
          <cell r="D55">
            <v>41</v>
          </cell>
          <cell r="E55" t="str">
            <v>Alto</v>
          </cell>
        </row>
        <row r="56">
          <cell r="D56">
            <v>42</v>
          </cell>
          <cell r="E56" t="str">
            <v>Alto</v>
          </cell>
        </row>
        <row r="57">
          <cell r="D57">
            <v>43</v>
          </cell>
          <cell r="E57" t="str">
            <v>Extremo</v>
          </cell>
        </row>
        <row r="58">
          <cell r="D58">
            <v>44</v>
          </cell>
          <cell r="E58" t="str">
            <v>Extremo</v>
          </cell>
        </row>
        <row r="59">
          <cell r="D59">
            <v>45</v>
          </cell>
          <cell r="E59" t="str">
            <v>Extremo</v>
          </cell>
        </row>
        <row r="60">
          <cell r="D60">
            <v>51</v>
          </cell>
          <cell r="E60" t="str">
            <v>Extremo</v>
          </cell>
        </row>
        <row r="61">
          <cell r="A61" t="str">
            <v>SI</v>
          </cell>
          <cell r="D61">
            <v>52</v>
          </cell>
          <cell r="E61" t="str">
            <v>Extremo</v>
          </cell>
        </row>
        <row r="62">
          <cell r="A62" t="str">
            <v>NO</v>
          </cell>
          <cell r="D62">
            <v>53</v>
          </cell>
          <cell r="E62" t="str">
            <v>Extremo</v>
          </cell>
        </row>
        <row r="63">
          <cell r="D63">
            <v>54</v>
          </cell>
          <cell r="E63" t="str">
            <v>Extremo</v>
          </cell>
        </row>
        <row r="64">
          <cell r="D64">
            <v>55</v>
          </cell>
          <cell r="E64" t="str">
            <v>Extremo</v>
          </cell>
        </row>
        <row r="65">
          <cell r="A65" t="str">
            <v>Asignado</v>
          </cell>
        </row>
        <row r="66">
          <cell r="A66" t="str">
            <v>No asignado</v>
          </cell>
        </row>
        <row r="69">
          <cell r="A69" t="str">
            <v>Adecuado</v>
          </cell>
        </row>
        <row r="70">
          <cell r="A70" t="str">
            <v>Inadecuado</v>
          </cell>
        </row>
        <row r="73">
          <cell r="A73" t="str">
            <v>Oportuna</v>
          </cell>
        </row>
        <row r="74">
          <cell r="A74" t="str">
            <v>Inoportuna</v>
          </cell>
        </row>
        <row r="77">
          <cell r="A77" t="str">
            <v>Prevenir</v>
          </cell>
        </row>
        <row r="78">
          <cell r="A78" t="str">
            <v>Detectar</v>
          </cell>
        </row>
        <row r="79">
          <cell r="A79" t="str">
            <v>No es un control</v>
          </cell>
        </row>
        <row r="82">
          <cell r="A82" t="str">
            <v>Confiable</v>
          </cell>
        </row>
        <row r="83">
          <cell r="A83" t="str">
            <v>No confiable</v>
          </cell>
        </row>
        <row r="86">
          <cell r="A86" t="str">
            <v>Se investigan y resuelven oportunamente</v>
          </cell>
        </row>
        <row r="87">
          <cell r="A87" t="str">
            <v>No se investigan y resuelven oportunamente</v>
          </cell>
        </row>
        <row r="90">
          <cell r="A90" t="str">
            <v>Completa</v>
          </cell>
        </row>
        <row r="91">
          <cell r="A91" t="str">
            <v>Incompleta</v>
          </cell>
        </row>
        <row r="92">
          <cell r="A92" t="str">
            <v>No existe</v>
          </cell>
        </row>
        <row r="95">
          <cell r="A95" t="str">
            <v>Preventivo</v>
          </cell>
        </row>
        <row r="96">
          <cell r="A96" t="str">
            <v>Detectivo</v>
          </cell>
        </row>
        <row r="99">
          <cell r="A99" t="str">
            <v>Aceptar</v>
          </cell>
        </row>
        <row r="100">
          <cell r="A100" t="str">
            <v>Evitar</v>
          </cell>
        </row>
        <row r="101">
          <cell r="A101" t="str">
            <v>Compartir</v>
          </cell>
        </row>
        <row r="102">
          <cell r="A102" t="str">
            <v>Reducir</v>
          </cell>
        </row>
        <row r="105">
          <cell r="A105" t="str">
            <v>Extremo</v>
          </cell>
        </row>
        <row r="106">
          <cell r="A106" t="str">
            <v>Alto</v>
          </cell>
        </row>
        <row r="107">
          <cell r="A107" t="str">
            <v>Moderado</v>
          </cell>
        </row>
        <row r="108">
          <cell r="A108" t="str">
            <v>Bajo</v>
          </cell>
        </row>
        <row r="111">
          <cell r="A111" t="str">
            <v>Directamente</v>
          </cell>
        </row>
        <row r="112">
          <cell r="A112" t="str">
            <v>No disminuye</v>
          </cell>
        </row>
        <row r="113">
          <cell r="A113" t="str">
            <v>Indirectamente</v>
          </cell>
        </row>
      </sheetData>
      <sheetData sheetId="17"/>
      <sheetData sheetId="18"/>
      <sheetData sheetId="19"/>
      <sheetData sheetId="2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NF0cdhVvWkG8gUIRu-NWExynyaae2uNCvcINrl9Gr-U7v6nqwmBWRJFt9IF_sItP" itemId="01RJCLHCRCMJM7FTG4PFB2SRO726XBB5EG">
      <xxl21:absoluteUrl r:id="rId2"/>
    </xxl21:alternateUrls>
    <sheetNames>
      <sheetName val="Matriz Calor Inherente"/>
      <sheetName val="Matriz Calor Residual"/>
      <sheetName val="Control de cambios"/>
      <sheetName val="Inst. Riesgos de gestión"/>
      <sheetName val="Matriz riesgos de gestión"/>
      <sheetName val="Matriz riesgos fiscales"/>
      <sheetName val="Catálogo puntos riesgo fiscal"/>
      <sheetName val="Inst. riesgos corrupción"/>
      <sheetName val="Matriz riesgos de corrupción"/>
      <sheetName val="ImpCorrup"/>
      <sheetName val="MapaCalor"/>
      <sheetName val="Matriz Calor Inherente SI"/>
      <sheetName val="Matriz Calor Residual SI"/>
      <sheetName val="Inst. Riesgos seguridad Inf."/>
      <sheetName val="Riesgos seguridad información"/>
      <sheetName val="Grupo de activos - SI"/>
      <sheetName val="Seguimiento"/>
      <sheetName val="Tabla Impacto"/>
      <sheetName val="Tabla probabilidad"/>
      <sheetName val="Tabla Valoración controles"/>
      <sheetName val="Base corrupción"/>
      <sheetName val="Mapa final back up"/>
      <sheetName val="Hoja1"/>
      <sheetName val="Base de datos gestión"/>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2">
          <cell r="C12" t="str">
            <v xml:space="preserve">     Afectación menor a 10 SMLMV .</v>
          </cell>
          <cell r="D12" t="str">
            <v xml:space="preserve">     El riesgo afecta la imagen de alguna área de la organización</v>
          </cell>
        </row>
        <row r="13">
          <cell r="C13" t="str">
            <v xml:space="preserve">     Entre 10 y 50 SMLMV </v>
          </cell>
          <cell r="D13" t="str">
            <v xml:space="preserve">     El riesgo afecta la imagen de la entidad internamente, de conocimiento general, nivel interno, de junta dircetiva y accionistas y/o de provedores</v>
          </cell>
        </row>
        <row r="14">
          <cell r="C14" t="str">
            <v xml:space="preserve">     Entre 50 y 100 SMLMV </v>
          </cell>
          <cell r="D14" t="str">
            <v xml:space="preserve">     El riesgo afecta la imagen de la entidad con algunos usuarios de relevancia frente al logro de los objetivos</v>
          </cell>
        </row>
        <row r="15">
          <cell r="C15" t="str">
            <v xml:space="preserve">     Entre 100 y 500 SMLMV </v>
          </cell>
          <cell r="D15" t="str">
            <v xml:space="preserve">     El riesgo afecta la imagen de de la entidad con efecto publicitario sostenido a nivel de sector administrativo, nivel departamental o municipal</v>
          </cell>
        </row>
        <row r="16">
          <cell r="C16" t="str">
            <v xml:space="preserve">     Mayor a 500 SMLMV </v>
          </cell>
          <cell r="D16" t="str">
            <v xml:space="preserve">     El riesgo afecta la imagen de la entidad a nivel nacional, con efecto publicitarios sostenible a nivel país</v>
          </cell>
        </row>
        <row r="222">
          <cell r="B222">
            <v>0</v>
          </cell>
        </row>
        <row r="223">
          <cell r="B223" t="str">
            <v>Criterios</v>
          </cell>
        </row>
        <row r="224">
          <cell r="B224" t="str">
            <v>Afectación Económica o presupuestal</v>
          </cell>
          <cell r="F224" t="str">
            <v>❌</v>
          </cell>
        </row>
      </sheetData>
      <sheetData sheetId="18" refreshError="1"/>
      <sheetData sheetId="19" refreshError="1"/>
      <sheetData sheetId="20" refreshError="1">
        <row r="2">
          <cell r="C2" t="str">
            <v>Catastrófico</v>
          </cell>
          <cell r="G2" t="str">
            <v>Insignificante</v>
          </cell>
          <cell r="H2">
            <v>1</v>
          </cell>
          <cell r="M2" t="str">
            <v>(E-01)
Direccionamiento Estratégico y Planeación</v>
          </cell>
        </row>
        <row r="3">
          <cell r="C3" t="str">
            <v>Mayor</v>
          </cell>
          <cell r="G3" t="str">
            <v>Menor</v>
          </cell>
          <cell r="H3">
            <v>2</v>
          </cell>
          <cell r="M3" t="str">
            <v>(E-02)
Administración del Sistema Integrado de Gestión</v>
          </cell>
        </row>
        <row r="4">
          <cell r="C4" t="str">
            <v>Moderado</v>
          </cell>
          <cell r="G4" t="str">
            <v>Moderado</v>
          </cell>
          <cell r="H4">
            <v>3</v>
          </cell>
          <cell r="M4" t="str">
            <v>(E-03)
Comunicaciones</v>
          </cell>
        </row>
        <row r="5">
          <cell r="C5" t="str">
            <v>Menor</v>
          </cell>
          <cell r="G5" t="str">
            <v>Mayor</v>
          </cell>
          <cell r="H5">
            <v>4</v>
          </cell>
          <cell r="M5" t="str">
            <v>(E-04)
Servicio al Ciudadano</v>
          </cell>
        </row>
        <row r="6">
          <cell r="C6" t="str">
            <v>Insignificante</v>
          </cell>
          <cell r="G6" t="str">
            <v>Catastrófico</v>
          </cell>
          <cell r="H6">
            <v>5</v>
          </cell>
          <cell r="M6" t="str">
            <v>(E-05)
Gestión de las Tecnologías de la Información</v>
          </cell>
        </row>
        <row r="7">
          <cell r="M7" t="str">
            <v>(M-01)
Servicios de Calibración y medición metrológica</v>
          </cell>
        </row>
        <row r="8">
          <cell r="M8" t="str">
            <v>(M-02)
Capacitación, Formación y Cultura Metrológica</v>
          </cell>
        </row>
        <row r="9">
          <cell r="M9" t="str">
            <v>(M-03)
Producción de Materiales de Referencia y Desarrollo de Métodos Analíticos</v>
          </cell>
        </row>
        <row r="10">
          <cell r="M10" t="str">
            <v>(M-04)
Asistencia Técnica</v>
          </cell>
        </row>
        <row r="11">
          <cell r="G11" t="str">
            <v>Casi seguro</v>
          </cell>
          <cell r="H11">
            <v>5</v>
          </cell>
          <cell r="M11" t="str">
            <v>(M-05)
Ensayos de Aptitud</v>
          </cell>
        </row>
        <row r="12">
          <cell r="G12" t="str">
            <v>Probable</v>
          </cell>
          <cell r="H12">
            <v>4</v>
          </cell>
          <cell r="M12" t="str">
            <v>(M-06)
Red Colombiana de Metrología</v>
          </cell>
        </row>
        <row r="13">
          <cell r="G13" t="str">
            <v>Posible</v>
          </cell>
          <cell r="H13">
            <v>3</v>
          </cell>
          <cell r="M13" t="str">
            <v>(M-07)
Investigación, Desarrollo e Innovación</v>
          </cell>
        </row>
        <row r="14">
          <cell r="G14" t="str">
            <v>Improbable</v>
          </cell>
          <cell r="H14">
            <v>2</v>
          </cell>
          <cell r="M14" t="str">
            <v>(M-08)
Gestión de patrones nacionales y sistemas medición</v>
          </cell>
        </row>
        <row r="15">
          <cell r="G15" t="str">
            <v>Rara vez</v>
          </cell>
          <cell r="H15">
            <v>1</v>
          </cell>
          <cell r="M15" t="str">
            <v>(A-01)
Gestión Financiera</v>
          </cell>
        </row>
        <row r="16">
          <cell r="M16" t="str">
            <v>(A-02)
Defensa Judicial</v>
          </cell>
        </row>
        <row r="17">
          <cell r="M17" t="str">
            <v>(A-03)
Gestión Documental</v>
          </cell>
        </row>
        <row r="18">
          <cell r="M18" t="str">
            <v>(A-04)
Gestión de Talento Humano</v>
          </cell>
        </row>
        <row r="19">
          <cell r="M19" t="str">
            <v>(A-05)
Gestión Administrativa</v>
          </cell>
        </row>
        <row r="20">
          <cell r="M20" t="str">
            <v>(A-06)
Control Disciplinario</v>
          </cell>
        </row>
        <row r="21">
          <cell r="M21" t="str">
            <v>(A-07)
Contratación y Adquisición de Bienes y Servicios</v>
          </cell>
        </row>
        <row r="22">
          <cell r="M22" t="str">
            <v>(A-08)
Gestión de Servicios Metrológicos</v>
          </cell>
        </row>
        <row r="23">
          <cell r="M23" t="str">
            <v>(C-01)
Evaluación, acompañamiento y asesoría al Sistema de Control Interno</v>
          </cell>
        </row>
        <row r="24">
          <cell r="M24" t="str">
            <v>(T)
Transversal</v>
          </cell>
        </row>
        <row r="33">
          <cell r="C33" t="str">
            <v>Fuerte</v>
          </cell>
        </row>
        <row r="34">
          <cell r="C34" t="str">
            <v>Moderado</v>
          </cell>
        </row>
        <row r="35">
          <cell r="C35" t="str">
            <v>Débil</v>
          </cell>
        </row>
        <row r="40">
          <cell r="D40">
            <v>11</v>
          </cell>
          <cell r="E40" t="str">
            <v>Bajo</v>
          </cell>
        </row>
        <row r="41">
          <cell r="D41">
            <v>12</v>
          </cell>
          <cell r="E41" t="str">
            <v>Bajo</v>
          </cell>
        </row>
        <row r="42">
          <cell r="D42">
            <v>13</v>
          </cell>
          <cell r="E42" t="str">
            <v>Bajo</v>
          </cell>
        </row>
        <row r="43">
          <cell r="D43">
            <v>14</v>
          </cell>
          <cell r="E43" t="str">
            <v>Moderado</v>
          </cell>
        </row>
        <row r="44">
          <cell r="D44">
            <v>15</v>
          </cell>
          <cell r="E44" t="str">
            <v>Alto</v>
          </cell>
        </row>
        <row r="45">
          <cell r="D45">
            <v>21</v>
          </cell>
          <cell r="E45" t="str">
            <v>Bajo</v>
          </cell>
        </row>
        <row r="46">
          <cell r="D46">
            <v>22</v>
          </cell>
          <cell r="E46" t="str">
            <v>Bajo</v>
          </cell>
        </row>
        <row r="47">
          <cell r="D47">
            <v>23</v>
          </cell>
          <cell r="E47" t="str">
            <v>Moderado</v>
          </cell>
        </row>
        <row r="48">
          <cell r="D48">
            <v>24</v>
          </cell>
          <cell r="E48" t="str">
            <v>Alto</v>
          </cell>
        </row>
        <row r="49">
          <cell r="D49">
            <v>25</v>
          </cell>
          <cell r="E49" t="str">
            <v>Alto</v>
          </cell>
        </row>
        <row r="50">
          <cell r="D50">
            <v>31</v>
          </cell>
          <cell r="E50" t="str">
            <v>Moderado</v>
          </cell>
        </row>
        <row r="51">
          <cell r="D51">
            <v>32</v>
          </cell>
          <cell r="E51" t="str">
            <v>Moderado</v>
          </cell>
        </row>
        <row r="52">
          <cell r="D52">
            <v>33</v>
          </cell>
          <cell r="E52" t="str">
            <v>Alto</v>
          </cell>
        </row>
        <row r="53">
          <cell r="D53">
            <v>34</v>
          </cell>
          <cell r="E53" t="str">
            <v>Alto</v>
          </cell>
        </row>
        <row r="54">
          <cell r="D54">
            <v>35</v>
          </cell>
          <cell r="E54" t="str">
            <v>Extremo</v>
          </cell>
        </row>
        <row r="55">
          <cell r="D55">
            <v>41</v>
          </cell>
          <cell r="E55" t="str">
            <v>Alto</v>
          </cell>
        </row>
        <row r="56">
          <cell r="D56">
            <v>42</v>
          </cell>
          <cell r="E56" t="str">
            <v>Alto</v>
          </cell>
        </row>
        <row r="57">
          <cell r="D57">
            <v>43</v>
          </cell>
          <cell r="E57" t="str">
            <v>Extremo</v>
          </cell>
        </row>
        <row r="58">
          <cell r="D58">
            <v>44</v>
          </cell>
          <cell r="E58" t="str">
            <v>Extremo</v>
          </cell>
        </row>
        <row r="59">
          <cell r="D59">
            <v>45</v>
          </cell>
          <cell r="E59" t="str">
            <v>Extremo</v>
          </cell>
        </row>
        <row r="60">
          <cell r="D60">
            <v>51</v>
          </cell>
          <cell r="E60" t="str">
            <v>Extremo</v>
          </cell>
        </row>
        <row r="61">
          <cell r="A61" t="str">
            <v>SI</v>
          </cell>
          <cell r="D61">
            <v>52</v>
          </cell>
          <cell r="E61" t="str">
            <v>Extremo</v>
          </cell>
        </row>
        <row r="62">
          <cell r="A62" t="str">
            <v>NO</v>
          </cell>
          <cell r="D62">
            <v>53</v>
          </cell>
          <cell r="E62" t="str">
            <v>Extremo</v>
          </cell>
        </row>
        <row r="63">
          <cell r="D63">
            <v>54</v>
          </cell>
          <cell r="E63" t="str">
            <v>Extremo</v>
          </cell>
        </row>
        <row r="64">
          <cell r="D64">
            <v>55</v>
          </cell>
          <cell r="E64" t="str">
            <v>Extremo</v>
          </cell>
        </row>
        <row r="65">
          <cell r="A65" t="str">
            <v>Asignado</v>
          </cell>
        </row>
        <row r="66">
          <cell r="A66" t="str">
            <v>No asignado</v>
          </cell>
        </row>
        <row r="69">
          <cell r="A69" t="str">
            <v>Adecuado</v>
          </cell>
        </row>
        <row r="70">
          <cell r="A70" t="str">
            <v>Inadecuado</v>
          </cell>
        </row>
        <row r="73">
          <cell r="A73" t="str">
            <v>Oportuna</v>
          </cell>
        </row>
        <row r="74">
          <cell r="A74" t="str">
            <v>Inoportuna</v>
          </cell>
        </row>
        <row r="77">
          <cell r="A77" t="str">
            <v>Prevenir</v>
          </cell>
        </row>
        <row r="78">
          <cell r="A78" t="str">
            <v>Detectar</v>
          </cell>
        </row>
        <row r="79">
          <cell r="A79" t="str">
            <v>No es un control</v>
          </cell>
        </row>
        <row r="82">
          <cell r="A82" t="str">
            <v>Confiable</v>
          </cell>
        </row>
        <row r="83">
          <cell r="A83" t="str">
            <v>No confiable</v>
          </cell>
        </row>
        <row r="86">
          <cell r="A86" t="str">
            <v>Se investigan y resuelven oportunamente</v>
          </cell>
        </row>
        <row r="87">
          <cell r="A87" t="str">
            <v>No se investigan y resuelven oportunamente</v>
          </cell>
        </row>
        <row r="90">
          <cell r="A90" t="str">
            <v>Completa</v>
          </cell>
        </row>
        <row r="91">
          <cell r="A91" t="str">
            <v>Incompleta</v>
          </cell>
        </row>
        <row r="92">
          <cell r="A92" t="str">
            <v>No existe</v>
          </cell>
        </row>
        <row r="95">
          <cell r="A95" t="str">
            <v>Preventivo</v>
          </cell>
        </row>
        <row r="96">
          <cell r="A96" t="str">
            <v>Detectivo</v>
          </cell>
        </row>
        <row r="99">
          <cell r="A99" t="str">
            <v>Aceptar</v>
          </cell>
        </row>
        <row r="100">
          <cell r="A100" t="str">
            <v>Evitar</v>
          </cell>
        </row>
        <row r="101">
          <cell r="A101" t="str">
            <v>Compartir</v>
          </cell>
        </row>
        <row r="102">
          <cell r="A102" t="str">
            <v>Reducir</v>
          </cell>
        </row>
        <row r="105">
          <cell r="A105" t="str">
            <v>Extremo</v>
          </cell>
        </row>
        <row r="106">
          <cell r="A106" t="str">
            <v>Alto</v>
          </cell>
        </row>
        <row r="107">
          <cell r="A107" t="str">
            <v>Moderado</v>
          </cell>
        </row>
        <row r="108">
          <cell r="A108" t="str">
            <v>Bajo</v>
          </cell>
        </row>
        <row r="111">
          <cell r="A111" t="str">
            <v>Directamente</v>
          </cell>
        </row>
        <row r="112">
          <cell r="A112" t="str">
            <v>No disminuye</v>
          </cell>
        </row>
        <row r="113">
          <cell r="A113" t="str">
            <v>Indirectamente</v>
          </cell>
        </row>
      </sheetData>
      <sheetData sheetId="21" refreshError="1"/>
      <sheetData sheetId="22" refreshError="1"/>
      <sheetData sheetId="23" refreshError="1">
        <row r="28">
          <cell r="C28" t="str">
            <v>(E-01)
Direccionamiento Estratégico y Planeación</v>
          </cell>
          <cell r="D28" t="str">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ell>
          <cell r="E28" t="str">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ell>
        </row>
        <row r="29">
          <cell r="C29" t="str">
            <v>(E-02)
Administración del Sistema Integrado de Gestión</v>
          </cell>
          <cell r="D29" t="str">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ell>
          <cell r="E29" t="str">
            <v>Aplica para todos los procesos del INM y los requisitos de las normas definidos dentro de la política del Sistema Integrado de Gestión. Inicia con la planificación, termina con la implementacion de acciones y su evaluacion de la eficacia</v>
          </cell>
        </row>
        <row r="30">
          <cell r="C30" t="str">
            <v>(E-03)
Comunicaciones</v>
          </cell>
          <cell r="D30" t="str">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ell>
          <cell r="E30" t="str">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ell>
        </row>
        <row r="31">
          <cell r="C31" t="str">
            <v>(E-04)
Servicio al Ciudadano</v>
          </cell>
          <cell r="D31" t="str">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ell>
          <cell r="E31" t="str">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ell>
        </row>
        <row r="32">
          <cell r="C32" t="str">
            <v>(E-05)
Gestión de las Tecnologías de la Información</v>
          </cell>
          <cell r="D32" t="str">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ell>
          <cell r="E32" t="str">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ell>
        </row>
        <row r="33">
          <cell r="C33" t="str">
            <v>(M-01)
Servicios de Calibración y medición metrológica</v>
          </cell>
          <cell r="D33" t="str">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ell>
          <cell r="E33" t="str">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ell>
        </row>
        <row r="34">
          <cell r="C34" t="str">
            <v>(M-02)
Capacitación, Formación y Cultura Metrológica</v>
          </cell>
          <cell r="D34" t="str">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ell>
          <cell r="E34" t="str">
            <v>Inicia con el establecimiento de los procedimientos y demás documentos del proceso y culmina con la evaluación de la satisfacción de las capacitaciones y la toma de acciones de mejoramiento por parte de los responsables del proceso.</v>
          </cell>
        </row>
        <row r="35">
          <cell r="C35" t="str">
            <v>(M-03)
Producción de Materiales de Referencia y Desarrollo de Métodos Analíticos</v>
          </cell>
          <cell r="D35" t="str">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ell>
          <cell r="E35" t="str">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ell>
        </row>
        <row r="36">
          <cell r="C36" t="str">
            <v>(M-04)
Asistencia Técnica</v>
          </cell>
          <cell r="D36" t="str">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ell>
          <cell r="E36" t="str">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ell>
        </row>
        <row r="37">
          <cell r="C37" t="str">
            <v>(M-05)
Ensayos de Aptitud</v>
          </cell>
          <cell r="D37" t="str">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ell>
          <cell r="E37" t="str">
            <v>El proceso inicia con la planificación de los servicios de ensayos de aptitud y estudios colaborativos (comparaciones interlaboratorios) y finaliza con la aplicación de la evaluación de la satisfacción del servicio.</v>
          </cell>
        </row>
        <row r="38">
          <cell r="C38" t="str">
            <v>(M-06)
Red Colombiana de Metrología</v>
          </cell>
          <cell r="D38" t="str">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ell>
          <cell r="E38" t="str">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ell>
        </row>
        <row r="39">
          <cell r="C39" t="str">
            <v>(M-07)
Investigación, Desarrollo e Innovación</v>
          </cell>
          <cell r="D39" t="str">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ell>
          <cell r="E39" t="str">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ell>
        </row>
        <row r="40">
          <cell r="C40" t="str">
            <v>(M-08)
Gestión de patrones nacionales y sistemas medición</v>
          </cell>
          <cell r="D40" t="str">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ell>
          <cell r="E40" t="str">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ell>
        </row>
        <row r="41">
          <cell r="C41" t="str">
            <v>(A-01)
Gestión Financiera</v>
          </cell>
          <cell r="D41" t="str">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ell>
          <cell r="E41" t="str">
            <v>Inicia desde la desagregación del presupuesto de gastos e ingresos y termina con la gestión del pago y el registro de las operaciones.</v>
          </cell>
        </row>
        <row r="42">
          <cell r="C42" t="str">
            <v>(A-02)
Defensa Judicial</v>
          </cell>
          <cell r="D42" t="str">
            <v>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v>
          </cell>
          <cell r="E42" t="str">
            <v>Inicia desde la ocurrencia del hecho generador de la actuación administrativa o acción extrajudicial (conciliación) o judicial (demanda) hasta la terminación del respectivo proceso judicial o administrativo y/o archivo.</v>
          </cell>
        </row>
        <row r="43">
          <cell r="C43" t="str">
            <v>(A-03)
Gestión Documental</v>
          </cell>
          <cell r="D43" t="str">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ell>
          <cell r="E43" t="str">
            <v>Inicia desde la producción y/o recepción de los documentos y termina con la eliminación o conservación total en un archivo permanente. Aplica al manejo de toda la documentación en medio de soporte físico o electrónico.</v>
          </cell>
        </row>
        <row r="44">
          <cell r="C44" t="str">
            <v>(A-04)
Gestión de Talento Humano</v>
          </cell>
          <cell r="D44" t="str">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ell>
          <cell r="E44" t="str">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ell>
        </row>
        <row r="45">
          <cell r="C45" t="str">
            <v>(A-05)
Gestión Administrativa</v>
          </cell>
          <cell r="D45" t="str">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ell>
          <cell r="E45" t="str">
            <v>Inicia con los requerimientos institucionales y termina con la atención de las necesidades presentadas por las diferentes áreas del INM.</v>
          </cell>
        </row>
        <row r="46">
          <cell r="C46" t="str">
            <v>(A-06)
Control Disciplinario</v>
          </cell>
          <cell r="D46" t="str">
            <v>Determinar la responsabilidad de los servidores públicos del INM en relación con conductas disciplinarias establecidas en las Leyes 1952 de 2019 y 2094 de 2021 (Código General Disciplinario y Reforma) adelantando oportuna y eficazmente las indagaciones o investigaciones a que haya lugar e imponiendo las sanciones legales que correspondan, para asegurar el comportamiento ético, la moralidad y la eficiencia de los servidores públicos redundando en el buen funcionamiento de los diferentes servicios a su cargo
El proceso se relaciona con el objetivo estratégico: Fortalecer la capacidad administrativa y de desempeño institucional para garantizar la eficiencia y calidad a los procesos de la entidad</v>
          </cell>
          <cell r="E46" t="str">
            <v>Inicia con una queja, solicitud o informe respecto a la presunta conducta irregular de un servidor público y termina con una decisión inhibitoria, de archivo, absolutoria o sancionatoria.</v>
          </cell>
        </row>
        <row r="47">
          <cell r="C47" t="str">
            <v>(A-07)
Contratación y Adquisición de Bienes y Servicios</v>
          </cell>
          <cell r="D47" t="str">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ell>
          <cell r="E47" t="str">
            <v>Inicia con la radicación de solicitud de contratación y finaliza con la terminación de la relación contractual.</v>
          </cell>
        </row>
        <row r="48">
          <cell r="C48" t="str">
            <v>(A-08)
Gestión de Servicios Metrológicos</v>
          </cell>
          <cell r="D48" t="str">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ell>
          <cell r="E48" t="str">
            <v>Inicia con la verificación del cumplimiento de requerimientos de diseño y desarrollo y finaliza con la recepción y entrega del producto o servicio al cliente y la gestión de acciones de mejoramiento originadas de las diferentes fuentes identificadas.</v>
          </cell>
        </row>
        <row r="49">
          <cell r="C49" t="str">
            <v>(C-01)
Evaluación, acompañamiento y asesoría al Sistema de Control Interno</v>
          </cell>
          <cell r="D49" t="str">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ell>
          <cell r="E49" t="str">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ell>
        </row>
        <row r="50">
          <cell r="C50" t="str">
            <v>(T)
Transversal</v>
          </cell>
        </row>
      </sheetData>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sheetData sheetId="7"/>
      <sheetData sheetId="8"/>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Corrupción"/>
      <sheetName val="Instructivo"/>
      <sheetName val="ImpCorrup"/>
      <sheetName val="Seguimiento"/>
      <sheetName val="MapaCalor"/>
      <sheetName val="Base"/>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Matriz"/>
      <sheetName val="Seguimiento"/>
      <sheetName val="ImpCorrup"/>
      <sheetName val="MapaCalor"/>
      <sheetName val="Base"/>
    </sheetNames>
    <sheetDataSet>
      <sheetData sheetId="0"/>
      <sheetData sheetId="1"/>
      <sheetData sheetId="2"/>
      <sheetData sheetId="3"/>
      <sheetData sheetId="4"/>
      <sheetData sheetId="5">
        <row r="54">
          <cell r="A54" t="str">
            <v>Estratégico</v>
          </cell>
        </row>
        <row r="55">
          <cell r="A55" t="str">
            <v>Misional</v>
          </cell>
        </row>
        <row r="56">
          <cell r="A56" t="str">
            <v>Apoyo</v>
          </cell>
        </row>
        <row r="57">
          <cell r="A57" t="str">
            <v>Control</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NF0cdhVvWkG8gUIRu-NWExynyaae2uNCvcINrl9Gr-U7v6nqwmBWRJFt9IF_sItP" itemId="01RJCLHCTIA3Q4XGAMHRCZQRON6ZO2J7QR">
      <xxl21:absoluteUrl r:id="rId2"/>
    </xxl21:alternateUrls>
    <sheetNames>
      <sheetName val="Control de cambios"/>
      <sheetName val="Seguimiento"/>
      <sheetName val="Mapa de procesos"/>
      <sheetName val=" Inst. Riesgos procesos"/>
      <sheetName val="Matriz Calor Residual"/>
      <sheetName val="Matriz Calor Inherente"/>
      <sheetName val="Tabla probabil."/>
      <sheetName val="Tabla Impacto"/>
      <sheetName val="Tabla Valoración controles"/>
      <sheetName val="Inst. riesgos corrupción"/>
      <sheetName val="Matriz riesgos corrupción"/>
      <sheetName val="ImpCorrup"/>
      <sheetName val="MapaCalor"/>
      <sheetName val="Base corrupción"/>
      <sheetName val="Base de datos procesos"/>
      <sheetName val="Mapa final back up"/>
      <sheetName val="Hoja1"/>
    </sheetNames>
    <sheetDataSet>
      <sheetData sheetId="0"/>
      <sheetData sheetId="1"/>
      <sheetData sheetId="2"/>
      <sheetData sheetId="3"/>
      <sheetData sheetId="4"/>
      <sheetData sheetId="5"/>
      <sheetData sheetId="6"/>
      <sheetData sheetId="7">
        <row r="12">
          <cell r="C12" t="str">
            <v xml:space="preserve">     Afectación menor a 10 SMLMV .</v>
          </cell>
          <cell r="D12" t="str">
            <v xml:space="preserve">     El riesgo afecta la imagen de alguna área de la organización</v>
          </cell>
        </row>
        <row r="13">
          <cell r="C13" t="str">
            <v xml:space="preserve">     Entre 10 y 50 SMLMV </v>
          </cell>
          <cell r="D13" t="str">
            <v xml:space="preserve">     El riesgo afecta la imagen de la entidad internamente, de conocimiento general, nivel interno, de junta dircetiva y accionistas y/o de provedores</v>
          </cell>
        </row>
        <row r="14">
          <cell r="C14" t="str">
            <v xml:space="preserve">     Entre 50 y 100 SMLMV </v>
          </cell>
          <cell r="D14" t="str">
            <v xml:space="preserve">     El riesgo afecta la imagen de la entidad con algunos usuarios de relevancia frente al logro de los objetivos</v>
          </cell>
        </row>
        <row r="15">
          <cell r="C15" t="str">
            <v xml:space="preserve">     Entre 100 y 500 SMLMV </v>
          </cell>
          <cell r="D15" t="str">
            <v xml:space="preserve">     El riesgo afecta la imagen de de la entidad con efecto publicitario sostenido a nivel de sector administrativo, nivel departamental o municipal</v>
          </cell>
        </row>
        <row r="16">
          <cell r="C16" t="str">
            <v xml:space="preserve">     Mayor a 500 SMLMV </v>
          </cell>
          <cell r="D16" t="str">
            <v xml:space="preserve">     El riesgo afecta la imagen de la entidad a nivel nacional, con efecto publicitarios sostenible a nivel país</v>
          </cell>
        </row>
      </sheetData>
      <sheetData sheetId="8"/>
      <sheetData sheetId="9"/>
      <sheetData sheetId="10"/>
      <sheetData sheetId="11"/>
      <sheetData sheetId="12"/>
      <sheetData sheetId="13"/>
      <sheetData sheetId="14"/>
      <sheetData sheetId="15"/>
      <sheetData sheetId="1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Riesgos procesos"/>
      <sheetName val="Mapa de procesos"/>
      <sheetName val="Matriz Calor Inherente"/>
      <sheetName val="Matriz Calor Residual"/>
      <sheetName val="Tabla probabil."/>
      <sheetName val="Tabla Impacto"/>
      <sheetName val="Tabla Valoración controles"/>
      <sheetName val="Inst. riesgos corrupción"/>
      <sheetName val="Matriz riesgos corrupción"/>
      <sheetName val="ImpCorrup"/>
      <sheetName val="MapaCalor"/>
      <sheetName val="Seguimiento"/>
      <sheetName val="Base corrupción"/>
      <sheetName val="Base de datos procesos"/>
      <sheetName val="Mapa final back up"/>
      <sheetName val="Hoja1"/>
    </sheetNames>
    <sheetDataSet>
      <sheetData sheetId="0"/>
      <sheetData sheetId="1"/>
      <sheetData sheetId="2"/>
      <sheetData sheetId="3"/>
      <sheetData sheetId="4"/>
      <sheetData sheetId="5">
        <row r="12">
          <cell r="C12" t="str">
            <v xml:space="preserve">     Afectación menor a 10 SMLMV .</v>
          </cell>
          <cell r="D12" t="str">
            <v xml:space="preserve">     El riesgo afecta la imagen de alguna área de la organización</v>
          </cell>
        </row>
        <row r="13">
          <cell r="C13" t="str">
            <v xml:space="preserve">     Entre 10 y 50 SMLMV </v>
          </cell>
          <cell r="D13" t="str">
            <v xml:space="preserve">     El riesgo afecta la imagen de la entidad internamente, de conocimiento general, nivel interno, de junta dircetiva y accionistas y/o de provedores</v>
          </cell>
        </row>
        <row r="14">
          <cell r="C14" t="str">
            <v xml:space="preserve">     Entre 50 y 100 SMLMV </v>
          </cell>
          <cell r="D14" t="str">
            <v xml:space="preserve">     El riesgo afecta la imagen de la entidad con algunos usuarios de relevancia frente al logro de los objetivos</v>
          </cell>
        </row>
        <row r="15">
          <cell r="C15" t="str">
            <v xml:space="preserve">     Entre 100 y 500 SMLMV </v>
          </cell>
          <cell r="D15" t="str">
            <v xml:space="preserve">     El riesgo afecta la imagen de de la entidad con efecto publicitario sostenido a nivel de sector administrativo, nivel departamental o municipal</v>
          </cell>
        </row>
        <row r="16">
          <cell r="C16" t="str">
            <v xml:space="preserve">     Mayor a 500 SMLMV </v>
          </cell>
          <cell r="D16" t="str">
            <v xml:space="preserve">     El riesgo afecta la imagen de la entidad a nivel nacional, con efecto publicitarios sostenible a nivel país</v>
          </cell>
        </row>
      </sheetData>
      <sheetData sheetId="6"/>
      <sheetData sheetId="7"/>
      <sheetData sheetId="8"/>
      <sheetData sheetId="9"/>
      <sheetData sheetId="10"/>
      <sheetData sheetId="11"/>
      <sheetData sheetId="12"/>
      <sheetData sheetId="13"/>
      <sheetData sheetId="14"/>
      <sheetData sheetId="15"/>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NF0cdhVvWkG8gUIRu-NWExynyaae2uNCvcINrl9Gr-U7v6nqwmBWRJFt9IF_sItP" itemId="01RJCLHCVQZQMHCROXJVAZGF3ZYOALNTUT">
      <xxl21:absoluteUrl r:id="rId2"/>
    </xxl21:alternateUrls>
    <sheetNames>
      <sheetName val="Control de cambios"/>
      <sheetName val="Inst. Riesgos de gestión"/>
      <sheetName val="Matriz riesgos de gestión"/>
      <sheetName val="Matriz Calor Inherente"/>
      <sheetName val="Matriz Calor Residual"/>
      <sheetName val="Matriz de riesgos fiscales"/>
      <sheetName val="Catálogo puntos riesgo fiscal"/>
      <sheetName val="Inst. riesgos corrupción"/>
      <sheetName val="Matriz riesgos corrupción"/>
      <sheetName val="ImpCorrup"/>
      <sheetName val="MapaCalor"/>
      <sheetName val="Inst. Riesgos seguridad Inf."/>
      <sheetName val="Riesgos seguridad información"/>
      <sheetName val="Matriz Calor Inherente SI"/>
      <sheetName val="Matriz Calor Residual SI"/>
      <sheetName val="Seguimiento"/>
      <sheetName val="Tabla probabilidad"/>
      <sheetName val="Tabla Impacto"/>
      <sheetName val="Tabla Valoración controles"/>
      <sheetName val="Base corrupción"/>
      <sheetName val="Base de datos gestión"/>
      <sheetName val="Grupo de activos - SI"/>
      <sheetName val="Mapa final back up"/>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12">
          <cell r="C12" t="str">
            <v xml:space="preserve">     Afectación menor a 10 SMLMV .</v>
          </cell>
          <cell r="D12" t="str">
            <v xml:space="preserve">     El riesgo afecta la imagen de alguna área de la organización</v>
          </cell>
        </row>
        <row r="13">
          <cell r="C13" t="str">
            <v xml:space="preserve">     Entre 10 y 50 SMLMV </v>
          </cell>
          <cell r="D13" t="str">
            <v xml:space="preserve">     El riesgo afecta la imagen de la entidad internamente, de conocimiento general, nivel interno, de junta dircetiva y accionistas y/o de provedores</v>
          </cell>
        </row>
        <row r="14">
          <cell r="C14" t="str">
            <v xml:space="preserve">     Entre 50 y 100 SMLMV </v>
          </cell>
          <cell r="D14" t="str">
            <v xml:space="preserve">     El riesgo afecta la imagen de la entidad con algunos usuarios de relevancia frente al logro de los objetivos</v>
          </cell>
        </row>
        <row r="15">
          <cell r="C15" t="str">
            <v xml:space="preserve">     Entre 100 y 500 SMLMV </v>
          </cell>
          <cell r="D15" t="str">
            <v xml:space="preserve">     El riesgo afecta la imagen de de la entidad con efecto publicitario sostenido a nivel de sector administrativo, nivel departamental o municipal</v>
          </cell>
        </row>
        <row r="16">
          <cell r="C16" t="str">
            <v xml:space="preserve">     Mayor a 500 SMLMV </v>
          </cell>
          <cell r="D16" t="str">
            <v xml:space="preserve">     El riesgo afecta la imagen de la entidad a nivel nacional, con efecto publicitarios sostenible a nivel país</v>
          </cell>
        </row>
        <row r="222">
          <cell r="B222" t="str">
            <v>Criterios</v>
          </cell>
        </row>
        <row r="223">
          <cell r="B223" t="str">
            <v>Afectación Económica o presupuestal</v>
          </cell>
        </row>
        <row r="224">
          <cell r="B224" t="str">
            <v>Pérdida Reputacional</v>
          </cell>
          <cell r="F224" t="str">
            <v>❌</v>
          </cell>
        </row>
      </sheetData>
      <sheetData sheetId="18"/>
      <sheetData sheetId="19"/>
      <sheetData sheetId="20">
        <row r="28">
          <cell r="C28" t="str">
            <v>(E-01)
Direccionamiento Estratégico y Planeación</v>
          </cell>
          <cell r="D28" t="str">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ell>
          <cell r="E28" t="str">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ell>
        </row>
        <row r="29">
          <cell r="C29" t="str">
            <v>(E-02)
Administración del Sistema Integrado de Gestión</v>
          </cell>
          <cell r="D29" t="str">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ell>
          <cell r="E29" t="str">
            <v>Aplica para todos los procesos del INM y los requisitos de las normas definidos dentro de la política del Sistema Integrado de Gestión. Inicia con la planificación, termina con la implementacion de acciones y su evaluacion de la eficacia</v>
          </cell>
        </row>
        <row r="30">
          <cell r="C30" t="str">
            <v>(E-03)
Comunicaciones</v>
          </cell>
          <cell r="D30" t="str">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ell>
          <cell r="E30" t="str">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ell>
        </row>
        <row r="31">
          <cell r="C31" t="str">
            <v>(E-04)
Servicio al Ciudadano</v>
          </cell>
          <cell r="D31" t="str">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ell>
          <cell r="E31" t="str">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ell>
        </row>
        <row r="32">
          <cell r="C32" t="str">
            <v>(E-05)
Gestión de las Tecnologías de la Información</v>
          </cell>
          <cell r="D32" t="str">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ell>
          <cell r="E32" t="str">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ell>
        </row>
        <row r="33">
          <cell r="C33" t="str">
            <v>(M-01)
Servicios de Calibración y medición metrológica</v>
          </cell>
          <cell r="D33" t="str">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ell>
          <cell r="E33" t="str">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ell>
        </row>
        <row r="34">
          <cell r="C34" t="str">
            <v>(M-02)
Capacitación, Formación y Cultura Metrológica</v>
          </cell>
          <cell r="D34" t="str">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ell>
          <cell r="E34" t="str">
            <v>Inicia con el establecimiento de los procedimientos y demás documentos del proceso y culmina con la evaluación de la satisfacción de las capacitaciones y la toma de acciones de mejoramiento por parte de los responsables del proceso.</v>
          </cell>
        </row>
        <row r="35">
          <cell r="C35" t="str">
            <v>(M-03)
Producción de Materiales de Referencia y Desarrollo de Métodos Analíticos</v>
          </cell>
          <cell r="D35" t="str">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ell>
          <cell r="E35" t="str">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ell>
        </row>
        <row r="36">
          <cell r="C36" t="str">
            <v>(M-04)
Asistencia Técnica</v>
          </cell>
          <cell r="D36" t="str">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ell>
          <cell r="E36" t="str">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ell>
        </row>
        <row r="37">
          <cell r="C37" t="str">
            <v>(M-05)
Ensayos de Aptitud</v>
          </cell>
          <cell r="D37" t="str">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ell>
          <cell r="E37" t="str">
            <v>El proceso inicia con la planificación de los servicios de ensayos de aptitud y estudios colaborativos (comparaciones interlaboratorios) y finaliza con la aplicación de la evaluación de la satisfacción del servicio.</v>
          </cell>
        </row>
        <row r="38">
          <cell r="C38" t="str">
            <v>(M-06)
Red Colombiana de Metrología</v>
          </cell>
          <cell r="D38" t="str">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ell>
          <cell r="E38" t="str">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ell>
        </row>
        <row r="39">
          <cell r="C39" t="str">
            <v>(M-07)
Investigación, Desarrollo e Innovación</v>
          </cell>
          <cell r="D39" t="str">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ell>
          <cell r="E39" t="str">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ell>
        </row>
        <row r="40">
          <cell r="C40" t="str">
            <v>(M-08)
Gestión de patrones nacionales y sistemas medición</v>
          </cell>
          <cell r="D40" t="str">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ell>
          <cell r="E40" t="str">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ell>
        </row>
        <row r="41">
          <cell r="C41" t="str">
            <v>(A-01)
Gestión Financiera</v>
          </cell>
          <cell r="D41" t="str">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ell>
          <cell r="E41" t="str">
            <v>Inicia desde la desagregación del presupuesto de gastos e ingresos y termina con la gestión del pago y el registro de las operaciones.</v>
          </cell>
        </row>
        <row r="42">
          <cell r="C42" t="str">
            <v>(A-02)
Defensa Judicial</v>
          </cell>
          <cell r="D42" t="str">
            <v>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v>
          </cell>
          <cell r="E42" t="str">
            <v>Inicia desde la ocurrencia del hecho generador de la actuación administrativa o acción extrajudicial (conciliación) o judicial (demanda) hasta la terminación del respectivo proceso judicial o administrativo y/o archivo.</v>
          </cell>
        </row>
        <row r="43">
          <cell r="C43" t="str">
            <v>(A-03)
Gestión Documental</v>
          </cell>
          <cell r="D43" t="str">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ell>
          <cell r="E43" t="str">
            <v>Inicia desde la producción y/o recepción de los documentos y termina con la eliminación o conservación total en un archivo permanente. Aplica al manejo de toda la documentación en medio de soporte físico o electrónico.</v>
          </cell>
        </row>
        <row r="44">
          <cell r="C44" t="str">
            <v>(A-04)
Gestión de Talento Humano</v>
          </cell>
          <cell r="D44" t="str">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ell>
          <cell r="E44" t="str">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ell>
        </row>
        <row r="45">
          <cell r="C45" t="str">
            <v>(A-05)
Gestión Administrativa</v>
          </cell>
          <cell r="D45" t="str">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ell>
          <cell r="E45" t="str">
            <v>Inicia con los requerimientos institucionales y termina con la atención de las necesidades presentadas por las diferentes áreas del INM.</v>
          </cell>
        </row>
        <row r="46">
          <cell r="C46" t="str">
            <v>(A-06)
Control Disciplinario</v>
          </cell>
          <cell r="D46" t="str">
            <v>Determinar la responsabilidad de los servidores públicos del INM en relación con conductas disciplinarias establecidas en las Leyes 1952 de 2019 y 2094 de 2021 (Código General Disciplinario y Reforma) adelantando oportuna y eficazmente las indagaciones o investigaciones a que haya lugar e imponiendo las sanciones legales que correspondan, para asegurar el comportamiento ético, la moralidad y la eficiencia de los servidores públicos redundando en el buen funcionamiento de los diferentes servicios a su cargo
El proceso se relaciona con el objetivo estratégico: Fortalecer la capacidad administrativa y de desempeño institucional para garantizar la eficiencia y calidad a los procesos de la entidad</v>
          </cell>
          <cell r="E46" t="str">
            <v>Inicia con una queja, solicitud o informe respecto a la presunta conducta irregular de un servidor público y termina con una decisión inhibitoria, de archivo, absolutoria o sancionatoria.</v>
          </cell>
        </row>
        <row r="47">
          <cell r="C47" t="str">
            <v>(A-07)
Contratación y Adquisición de Bienes y Servicios</v>
          </cell>
          <cell r="D47" t="str">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ell>
          <cell r="E47" t="str">
            <v>Inicia con la radicación de solicitud de contratación y finaliza con la terminación de la relación contractual.</v>
          </cell>
        </row>
        <row r="48">
          <cell r="C48" t="str">
            <v>(A-08)
Gestión de Servicios Metrológicos</v>
          </cell>
          <cell r="D48" t="str">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ell>
          <cell r="E48" t="str">
            <v>Inicia con la verificación del cumplimiento de requerimientos de diseño y desarrollo y finaliza con la recepción y entrega del producto o servicio al cliente y la gestión de acciones de mejoramiento originadas de las diferentes fuentes identificadas.</v>
          </cell>
        </row>
        <row r="49">
          <cell r="C49" t="str">
            <v>(C-01)
Evaluación, acompañamiento y asesoría al Sistema de Control Interno</v>
          </cell>
          <cell r="D49" t="str">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ell>
          <cell r="E49" t="str">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ell>
        </row>
        <row r="50">
          <cell r="C50" t="str">
            <v>(T)
Transversal</v>
          </cell>
          <cell r="D50"/>
          <cell r="E50"/>
        </row>
      </sheetData>
      <sheetData sheetId="21"/>
      <sheetData sheetId="22"/>
      <sheetData sheetId="23"/>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EA" id="{5DC285B6-1527-4B1C-A1BF-EC5D41FF5280}">
    <nsvFilter filterId="{00000000-0001-0000-0100-000000000000}" ref="A3:CW260" tableId="0">
      <columnFilter colId="1">
        <filter colId="1">
          <x:filters>
            <x:filter val="M05-R1"/>
            <x:filter val="M05-R2"/>
            <x:filter val="M05-R3"/>
            <x:filter val="M05-R4"/>
            <x:filter val="M05-R5"/>
            <x:filter val="M05-R6"/>
            <x:filter val="M05-R7"/>
            <x:filter val="M05-R8"/>
            <x:filter val="M05-R9"/>
          </x:filters>
        </filter>
      </columnFilter>
    </nsvFilter>
  </namedSheetView>
  <namedSheetView name="MILE" id="{F4C9BD19-EF64-41BD-ABB9-D68E4A8BFD83}">
    <nsvFilter filterId="{00000000-0001-0000-0100-000000000000}" ref="A3:CW260" tableId="0">
      <columnFilter colId="2">
        <filter colId="2">
          <x:filters>
            <x:filter val="(E-02)_x000a_Administración del Sistema Integrado de Gestión"/>
          </x:filters>
        </filter>
      </columnFilter>
    </nsvFilter>
  </namedSheetView>
  <namedSheetView name="Nubia" id="{9604EA0A-0D7C-4E73-980C-AEE3091A1086}">
    <nsvFilter filterId="{00000000-0001-0000-0100-000000000000}" ref="A3:CW260" tableId="0">
      <columnFilter colId="2">
        <filter colId="2">
          <x:filters>
            <x:filter val="(E-02)_x000a_Administración del Sistema Integrado de Gestión"/>
          </x:filters>
        </filter>
      </columnFilter>
      <columnFilter colId="42">
        <filter colId="42">
          <x:filters>
            <x:filter val="Milena Rodríguez Roberto"/>
          </x:filters>
        </filter>
      </columnFilter>
    </nsvFilter>
  </namedSheetView>
  <namedSheetView name="SSMRC" id="{590A7DED-8CD5-450C-999B-F7F81DA1BFD9}">
    <nsvFilter filterId="{00000000-0001-0000-0100-000000000000}" ref="A3:CW260" tableId="0">
      <columnFilter colId="2">
        <filter colId="2">
          <x:filters>
            <x:filter val="(E-03)_x000a_Comunicaciones"/>
          </x:filters>
        </filter>
      </columnFilter>
    </nsvFilter>
  </namedSheetView>
</namedSheetViews>
</file>

<file path=xl/namedSheetViews/namedSheetView2.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SSMRC" id="{32C700C6-2BF9-454A-9959-C9065CA73421}">
    <nsvFilter filterId="{00000000-0001-0000-0800-000000000000}" ref="A2:DN59" tableId="0">
      <columnFilter colId="5">
        <filter colId="5">
          <x:filters>
            <x:filter val="(E-03)_x000a_Comunicaciones"/>
          </x:filters>
        </filter>
      </columnFilter>
    </nsvFilter>
  </namedSheetView>
  <namedSheetView name="Vista 1" id="{E2B6384F-80D4-48AF-921B-CD75B3A4AC09}">
    <nsvFilter filterId="{00000000-0001-0000-0800-000000000000}" ref="A2:DN59" tableId="0">
      <columnFilter colId="1">
        <filter colId="1">
          <x:filters>
            <x:filter val="M03-RC01"/>
            <x:filter val="M03-RC02"/>
          </x:filters>
        </filter>
      </columnFilter>
      <columnFilter colId="5">
        <filter colId="5">
          <x:filters>
            <x:filter val="(M-03)_x000a_Producción de Materiales de Referencia y Desarrollo de Métodos Analíticos"/>
          </x:filters>
        </filter>
      </columnFilter>
    </nsvFilter>
  </namedSheetView>
</namedSheetViews>
</file>

<file path=xl/persons/person.xml><?xml version="1.0" encoding="utf-8"?>
<personList xmlns="http://schemas.microsoft.com/office/spreadsheetml/2018/threadedcomments" xmlns:x="http://schemas.openxmlformats.org/spreadsheetml/2006/main">
  <person displayName="Claudia Patricia Peña Ardila" id="{4AD6075F-F18A-4F4B-8F88-2E57C00AF27E}" userId="cppena@inm.gov.co" providerId="PeoplePicker"/>
  <person displayName="Leidy Liliana Rios Martinez" id="{F1F6F6E5-4539-45E2-ADD7-66BB4F79F3B9}" userId="llrios@inm.gov.co" providerId="PeoplePicker"/>
  <person displayName="Linda Karina Petro Martínez" id="{E1787410-018B-4555-9416-FB12A23EB436}" userId="lkpetro@inm.gov.co" providerId="PeoplePicker"/>
  <person displayName="Andrea Margarita Torres Castillo" id="{7F4F8687-2557-4B3F-9E8E-9B5707EA56D4}" userId="amtorres@inm.gov.co" providerId="PeoplePicker"/>
  <person displayName="Juan Andres Bernal Fino" id="{37DD78BA-907A-41BB-B160-F97115065BD9}" userId="jabernal@inm.gov.co" providerId="PeoplePicker"/>
  <person displayName="Liliana Pineda Aponte" id="{670DB2EA-3A22-4DF3-B186-A42742D1F819}" userId="lpaponte@inm.gov.co" providerId="PeoplePicker"/>
  <person displayName="Santiago Adolfo Cotes Ospino" id="{FADB9AE7-42BD-4C7B-B4A0-D3001DEE21D8}" userId="saospino@inm.gov.co" providerId="PeoplePicker"/>
  <person displayName="Diana Jimena Camargo Hormaza" id="{7C289BF4-2465-46F9-BCBB-A2BBC81282FA}" userId="djcamargo@inm.gov.co" providerId="PeoplePicker"/>
  <person displayName="Daisy Janneth Vasquez Acosta" id="{4457ECC1-D710-4984-A39A-193BF1070E1E}" userId="djvasquez@inm.gov.co" providerId="PeoplePicker"/>
  <person displayName="Edgar Javier Pinilla Feria" id="{D3C28A7C-9556-41D2-A40A-B21395DCD97C}" userId="ejpinilla@inm.gov.co" providerId="PeoplePicker"/>
  <person displayName="Sebastian Gil Herrera" id="{C260D916-A26B-4467-9CDD-59DB64B5C6ED}" userId="sgherrera@inm.gov.co" providerId="PeoplePicker"/>
  <person displayName="Alejandra Villabon Aldana" id="{4F484463-1ED1-4C6C-874D-23D279363700}" userId="gavillabon@inm.gov.co" providerId="PeoplePicker"/>
  <person displayName="Jeimi Medina Walteros" id="{F85782E7-033C-4BFD-AD01-02080CBBED7F}" userId="jmwalteros@inm.gov.co" providerId="PeoplePicker"/>
  <person displayName="Mónica Alejandra Gutierrez Cifuentes" id="{74819E9B-FF6D-4367-ABE5-D702084D1FB9}" userId="magutierrez@inm.gov.co" providerId="PeoplePicker"/>
  <person displayName="Leidy Liliana Rios Martinez" id="{DEA1FECE-907D-4F1D-BF2F-5F9967C58AE7}" userId="S::llrios@inm.gov.co::e895c5d5-57e4-4d3a-b06d-e0581e8b27df" providerId="AD"/>
  <person displayName="Linda Karina Petro Martínez" id="{3F310DF2-7D1B-40CE-B1E1-22EC3CFFD71B}" userId="S::lkpetro@inm.gov.co::dada2d6b-d192-4c32-8ab5-c6158b1d5738" providerId="AD"/>
  <person displayName="Andrea Margarita Torres Castillo" id="{2C1E7E94-FC45-410B-82B1-3AF371D69C06}" userId="S::amtorres@inm.gov.co::7c1d7b3d-8578-4552-964d-7eee80e8a84b" providerId="AD"/>
  <person displayName="Juan Andres Bernal Fino" id="{28AAB184-445C-4DBA-B5BD-B2FC07F019F2}" userId="S::jabernal@inm.gov.co::b46ed11f-05ae-49f6-bcb2-ed29e7420359" providerId="AD"/>
  <person displayName="Santiago Adolfo Cotes Ospino" id="{F30A5179-4B45-4269-8568-3576E428708A}" userId="S::saospino@inm.gov.co::2954912c-468c-41f4-afb7-8027ef7482a9" providerId="AD"/>
  <person displayName="Diana Jimena Camargo Hormaza" id="{2461E812-B5C1-4401-8513-DF710D3B7A69}" userId="S::djcamargo@inm.gov.co::6f3ed502-9bb9-43c7-ad54-aee64e2d4f5a" providerId="AD"/>
  <person displayName="Daisy Janneth Vasquez Acosta" id="{D3F3B37E-00B7-4F22-B9D9-9E35B23609E8}" userId="S::djvasquez@inm.gov.co::ef140590-02b2-4342-b67d-f3b0b8e03a5d" providerId="AD"/>
  <person displayName="Edgar Javier Pinilla Feria" id="{CCC54201-8584-415A-A77D-C49865E4A7D8}" userId="S::ejpinilla@inm.gov.co::f9bddb84-ed97-46db-9532-bd775f8dc2d7" providerId="AD"/>
  <person displayName="Mónica Alejandra Gutierrez Cifuentes" id="{B5B022A7-82A9-4EF7-9388-702910DD64D9}" userId="S::magutierrez@inm.gov.co::c056fb11-31de-4376-8ac8-030578b2b7c8"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210:C220">
  <tableColumns count="2">
    <tableColumn id="1" xr3:uid="{00000000-0010-0000-0000-000001000000}" name="Criterios"/>
    <tableColumn id="2" xr3:uid="{00000000-0010-0000-0000-000002000000}"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N2" dT="2023-12-27T22:39:53.45" personId="{3F310DF2-7D1B-40CE-B1E1-22EC3CFFD71B}" id="{887E5977-ECAA-4066-ACD7-AFBF733747BB}">
    <text xml:space="preserve">Se relaciona el indicador de proceso. </text>
  </threadedComment>
  <threadedComment ref="CC55" dT="2025-11-25T16:32:26.11" personId="{3F310DF2-7D1B-40CE-B1E1-22EC3CFFD71B}" id="{F926BDBA-7BF1-4689-8DD0-6C92D5DD8072}">
    <text>@Santiago Adolfo Cotes Ospino Estimado Santi buenos días, agradezco validar con el proceso la fecha en la cual se trabajará sobre la actualización de los riesgos de gestión en la vigencia 2026. Porfa para que quede registrada en el project del plan de trabajo del SIG en la sección de gestión de riesgos.</text>
    <mentions>
      <mention mentionpersonId="{FADB9AE7-42BD-4C7B-B4A0-D3001DEE21D8}" mentionId="{3EA7AC44-5D50-431C-B59D-2DC7801D8FE2}" startIndex="0" length="29"/>
    </mentions>
  </threadedComment>
  <threadedComment ref="CK58" dT="2025-11-28T21:22:47.13" personId="{F30A5179-4B45-4269-8568-3576E428708A}" id="{35D983B1-1F9E-43A7-B8AB-AF934DC9E704}" done="1">
    <text>@Linda Karina Petro Martínez lo coloque así, échale un vistazo cuando puedas :D</text>
    <mentions>
      <mention mentionpersonId="{E1787410-018B-4555-9416-FB12A23EB436}" mentionId="{01602188-52B2-4D94-AD91-4C92CDD50E5B}" startIndex="0" length="28"/>
    </mentions>
  </threadedComment>
  <threadedComment ref="CK58" dT="2025-12-10T15:53:52.71" personId="{3F310DF2-7D1B-40CE-B1E1-22EC3CFFD71B}" id="{9A4757C5-DEEE-4002-BEEA-F69A7B9A9C3D}" parentId="{35D983B1-1F9E-43A7-B8AB-AF934DC9E704}">
    <text xml:space="preserve">@Santiago Adolfo Cotes Ospino Santi, gracias!! Le hice unos ajustes pero considero que no cambié la idea principal. </text>
    <mentions>
      <mention mentionpersonId="{FADB9AE7-42BD-4C7B-B4A0-D3001DEE21D8}" mentionId="{D9DA1E11-4051-43A1-96AA-D28A3E39BDB9}" startIndex="0" length="29"/>
    </mentions>
  </threadedComment>
  <threadedComment ref="AY88" dT="2025-05-05T13:52:13.06" personId="{3F310DF2-7D1B-40CE-B1E1-22EC3CFFD71B}" id="{33607E99-7B36-4D0D-BD47-A7505F276659}">
    <text xml:space="preserve">@Jeimi Medina Walteros Estimada buen día, dado el comentario realizado de su parte como primera línea, por favor actualizar el formato de insumos para la actualización del riesgo y generar las mesas de trabajo aplicables para esta actividad. Mil gracias. </text>
    <mentions>
      <mention mentionpersonId="{F85782E7-033C-4BFD-AD01-02080CBBED7F}" mentionId="{6B031E1E-926E-44C9-967D-D06ED99ED19D}" startIndex="0" length="22"/>
    </mentions>
  </threadedComment>
  <threadedComment ref="CC88" dT="2025-12-01T21:38:06.12" personId="{3F310DF2-7D1B-40CE-B1E1-22EC3CFFD71B}" id="{5B093FC5-024E-4084-9434-8FBA1584F862}">
    <text xml:space="preserve">@Andrea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text>
    <mentions>
      <mention mentionpersonId="{7F4F8687-2557-4B3F-9E8E-9B5707EA56D4}" mentionId="{DBFE2EA0-6F92-4959-9CBE-242A863789AE}" startIndex="0" length="33"/>
      <mention mentionpersonId="{4457ECC1-D710-4984-A39A-193BF1070E1E}" mentionId="{4CB26359-C368-4ACD-B6FB-2BA3B546E228}" startIndex="34" length="29"/>
      <mention mentionpersonId="{7C289BF4-2465-46F9-BCBB-A2BBC81282FA}" mentionId="{3CBB8BCB-1B5F-4024-B970-AD6036F17DF2}" startIndex="64" length="29"/>
    </mentions>
  </threadedComment>
  <threadedComment ref="CC88" dT="2025-12-01T21:55:07.62" personId="{2C1E7E94-FC45-410B-82B1-3AF371D69C06}" id="{C3A964A0-37FB-4E27-B2FD-C08A0D04718A}" parentId="{5B093FC5-024E-4084-9434-8FBA1584F862}">
    <text xml:space="preserve">Por favor déjame saber cuando se programaría la mesa de trabajo y que información seria requerida </text>
  </threadedComment>
  <threadedComment ref="CC88" dT="2025-12-02T17:06:26.97" personId="{D3F3B37E-00B7-4F22-B9D9-9E35B23609E8}" id="{5DF476A1-4138-419C-BB15-7DF0A9C8C254}" parentId="{5B093FC5-024E-4084-9434-8FBA1584F862}">
    <text>De acuerdo, quedo atenta a la confirmación de la mesa de trabajo.</text>
  </threadedComment>
  <threadedComment ref="CC89" dT="2025-12-01T21:38:06.12" personId="{3F310DF2-7D1B-40CE-B1E1-22EC3CFFD71B}" id="{E19FF87A-CFEA-4017-A20E-440CDBA953F5}">
    <text xml:space="preserve">@Andrea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text>
    <mentions>
      <mention mentionpersonId="{7F4F8687-2557-4B3F-9E8E-9B5707EA56D4}" mentionId="{0E06DC0D-2875-48F5-9824-2F4A8A318E6B}" startIndex="0" length="33"/>
      <mention mentionpersonId="{4457ECC1-D710-4984-A39A-193BF1070E1E}" mentionId="{5ED0CD0A-4175-4602-A331-49F0D2057E41}" startIndex="34" length="29"/>
      <mention mentionpersonId="{7C289BF4-2465-46F9-BCBB-A2BBC81282FA}" mentionId="{9739F27F-F3D6-47AF-A253-2FE1DB2920B1}" startIndex="64" length="29"/>
    </mentions>
  </threadedComment>
  <threadedComment ref="CC89" dT="2025-12-02T17:06:49.28" personId="{D3F3B37E-00B7-4F22-B9D9-9E35B23609E8}" id="{7363D6A7-8D7E-47FB-9FE2-58EB247C18AD}" parentId="{E19FF87A-CFEA-4017-A20E-440CDBA953F5}">
    <text>Quedo atenta al agendamiento de la mesa de trabajo.</text>
  </threadedComment>
  <threadedComment ref="AY90" dT="2025-05-05T13:52:13.06" personId="{3F310DF2-7D1B-40CE-B1E1-22EC3CFFD71B}" id="{6FD684A4-4952-4AF5-A8BC-EF2D77F6932B}">
    <text xml:space="preserve">@Jeimi Medina Walteros Estimada buen día, dado el comentario realizado de su parte como primera línea, por favor actualizar el formato de insumos para la actualización del riesgo y generar las mesas de trabajo aplicables para esta actividad. Mil gracias. </text>
    <mentions>
      <mention mentionpersonId="{F85782E7-033C-4BFD-AD01-02080CBBED7F}" mentionId="{84ACF7BB-4BA3-4169-A195-6B644AADB01F}" startIndex="0" length="22"/>
    </mentions>
  </threadedComment>
  <threadedComment ref="CC90" dT="2025-12-01T21:38:06.12" personId="{3F310DF2-7D1B-40CE-B1E1-22EC3CFFD71B}" id="{DFA54B60-CF1B-4317-B5DE-6E8DD78E1A99}">
    <text xml:space="preserve">@Andrea Margarita Torres Castillo @Daisy Janneth Vasquez Acosta @Diana Jimena Camargo Hormaza Estimadas buena tarde, espero se encuentren bien. Haciendo lectura del seguimiento realizado, no se materializa el riesgo. Sin embargo, si me parece importante que nos reunamos para definir si se materializa o no. Más allá de la materialización del riesgo, propongo generar una mesa de trabajo que nos permita realizar una lluvia de ideas y definir acciones para que el próximo año podamos contar con el contrato durante todo el 2026. Esto nos ayudará a evitar reprocesos y retrasos en el retorno de los equipos a los laboratorios. Mil gracias. </text>
    <mentions>
      <mention mentionpersonId="{7F4F8687-2557-4B3F-9E8E-9B5707EA56D4}" mentionId="{4A8419E1-D602-40A8-B638-91931FF764C0}" startIndex="0" length="33"/>
      <mention mentionpersonId="{4457ECC1-D710-4984-A39A-193BF1070E1E}" mentionId="{03CFDA58-6734-4206-A165-01AFD3E59507}" startIndex="34" length="29"/>
      <mention mentionpersonId="{7C289BF4-2465-46F9-BCBB-A2BBC81282FA}" mentionId="{FCE69D53-9C6C-46D8-A3F6-90A61DFE2143}" startIndex="64" length="29"/>
    </mentions>
  </threadedComment>
  <threadedComment ref="BY127" dT="2025-12-01T14:56:09.99" personId="{3F310DF2-7D1B-40CE-B1E1-22EC3CFFD71B}" id="{A8B4FE71-30FD-4EA2-9B57-E92C3F57214C}">
    <text xml:space="preserve">@Daisy Janneth Vasquez Acosta Estimada Dai buenos días, agradezco porfa la actualización de esta celda apenas se culmine la elaboración de la ficha de TNC en Isolución. Lo anterior, con el fin de realizar el respectivo monitoreo. </text>
    <mentions>
      <mention mentionpersonId="{4457ECC1-D710-4984-A39A-193BF1070E1E}" mentionId="{2EAF59A8-4882-4679-8D6F-4CDC0B4E4B44}" startIndex="0" length="29"/>
    </mentions>
  </threadedComment>
  <threadedComment ref="AR134" dT="2025-04-10T22:30:14.11" personId="{D3F3B37E-00B7-4F22-B9D9-9E35B23609E8}" id="{4F89A0E5-072F-49BB-AAB8-BC26F791511D}">
    <text>@Liliana Pineda Aponte @Alejandra Villabon Aldana hola chicas, les escribo a las dos para que por favor me ayuden registrando el seguimiento de este riesgo ya que el control tiene que ver con el mantenimiento periódico de redes eléctricas e informáticas. Las incluyo a las dos porque no sé en este momento quien esta encargado en la OIDT de realizar estos temas, sí no les corresponden a ustedes, por favor lo pueden redireccionar a quien corresponda. ¡Mil gracias!</text>
    <mentions>
      <mention mentionpersonId="{670DB2EA-3A22-4DF3-B186-A42742D1F819}" mentionId="{D69EE670-60FD-4099-B663-0F2B36C97EC5}" startIndex="0" length="22"/>
      <mention mentionpersonId="{4F484463-1ED1-4C6C-874D-23D279363700}" mentionId="{75CFBA9C-74E1-4180-9C30-16BEA76610C7}" startIndex="23" length="26"/>
    </mentions>
  </threadedComment>
  <threadedComment ref="AR134" dT="2025-05-05T19:50:51.33" personId="{B5B022A7-82A9-4EF7-9388-702910DD64D9}" id="{8BFAA5BC-1971-4803-94CD-E3A8C618E275}" parentId="{4F89A0E5-072F-49BB-AAB8-BC26F791511D}">
    <text>Cordial saludo estimada Daisy. Quisiera por favor me indiques si en la formulación del riesgo se está indicando las dificultades de acceso desde la lógica de asignación de permisos a recursos compartidos ( para lo cual se cumple con lo indicado en e procedimiento E-05-P-011 PROCEDIMIENTO CONTROL DE ACCESO A LOS SERVICIOS TECNOLÓGICOS Y SISTEMAS DE INFORMACIÓN DEL INM y el documento E-05-I-010 INSTRUCTIVO CONFIGURACIÒN DE RECURSOS COMPARTIDOS, o está relacionado con el soporte y mantenimiento de las redes y servicios de telecomunicaciones que habilitan los aplicativos disponibles. En función de ello se podría registrar el resultado de seguimiento a los controles que están directamente relacionados a estos temas para el proceso E-05.</text>
  </threadedComment>
  <threadedComment ref="BU134" dT="2025-10-18T00:49:45.53" personId="{D3F3B37E-00B7-4F22-B9D9-9E35B23609E8}" id="{F088896D-0C44-4674-9C34-55D159CE5BD9}">
    <text>@Mónica Alejandra Gutierrez Cifuentes hola Mónica, espero que este muy bien. solicito amablemente tu colaboración  realizando el seguimiento a este riesgo y su control. agradezco mucho tu ayuda</text>
    <mentions>
      <mention mentionpersonId="{74819E9B-FF6D-4367-ABE5-D702084D1FB9}" mentionId="{7AE91C14-EC49-43A1-ACCB-BE0A873FF737}" startIndex="0" length="37"/>
    </mentions>
  </threadedComment>
  <threadedComment ref="CC174" dT="2025-11-25T21:02:14.33" personId="{3F310DF2-7D1B-40CE-B1E1-22EC3CFFD71B}" id="{4F485098-4319-48C7-B40C-6AC0DA8EADD8}">
    <text>@Jeimi Medina Walteros agradezco validar con todos los procesos de secretaría general, la fecha en la cual se trabajará sobre la actualización de los riesgos de gestión en la vigencia 2026. Porfa para que quede registrada en el project del plan de trabajo del SIG en la sección de gestión de riesgos.</text>
    <mentions>
      <mention mentionpersonId="{F85782E7-033C-4BFD-AD01-02080CBBED7F}" mentionId="{895C9EB9-7214-46B4-84F0-FFE602FA42F7}" startIndex="0" length="22"/>
    </mentions>
  </threadedComment>
  <threadedComment ref="CC199" dT="2025-11-25T21:19:19.07" personId="{3F310DF2-7D1B-40CE-B1E1-22EC3CFFD71B}" id="{1A0E9638-F6B2-4573-9DD9-535F2C3C933B}">
    <text xml:space="preserve">@Jeimi Medina Walteros estimada Jei, haciendo seguimiento a la acción correctiva # 145, identifico que hace falta el análisis de causas y el plan de mejoramiento para tratar el mismo. Agradezco la gestión respectiva desde el proceso. Mil gracias. </text>
    <mentions>
      <mention mentionpersonId="{F85782E7-033C-4BFD-AD01-02080CBBED7F}" mentionId="{4B567099-E293-4D6F-A27F-3A4159C41E27}" startIndex="0" length="22"/>
    </mentions>
  </threadedComment>
  <threadedComment ref="AY200" dT="2025-05-05T14:37:32.47" personId="{3F310DF2-7D1B-40CE-B1E1-22EC3CFFD71B}" id="{E43E8AED-058F-4A87-97F0-B8CF22B181F3}">
    <text xml:space="preserve">@Jeimi Medina Walteros Estimada buen día, mismo comentario que realicé para el proceso de comercio exterior. Registrar en el formato de insumos para generar los espacios y cambiar lo necesario en este riesgo. </text>
    <mentions>
      <mention mentionpersonId="{F85782E7-033C-4BFD-AD01-02080CBBED7F}" mentionId="{7E9F474A-C02E-4464-8C56-38DBD200F3EB}" startIndex="0" length="22"/>
    </mentions>
  </threadedComment>
  <threadedComment ref="CC212" dT="2025-11-25T21:23:04.50" personId="{3F310DF2-7D1B-40CE-B1E1-22EC3CFFD71B}" id="{BE991FE1-64FD-4490-A6A1-77626124A3F0}">
    <text xml:space="preserve">@Jeimi Medina Walteros estimada Jei, haciendo seguimiento a la acción correctiva # 146, identifico que hace falta el análisis de causas y el plan de mejoramiento para tratar el mismo. Agradezco la gestión respectiva desde el proceso. Mil gracias. </text>
    <mentions>
      <mention mentionpersonId="{F85782E7-033C-4BFD-AD01-02080CBBED7F}" mentionId="{78F7AEBD-C8B8-4482-B020-5B076A70AE97}" startIndex="0" length="22"/>
    </mentions>
  </threadedComment>
  <threadedComment ref="BG219" dT="2025-07-23T20:56:43.18" personId="{3F310DF2-7D1B-40CE-B1E1-22EC3CFFD71B}" id="{3024EAAD-A8C0-4F5A-92A9-B7409A0E24A5}">
    <text xml:space="preserve">@Edgar Javier Pinilla Feria @Sebastian Gil Herrera Estimados buena tarde, no me es claro por qué se materializa el riesgo. Agradezco aclarar o brindar mayor información en el seguimiento. </text>
    <mentions>
      <mention mentionpersonId="{D3C28A7C-9556-41D2-A40A-B21395DCD97C}" mentionId="{D240325C-DE84-451F-918D-1323F3A73A6B}" startIndex="0" length="27"/>
      <mention mentionpersonId="{C260D916-A26B-4467-9CDD-59DB64B5C6ED}" mentionId="{1222B95B-A459-462A-BA01-8EC87E5D69CC}" startIndex="28" length="22"/>
    </mentions>
  </threadedComment>
  <threadedComment ref="BG219" dT="2025-07-23T21:56:05.22" personId="{CCC54201-8584-415A-A77D-C49865E4A7D8}" id="{438CB347-A3EA-4B4B-BC87-51F4170C06EB}" parentId="{3024EAAD-A8C0-4F5A-92A9-B7409A0E24A5}">
    <text>Hola Linda, lo mencionamos porque en este trimestre se identificó una falla en la cotización de un servicio de calibración en temperatura al ICA del 2024, que resultó en la ejecución de un servicio diferente al cotizado y cobrado a valor mas alto. Desde GSM identificamos el error en el segundo trimestre de 2025 y reportamos el TNC para que desde la SMF generaran el análisis y plan de acción correspondiente. Sin embargo, aun no sabemos si el TNC se cargó en Isolución y cual fue la acción que se generó al respecto. Gracias y quedo atento a tus comentarios.</text>
  </threadedComment>
  <threadedComment ref="BG219" dT="2025-07-31T16:28:47.93" personId="{3F310DF2-7D1B-40CE-B1E1-22EC3CFFD71B}" id="{9476F3BE-9CF5-4162-9852-8D3DEFBC4B43}" parentId="{3024EAAD-A8C0-4F5A-92A9-B7409A0E24A5}">
    <text xml:space="preserve">@Edgar Javier Pinilla Feria Considero importante, dejar reflejado tu comentario sobre la celda del seguimiento. Dado lo anterior, copié y pegué la información para dejar mejor claridad sobre el caso ocurrido. Con relación a tu duda de la ficha del TNC, ya se encuentra cargada la acción en Isolución. </text>
    <mentions>
      <mention mentionpersonId="{D3C28A7C-9556-41D2-A40A-B21395DCD97C}" mentionId="{B5462C90-7759-461D-8218-88ABBEBA39B9}" startIndex="0" length="27"/>
    </mentions>
  </threadedComment>
  <threadedComment ref="BG219" dT="2025-12-02T19:44:38.12" personId="{2461E812-B5C1-4401-8513-DF710D3B7A69}" id="{8F122E19-05ED-4109-BBC8-C9453FEA2D81}" parentId="{3024EAAD-A8C0-4F5A-92A9-B7409A0E24A5}">
    <text xml:space="preserve">Buen día, Ya se cuenta con personal técnico asignado al laboratorio, ya se  adelantó la ficha de TNC y el análisis de causas, está en revisión de @Claudia Patricia Peña Ardila </text>
    <mentions>
      <mention mentionpersonId="{4AD6075F-F18A-4F4B-8F88-2E57C00AF27E}" mentionId="{7290279D-8DA8-40A8-94D3-0E0CC6F9CA00}" startIndex="146" length="29"/>
    </mentions>
  </threadedComment>
  <threadedComment ref="BJ219" dT="2025-07-31T17:04:51.24" personId="{3F310DF2-7D1B-40CE-B1E1-22EC3CFFD71B}" id="{F2333197-B48F-4922-8AA0-56FDCCBA9E42}">
    <text xml:space="preserve">@Santiago Adolfo Cotes Ospino @Diana Jimena Camargo Hormaza estimados buen día, revisando el tema con Edgar y con Sebastián por una duda que yo tenia, ellos me informaron que la corrección 234 no es la que se relaciona con la situación presentada para el riesgo que se materializó. Por fa revisen el tema y actualicen la información y me avisan apenas este realizado.  </text>
    <mentions>
      <mention mentionpersonId="{FADB9AE7-42BD-4C7B-B4A0-D3001DEE21D8}" mentionId="{06BD94A1-238D-4B19-9482-76D33755097F}" startIndex="0" length="29"/>
      <mention mentionpersonId="{7C289BF4-2465-46F9-BCBB-A2BBC81282FA}" mentionId="{B4239C08-08A4-4DBD-9441-C370EEF098C6}" startIndex="30" length="29"/>
    </mentions>
  </threadedComment>
  <threadedComment ref="BJ219" dT="2025-08-01T15:37:27.87" personId="{F30A5179-4B45-4269-8568-3576E428708A}" id="{65482ACF-FEA5-4975-AF9E-6ECBEE1CF094}" parentId="{F2333197-B48F-4922-8AA0-56FDCCBA9E42}">
    <text>Lastimosamente en comunicación con el área de SMF, no se cuenta con profesionales en el cargo al que corresponde la asignación de la responsabilidad, se evalúan algunas alternativas con Diana, pues considero que, aunque no se encuentre una persona ahora mismo, esto no debería detener por más tiempo (ya se esperó un tiempo) para su registro, pues corremos el riesgo de perder la trazabilidad</text>
  </threadedComment>
  <threadedComment ref="BJ219" dT="2025-09-08T15:24:31.59" personId="{3F310DF2-7D1B-40CE-B1E1-22EC3CFFD71B}" id="{C63D7897-5571-4B0A-9D37-46BF901FE779}" parentId="{F2333197-B48F-4922-8AA0-56FDCCBA9E42}">
    <text xml:space="preserve">@Santiago Adolfo Cotes Ospino @Diana Jimena Camargo Hormaza  Hola chicos, quisiera saber si para la actividad que de tratamiento a este riesgo materializado necesitan algún apoyo desde la OAP. Gracias. </text>
    <mentions>
      <mention mentionpersonId="{FADB9AE7-42BD-4C7B-B4A0-D3001DEE21D8}" mentionId="{8A0664AC-885D-4061-B3F6-D72BE472CBD9}" startIndex="0" length="29"/>
      <mention mentionpersonId="{7C289BF4-2465-46F9-BCBB-A2BBC81282FA}" mentionId="{F83E484F-D544-49A3-AAA4-06ED83325220}" startIndex="30" length="29"/>
    </mentions>
  </threadedComment>
  <threadedComment ref="BJ219" dT="2025-10-15T21:40:16.39" personId="{F30A5179-4B45-4269-8568-3576E428708A}" id="{D01CE767-22AD-4195-829D-4ADA79164189}" parentId="{F2333197-B48F-4922-8AA0-56FDCCBA9E42}">
    <text>@Diana Jimena Camargo Hormaza me regalas por fa la información si esto ya quedo cargado?</text>
    <mentions>
      <mention mentionpersonId="{7C289BF4-2465-46F9-BCBB-A2BBC81282FA}" mentionId="{68E7D2D6-0032-4000-BAA8-5842286E1174}" startIndex="0" length="29"/>
    </mentions>
  </threadedComment>
  <threadedComment ref="AY228" dT="2025-05-05T14:46:38.47" personId="{3F310DF2-7D1B-40CE-B1E1-22EC3CFFD71B}" id="{61EAD860-0162-49B3-8779-263BB740D1B9}">
    <text xml:space="preserve">@Santiago Adolfo Cotes Ospino @Edgar Javier Pinilla Feria Por favor tener en cuenta el comentario realizado de mi parte. </text>
    <mentions>
      <mention mentionpersonId="{FADB9AE7-42BD-4C7B-B4A0-D3001DEE21D8}" mentionId="{2B611E18-87F3-4F77-805D-8F7DE03D3F87}" startIndex="0" length="29"/>
      <mention mentionpersonId="{D3C28A7C-9556-41D2-A40A-B21395DCD97C}" mentionId="{EAF9C385-9FB9-4FCC-A6B5-CA3A27135E7F}" startIndex="30" length="27"/>
    </mentions>
  </threadedComment>
  <threadedComment ref="BH236" dT="2025-07-31T15:02:04.46" personId="{3F310DF2-7D1B-40CE-B1E1-22EC3CFFD71B}" id="{BE09113F-C017-474D-8D25-498633FA2417}">
    <text xml:space="preserve">@Leidy Liliana Rios Martinez Buen día, agradezco por favor terminar de diligenciar la información de las columnas BH, BI, BJ para todos los riesgos del proceso. </text>
    <mentions>
      <mention mentionpersonId="{F1F6F6E5-4539-45E2-ADD7-66BB4F79F3B9}" mentionId="{1F1C373C-9A24-4E55-B977-AB65C750496C}" startIndex="0" length="28"/>
    </mentions>
  </threadedComment>
  <threadedComment ref="BH236" dT="2025-07-31T20:49:09.64" personId="{DEA1FECE-907D-4F1D-BF2F-5F9967C58AE7}" id="{3C405463-0797-4FC1-B0EF-16BEDF5EDBA5}" parentId="{BE09113F-C017-474D-8D25-498633FA2417}">
    <text>@Linda Karina Petro Martínez 
Confirmo revisión de las columnas solicitadas para los riesgos del proceso de la OCI.</text>
    <mentions>
      <mention mentionpersonId="{E1787410-018B-4555-9416-FB12A23EB436}" mentionId="{9E263AA3-E0DE-4ECD-B63F-490080B68C28}" startIndex="0" length="28"/>
    </mentions>
  </threadedComment>
  <threadedComment ref="AR243" dT="2025-04-23T16:33:15.99" personId="{3F310DF2-7D1B-40CE-B1E1-22EC3CFFD71B}" id="{C631655E-F00E-48DC-A4D6-AB2DFA3AE4DD}">
    <text xml:space="preserve">@Mónica Alejandra Gutierrez Cifuentes haciendo un barrido inicial como revisión, encuentro que falta por diligenciar información. Agradezco sea completada. Mil gracias. </text>
    <mentions>
      <mention mentionpersonId="{74819E9B-FF6D-4367-ABE5-D702084D1FB9}" mentionId="{2813DDCC-D2E8-4CEB-AAE3-12BF05276354}" startIndex="0" length="37"/>
    </mentions>
  </threadedComment>
  <threadedComment ref="AY247" dT="2025-05-05T21:09:25.46" personId="{3F310DF2-7D1B-40CE-B1E1-22EC3CFFD71B}" id="{0D7AD314-AC61-4E7A-91ED-CE2D4A0F1688}">
    <text>@Mónica Alejandra Gutierrez Cifuentes Estimada buen día, me queda la inquietud,  ¿por qué se materializa el riesgo?</text>
    <mentions>
      <mention mentionpersonId="{74819E9B-FF6D-4367-ABE5-D702084D1FB9}" mentionId="{211FA54E-E68A-4AF9-81E5-35D56998CD36}" startIndex="0" length="37"/>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AO2" dT="2023-12-27T22:39:53.45" personId="{3F310DF2-7D1B-40CE-B1E1-22EC3CFFD71B}" id="{E6B6DB56-6478-49C6-A056-18A318F20E3A}">
    <text xml:space="preserve">Se relaciona el indicador de proceso. </text>
  </threadedComment>
  <threadedComment ref="CD17" dT="2025-10-20T20:50:54.21" personId="{D3F3B37E-00B7-4F22-B9D9-9E35B23609E8}" id="{4BC65B74-17CD-437D-AC5B-4D78DC6E49D5}">
    <text>@Diana Jimena Camargo Hormaza  Hola Dianita, cuando reportes este riesgo puedes revisar si tienes algún soporte para la SMF, porque en la SMQB no hay soportes de la evidencia de la ejecución es decir no tenemos correo electrónico con solicitud de reserva presupuestal y prorroga del contrato.</text>
    <mentions>
      <mention mentionpersonId="{7C289BF4-2465-46F9-BCBB-A2BBC81282FA}" mentionId="{5FD90255-9D84-4F01-93BB-C0EB4BD7F890}" startIndex="0" length="29"/>
    </mentions>
  </threadedComment>
</ThreadedComments>
</file>

<file path=xl/threadedComments/threadedComment3.xml><?xml version="1.0" encoding="utf-8"?>
<ThreadedComments xmlns="http://schemas.microsoft.com/office/spreadsheetml/2018/threadedcomments" xmlns:x="http://schemas.openxmlformats.org/spreadsheetml/2006/main">
  <threadedComment ref="CP10" dT="2025-10-14T13:54:26.31" personId="{F30A5179-4B45-4269-8568-3576E428708A}" id="{921A6755-F3C4-47D6-90A3-C69A5D2EE1B1}">
    <text xml:space="preserve">@Juan Andres Bernal Fino </text>
    <mentions>
      <mention mentionpersonId="{37DD78BA-907A-41BB-B160-F97115065BD9}" mentionId="{9D1798E3-BE03-4AEF-AF13-C900696C6D94}" startIndex="0" length="24"/>
    </mentions>
  </threadedComment>
  <threadedComment ref="CT10" dT="2025-12-09T15:31:48.50" personId="{3F310DF2-7D1B-40CE-B1E1-22EC3CFFD71B}" id="{18351A0B-0D6B-4F3E-87EE-4D72EF5819D0}">
    <text xml:space="preserve">@Juan Andres Bernal Fino @Santiago Adolfo Cotes Ospino Estimados buen día, espero estén bien, agradezco porfa cargar los registros de evidencia de ejecución de los controles para este riesgo. </text>
    <mentions>
      <mention mentionpersonId="{37DD78BA-907A-41BB-B160-F97115065BD9}" mentionId="{1D2B165D-B452-438B-ACB8-D302843F001E}" startIndex="0" length="24"/>
      <mention mentionpersonId="{FADB9AE7-42BD-4C7B-B4A0-D3001DEE21D8}" mentionId="{D357420C-D8EA-4C05-AC03-12BBBE4FF9C2}" startIndex="25" length="29"/>
    </mentions>
  </threadedComment>
  <threadedComment ref="CP11" dT="2025-10-14T13:54:34.40" personId="{F30A5179-4B45-4269-8568-3576E428708A}" id="{647BA320-4576-4C25-96F6-9AA67659C494}">
    <text xml:space="preserve">@Juan Andres Bernal Fino </text>
    <mentions>
      <mention mentionpersonId="{37DD78BA-907A-41BB-B160-F97115065BD9}" mentionId="{3D0DEC06-51BD-4E4D-8F78-D5EAD110CFA3}" startIndex="0" length="24"/>
    </mentions>
  </threadedComment>
  <threadedComment ref="CL12" dT="2025-12-09T12:51:22.97" personId="{3F310DF2-7D1B-40CE-B1E1-22EC3CFFD71B}" id="{018905A8-517A-436A-8881-354A4E63BEB4}" done="1">
    <text xml:space="preserve">@Sebastian Gil Herrera  @Santiago Adolfo Cotes Ospino Estimados buenos días, espero estén bien. Agradezco su colaboración con el diligenciamiento de las celdas relacionadas con el seguimiento a tercer trimestre. Recuerden por favor que hay que cargar evidencia de ejecución de controles en la carpeta Evidencias riesgos de corrupción </text>
    <mentions>
      <mention mentionpersonId="{C260D916-A26B-4467-9CDD-59DB64B5C6ED}" mentionId="{CC168D85-A7B6-4869-91F5-5D7E34270FB1}" startIndex="0" length="22"/>
      <mention mentionpersonId="{FADB9AE7-42BD-4C7B-B4A0-D3001DEE21D8}" mentionId="{BDE2D96C-AA6A-4E9E-B656-AB66FD494A74}" startIndex="24" length="29"/>
    </mentions>
    <extLst>
      <x:ext xmlns:xltc2="http://schemas.microsoft.com/office/spreadsheetml/2020/threadedcomments2" uri="{F7C98A9C-CBB3-438F-8F68-D28B6AF4A901}">
        <xltc2:checksum>816122217</xltc2:checksum>
        <xltc2:hyperlink startIndex="301" length="32" url="https://metrologiainm.sharepoint.com/:f:/s/OAP/IgCjOe8RDQ2RTZ7OoSI1fZxlAWlxs6Wekjb5IXFfGHt_Ec0?e=Ak72bb"/>
      </x:ext>
    </extLst>
  </threadedComment>
  <threadedComment ref="CL12" dT="2025-12-12T23:42:27.94" personId="{28AAB184-445C-4DBA-B5BD-B2FC07F019F2}" id="{44C633E1-7FC6-4501-A5DA-748B539AFB06}" parentId="{018905A8-517A-436A-8881-354A4E63BEB4}">
    <text>Diligenciado, Cargado y actualizado</text>
  </threadedComment>
  <threadedComment ref="D24" dT="2025-04-21T15:07:34.54" personId="{D3F3B37E-00B7-4F22-B9D9-9E35B23609E8}" id="{D0DC3632-E1D7-4B61-92CE-4254D0CA1E7B}">
    <text>@Linda Karina Petro Martínez aquí hay que ajustar el riesgo, cambiando producción por medición de MR, quedo atenta a que me confirmes como debemos proceder</text>
    <mentions>
      <mention mentionpersonId="{E1787410-018B-4555-9416-FB12A23EB436}" mentionId="{2FC14297-6705-40E6-8A15-5AAA2E61AAFD}" startIndex="0" length="28"/>
    </mentions>
  </threadedComment>
  <threadedComment ref="D24" dT="2025-04-23T15:56:08.06" personId="{3F310DF2-7D1B-40CE-B1E1-22EC3CFFD71B}" id="{5DB3C100-F0C9-4730-943F-EEECC711839A}" parentId="{D0DC3632-E1D7-4B61-92CE-4254D0CA1E7B}">
    <text xml:space="preserve">Hola @Daisy Janneth Vasquez Acosta los seguimientos trimestrales se harán directamente sobre las matrices que hayan tenido la más reciente actualización. Con relación a los ajustes que se identifican en los seguimientos, se realizarán sobre la versión en borrador que queda casi de inmediato en la carpeta “3. Matriz de borrador”, en esta carpeta esta la matriz en borrador para poder editar lo que se necesite. Dado lo anterior y los cambios que has identificado en este primer seguimiento trimestral, por favor y de momento, trabaja en el siguiente enlace:  Matriz de riesgos borrador.xlsx ajusta lo que se necesario y cuando este lista la matriz, me la compartes  yo le doy un check y luego la subdirectora me envía el visto bueno con esos cambios para ser presentados en CIGD. </text>
    <mentions>
      <mention mentionpersonId="{4457ECC1-D710-4984-A39A-193BF1070E1E}" mentionId="{6C17FCF8-5882-42F9-A4C2-D7C4765CEFED}" startIndex="5" length="29"/>
    </mentions>
    <extLst>
      <x:ext xmlns:xltc2="http://schemas.microsoft.com/office/spreadsheetml/2020/threadedcomments2" uri="{F7C98A9C-CBB3-438F-8F68-D28B6AF4A901}">
        <xltc2:checksum>1462697590</xltc2:checksum>
        <xltc2:hyperlink startIndex="560" length="31" url="https://metrologiainm.sharepoint.com/:x:/s/OAP/ER7aLJZV7pZPrxGQRfE7NcwB_SJ2LvK9_sPSAiN_o61MeQ?e=FvtWxa"/>
      </x:ext>
    </extLst>
  </threadedComment>
  <threadedComment ref="T33" dT="2025-04-21T19:25:03.05" personId="{D3F3B37E-00B7-4F22-B9D9-9E35B23609E8}" id="{3E556E12-A0B0-467E-99FF-F2EA4F5451FE}">
    <text>@Linda Karina Petro Martínez Podemos revisar este control por favor, me informan que actualmente los coordinadores pueden realizar la solicitud de acceso a las carpetas compartidas.</text>
    <mentions>
      <mention mentionpersonId="{E1787410-018B-4555-9416-FB12A23EB436}" mentionId="{FEBED54F-DE0A-456D-9033-E366339FAF49}" startIndex="0" length="28"/>
    </mentions>
  </threadedComment>
  <threadedComment ref="T33" dT="2025-04-23T16:06:08.92" personId="{3F310DF2-7D1B-40CE-B1E1-22EC3CFFD71B}" id="{B7E43CAF-654B-4A94-80FC-DD5C4B8D303A}" parentId="{3E556E12-A0B0-467E-99FF-F2EA4F5451FE}">
    <text xml:space="preserve">Mi Dai, porfa revísenlo en la SMQB y la SMF y los cambios los realizan en el siguiente enlace Matriz de riesgos borrador.xlsx . @Mónica Alejandra Gutierrez Cifuentes agradezco porfa tu apoyo para Daisy y Diana en el cambio de este control. </text>
    <mentions>
      <mention mentionpersonId="{74819E9B-FF6D-4367-ABE5-D702084D1FB9}" mentionId="{CCBAB0AA-82A1-4085-9CD6-5EF0012C0E08}" startIndex="128" length="37"/>
    </mentions>
    <extLst>
      <x:ext xmlns:xltc2="http://schemas.microsoft.com/office/spreadsheetml/2020/threadedcomments2" uri="{F7C98A9C-CBB3-438F-8F68-D28B6AF4A901}">
        <xltc2:checksum>1123241582</xltc2:checksum>
        <xltc2:hyperlink startIndex="94" length="31" url="https://metrologiainm.sharepoint.com/:x:/s/OAP/ER7aLJZV7pZPrxGQRfE7NcwB_SJ2LvK9_sPSAiN_o61MeQ?e=btjNyl"/>
      </x:ext>
    </extLst>
  </threadedComment>
  <threadedComment ref="T33" dT="2025-05-02T15:22:20.41" personId="{B5B022A7-82A9-4EF7-9388-702910DD64D9}" id="{7B7F2C52-D4B3-482D-982C-AEC24FD14EFC}" parentId="{3E556E12-A0B0-467E-99FF-F2EA4F5451FE}">
    <text>Trabajar sobre matriz de borrador bajo los acuerdos que se suscriben en reunión del 02-05-2025. Compromiso: Mesa de trabajo para analizar implementación de documento de referencia y realizar los ajustes en la matriz de borrador según resultados de mesa de trabajo. Para el seguimiento del presente trimestre complementar registro indicando que se modificará riesgo con los dos controles identificados, dado que se identifica necesidad tras seguimiento de primera línea.</text>
  </threadedComment>
  <threadedComment ref="T33" dT="2025-05-02T15:48:11.31" personId="{D3F3B37E-00B7-4F22-B9D9-9E35B23609E8}" id="{C18C0066-22E9-421F-8D1A-0B5CA4D5BFD3}" parentId="{3E556E12-A0B0-467E-99FF-F2EA4F5451FE}">
    <text>Mónica, confirmo que ya quedó ajustado el seguimiento en la columna BF de acuerdo con lo conversado en nuestra reunión con Linda. Gracias</text>
  </threadedComment>
  <threadedComment ref="T33" dT="2025-05-06T21:57:55.30" personId="{D3F3B37E-00B7-4F22-B9D9-9E35B23609E8}" id="{4C021C85-7810-4C9E-A67E-8D9C269FEDF3}" parentId="{3E556E12-A0B0-467E-99FF-F2EA4F5451FE}">
    <text>Se realizó la reunión el 6 de mayo y se concluye que no es necesario realizar cambio del control dado que desde la OIDT se solicita aprobación del subdirector para dar acceso a las carpetas compartidas. El personal de la OIDT está trabajando en poder generar un informe más específico desde GLPI al cual tenga acceso el personal de apoyo de calidad.</text>
  </threadedComment>
  <threadedComment ref="T34" dT="2025-04-21T14:06:12.65" personId="{D3F3B37E-00B7-4F22-B9D9-9E35B23609E8}" id="{D9AB41D7-893F-4AB9-9B97-15615EA8BBAE}">
    <text>@Linda Karina Petro Martínez dejo tachado el texto que se requiere modificar en este control, dado que la revisión de la necesidad de producción lo realiza la subdirectora, no la MTTC, porfa me puedes indicar que debemos hacer para llevar a cabo este ajuste?
De acuerdo con el procedimiento M-03-P-001 en el numeral 7.2 "El responsable de la producción envía por correo electrónico, el formato M-03-F-009 al Subdirector(a) de Metrología Química y Biología. Posteriormente, el(la) subdirector(a) junto con el (los) grupo(s) relacionado(s), deciden la viabilidad de la producción, para lo cual se hace uso de la hoja "Evaluación" que se encuentra en este mismo formato".</text>
    <mentions>
      <mention mentionpersonId="{E1787410-018B-4555-9416-FB12A23EB436}" mentionId="{6D625C7D-CDE9-4A8D-AE11-E1F63F1DB9AD}" startIndex="0" length="28"/>
    </mentions>
  </threadedComment>
  <threadedComment ref="T34" dT="2025-04-23T16:00:28.06" personId="{3F310DF2-7D1B-40CE-B1E1-22EC3CFFD71B}" id="{445596CA-00C5-4F99-920B-0DD08C289265}" parentId="{D9AB41D7-893F-4AB9-9B97-15615EA8BBAE}">
    <text xml:space="preserve">@Daisy Janneth Vasquez Acosta Dado el comentario relacionado con el uso de la matriz de trabajo Matriz de riesgos borrador.xlsx  para ajustar lo que sea necesario, porfa deja el texto tachado sobre esa matriz que te comento y deja tal cual como esta a hoy redactado el control. 
Esta matriz no se puede editar. (En teoría yo había dejado bloqueadas las celdas)
Gracias mil chinita. </text>
    <mentions>
      <mention mentionpersonId="{4457ECC1-D710-4984-A39A-193BF1070E1E}" mentionId="{214E9505-DD28-4ADB-855C-458B8B999E8D}" startIndex="0" length="29"/>
    </mentions>
    <extLst>
      <x:ext xmlns:xltc2="http://schemas.microsoft.com/office/spreadsheetml/2020/threadedcomments2" uri="{F7C98A9C-CBB3-438F-8F68-D28B6AF4A901}">
        <xltc2:checksum>1918170069</xltc2:checksum>
        <xltc2:hyperlink startIndex="96" length="31" url="https://metrologiainm.sharepoint.com/:x:/s/OAP/ER7aLJZV7pZPrxGQRfE7NcwB_SJ2LvK9_sPSAiN_o61MeQ?e=btjNyl"/>
      </x:ext>
    </extLst>
  </threadedComment>
  <threadedComment ref="BZ34" dT="2025-07-17T23:55:25.60" personId="{D3F3B37E-00B7-4F22-B9D9-9E35B23609E8}" id="{16D7F97D-75A1-428F-A332-913C900BEE13}">
    <text>@Linda Karina Petro Martínez El archivo no me permite agregar vinculo ala carpeta donde está la evidencia, agradezco tu ayuda</text>
    <mentions>
      <mention mentionpersonId="{E1787410-018B-4555-9416-FB12A23EB436}" mentionId="{228598A6-55F8-43F5-88F1-6261582CECDA}" startIndex="0" length="28"/>
    </mentions>
  </threadedComment>
  <threadedComment ref="BZ34" dT="2025-07-18T12:04:08.73" personId="{3F310DF2-7D1B-40CE-B1E1-22EC3CFFD71B}" id="{277B3F0E-052D-40FD-8C78-C1BA53918521}" parentId="{16D7F97D-75A1-428F-A332-913C900BEE13}">
    <text xml:space="preserve">Hola Dai, ¿Qué error te aparece? ... es que estas celdas no están bloqueadas, no debería aparecer error alguno. </text>
  </threadedComment>
  <threadedComment ref="BZ34" dT="2025-07-18T16:35:15.39" personId="{D3F3B37E-00B7-4F22-B9D9-9E35B23609E8}" id="{A62CFCBF-0FA2-4E3D-9D89-92A6966DC9F4}" parentId="{16D7F97D-75A1-428F-A332-913C900BEE13}">
    <text xml:space="preserve">No me deja incluir el link, esta deshabilitada la opción de incluir el link
</text>
  </threadedComment>
  <threadedComment ref="CT56" dT="2025-12-09T14:46:17.32" personId="{3F310DF2-7D1B-40CE-B1E1-22EC3CFFD71B}" id="{CFB7D049-9718-4538-8C7E-A1E95F1BD032}">
    <text>@Jeimi Medina Walteros Estimada buen día, agradezco chinita bella, tengan presente con el profesional de gestión financiera, el registro del seguimiento a este control para el último trimestre del 2025. Lo anterior, dado que no hubo registro de seguimiento del tercer trimestre. Mil gracias :)</text>
    <mentions>
      <mention mentionpersonId="{F85782E7-033C-4BFD-AD01-02080CBBED7F}" mentionId="{9BFBEC76-A4A9-4DDA-9B09-7FF8A8BC80F5}" startIndex="0" length="22"/>
    </mentions>
  </threadedComment>
</ThreadedComment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8.vml"/><Relationship Id="rId7" Type="http://schemas.microsoft.com/office/2019/04/relationships/namedSheetView" Target="../namedSheetViews/namedSheetView1.xml"/><Relationship Id="rId2" Type="http://schemas.openxmlformats.org/officeDocument/2006/relationships/vmlDrawing" Target="../drawings/vmlDrawing7.vml"/><Relationship Id="rId1" Type="http://schemas.openxmlformats.org/officeDocument/2006/relationships/printerSettings" Target="../printerSettings/printerSettings7.bin"/><Relationship Id="rId6" Type="http://schemas.microsoft.com/office/2019/04/relationships/documenttask" Target="../documenttasks/documenttask1.xm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3" Type="http://schemas.openxmlformats.org/officeDocument/2006/relationships/hyperlink" Target="../../../../../../../:x:/s/OAP/EesxYgVSjGZMv-iRbKC4mPkBKJThWFoR7N8WzGcFBOUUxQ?e=0q1EYL" TargetMode="External"/><Relationship Id="rId18" Type="http://schemas.openxmlformats.org/officeDocument/2006/relationships/hyperlink" Target="../../../../../../../:x:/s/OAP/ERhMG72M2k9IoqpB2xXhAcQBC-zsXR6wO2v2DPdeZgQmRQ?e=cdbhk8" TargetMode="External"/><Relationship Id="rId26" Type="http://schemas.openxmlformats.org/officeDocument/2006/relationships/hyperlink" Target="../../../../../../../:f:/s/OAP/EjgnhzabT6FDloXNUnvV2_UB_vE4YB1Z_I2Q5FxoTJiHHg?e=gBRnWu" TargetMode="External"/><Relationship Id="rId21" Type="http://schemas.openxmlformats.org/officeDocument/2006/relationships/hyperlink" Target="../../../../../../../:x:/s/OAP/ETILestNyd1LugRf7fV-ojcBckLMxoXJD1gd6f3w-iCWLA?e=YawBVK" TargetMode="External"/><Relationship Id="rId34" Type="http://schemas.openxmlformats.org/officeDocument/2006/relationships/printerSettings" Target="../printerSettings/printerSettings9.bin"/><Relationship Id="rId7" Type="http://schemas.openxmlformats.org/officeDocument/2006/relationships/hyperlink" Target="../../../../../../../:f:/s/OAP/Eo_4rShqBYFBktw-KYRyEd4B-7LjYzFvqZMsnuyW4R1g8Q?e=L0Gxte" TargetMode="External"/><Relationship Id="rId12" Type="http://schemas.openxmlformats.org/officeDocument/2006/relationships/hyperlink" Target="../../../../../../../:x:/s/OAP/EesxYgVSjGZMv-iRbKC4mPkBKJThWFoR7N8WzGcFBOUUxQ?e=0q1EYL" TargetMode="External"/><Relationship Id="rId17" Type="http://schemas.openxmlformats.org/officeDocument/2006/relationships/hyperlink" Target="../../../../../../../:x:/s/OAP/EcvH6CbINI1Ls2hPUqj6O2EBShO4wOCurX8sr4o5nmPzyQ?e=hNZVDI" TargetMode="External"/><Relationship Id="rId25" Type="http://schemas.openxmlformats.org/officeDocument/2006/relationships/hyperlink" Target="../../../../../../../:b:/s/OAP/EWLIRieShQxMgoCxW0rfeMwBAUg3Z__q_ZNAyRS1A46dvg?e=T4YpGe" TargetMode="External"/><Relationship Id="rId33" Type="http://schemas.openxmlformats.org/officeDocument/2006/relationships/hyperlink" Target="../../../../../../../:f:/s/OAP/IgA4J4c2m0-hQ5aFzVJ71dv1Af7xOGAdWfyNkORcaEyYhx4?e=6Fsz3H" TargetMode="External"/><Relationship Id="rId38" Type="http://schemas.microsoft.com/office/2017/10/relationships/threadedComment" Target="../threadedComments/threadedComment2.xml"/><Relationship Id="rId2" Type="http://schemas.openxmlformats.org/officeDocument/2006/relationships/hyperlink" Target="../../../../../../../:f:/s/OAP/Es0jzfR09slNg1BNsCAPenoBUS1PagHZ6o5KP-n-XiLJbQ?e=9JfZy7" TargetMode="External"/><Relationship Id="rId16" Type="http://schemas.openxmlformats.org/officeDocument/2006/relationships/hyperlink" Target="../../../../../../../:f:/s/OAP/Epvo0Vahd3pEiTOtyRFkB00BqS4Sj2UoEwN22MfqcfL36A?e=pg99xU" TargetMode="External"/><Relationship Id="rId20" Type="http://schemas.openxmlformats.org/officeDocument/2006/relationships/hyperlink" Target="../../../../../../../:f:/s/OAP/EuUGSEww6KRIq37EHE01bpgBTNHvDVJSXuMS71eYbEeMhQ?e=F0lfs2" TargetMode="External"/><Relationship Id="rId29" Type="http://schemas.openxmlformats.org/officeDocument/2006/relationships/hyperlink" Target="../../../../../../../:f:/s/OAP/Etxd1vwco1dPuAPi7X65kpwBmY6fOG033TbdMEntYlcJMw?e=Gsw1wS" TargetMode="External"/><Relationship Id="rId1" Type="http://schemas.openxmlformats.org/officeDocument/2006/relationships/hyperlink" Target="../../../../../../../:f:/s/OAP/Eu8qoky_i-NLj7UugB2I0YcBg8gYuHZNmuC6SBJ6rTS7VA?e=uJEbDN" TargetMode="External"/><Relationship Id="rId6" Type="http://schemas.openxmlformats.org/officeDocument/2006/relationships/hyperlink" Target="../../../../../../../:f:/s/OAP/Eo_4rShqBYFBktw-KYRyEd4B-7LjYzFvqZMsnuyW4R1g8Q?e=L0Gxte" TargetMode="External"/><Relationship Id="rId11" Type="http://schemas.openxmlformats.org/officeDocument/2006/relationships/hyperlink" Target="../../../../../../../:f:/s/OAP/Eo_4rShqBYFBktw-KYRyEd4B-7LjYzFvqZMsnuyW4R1g8Q?e=L0Gxte" TargetMode="External"/><Relationship Id="rId24" Type="http://schemas.openxmlformats.org/officeDocument/2006/relationships/hyperlink" Target="../../../../../../../:b:/s/OAP/EWLIRieShQxMgoCxW0rfeMwBAUg3Z__q_ZNAyRS1A46dvg?e=T4YpGe" TargetMode="External"/><Relationship Id="rId32" Type="http://schemas.openxmlformats.org/officeDocument/2006/relationships/hyperlink" Target="../../../../../../../:f:/s/OAP/EjgnhzabT6FDloXNUnvV2_UB_vE4YB1Z_I2Q5FxoTJiHHg?e=dZnWer" TargetMode="External"/><Relationship Id="rId37" Type="http://schemas.openxmlformats.org/officeDocument/2006/relationships/comments" Target="../comments2.xml"/><Relationship Id="rId5" Type="http://schemas.openxmlformats.org/officeDocument/2006/relationships/hyperlink" Target="../../../../../../../:f:/s/OAP/Er6ZWirbM45JhsnmBARtFKYBZGck_XNM1HuZml3DQAK5lw?e=46ycFQ" TargetMode="External"/><Relationship Id="rId15" Type="http://schemas.openxmlformats.org/officeDocument/2006/relationships/hyperlink" Target="../../../../../../../:f:/s/OAP/EhgDSraSY95LjG8FmyCnAkEBZ4It8OEyY3HLCnEaBHx60A?e=BYohlN" TargetMode="External"/><Relationship Id="rId23" Type="http://schemas.openxmlformats.org/officeDocument/2006/relationships/hyperlink" Target="../../../../../../../:b:/s/OAP/EUpe6hvrtghKqQfgTRaPkskB54cKrZ6o1asxf7g1XFhe9A?e=GzqID4" TargetMode="External"/><Relationship Id="rId28" Type="http://schemas.openxmlformats.org/officeDocument/2006/relationships/hyperlink" Target="../../../../../../../:f:/s/OAP/EjgnhzabT6FDloXNUnvV2_UB_vE4YB1Z_I2Q5FxoTJiHHg?e=gBRnWu" TargetMode="External"/><Relationship Id="rId36" Type="http://schemas.openxmlformats.org/officeDocument/2006/relationships/vmlDrawing" Target="../drawings/vmlDrawing11.vml"/><Relationship Id="rId10" Type="http://schemas.openxmlformats.org/officeDocument/2006/relationships/hyperlink" Target="../../../../../../../:f:/s/OAP/Eo_4rShqBYFBktw-KYRyEd4B-7LjYzFvqZMsnuyW4R1g8Q?e=L0Gxte" TargetMode="External"/><Relationship Id="rId19" Type="http://schemas.openxmlformats.org/officeDocument/2006/relationships/hyperlink" Target="../../../../../../../:f:/s/OAP/Epvo0Vahd3pEiTOtyRFkB00BqS4Sj2UoEwN22MfqcfL36A?e=zigb5c" TargetMode="External"/><Relationship Id="rId31" Type="http://schemas.openxmlformats.org/officeDocument/2006/relationships/hyperlink" Target="../../../../../../../:x:/s/OAP/EeuLimiKzqhCm9LJDVxYypQBI6fK8yoFrAZwjdbk42yVWg?e=wY6cVJ" TargetMode="External"/><Relationship Id="rId4" Type="http://schemas.openxmlformats.org/officeDocument/2006/relationships/hyperlink" Target="../../../../../../../:f:/s/OAP/Es0jzfR09slNg1BNsCAPenoBUS1PagHZ6o5KP-n-XiLJbQ?e=jVLDyC" TargetMode="External"/><Relationship Id="rId9" Type="http://schemas.openxmlformats.org/officeDocument/2006/relationships/hyperlink" Target="../../../../../../../:f:/s/OAP/Eo_4rShqBYFBktw-KYRyEd4B-7LjYzFvqZMsnuyW4R1g8Q?e=L0Gxte" TargetMode="External"/><Relationship Id="rId14" Type="http://schemas.openxmlformats.org/officeDocument/2006/relationships/hyperlink" Target="../../../../../../../:x:/s/OAP/EfcNzDlipghCvuGFHlDGegIBYh4J3d7PFop8voVe-R4zqQ?e=0EieOB" TargetMode="External"/><Relationship Id="rId22" Type="http://schemas.openxmlformats.org/officeDocument/2006/relationships/hyperlink" Target="../../../../../../../:x:/s/OAP/EQO80x5CNR5Oo0GLP0CmmA0BHreZmDj7xh46fsf_dAfVtA?e=hHbuya" TargetMode="External"/><Relationship Id="rId27" Type="http://schemas.openxmlformats.org/officeDocument/2006/relationships/hyperlink" Target="../../../../../../../:f:/s/OAP/EjgnhzabT6FDloXNUnvV2_UB_vE4YB1Z_I2Q5FxoTJiHHg?e=gBRnWu" TargetMode="External"/><Relationship Id="rId30" Type="http://schemas.openxmlformats.org/officeDocument/2006/relationships/hyperlink" Target="../../../../../../../:f:/s/OAP/Etxd1vwco1dPuAPi7X65kpwBmY6fOG033TbdMEntYlcJMw?e=Gsw1wS" TargetMode="External"/><Relationship Id="rId35" Type="http://schemas.openxmlformats.org/officeDocument/2006/relationships/vmlDrawing" Target="../drawings/vmlDrawing10.vml"/><Relationship Id="rId8" Type="http://schemas.openxmlformats.org/officeDocument/2006/relationships/hyperlink" Target="../../../../../../../:f:/s/OAP/Eo_4rShqBYFBktw-KYRyEd4B-7LjYzFvqZMsnuyW4R1g8Q?e=L0Gxte" TargetMode="External"/><Relationship Id="rId3" Type="http://schemas.openxmlformats.org/officeDocument/2006/relationships/hyperlink" Target="../../../../../../../:f:/s/OAP/Er6ZWirbM45JhsnmBARtFKYBZGck_XNM1HuZml3DQAK5lw?e=46ycFQ" TargetMode="Externa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vmlDrawing" Target="../drawings/vmlDrawing13.vml"/><Relationship Id="rId1" Type="http://schemas.openxmlformats.org/officeDocument/2006/relationships/printerSettings" Target="../printerSettings/printerSettings11.bin"/><Relationship Id="rId4" Type="http://schemas.openxmlformats.org/officeDocument/2006/relationships/comments" Target="../comments3.xml"/></Relationships>
</file>

<file path=xl/worksheets/_rels/sheet12.xml.rels><?xml version="1.0" encoding="UTF-8" standalone="yes"?>
<Relationships xmlns="http://schemas.openxmlformats.org/package/2006/relationships"><Relationship Id="rId26" Type="http://schemas.openxmlformats.org/officeDocument/2006/relationships/hyperlink" Target="../../../../../../../:f:/s/OAP/EjRrBCZ7U3RFtQExmGCiEPQBmKoPg5vJWjFgDOQgXv832w?e=xl9AFH" TargetMode="External"/><Relationship Id="rId21" Type="http://schemas.openxmlformats.org/officeDocument/2006/relationships/hyperlink" Target="../../../../Forms/AllItems.aspx?ct=1753144175529&amp;or=OWA%2DNT%2DMail&amp;ga=1&amp;id=%2Fsites%2FOAP%2FDocumentos%20compartidos%2FSIG%2FGesti%C3%B3n%20del%20riesgo%2F2025%2F4%2E%20Seguimientos%20trimestrales%2FEvidencias%20de%20ejecuci%C3%B3n%20de%20controles%2FEvidencias%20riesgos%20de%20corrupci%C3%B3n%2FProducci%C3%B3n%20Materiales%20de%20Referencia%20y%20Des%2E%20M%C3%A9todos%20Anal%C3%ADticos%2FM03%2DRC01%2FSegundo%20trimestre%202025%2FControl%202&amp;viewid=231582db%2D4441%2D4e1e%2D91ad%2D7c568c565fce" TargetMode="External"/><Relationship Id="rId42" Type="http://schemas.openxmlformats.org/officeDocument/2006/relationships/hyperlink" Target="../../../../../../../:f:/s/OAP/Ev3NWHfocotImgcuBb13ZD8BT5B4R7HlEkAkEF26wnc3qQ?e=YYsyvH" TargetMode="External"/><Relationship Id="rId47" Type="http://schemas.openxmlformats.org/officeDocument/2006/relationships/hyperlink" Target="../../../../../../../:b:/s/OAP/EenULb3QvJxIpSUCxioqYTUBJHIjqJ2itYQ5aHep_XHOOA?e=aYKJei" TargetMode="External"/><Relationship Id="rId63" Type="http://schemas.openxmlformats.org/officeDocument/2006/relationships/hyperlink" Target="../../../../../../../:f:/s/OAP/ErZFk_t5Xw9CgM8yPtltcM4B7uxlY17nDTPM__xYMN5wzw?e=yZHHH7" TargetMode="External"/><Relationship Id="rId68" Type="http://schemas.openxmlformats.org/officeDocument/2006/relationships/hyperlink" Target="http://192.168.11.216/Isolucion/Medicion/frmIndicadoresBase.aspx?CodIndicador=NDk4&amp;FechaIni=MjMvMDQvMjAyNA==&amp;FechaFin=MjMvMDQvMjAyNQ==" TargetMode="External"/><Relationship Id="rId84" Type="http://schemas.openxmlformats.org/officeDocument/2006/relationships/comments" Target="../comments4.xml"/><Relationship Id="rId16" Type="http://schemas.openxmlformats.org/officeDocument/2006/relationships/hyperlink" Target="http://192.168.11.216/Isolucion/Medicion/frmIndicadoresBase.aspx?CodIndicador=NDk4&amp;FechaIni=MjMvMDQvMjAyNA==&amp;FechaFin=MjMvMDQvMjAyNQ==" TargetMode="External"/><Relationship Id="rId11" Type="http://schemas.openxmlformats.org/officeDocument/2006/relationships/hyperlink" Target="../../../../../../../:b:/s/OAP/EcHFsdCuCvNIppufSU5Dxu0BaqhxwbwB-5-7A1wC3MfecA?e=P0zPBA" TargetMode="External"/><Relationship Id="rId32" Type="http://schemas.openxmlformats.org/officeDocument/2006/relationships/hyperlink" Target="../../../../../../../:x:/s/OAP/EXUJC_5ol61DoC_SxugFrGwBpN8GErAfc9aHjb2e2M2foQ?e=qWrdNj" TargetMode="External"/><Relationship Id="rId37" Type="http://schemas.openxmlformats.org/officeDocument/2006/relationships/hyperlink" Target="../../../../../../../:x:/s/OAP/EZIV5UaKnVZLnzVwZpU9YegBUltJa8FVbOiweL7CiR-wAQ?e=7h9YYv" TargetMode="External"/><Relationship Id="rId53" Type="http://schemas.openxmlformats.org/officeDocument/2006/relationships/hyperlink" Target="../../../../../../../:f:/s/OAP/EvIP1g0ZgVlDu9JQ2gj9BY4BX_emlM6VqypzedITSHrsoA?e=kCU2iW" TargetMode="External"/><Relationship Id="rId58" Type="http://schemas.openxmlformats.org/officeDocument/2006/relationships/hyperlink" Target="../../../../../../../:f:/s/OAP/EtU7LpLYszFLo3yKliSkUf8BQ-XFeIWDTXHvCq03xWuL2w?e=TncChC" TargetMode="External"/><Relationship Id="rId74" Type="http://schemas.openxmlformats.org/officeDocument/2006/relationships/hyperlink" Target="../../../../../../../:f:/s/OAP/EgVgyFZ9BVROmK5-JM_JVvgBMLQBY9w91U3eLP0ujk2Q7Q?e=pG5BUK" TargetMode="External"/><Relationship Id="rId79" Type="http://schemas.openxmlformats.org/officeDocument/2006/relationships/hyperlink" Target="../../../../../../../:f:/s/OAP/IgDRhFFfqClQTpevS9eVZLR1AUaEJQbP17q9cMvuV1B2-gk?e=G6ovLr" TargetMode="External"/><Relationship Id="rId5" Type="http://schemas.openxmlformats.org/officeDocument/2006/relationships/hyperlink" Target="../../../../../../../:f:/s/OAP/EgqrI1SfFJFOncquqMIMRMgB0k_rJ2mY6DhAQf7tvi04Dw?e=rfhBr6" TargetMode="External"/><Relationship Id="rId19" Type="http://schemas.openxmlformats.org/officeDocument/2006/relationships/hyperlink" Target="../../../../../../../:x:/s/OAP/ERTrmtC2JXhBuh5dqCSWkqoBRXgYIr1rjPpDAVErOjdUzA?e=NoAGKf&amp;nav=MTJfQko1Ml97MDAwMDAwMDAtMDAwMS0wMDAwLTA4MDAtMDAwMDAwMDAwMDAwfQ" TargetMode="External"/><Relationship Id="rId14" Type="http://schemas.openxmlformats.org/officeDocument/2006/relationships/hyperlink" Target="../../../../../../../:b:/s/OAP/EQRnmd4pibpPtwZFEIL6EZMBnHsbY0T2Ylf3x_isoONpWQ?e=2YFVAw" TargetMode="External"/><Relationship Id="rId22" Type="http://schemas.openxmlformats.org/officeDocument/2006/relationships/hyperlink" Target="../../../../../../../:x:/r/sites/OAP/_layouts/15/Doc.aspx?sourcedoc=%7BD122393A-86B0-469E-8569-24EFE438DA98%7D&amp;file=M-03-F-035InventarioreactivosconsumiblesmaterialdevidrioMR-MRC_V4..xlsx&amp;action=default&amp;mobileredirect=true" TargetMode="External"/><Relationship Id="rId27" Type="http://schemas.openxmlformats.org/officeDocument/2006/relationships/hyperlink" Target="../../../../../../../:f:/s/OAP/EjRrBCZ7U3RFtQExmGCiEPQBmKoPg5vJWjFgDOQgXv832w?e=xl9AFH" TargetMode="External"/><Relationship Id="rId30" Type="http://schemas.openxmlformats.org/officeDocument/2006/relationships/hyperlink" Target="../../../../../../../:x:/s/OAP/EZJvyPx0AZ9MrTqy_lNPZdABHmWGQFi6AqBhZCpUmBxcxA?e=e2aTZi" TargetMode="External"/><Relationship Id="rId35" Type="http://schemas.openxmlformats.org/officeDocument/2006/relationships/hyperlink" Target="../../../../../../../:f:/s/OAP/Epu1li6D5FxOm8WlD9r6U-ABA-lWtPONJwLRhjZaYE0xdA?e=MjaKhZ" TargetMode="External"/><Relationship Id="rId43" Type="http://schemas.openxmlformats.org/officeDocument/2006/relationships/hyperlink" Target="../../../../../../../:f:/s/OAP/Ei1g3t3gx8RDruJG-0trs04BME7h7dAWwFj34RUNloGetg?e=er0rgb" TargetMode="External"/><Relationship Id="rId48" Type="http://schemas.openxmlformats.org/officeDocument/2006/relationships/hyperlink" Target="../../../../../../../:f:/s/OAP/Eq-WXx02HLpLtug0zoazll4B9ZtpA2_GNfbzQD2-G6m6ZQ?e=6UJgoL" TargetMode="External"/><Relationship Id="rId56" Type="http://schemas.openxmlformats.org/officeDocument/2006/relationships/hyperlink" Target="../../../../../../../:b:/s/OAP/EWZzEyfhSBlEppeF_M_7q-kBEyVaIYfSSmcSfFovqxy8eA?e=QsXXZV" TargetMode="External"/><Relationship Id="rId64" Type="http://schemas.openxmlformats.org/officeDocument/2006/relationships/hyperlink" Target="../../../../../../../:w:/s/OAP/EVhdAfebYJJBrh-hTvaJUakBbNbmnU9WbYo_5e0Jib_Q5w?e=mKAEse" TargetMode="External"/><Relationship Id="rId69" Type="http://schemas.openxmlformats.org/officeDocument/2006/relationships/hyperlink" Target="http://192.168.11.216/Isolucion/Medicion/frmIndicadoresBase.aspx?CodIndicador=NDk4&amp;FechaIni=MjMvMDQvMjAyNA==&amp;FechaFin=MjMvMDQvMjAyNQ==" TargetMode="External"/><Relationship Id="rId77" Type="http://schemas.openxmlformats.org/officeDocument/2006/relationships/hyperlink" Target="../../../../../../../:f:/s/OAP/IgACjdWvJEBNQaHs84HtEU1QAb70DTEd4RSsi_PIfVtvWAo?e=QPQ28g" TargetMode="External"/><Relationship Id="rId8" Type="http://schemas.openxmlformats.org/officeDocument/2006/relationships/hyperlink" Target="../../../../Forms/AllItems.aspx?ct=1745244433824&amp;or=OWA%2DNT%2DMail&amp;ga=1&amp;id=%2Fsites%2FOAP%2FDocumentos%20compartidos%2FSIG%2FGesti%C3%B3n%20del%20riesgo%2F2025%2F4%2E%20Seguimientos%20trimestrales%20%28evidencias%20ejecuci%C3%B3n%20de%20controles%29%2FEvidencias%20riesgos%20de%20corrupci%C3%B3n%2FProducci%C3%B3n%20Materiales%20de%20Referencia%20y%20Des%2E%20M%C3%A9todos%20Anal%C3%ADticos%2FM03%2DRC01&amp;viewid=231582db%2D4441%2D4e1e%2D91ad%2D7c568c565fce" TargetMode="External"/><Relationship Id="rId51" Type="http://schemas.openxmlformats.org/officeDocument/2006/relationships/hyperlink" Target="../../../../../../../:f:/s/OAP/EvUTgdxLNXZOpHDtitnMv2EBoX42FphHmJbI-g4-keQ3oA?e=TGfDP0" TargetMode="External"/><Relationship Id="rId72" Type="http://schemas.openxmlformats.org/officeDocument/2006/relationships/hyperlink" Target="../../../../../../../:f:/s/OAP/EgVgyFZ9BVROmK5-JM_JVvgBMLQBY9w91U3eLP0ujk2Q7Q?e=wUWZNR" TargetMode="External"/><Relationship Id="rId80" Type="http://schemas.openxmlformats.org/officeDocument/2006/relationships/hyperlink" Target="../../../../../../../:f:/s/OAP/IgDRhFFfqClQTpevS9eVZLR1AUaEJQbP17q9cMvuV1B2-gk?e=G6ovLr" TargetMode="External"/><Relationship Id="rId85" Type="http://schemas.microsoft.com/office/2017/10/relationships/threadedComment" Target="../threadedComments/threadedComment3.xml"/><Relationship Id="rId3" Type="http://schemas.openxmlformats.org/officeDocument/2006/relationships/hyperlink" Target="../../../../../../../:f:/s/OAP/ErYp54GvygRDlyosXaZctoUB2n7oFERlr8Fww5RZaG6ajA?e=MjleI8" TargetMode="External"/><Relationship Id="rId12" Type="http://schemas.openxmlformats.org/officeDocument/2006/relationships/hyperlink" Target="../../../../../../../:b:/s/OAP/EcHFsdCuCvNIppufSU5Dxu0BaqhxwbwB-5-7A1wC3MfecA?e=P0zPBA" TargetMode="External"/><Relationship Id="rId17" Type="http://schemas.openxmlformats.org/officeDocument/2006/relationships/hyperlink" Target="../../../../../../../:x:/s/OAP/ERTrmtC2JXhBuh5dqCSWkqoBRXgYIr1rjPpDAVErOjdUzA?e=NoAGKf&amp;nav=MTJfQko1Ml97MDAwMDAwMDAtMDAwMS0wMDAwLTA4MDAtMDAwMDAwMDAwMDAwfQ" TargetMode="External"/><Relationship Id="rId25" Type="http://schemas.openxmlformats.org/officeDocument/2006/relationships/hyperlink" Target="../../../../../../../:f:/s/OAP/EtFkTbI5bElJsviCwktHcy4BCAQKm80ZvpEXfFPNet4pfw?e=jVfR4t" TargetMode="External"/><Relationship Id="rId33" Type="http://schemas.openxmlformats.org/officeDocument/2006/relationships/hyperlink" Target="../../../../../../../:x:/s/OAP/EWq_VaV7_exBhHNtzchUV2EBTTReT1Xk_ma6BSi03AeAhg?e=8uSW59" TargetMode="External"/><Relationship Id="rId38" Type="http://schemas.openxmlformats.org/officeDocument/2006/relationships/hyperlink" Target="../../../../../../../:x:/s/OAP/EZIV5UaKnVZLnzVwZpU9YegBUltJa8FVbOiweL7CiR-wAQ?e=I4Hepv" TargetMode="External"/><Relationship Id="rId46" Type="http://schemas.openxmlformats.org/officeDocument/2006/relationships/hyperlink" Target="../../../../../../../:f:/s/OAP/EthqF5Zt81ROjgWE4s30VlcBJdcY6FpzSUP-G69_fFOJ-w?e=sgQTf9" TargetMode="External"/><Relationship Id="rId59" Type="http://schemas.openxmlformats.org/officeDocument/2006/relationships/hyperlink" Target="../../../../../../../:x:/s/OAP/EQ1jKUk4KsFIiLiFFb_f16EBv8DdKH3JSlfAMWm4w_swZQ?e=gUU7wp" TargetMode="External"/><Relationship Id="rId67" Type="http://schemas.openxmlformats.org/officeDocument/2006/relationships/hyperlink" Target="../../../../../../../:f:/s/OAP/Eh8a8lSrR9BPicZWJRb48TQBld9wBqwwffHfDXx9p45XRQ?e=f1mRUZ" TargetMode="External"/><Relationship Id="rId20" Type="http://schemas.openxmlformats.org/officeDocument/2006/relationships/hyperlink" Target="../../../../../../../:x:/r/sites/OAP/_layouts/15/Doc.aspx?sourcedoc=%7B2AFBC519-FE1C-407A-BFA9-3ED8E87648C3%7D&amp;file=M-03-F-009%20NecesidaddeproduccionV3%20B.%20abortus%20APROBADA.xlsx&amp;action=default&amp;mobileredirect=true" TargetMode="External"/><Relationship Id="rId41" Type="http://schemas.openxmlformats.org/officeDocument/2006/relationships/hyperlink" Target="../../../../../../../:b:/s/OAP/EfPc-1g8OHVFk3wMxQN1RuEBEoFnRQIeGpikf4JWdLUk3g?e=prjr2c" TargetMode="External"/><Relationship Id="rId54" Type="http://schemas.openxmlformats.org/officeDocument/2006/relationships/hyperlink" Target="../../../../../../../:f:/s/OAP/Et7Un2eUnNtNhNX_H3FnL9cB3CxwCzGKaBkZyLvBqzIqEQ?e=nferdR" TargetMode="External"/><Relationship Id="rId62" Type="http://schemas.openxmlformats.org/officeDocument/2006/relationships/hyperlink" Target="../../../../../../../:f:/s/OAP/EoP2Y2Aph0BFl2aek2HSnBYBUmZq3AOxo-b3K6dwDOMiYg?e=YvUAYd" TargetMode="External"/><Relationship Id="rId70" Type="http://schemas.openxmlformats.org/officeDocument/2006/relationships/hyperlink" Target="http://192.168.11.216/Isolucion/Medicion/frmIndicadoresBase.aspx?CodIndicador=NDk4&amp;FechaIni=MjMvMDQvMjAyNA==&amp;FechaFin=MjMvMDQvMjAyNQ==" TargetMode="External"/><Relationship Id="rId75" Type="http://schemas.openxmlformats.org/officeDocument/2006/relationships/hyperlink" Target="../../../../../../../:f:/s/OAP/IgBXWX9tpzawRat2zJJXpLatAf25saoqLuqL40qezhlIcM8?e=iEWPVm" TargetMode="External"/><Relationship Id="rId83" Type="http://schemas.openxmlformats.org/officeDocument/2006/relationships/vmlDrawing" Target="../drawings/vmlDrawing16.vml"/><Relationship Id="rId1" Type="http://schemas.openxmlformats.org/officeDocument/2006/relationships/hyperlink" Target="../../../../../../../:f:/s/OAP/Eti29GJ0yM1HsEh6dbNr4zUBR9eZLq3sBC_mAoWUXTs66g?e=E7v9Ax" TargetMode="External"/><Relationship Id="rId6" Type="http://schemas.openxmlformats.org/officeDocument/2006/relationships/hyperlink" Target="../../../../../../../:f:/s/OAP/EsAqbiMDqb5Oh6UTag04BHcBMB_TYS3bv4c2jkcJk4-Ivw?e=ltaasuv" TargetMode="External"/><Relationship Id="rId15" Type="http://schemas.openxmlformats.org/officeDocument/2006/relationships/hyperlink" Target="http://192.168.11.216/Isolucion/Medicion/frmIndicadoresBase.aspx?CodIndicador=NDk4&amp;FechaIni=MjMvMDQvMjAyNA==&amp;FechaFin=MjMvMDQvMjAyNQ==" TargetMode="External"/><Relationship Id="rId23" Type="http://schemas.openxmlformats.org/officeDocument/2006/relationships/hyperlink" Target="../../../../Forms/AllItems.aspx?id=%2Fsites%2FOAP%2FDocumentos%20compartidos%2FSIG%2FGesti%C3%B3n%20del%20riesgo%2F2025%2F4%2E%20Seguimientos%20trimestrales%2FEvidencias%20de%20ejecuci%C3%B3n%20de%20controles%2FEvidencias%20riesgos%20de%20corrupci%C3%B3n%2FServicios%20de%20Calibraci%C3%B3n%20y%20medici%C3%B3n%20metrol%C3%B3gica%2FM01%2DRC04%2FSegundo%20trimestre&amp;viewid=231582db%2D4441%2D4e1e%2D91ad%2D7c568c565fce&amp;p=true&amp;ct=1753135163812&amp;or=OWA%2DNT%2DMail&amp;cid=9e60ef36%2D6242%2D45b1%2D6ee3%2D2a5437302ec7&amp;ga=1" TargetMode="External"/><Relationship Id="rId28" Type="http://schemas.openxmlformats.org/officeDocument/2006/relationships/hyperlink" Target="../../../../../../../:x:/s/OAP/ES-DRht0wWhArNV9f6H-1ycBRMaubpaNomjCiHhjZBHGaQ?e=hYfNZf" TargetMode="External"/><Relationship Id="rId36" Type="http://schemas.openxmlformats.org/officeDocument/2006/relationships/hyperlink" Target="../../../../../../../:x:/s/OAP/EQ2DmBBmlC9Ni7OaGqWKDG8BtAxfYmvokHw2fHcBdbPJzA?e=RW0V9P" TargetMode="External"/><Relationship Id="rId49" Type="http://schemas.openxmlformats.org/officeDocument/2006/relationships/hyperlink" Target="../../../../../../../:f:/s/OAP/Eq-WXx02HLpLtug0zoazll4B9ZtpA2_GNfbzQD2-G6m6ZQ?e=6UJgoL" TargetMode="External"/><Relationship Id="rId57" Type="http://schemas.openxmlformats.org/officeDocument/2006/relationships/hyperlink" Target="../../../../../../../:f:/s/OAP/EtU7LpLYszFLo3yKliSkUf8BQ-XFeIWDTXHvCq03xWuL2w?e=TncChC" TargetMode="External"/><Relationship Id="rId10" Type="http://schemas.openxmlformats.org/officeDocument/2006/relationships/hyperlink" Target="../../../../Forms/AllItems.aspx?ct=1745264480336&amp;or=OWA%2DNT%2DMail&amp;ga=1&amp;id=%2Fsites%2FOAP%2FDocumentos%20compartidos%2FSIG%2FGesti%C3%B3n%20del%20riesgo%2F2025%2F4%2E%20Seguimientos%20trimestrales%20%28evidencias%20ejecuci%C3%B3n%20de%20controles%29%2FEvidencias%20riesgos%20de%20corrupci%C3%B3n%2FServicios%20de%20Calibraci%C3%B3n%20y%20medici%C3%B3n%20metrol%C3%B3gica%2FM01%2DRC04&amp;viewid=231582db%2D4441%2D4e1e%2D91ad%2D7c568c565fce" TargetMode="External"/><Relationship Id="rId31" Type="http://schemas.openxmlformats.org/officeDocument/2006/relationships/hyperlink" Target="../../../../../../../:x:/s/OAP/EZJvyPx0AZ9MrTqy_lNPZdABHmWGQFi6AqBhZCpUmBxcxA?e=e2aTZi" TargetMode="External"/><Relationship Id="rId44" Type="http://schemas.openxmlformats.org/officeDocument/2006/relationships/hyperlink" Target="../../../../../../../:f:/s/OAP/Em3VWrYOF5pJgHbIK0z0Q4MBugnxgMpPRaQ8mD4UIaVysg?e=2whF9d" TargetMode="External"/><Relationship Id="rId52" Type="http://schemas.openxmlformats.org/officeDocument/2006/relationships/hyperlink" Target="../../../../../../../:f:/s/OAP/En8CMwXkKLpIqbyySN3X29kBGzxCr1814JxB7AfxyZBxTQ?e=bc2dAG" TargetMode="External"/><Relationship Id="rId60" Type="http://schemas.openxmlformats.org/officeDocument/2006/relationships/hyperlink" Target="../../../../../../../:f:/s/OAP/EgVgyFZ9BVROmK5-JM_JVvgBMLQBY9w91U3eLP0ujk2Q7Q?e=pG5BUK" TargetMode="External"/><Relationship Id="rId65" Type="http://schemas.openxmlformats.org/officeDocument/2006/relationships/hyperlink" Target="../../../../../../../:w:/s/OAP/EbMDBLUMnzNGkqeVqg2u2JoBm-D7K3cXtNAJ7l9w4SLgYw?e=kWdknS" TargetMode="External"/><Relationship Id="rId73" Type="http://schemas.openxmlformats.org/officeDocument/2006/relationships/hyperlink" Target="../../../../../../../:f:/s/OAP/IgCZ1-Z5j9CVQrtCcX8W4AgvAZqnJCksOuyP9Slc17x0IDc?e=3LqtaU" TargetMode="External"/><Relationship Id="rId78" Type="http://schemas.openxmlformats.org/officeDocument/2006/relationships/hyperlink" Target="../../../../../../../:f:/s/OAP/IgDRhFFfqClQTpevS9eVZLR1AUaEJQbP17q9cMvuV1B2-gk?e=4FFWdp" TargetMode="External"/><Relationship Id="rId81" Type="http://schemas.openxmlformats.org/officeDocument/2006/relationships/printerSettings" Target="../printerSettings/printerSettings12.bin"/><Relationship Id="rId86" Type="http://schemas.microsoft.com/office/2019/04/relationships/documenttask" Target="../documenttasks/documenttask2.xml"/><Relationship Id="rId4" Type="http://schemas.openxmlformats.org/officeDocument/2006/relationships/hyperlink" Target="../../../../../../../:f:/s/OAP/Es_zzMayc7VIkurGMep3ZyMBzPJFs4B6UIRTz4S3fdTaMQ?e=mPKz8M" TargetMode="External"/><Relationship Id="rId9" Type="http://schemas.openxmlformats.org/officeDocument/2006/relationships/hyperlink" Target="../../../../Forms/AllItems.aspx?ct=1745244433824&amp;or=OWA%2DNT%2DMail&amp;ga=1&amp;id=%2Fsites%2FOAP%2FDocumentos%20compartidos%2FSIG%2FGesti%C3%B3n%20del%20riesgo%2F2025%2F4%2E%20Seguimientos%20trimestrales%20%28evidencias%20ejecuci%C3%B3n%20de%20controles%29%2FEvidencias%20riesgos%20de%20corrupci%C3%B3n%2FProducci%C3%B3n%20Materiales%20de%20Referencia%20y%20Des%2E%20M%C3%A9todos%20Anal%C3%ADticos%2FM03%2DRC02&amp;viewid=231582db%2D4441%2D4e1e%2D91ad%2D7c568c565fce" TargetMode="External"/><Relationship Id="rId13" Type="http://schemas.openxmlformats.org/officeDocument/2006/relationships/hyperlink" Target="../../../../../../../:b:/s/OAP/EcHFsdCuCvNIppufSU5Dxu0BaqhxwbwB-5-7A1wC3MfecA?e=P0zPBA" TargetMode="External"/><Relationship Id="rId18" Type="http://schemas.openxmlformats.org/officeDocument/2006/relationships/hyperlink" Target="../../../../../../../:x:/s/OAP/ERTrmtC2JXhBuh5dqCSWkqoBRXgYIr1rjPpDAVErOjdUzA?e=NoAGKf&amp;nav=MTJfQko1Ml97MDAwMDAwMDAtMDAwMS0wMDAwLTA4MDAtMDAwMDAwMDAwMDAwfQ" TargetMode="External"/><Relationship Id="rId39" Type="http://schemas.openxmlformats.org/officeDocument/2006/relationships/hyperlink" Target="../../../../../../../:x:/s/OAP/EZIV5UaKnVZLnzVwZpU9YegBUltJa8FVbOiweL7CiR-wAQ?e=I4Hepv" TargetMode="External"/><Relationship Id="rId34" Type="http://schemas.openxmlformats.org/officeDocument/2006/relationships/hyperlink" Target="../../../../../../../:x:/s/OAP/EUskCTSSz1FGoBWfEjoeocEBB88eI6bFNHU1SL99W1yH8g?e=2jSLnH" TargetMode="External"/><Relationship Id="rId50" Type="http://schemas.openxmlformats.org/officeDocument/2006/relationships/hyperlink" Target="../../../../../../../:f:/s/OAP/EvUTgdxLNXZOpHDtitnMv2EBoX42FphHmJbI-g4-keQ3oA?e=JpSlPd" TargetMode="External"/><Relationship Id="rId55" Type="http://schemas.openxmlformats.org/officeDocument/2006/relationships/hyperlink" Target="../../../../../../../:b:/s/OAP/EfN6dVzkr6BMhoFECvdegkwBTMJXqddZ4M3WeB4v-enQkQ?e=IEciZe" TargetMode="External"/><Relationship Id="rId76" Type="http://schemas.openxmlformats.org/officeDocument/2006/relationships/hyperlink" Target="../../../../../../../:f:/s/OAP/IgBXWX9tpzawRat2zJJXpLatAf25saoqLuqL40qezhlIcM8?e=iEWPVm" TargetMode="External"/><Relationship Id="rId7" Type="http://schemas.openxmlformats.org/officeDocument/2006/relationships/hyperlink" Target="../../../../../../../:f:/s/OAP/EoK2ucqbAOZGmPaVE8UFJBgBu2bHZHEWeGvxvVRWsuFVCw?e=bNaTir" TargetMode="External"/><Relationship Id="rId71" Type="http://schemas.openxmlformats.org/officeDocument/2006/relationships/hyperlink" Target="http://192.168.11.216/Isolucion/Medicion/frmIndicadoresBase.aspx?CodIndicador=NDk4&amp;FechaIni=MjMvMDQvMjAyNA==&amp;FechaFin=MjMvMDQvMjAyNQ==" TargetMode="External"/><Relationship Id="rId2" Type="http://schemas.openxmlformats.org/officeDocument/2006/relationships/hyperlink" Target="../../../../../../../:f:/s/OAP/EggN60DQHMVPiuMsr7aaF1EBnZvZKeT2rVBgIqTf_uSuVA?e=S4zYdO" TargetMode="External"/><Relationship Id="rId29" Type="http://schemas.openxmlformats.org/officeDocument/2006/relationships/hyperlink" Target="../../../../../../../:x:/s/OAP/ES-DRht0wWhArNV9f6H-1ycBRMaubpaNomjCiHhjZBHGaQ?e=hYfNZf" TargetMode="External"/><Relationship Id="rId24" Type="http://schemas.openxmlformats.org/officeDocument/2006/relationships/hyperlink" Target="../../../../../../../:f:/s/OAP/EhmEC91RmXdLt7U48UO7wSoBo8gZyipwlpdDYtCnOU5Uvw?e=4n3xxT" TargetMode="External"/><Relationship Id="rId40" Type="http://schemas.openxmlformats.org/officeDocument/2006/relationships/hyperlink" Target="../../../../../../../:x:/s/OAP/EZIV5UaKnVZLnzVwZpU9YegBUltJa8FVbOiweL7CiR-wAQ?e=I4Hepv" TargetMode="External"/><Relationship Id="rId45" Type="http://schemas.openxmlformats.org/officeDocument/2006/relationships/hyperlink" Target="../../../../../../../:f:/s/OAP/EtAC89m2R9NOjoQdhTGvtKEBXlCldbRO753sHHp7SJutBQ?e=oS6wLn" TargetMode="External"/><Relationship Id="rId66" Type="http://schemas.openxmlformats.org/officeDocument/2006/relationships/hyperlink" Target="../../../../../../../:f:/s/OAP/EkPvflZrurFNtEZjUL53qAABci1E90Qq_iacIJn-WLmOOA?e=jBMQFC" TargetMode="External"/><Relationship Id="rId87" Type="http://schemas.microsoft.com/office/2019/04/relationships/namedSheetView" Target="../namedSheetViews/namedSheetView2.xml"/><Relationship Id="rId61" Type="http://schemas.openxmlformats.org/officeDocument/2006/relationships/hyperlink" Target="../../../../../../../:f:/s/OAP/EugeGqXa-EdIhShuyD2Gmq4BHMvdxhI0thigMcqpMYo80w?e=pOefJG" TargetMode="External"/><Relationship Id="rId82" Type="http://schemas.openxmlformats.org/officeDocument/2006/relationships/vmlDrawing" Target="../drawings/vmlDrawing15.v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vmlDrawing" Target="../drawings/vmlDrawing17.vml"/><Relationship Id="rId1" Type="http://schemas.openxmlformats.org/officeDocument/2006/relationships/printerSettings" Target="../printerSettings/printerSettings13.bin"/><Relationship Id="rId4" Type="http://schemas.openxmlformats.org/officeDocument/2006/relationships/comments" Target="../comments5.xml"/></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2.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vmlDrawing" Target="../drawings/vmlDrawing24.vml"/><Relationship Id="rId1" Type="http://schemas.openxmlformats.org/officeDocument/2006/relationships/printerSettings" Target="../printerSettings/printerSettings19.bin"/><Relationship Id="rId4" Type="http://schemas.openxmlformats.org/officeDocument/2006/relationships/comments" Target="../comments6.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vmlDrawing" Target="../drawings/vmlDrawing26.vml"/><Relationship Id="rId1" Type="http://schemas.openxmlformats.org/officeDocument/2006/relationships/printerSettings" Target="../printerSettings/printerSettings20.bin"/><Relationship Id="rId4" Type="http://schemas.openxmlformats.org/officeDocument/2006/relationships/comments" Target="../comments7.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1000"/>
  <sheetViews>
    <sheetView showGridLines="0" zoomScale="40" zoomScaleNormal="40" workbookViewId="0">
      <selection activeCell="R26" sqref="R26:S27"/>
    </sheetView>
  </sheetViews>
  <sheetFormatPr baseColWidth="10" defaultColWidth="12.625" defaultRowHeight="15" customHeight="1" x14ac:dyDescent="0.2"/>
  <cols>
    <col min="1" max="1" width="9.375" customWidth="1"/>
    <col min="2" max="39" width="5" customWidth="1"/>
    <col min="40" max="40" width="9.375" customWidth="1"/>
    <col min="41" max="46" width="5" customWidth="1"/>
    <col min="47" max="61" width="9.375" customWidth="1"/>
  </cols>
  <sheetData>
    <row r="1" spans="1:61" x14ac:dyDescent="0.25">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row>
    <row r="2" spans="1:61" ht="18" customHeight="1" x14ac:dyDescent="0.25">
      <c r="A2" s="115"/>
      <c r="B2" s="816" t="s">
        <v>0</v>
      </c>
      <c r="C2" s="804"/>
      <c r="D2" s="804"/>
      <c r="E2" s="804"/>
      <c r="F2" s="804"/>
      <c r="G2" s="804"/>
      <c r="H2" s="804"/>
      <c r="I2" s="804"/>
      <c r="J2" s="817" t="s">
        <v>1</v>
      </c>
      <c r="K2" s="781"/>
      <c r="L2" s="781"/>
      <c r="M2" s="781"/>
      <c r="N2" s="781"/>
      <c r="O2" s="781"/>
      <c r="P2" s="781"/>
      <c r="Q2" s="781"/>
      <c r="R2" s="781"/>
      <c r="S2" s="781"/>
      <c r="T2" s="781"/>
      <c r="U2" s="781"/>
      <c r="V2" s="781"/>
      <c r="W2" s="781"/>
      <c r="X2" s="781"/>
      <c r="Y2" s="781"/>
      <c r="Z2" s="781"/>
      <c r="AA2" s="781"/>
      <c r="AB2" s="781"/>
      <c r="AC2" s="781"/>
      <c r="AD2" s="781"/>
      <c r="AE2" s="781"/>
      <c r="AF2" s="781"/>
      <c r="AG2" s="781"/>
      <c r="AH2" s="781"/>
      <c r="AI2" s="781"/>
      <c r="AJ2" s="781"/>
      <c r="AK2" s="781"/>
      <c r="AL2" s="781"/>
      <c r="AM2" s="781"/>
      <c r="AN2" s="115"/>
      <c r="AO2" s="115"/>
      <c r="AP2" s="115"/>
      <c r="AQ2" s="115"/>
      <c r="AR2" s="115"/>
      <c r="AS2" s="115"/>
      <c r="AT2" s="115"/>
      <c r="AU2" s="115"/>
      <c r="AV2" s="115"/>
      <c r="AW2" s="115"/>
      <c r="AX2" s="115"/>
      <c r="AY2" s="115"/>
      <c r="AZ2" s="115"/>
      <c r="BA2" s="115"/>
      <c r="BB2" s="115"/>
      <c r="BC2" s="115"/>
      <c r="BD2" s="115"/>
      <c r="BE2" s="115"/>
      <c r="BF2" s="115"/>
      <c r="BG2" s="115"/>
      <c r="BH2" s="115"/>
      <c r="BI2" s="115"/>
    </row>
    <row r="3" spans="1:61" ht="18.75" customHeight="1" x14ac:dyDescent="0.25">
      <c r="A3" s="115"/>
      <c r="B3" s="804"/>
      <c r="C3" s="804"/>
      <c r="D3" s="804"/>
      <c r="E3" s="804"/>
      <c r="F3" s="804"/>
      <c r="G3" s="804"/>
      <c r="H3" s="804"/>
      <c r="I3" s="804"/>
      <c r="J3" s="781"/>
      <c r="K3" s="804"/>
      <c r="L3" s="804"/>
      <c r="M3" s="804"/>
      <c r="N3" s="804"/>
      <c r="O3" s="804"/>
      <c r="P3" s="804"/>
      <c r="Q3" s="804"/>
      <c r="R3" s="804"/>
      <c r="S3" s="804"/>
      <c r="T3" s="804"/>
      <c r="U3" s="804"/>
      <c r="V3" s="804"/>
      <c r="W3" s="804"/>
      <c r="X3" s="804"/>
      <c r="Y3" s="804"/>
      <c r="Z3" s="804"/>
      <c r="AA3" s="804"/>
      <c r="AB3" s="804"/>
      <c r="AC3" s="804"/>
      <c r="AD3" s="804"/>
      <c r="AE3" s="804"/>
      <c r="AF3" s="804"/>
      <c r="AG3" s="804"/>
      <c r="AH3" s="804"/>
      <c r="AI3" s="804"/>
      <c r="AJ3" s="804"/>
      <c r="AK3" s="804"/>
      <c r="AL3" s="804"/>
      <c r="AM3" s="781"/>
      <c r="AN3" s="115"/>
      <c r="AO3" s="115"/>
      <c r="AP3" s="115"/>
      <c r="AQ3" s="115"/>
      <c r="AR3" s="115"/>
      <c r="AS3" s="115"/>
      <c r="AT3" s="115"/>
      <c r="AU3" s="115"/>
      <c r="AV3" s="115"/>
      <c r="AW3" s="115"/>
      <c r="AX3" s="115"/>
      <c r="AY3" s="115"/>
      <c r="AZ3" s="115"/>
      <c r="BA3" s="115"/>
      <c r="BB3" s="115"/>
      <c r="BC3" s="115"/>
      <c r="BD3" s="115"/>
      <c r="BE3" s="115"/>
      <c r="BF3" s="115"/>
      <c r="BG3" s="115"/>
      <c r="BH3" s="115"/>
      <c r="BI3" s="115"/>
    </row>
    <row r="4" spans="1:61" ht="15" customHeight="1" x14ac:dyDescent="0.25">
      <c r="A4" s="115"/>
      <c r="B4" s="804"/>
      <c r="C4" s="804"/>
      <c r="D4" s="804"/>
      <c r="E4" s="804"/>
      <c r="F4" s="804"/>
      <c r="G4" s="804"/>
      <c r="H4" s="804"/>
      <c r="I4" s="804"/>
      <c r="J4" s="781"/>
      <c r="K4" s="781"/>
      <c r="L4" s="781"/>
      <c r="M4" s="781"/>
      <c r="N4" s="781"/>
      <c r="O4" s="781"/>
      <c r="P4" s="781"/>
      <c r="Q4" s="781"/>
      <c r="R4" s="781"/>
      <c r="S4" s="781"/>
      <c r="T4" s="781"/>
      <c r="U4" s="781"/>
      <c r="V4" s="781"/>
      <c r="W4" s="781"/>
      <c r="X4" s="781"/>
      <c r="Y4" s="781"/>
      <c r="Z4" s="781"/>
      <c r="AA4" s="781"/>
      <c r="AB4" s="781"/>
      <c r="AC4" s="781"/>
      <c r="AD4" s="781"/>
      <c r="AE4" s="781"/>
      <c r="AF4" s="781"/>
      <c r="AG4" s="781"/>
      <c r="AH4" s="781"/>
      <c r="AI4" s="781"/>
      <c r="AJ4" s="781"/>
      <c r="AK4" s="781"/>
      <c r="AL4" s="781"/>
      <c r="AM4" s="781"/>
      <c r="AN4" s="115"/>
      <c r="AO4" s="115"/>
      <c r="AP4" s="115"/>
      <c r="AQ4" s="115"/>
      <c r="AR4" s="115"/>
      <c r="AS4" s="115"/>
      <c r="AT4" s="115"/>
      <c r="AU4" s="115"/>
      <c r="AV4" s="115"/>
      <c r="AW4" s="115"/>
      <c r="AX4" s="115"/>
      <c r="AY4" s="115"/>
      <c r="AZ4" s="115"/>
      <c r="BA4" s="115"/>
      <c r="BB4" s="115"/>
      <c r="BC4" s="115"/>
      <c r="BD4" s="115"/>
      <c r="BE4" s="115"/>
      <c r="BF4" s="115"/>
      <c r="BG4" s="115"/>
      <c r="BH4" s="115"/>
      <c r="BI4" s="115"/>
    </row>
    <row r="5" spans="1:61" x14ac:dyDescent="0.25">
      <c r="A5" s="115"/>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c r="BI5" s="115"/>
    </row>
    <row r="6" spans="1:61" ht="15" customHeight="1" x14ac:dyDescent="0.25">
      <c r="A6" s="115"/>
      <c r="B6" s="818" t="s">
        <v>2</v>
      </c>
      <c r="C6" s="781"/>
      <c r="D6" s="780"/>
      <c r="E6" s="812" t="s">
        <v>3</v>
      </c>
      <c r="F6" s="786"/>
      <c r="G6" s="786"/>
      <c r="H6" s="786"/>
      <c r="I6" s="794"/>
      <c r="J6" s="785" t="str">
        <f>IF(AND('Matriz riesgos de gestión'!$M$4="Muy Alta",'Matriz riesgos de gestión'!$Q$4="Leve"),CONCATENATE("R",'Matriz riesgos de gestión'!$A$4),"")</f>
        <v/>
      </c>
      <c r="K6" s="786"/>
      <c r="L6" s="787" t="str">
        <f>IF(AND('Matriz riesgos de gestión'!$M$15="Muy Alta",'Matriz riesgos de gestión'!$Q$15="Leve"),CONCATENATE("R",'Matriz riesgos de gestión'!$A$15),"")</f>
        <v/>
      </c>
      <c r="M6" s="786"/>
      <c r="N6" s="787" t="str">
        <f>IF(AND('Matriz riesgos de gestión'!$M$25="Muy Alta",'Matriz riesgos de gestión'!$Q$25="Leve"),CONCATENATE("R",'Matriz riesgos de gestión'!$A$25),"")</f>
        <v/>
      </c>
      <c r="O6" s="794"/>
      <c r="P6" s="785" t="str">
        <f>IF(AND('Matriz riesgos de gestión'!$M$4="Muy Alta",'Matriz riesgos de gestión'!$Q$4="Menor"),CONCATENATE("R",'Matriz riesgos de gestión'!$A$4),"")</f>
        <v/>
      </c>
      <c r="Q6" s="786"/>
      <c r="R6" s="787" t="str">
        <f>IF(AND('Matriz riesgos de gestión'!$M$15="Muy Alta",'Matriz riesgos de gestión'!$Q$15="Menor"),CONCATENATE("R",'Matriz riesgos de gestión'!$A$15),"")</f>
        <v/>
      </c>
      <c r="S6" s="786"/>
      <c r="T6" s="787" t="str">
        <f>IF(AND('Matriz riesgos de gestión'!$M$25="Muy Alta",'Matriz riesgos de gestión'!$Q$25="Menor"),CONCATENATE("R",'Matriz riesgos de gestión'!$A$25),"")</f>
        <v/>
      </c>
      <c r="U6" s="794"/>
      <c r="V6" s="785" t="str">
        <f>IF(AND('Matriz riesgos de gestión'!$M$4="Muy Alta",'Matriz riesgos de gestión'!$Q$4="Moderado"),CONCATENATE("R",'Matriz riesgos de gestión'!$A$4),"")</f>
        <v/>
      </c>
      <c r="W6" s="786"/>
      <c r="X6" s="787" t="str">
        <f>IF(AND('Matriz riesgos de gestión'!$M$15="Muy Alta",'Matriz riesgos de gestión'!$Q$15="Moderado"),CONCATENATE("R",'Matriz riesgos de gestión'!$A$15),"")</f>
        <v/>
      </c>
      <c r="Y6" s="786"/>
      <c r="Z6" s="787" t="str">
        <f>IF(AND('Matriz riesgos de gestión'!$M$25="Muy Alta",'Matriz riesgos de gestión'!$Q$25="Moderado"),CONCATENATE("R",'Matriz riesgos de gestión'!$A$25),"")</f>
        <v/>
      </c>
      <c r="AA6" s="794"/>
      <c r="AB6" s="785" t="str">
        <f>IF(AND('Matriz riesgos de gestión'!$M$4="Muy Alta",'Matriz riesgos de gestión'!$Q$4="Mayor"),CONCATENATE("R",'Matriz riesgos de gestión'!$A$4),"")</f>
        <v/>
      </c>
      <c r="AC6" s="786"/>
      <c r="AD6" s="787" t="str">
        <f>IF(AND('Matriz riesgos de gestión'!$M$15="Muy Alta",'Matriz riesgos de gestión'!$Q$15="Mayor"),CONCATENATE("R",'Matriz riesgos de gestión'!$A$15),"")</f>
        <v/>
      </c>
      <c r="AE6" s="786"/>
      <c r="AF6" s="787" t="str">
        <f>IF(AND('Matriz riesgos de gestión'!$M$25="Muy Alta",'Matriz riesgos de gestión'!$Q$25="Mayor"),CONCATENATE("R",'Matriz riesgos de gestión'!$A$25),"")</f>
        <v/>
      </c>
      <c r="AG6" s="794"/>
      <c r="AH6" s="796" t="str">
        <f>IF(AND('Matriz riesgos de gestión'!$M$4="Muy Alta",'Matriz riesgos de gestión'!$Q$4="Catastrófico"),CONCATENATE("R",'Matriz riesgos de gestión'!$A$4),"")</f>
        <v/>
      </c>
      <c r="AI6" s="786"/>
      <c r="AJ6" s="789" t="str">
        <f>IF(AND('Matriz riesgos de gestión'!$M$15="Muy Alta",'Matriz riesgos de gestión'!$Q$15="Catastrófico"),CONCATENATE("R",'Matriz riesgos de gestión'!$A$15),"")</f>
        <v/>
      </c>
      <c r="AK6" s="786"/>
      <c r="AL6" s="789" t="str">
        <f>IF(AND('Matriz riesgos de gestión'!$M$25="Muy Alta",'Matriz riesgos de gestión'!$Q$25="Catastrófico"),CONCATENATE("R",'Matriz riesgos de gestión'!$A$25),"")</f>
        <v/>
      </c>
      <c r="AM6" s="794"/>
      <c r="AO6" s="811" t="s">
        <v>4</v>
      </c>
      <c r="AP6" s="801"/>
      <c r="AQ6" s="801"/>
      <c r="AR6" s="801"/>
      <c r="AS6" s="801"/>
      <c r="AT6" s="802"/>
      <c r="AU6" s="115"/>
      <c r="AV6" s="115"/>
      <c r="AW6" s="115"/>
      <c r="AX6" s="115"/>
      <c r="AY6" s="115"/>
      <c r="AZ6" s="115"/>
      <c r="BA6" s="115"/>
      <c r="BB6" s="115"/>
      <c r="BC6" s="115"/>
      <c r="BD6" s="115"/>
      <c r="BE6" s="115"/>
      <c r="BF6" s="115"/>
      <c r="BG6" s="115"/>
      <c r="BH6" s="115"/>
      <c r="BI6" s="115"/>
    </row>
    <row r="7" spans="1:61" ht="15" customHeight="1" x14ac:dyDescent="0.25">
      <c r="A7" s="115"/>
      <c r="B7" s="781"/>
      <c r="C7" s="804"/>
      <c r="D7" s="780"/>
      <c r="E7" s="783"/>
      <c r="F7" s="804"/>
      <c r="G7" s="804"/>
      <c r="H7" s="804"/>
      <c r="I7" s="780"/>
      <c r="J7" s="783"/>
      <c r="K7" s="781"/>
      <c r="L7" s="781"/>
      <c r="M7" s="781"/>
      <c r="N7" s="781"/>
      <c r="O7" s="780"/>
      <c r="P7" s="783"/>
      <c r="Q7" s="781"/>
      <c r="R7" s="781"/>
      <c r="S7" s="781"/>
      <c r="T7" s="781"/>
      <c r="U7" s="780"/>
      <c r="V7" s="783"/>
      <c r="W7" s="781"/>
      <c r="X7" s="781"/>
      <c r="Y7" s="781"/>
      <c r="Z7" s="781"/>
      <c r="AA7" s="780"/>
      <c r="AB7" s="783"/>
      <c r="AC7" s="781"/>
      <c r="AD7" s="781"/>
      <c r="AE7" s="781"/>
      <c r="AF7" s="781"/>
      <c r="AG7" s="780"/>
      <c r="AH7" s="783"/>
      <c r="AI7" s="781"/>
      <c r="AJ7" s="781"/>
      <c r="AK7" s="781"/>
      <c r="AL7" s="781"/>
      <c r="AM7" s="780"/>
      <c r="AN7" s="115"/>
      <c r="AO7" s="803"/>
      <c r="AP7" s="804"/>
      <c r="AQ7" s="804"/>
      <c r="AR7" s="804"/>
      <c r="AS7" s="804"/>
      <c r="AT7" s="805"/>
      <c r="AU7" s="115"/>
      <c r="AV7" s="115"/>
      <c r="AW7" s="115"/>
      <c r="AX7" s="115"/>
      <c r="AY7" s="115"/>
      <c r="AZ7" s="115"/>
      <c r="BA7" s="115"/>
      <c r="BB7" s="115"/>
      <c r="BC7" s="115"/>
      <c r="BD7" s="115"/>
      <c r="BE7" s="115"/>
      <c r="BF7" s="115"/>
      <c r="BG7" s="115"/>
      <c r="BH7" s="115"/>
      <c r="BI7" s="115"/>
    </row>
    <row r="8" spans="1:61" ht="15" customHeight="1" x14ac:dyDescent="0.25">
      <c r="A8" s="115"/>
      <c r="B8" s="781"/>
      <c r="C8" s="804"/>
      <c r="D8" s="780"/>
      <c r="E8" s="783"/>
      <c r="F8" s="804"/>
      <c r="G8" s="804"/>
      <c r="H8" s="804"/>
      <c r="I8" s="780"/>
      <c r="J8" s="788" t="str">
        <f>IF(AND('Matriz riesgos de gestión'!$M$31="Muy Alta",'Matriz riesgos de gestión'!$Q$31="Leve"),CONCATENATE("R",'Matriz riesgos de gestión'!$A$31),"")</f>
        <v/>
      </c>
      <c r="K8" s="781"/>
      <c r="L8" s="779" t="str">
        <f>IF(AND('Matriz riesgos de gestión'!$M$37="Muy Alta",'Matriz riesgos de gestión'!$Q$37="Leve"),CONCATENATE("R",'Matriz riesgos de gestión'!$A$37),"")</f>
        <v/>
      </c>
      <c r="M8" s="781"/>
      <c r="N8" s="779" t="str">
        <f>IF(AND('Matriz riesgos de gestión'!$M$43="Muy Alta",'Matriz riesgos de gestión'!$Q$43="Leve"),CONCATENATE("R",'Matriz riesgos de gestión'!$A$43),"")</f>
        <v/>
      </c>
      <c r="O8" s="780"/>
      <c r="P8" s="788" t="str">
        <f>IF(AND('Matriz riesgos de gestión'!$M$31="Muy Alta",'Matriz riesgos de gestión'!$Q$31="Menor"),CONCATENATE("R",'Matriz riesgos de gestión'!$A$31),"")</f>
        <v/>
      </c>
      <c r="Q8" s="781"/>
      <c r="R8" s="779" t="str">
        <f>IF(AND('Matriz riesgos de gestión'!$M$37="Muy Alta",'Matriz riesgos de gestión'!$Q$37="Menor"),CONCATENATE("R",'Matriz riesgos de gestión'!$A$37),"")</f>
        <v/>
      </c>
      <c r="S8" s="781"/>
      <c r="T8" s="779" t="str">
        <f>IF(AND('Matriz riesgos de gestión'!$M$43="Muy Alta",'Matriz riesgos de gestión'!$Q$43="Menor"),CONCATENATE("R",'Matriz riesgos de gestión'!$A$43),"")</f>
        <v/>
      </c>
      <c r="U8" s="780"/>
      <c r="V8" s="788" t="str">
        <f>IF(AND('Matriz riesgos de gestión'!$M$31="Muy Alta",'Matriz riesgos de gestión'!$Q$31="Moderado"),CONCATENATE("R",'Matriz riesgos de gestión'!$A$31),"")</f>
        <v/>
      </c>
      <c r="W8" s="781"/>
      <c r="X8" s="779" t="str">
        <f>IF(AND('Matriz riesgos de gestión'!$M$37="Muy Alta",'Matriz riesgos de gestión'!$Q$37="Moderado"),CONCATENATE("R",'Matriz riesgos de gestión'!$A$37),"")</f>
        <v/>
      </c>
      <c r="Y8" s="781"/>
      <c r="Z8" s="779" t="str">
        <f>IF(AND('Matriz riesgos de gestión'!$M$43="Muy Alta",'Matriz riesgos de gestión'!$Q$43="Moderado"),CONCATENATE("R",'Matriz riesgos de gestión'!$A$43),"")</f>
        <v/>
      </c>
      <c r="AA8" s="780"/>
      <c r="AB8" s="788" t="str">
        <f>IF(AND('Matriz riesgos de gestión'!$M$31="Muy Alta",'Matriz riesgos de gestión'!$Q$31="Mayor"),CONCATENATE("R",'Matriz riesgos de gestión'!$A$31),"")</f>
        <v/>
      </c>
      <c r="AC8" s="781"/>
      <c r="AD8" s="779" t="str">
        <f>IF(AND('Matriz riesgos de gestión'!$M$37="Muy Alta",'Matriz riesgos de gestión'!$Q$37="Mayor"),CONCATENATE("R",'Matriz riesgos de gestión'!$A$37),"")</f>
        <v/>
      </c>
      <c r="AE8" s="781"/>
      <c r="AF8" s="779" t="str">
        <f>IF(AND('Matriz riesgos de gestión'!$M$43="Muy Alta",'Matriz riesgos de gestión'!$Q$43="Mayor"),CONCATENATE("R",'Matriz riesgos de gestión'!$A$43),"")</f>
        <v/>
      </c>
      <c r="AG8" s="780"/>
      <c r="AH8" s="782" t="str">
        <f>IF(AND('Matriz riesgos de gestión'!$M$31="Muy Alta",'Matriz riesgos de gestión'!$Q$31="Catastrófico"),CONCATENATE("R",'Matriz riesgos de gestión'!$A$31),"")</f>
        <v/>
      </c>
      <c r="AI8" s="781"/>
      <c r="AJ8" s="784" t="str">
        <f>IF(AND('Matriz riesgos de gestión'!$M$37="Muy Alta",'Matriz riesgos de gestión'!$Q$37="Catastrófico"),CONCATENATE("R",'Matriz riesgos de gestión'!$A$37),"")</f>
        <v/>
      </c>
      <c r="AK8" s="781"/>
      <c r="AL8" s="784" t="str">
        <f>IF(AND('Matriz riesgos de gestión'!$M$43="Muy Alta",'Matriz riesgos de gestión'!$Q$43="Catastrófico"),CONCATENATE("R",'Matriz riesgos de gestión'!$A$43),"")</f>
        <v/>
      </c>
      <c r="AM8" s="780"/>
      <c r="AN8" s="115"/>
      <c r="AO8" s="803"/>
      <c r="AP8" s="804"/>
      <c r="AQ8" s="804"/>
      <c r="AR8" s="804"/>
      <c r="AS8" s="804"/>
      <c r="AT8" s="805"/>
      <c r="AU8" s="115"/>
      <c r="AV8" s="115"/>
      <c r="AW8" s="115"/>
      <c r="AX8" s="115"/>
      <c r="AY8" s="115"/>
      <c r="AZ8" s="115"/>
      <c r="BA8" s="115"/>
      <c r="BB8" s="115"/>
      <c r="BC8" s="115"/>
      <c r="BD8" s="115"/>
      <c r="BE8" s="115"/>
      <c r="BF8" s="115"/>
      <c r="BG8" s="115"/>
      <c r="BH8" s="115"/>
      <c r="BI8" s="115"/>
    </row>
    <row r="9" spans="1:61" ht="15" customHeight="1" x14ac:dyDescent="0.25">
      <c r="A9" s="115"/>
      <c r="B9" s="781"/>
      <c r="C9" s="804"/>
      <c r="D9" s="780"/>
      <c r="E9" s="783"/>
      <c r="F9" s="804"/>
      <c r="G9" s="804"/>
      <c r="H9" s="804"/>
      <c r="I9" s="780"/>
      <c r="J9" s="783"/>
      <c r="K9" s="781"/>
      <c r="L9" s="781"/>
      <c r="M9" s="781"/>
      <c r="N9" s="781"/>
      <c r="O9" s="780"/>
      <c r="P9" s="783"/>
      <c r="Q9" s="781"/>
      <c r="R9" s="781"/>
      <c r="S9" s="781"/>
      <c r="T9" s="781"/>
      <c r="U9" s="780"/>
      <c r="V9" s="783"/>
      <c r="W9" s="781"/>
      <c r="X9" s="781"/>
      <c r="Y9" s="781"/>
      <c r="Z9" s="781"/>
      <c r="AA9" s="780"/>
      <c r="AB9" s="783"/>
      <c r="AC9" s="781"/>
      <c r="AD9" s="781"/>
      <c r="AE9" s="781"/>
      <c r="AF9" s="781"/>
      <c r="AG9" s="780"/>
      <c r="AH9" s="783"/>
      <c r="AI9" s="781"/>
      <c r="AJ9" s="781"/>
      <c r="AK9" s="781"/>
      <c r="AL9" s="781"/>
      <c r="AM9" s="780"/>
      <c r="AN9" s="115"/>
      <c r="AO9" s="803"/>
      <c r="AP9" s="804"/>
      <c r="AQ9" s="804"/>
      <c r="AR9" s="804"/>
      <c r="AS9" s="804"/>
      <c r="AT9" s="805"/>
      <c r="AU9" s="115"/>
      <c r="AV9" s="115"/>
      <c r="AW9" s="115"/>
      <c r="AX9" s="115"/>
      <c r="AY9" s="115"/>
      <c r="AZ9" s="115"/>
      <c r="BA9" s="115"/>
      <c r="BB9" s="115"/>
      <c r="BC9" s="115"/>
      <c r="BD9" s="115"/>
      <c r="BE9" s="115"/>
      <c r="BF9" s="115"/>
      <c r="BG9" s="115"/>
      <c r="BH9" s="115"/>
      <c r="BI9" s="115"/>
    </row>
    <row r="10" spans="1:61" ht="15" customHeight="1" x14ac:dyDescent="0.25">
      <c r="A10" s="115"/>
      <c r="B10" s="781"/>
      <c r="C10" s="804"/>
      <c r="D10" s="780"/>
      <c r="E10" s="783"/>
      <c r="F10" s="804"/>
      <c r="G10" s="804"/>
      <c r="H10" s="804"/>
      <c r="I10" s="780"/>
      <c r="J10" s="788" t="str">
        <f>IF(AND('Matriz riesgos de gestión'!$M$49="Muy Alta",'Matriz riesgos de gestión'!$Q$49="Leve"),CONCATENATE("R",'Matriz riesgos de gestión'!$A$49),"")</f>
        <v/>
      </c>
      <c r="K10" s="781"/>
      <c r="L10" s="779" t="str">
        <f>IF(AND('Matriz riesgos de gestión'!$M$55="Muy Alta",'Matriz riesgos de gestión'!$Q$55="Leve"),CONCATENATE("R",'Matriz riesgos de gestión'!$A$55),"")</f>
        <v/>
      </c>
      <c r="M10" s="781"/>
      <c r="N10" s="779" t="str">
        <f>IF(AND('Matriz riesgos de gestión'!$M$61="Muy Alta",'Matriz riesgos de gestión'!$Q$61="Leve"),CONCATENATE("R",'Matriz riesgos de gestión'!$A$61),"")</f>
        <v/>
      </c>
      <c r="O10" s="780"/>
      <c r="P10" s="788" t="str">
        <f>IF(AND('Matriz riesgos de gestión'!$M$49="Muy Alta",'Matriz riesgos de gestión'!$Q$49="Menor"),CONCATENATE("R",'Matriz riesgos de gestión'!$A$49),"")</f>
        <v/>
      </c>
      <c r="Q10" s="781"/>
      <c r="R10" s="779" t="str">
        <f>IF(AND('Matriz riesgos de gestión'!$M$55="Muy Alta",'Matriz riesgos de gestión'!$Q$55="Menor"),CONCATENATE("R",'Matriz riesgos de gestión'!$A$55),"")</f>
        <v/>
      </c>
      <c r="S10" s="781"/>
      <c r="T10" s="779" t="str">
        <f>IF(AND('Matriz riesgos de gestión'!$M$61="Muy Alta",'Matriz riesgos de gestión'!$Q$61="Menor"),CONCATENATE("R",'Matriz riesgos de gestión'!$A$61),"")</f>
        <v/>
      </c>
      <c r="U10" s="780"/>
      <c r="V10" s="788" t="str">
        <f>IF(AND('Matriz riesgos de gestión'!$M$49="Muy Alta",'Matriz riesgos de gestión'!$Q$49="Moderado"),CONCATENATE("R",'Matriz riesgos de gestión'!$A$49),"")</f>
        <v/>
      </c>
      <c r="W10" s="781"/>
      <c r="X10" s="779" t="str">
        <f>IF(AND('Matriz riesgos de gestión'!$M$55="Muy Alta",'Matriz riesgos de gestión'!$Q$55="Moderado"),CONCATENATE("R",'Matriz riesgos de gestión'!$A$55),"")</f>
        <v>R27</v>
      </c>
      <c r="Y10" s="781"/>
      <c r="Z10" s="779" t="str">
        <f>IF(AND('Matriz riesgos de gestión'!$M$61="Muy Alta",'Matriz riesgos de gestión'!$Q$61="Moderado"),CONCATENATE("R",'Matriz riesgos de gestión'!$A$61),"")</f>
        <v/>
      </c>
      <c r="AA10" s="780"/>
      <c r="AB10" s="788" t="str">
        <f>IF(AND('Matriz riesgos de gestión'!$M$49="Muy Alta",'Matriz riesgos de gestión'!$Q$49="Mayor"),CONCATENATE("R",'Matriz riesgos de gestión'!$A$49),"")</f>
        <v/>
      </c>
      <c r="AC10" s="781"/>
      <c r="AD10" s="779" t="str">
        <f>IF(AND('Matriz riesgos de gestión'!$M$55="Muy Alta",'Matriz riesgos de gestión'!$Q$55="Mayor"),CONCATENATE("R",'Matriz riesgos de gestión'!$A$55),"")</f>
        <v/>
      </c>
      <c r="AE10" s="781"/>
      <c r="AF10" s="779" t="str">
        <f>IF(AND('Matriz riesgos de gestión'!$M$61="Muy Alta",'Matriz riesgos de gestión'!$Q$61="Mayor"),CONCATENATE("R",'Matriz riesgos de gestión'!$A$61),"")</f>
        <v/>
      </c>
      <c r="AG10" s="780"/>
      <c r="AH10" s="782" t="str">
        <f>IF(AND('Matriz riesgos de gestión'!$M$49="Muy Alta",'Matriz riesgos de gestión'!$Q$49="Catastrófico"),CONCATENATE("R",'Matriz riesgos de gestión'!$A$49),"")</f>
        <v/>
      </c>
      <c r="AI10" s="781"/>
      <c r="AJ10" s="784" t="str">
        <f>IF(AND('Matriz riesgos de gestión'!$M$55="Muy Alta",'Matriz riesgos de gestión'!$Q$55="Catastrófico"),CONCATENATE("R",'Matriz riesgos de gestión'!$A$55),"")</f>
        <v/>
      </c>
      <c r="AK10" s="781"/>
      <c r="AL10" s="784" t="str">
        <f>IF(AND('Matriz riesgos de gestión'!$M$61="Muy Alta",'Matriz riesgos de gestión'!$Q$61="Catastrófico"),CONCATENATE("R",'Matriz riesgos de gestión'!$A$61),"")</f>
        <v/>
      </c>
      <c r="AM10" s="780"/>
      <c r="AN10" s="115"/>
      <c r="AO10" s="803"/>
      <c r="AP10" s="804"/>
      <c r="AQ10" s="804"/>
      <c r="AR10" s="804"/>
      <c r="AS10" s="804"/>
      <c r="AT10" s="805"/>
      <c r="AU10" s="115"/>
      <c r="AV10" s="115"/>
      <c r="AW10" s="115"/>
      <c r="AX10" s="115"/>
      <c r="AY10" s="115"/>
      <c r="AZ10" s="115"/>
      <c r="BA10" s="115"/>
      <c r="BB10" s="115"/>
      <c r="BC10" s="115"/>
      <c r="BD10" s="115"/>
      <c r="BE10" s="115"/>
      <c r="BF10" s="115"/>
      <c r="BG10" s="115"/>
      <c r="BH10" s="115"/>
      <c r="BI10" s="115"/>
    </row>
    <row r="11" spans="1:61" ht="15" customHeight="1" x14ac:dyDescent="0.25">
      <c r="A11" s="115"/>
      <c r="B11" s="781"/>
      <c r="C11" s="804"/>
      <c r="D11" s="780"/>
      <c r="E11" s="783"/>
      <c r="F11" s="804"/>
      <c r="G11" s="804"/>
      <c r="H11" s="804"/>
      <c r="I11" s="780"/>
      <c r="J11" s="783"/>
      <c r="K11" s="781"/>
      <c r="L11" s="781"/>
      <c r="M11" s="781"/>
      <c r="N11" s="781"/>
      <c r="O11" s="780"/>
      <c r="P11" s="783"/>
      <c r="Q11" s="781"/>
      <c r="R11" s="781"/>
      <c r="S11" s="781"/>
      <c r="T11" s="781"/>
      <c r="U11" s="780"/>
      <c r="V11" s="783"/>
      <c r="W11" s="781"/>
      <c r="X11" s="781"/>
      <c r="Y11" s="781"/>
      <c r="Z11" s="781"/>
      <c r="AA11" s="780"/>
      <c r="AB11" s="783"/>
      <c r="AC11" s="781"/>
      <c r="AD11" s="781"/>
      <c r="AE11" s="781"/>
      <c r="AF11" s="781"/>
      <c r="AG11" s="780"/>
      <c r="AH11" s="783"/>
      <c r="AI11" s="781"/>
      <c r="AJ11" s="781"/>
      <c r="AK11" s="781"/>
      <c r="AL11" s="781"/>
      <c r="AM11" s="780"/>
      <c r="AN11" s="115"/>
      <c r="AO11" s="803"/>
      <c r="AP11" s="804"/>
      <c r="AQ11" s="804"/>
      <c r="AR11" s="804"/>
      <c r="AS11" s="804"/>
      <c r="AT11" s="805"/>
      <c r="AU11" s="115"/>
      <c r="AV11" s="115"/>
      <c r="AW11" s="115"/>
      <c r="AX11" s="115"/>
      <c r="AY11" s="115"/>
      <c r="AZ11" s="115"/>
      <c r="BA11" s="115"/>
      <c r="BB11" s="115"/>
      <c r="BC11" s="115"/>
      <c r="BD11" s="115"/>
      <c r="BE11" s="115"/>
      <c r="BF11" s="115"/>
      <c r="BG11" s="115"/>
      <c r="BH11" s="115"/>
      <c r="BI11" s="115"/>
    </row>
    <row r="12" spans="1:61" ht="15" customHeight="1" x14ac:dyDescent="0.25">
      <c r="A12" s="115"/>
      <c r="B12" s="781"/>
      <c r="C12" s="804"/>
      <c r="D12" s="780"/>
      <c r="E12" s="783"/>
      <c r="F12" s="804"/>
      <c r="G12" s="804"/>
      <c r="H12" s="804"/>
      <c r="I12" s="780"/>
      <c r="J12" s="788" t="str">
        <f>IF(AND('Matriz riesgos de gestión'!$M$67="Muy Alta",'Matriz riesgos de gestión'!$Q$67="Leve"),CONCATENATE("R",'Matriz riesgos de gestión'!$A$67),"")</f>
        <v/>
      </c>
      <c r="K12" s="781"/>
      <c r="L12" s="779" t="str">
        <f>IF(AND('Matriz riesgos de gestión'!$M$73="Muy Alta",'Matriz riesgos de gestión'!$Q$73="Leve"),CONCATENATE("R",'Matriz riesgos de gestión'!$A$73),"")</f>
        <v/>
      </c>
      <c r="M12" s="781"/>
      <c r="N12" s="779" t="str">
        <f>IF(AND('Matriz riesgos de gestión'!$M$79="Muy Alta",'Matriz riesgos de gestión'!$Q$79="Leve"),CONCATENATE("R",'Matriz riesgos de gestión'!$A$79),"")</f>
        <v/>
      </c>
      <c r="O12" s="780"/>
      <c r="P12" s="788" t="str">
        <f>IF(AND('Matriz riesgos de gestión'!$M$67="Muy Alta",'Matriz riesgos de gestión'!$Q$67="Menor"),CONCATENATE("R",'Matriz riesgos de gestión'!$A$67),"")</f>
        <v/>
      </c>
      <c r="Q12" s="781"/>
      <c r="R12" s="779" t="str">
        <f>IF(AND('Matriz riesgos de gestión'!$M$73="Muy Alta",'Matriz riesgos de gestión'!$Q$73="Menor"),CONCATENATE("R",'Matriz riesgos de gestión'!$A$73),"")</f>
        <v/>
      </c>
      <c r="S12" s="781"/>
      <c r="T12" s="779" t="str">
        <f>IF(AND('Matriz riesgos de gestión'!$M$79="Muy Alta",'Matriz riesgos de gestión'!$Q$79="Menor"),CONCATENATE("R",'Matriz riesgos de gestión'!$A$79),"")</f>
        <v/>
      </c>
      <c r="U12" s="780"/>
      <c r="V12" s="788" t="str">
        <f>IF(AND('Matriz riesgos de gestión'!$M$67="Muy Alta",'Matriz riesgos de gestión'!$Q$67="Moderado"),CONCATENATE("R",'Matriz riesgos de gestión'!$A$67),"")</f>
        <v/>
      </c>
      <c r="W12" s="781"/>
      <c r="X12" s="779" t="str">
        <f>IF(AND('Matriz riesgos de gestión'!$M$73="Muy Alta",'Matriz riesgos de gestión'!$Q$73="Moderado"),CONCATENATE("R",'Matriz riesgos de gestión'!$A$73),"")</f>
        <v/>
      </c>
      <c r="Y12" s="781"/>
      <c r="Z12" s="779" t="str">
        <f>IF(AND('Matriz riesgos de gestión'!$M$79="Muy Alta",'Matriz riesgos de gestión'!$Q$79="Moderado"),CONCATENATE("R",'Matriz riesgos de gestión'!$A$79),"")</f>
        <v/>
      </c>
      <c r="AA12" s="780"/>
      <c r="AB12" s="788" t="str">
        <f>IF(AND('Matriz riesgos de gestión'!$M$67="Muy Alta",'Matriz riesgos de gestión'!$Q$67="Mayor"),CONCATENATE("R",'Matriz riesgos de gestión'!$A$67),"")</f>
        <v/>
      </c>
      <c r="AC12" s="781"/>
      <c r="AD12" s="779" t="str">
        <f>IF(AND('Matriz riesgos de gestión'!$M$73="Muy Alta",'Matriz riesgos de gestión'!$Q$73="Mayor"),CONCATENATE("R",'Matriz riesgos de gestión'!$A$73),"")</f>
        <v/>
      </c>
      <c r="AE12" s="781"/>
      <c r="AF12" s="779" t="str">
        <f>IF(AND('Matriz riesgos de gestión'!$M$79="Muy Alta",'Matriz riesgos de gestión'!$Q$79="Mayor"),CONCATENATE("R",'Matriz riesgos de gestión'!$A$79),"")</f>
        <v/>
      </c>
      <c r="AG12" s="780"/>
      <c r="AH12" s="782" t="str">
        <f>IF(AND('Matriz riesgos de gestión'!$M$67="Muy Alta",'Matriz riesgos de gestión'!$Q$67="Catastrófico"),CONCATENATE("R",'Matriz riesgos de gestión'!$A$67),"")</f>
        <v/>
      </c>
      <c r="AI12" s="781"/>
      <c r="AJ12" s="784" t="str">
        <f>IF(AND('Matriz riesgos de gestión'!$M$73="Muy Alta",'Matriz riesgos de gestión'!$Q$73="Catastrófico"),CONCATENATE("R",'Matriz riesgos de gestión'!$A$73),"")</f>
        <v/>
      </c>
      <c r="AK12" s="781"/>
      <c r="AL12" s="784" t="str">
        <f>IF(AND('Matriz riesgos de gestión'!$M$79="Muy Alta",'Matriz riesgos de gestión'!$Q$79="Catastrófico"),CONCATENATE("R",'Matriz riesgos de gestión'!$A$79),"")</f>
        <v/>
      </c>
      <c r="AM12" s="780"/>
      <c r="AN12" s="115"/>
      <c r="AO12" s="803"/>
      <c r="AP12" s="804"/>
      <c r="AQ12" s="804"/>
      <c r="AR12" s="804"/>
      <c r="AS12" s="804"/>
      <c r="AT12" s="805"/>
      <c r="AU12" s="115"/>
      <c r="AV12" s="115"/>
      <c r="AW12" s="115"/>
      <c r="AX12" s="115"/>
      <c r="AY12" s="115"/>
      <c r="AZ12" s="115"/>
      <c r="BA12" s="115"/>
      <c r="BB12" s="115"/>
      <c r="BC12" s="115"/>
      <c r="BD12" s="115"/>
      <c r="BE12" s="115"/>
      <c r="BF12" s="115"/>
      <c r="BG12" s="115"/>
      <c r="BH12" s="115"/>
      <c r="BI12" s="115"/>
    </row>
    <row r="13" spans="1:61" ht="15.75" customHeight="1" x14ac:dyDescent="0.25">
      <c r="A13" s="115"/>
      <c r="B13" s="781"/>
      <c r="C13" s="804"/>
      <c r="D13" s="780"/>
      <c r="E13" s="790"/>
      <c r="F13" s="791"/>
      <c r="G13" s="791"/>
      <c r="H13" s="791"/>
      <c r="I13" s="792"/>
      <c r="J13" s="783"/>
      <c r="K13" s="781"/>
      <c r="L13" s="781"/>
      <c r="M13" s="781"/>
      <c r="N13" s="781"/>
      <c r="O13" s="780"/>
      <c r="P13" s="783"/>
      <c r="Q13" s="781"/>
      <c r="R13" s="781"/>
      <c r="S13" s="781"/>
      <c r="T13" s="781"/>
      <c r="U13" s="780"/>
      <c r="V13" s="783"/>
      <c r="W13" s="781"/>
      <c r="X13" s="781"/>
      <c r="Y13" s="781"/>
      <c r="Z13" s="781"/>
      <c r="AA13" s="780"/>
      <c r="AB13" s="783"/>
      <c r="AC13" s="781"/>
      <c r="AD13" s="781"/>
      <c r="AE13" s="781"/>
      <c r="AF13" s="781"/>
      <c r="AG13" s="780"/>
      <c r="AH13" s="790"/>
      <c r="AI13" s="791"/>
      <c r="AJ13" s="791"/>
      <c r="AK13" s="791"/>
      <c r="AL13" s="791"/>
      <c r="AM13" s="792"/>
      <c r="AN13" s="115"/>
      <c r="AO13" s="806"/>
      <c r="AP13" s="807"/>
      <c r="AQ13" s="807"/>
      <c r="AR13" s="807"/>
      <c r="AS13" s="807"/>
      <c r="AT13" s="808"/>
      <c r="AU13" s="115"/>
      <c r="AV13" s="115"/>
      <c r="AW13" s="115"/>
      <c r="AX13" s="115"/>
      <c r="AY13" s="115"/>
      <c r="AZ13" s="115"/>
      <c r="BA13" s="115"/>
      <c r="BB13" s="115"/>
      <c r="BC13" s="115"/>
      <c r="BD13" s="115"/>
      <c r="BE13" s="115"/>
      <c r="BF13" s="115"/>
      <c r="BG13" s="115"/>
      <c r="BH13" s="115"/>
      <c r="BI13" s="115"/>
    </row>
    <row r="14" spans="1:61" ht="15" customHeight="1" x14ac:dyDescent="0.25">
      <c r="A14" s="115"/>
      <c r="B14" s="781"/>
      <c r="C14" s="804"/>
      <c r="D14" s="780"/>
      <c r="E14" s="812" t="s">
        <v>5</v>
      </c>
      <c r="F14" s="786"/>
      <c r="G14" s="786"/>
      <c r="H14" s="786"/>
      <c r="I14" s="786"/>
      <c r="J14" s="795" t="str">
        <f>IF(AND('Matriz riesgos de gestión'!$M$4="Alta",'Matriz riesgos de gestión'!$Q$4="Leve"),CONCATENATE("R",'Matriz riesgos de gestión'!$A$4),"")</f>
        <v/>
      </c>
      <c r="K14" s="786"/>
      <c r="L14" s="793" t="str">
        <f>IF(AND('Matriz riesgos de gestión'!$M$15="Alta",'Matriz riesgos de gestión'!$Q$15="Leve"),CONCATENATE("R",'Matriz riesgos de gestión'!$A$15),"")</f>
        <v/>
      </c>
      <c r="M14" s="786"/>
      <c r="N14" s="793" t="str">
        <f>IF(AND('Matriz riesgos de gestión'!$M$25="Alta",'Matriz riesgos de gestión'!$Q$25="Leve"),CONCATENATE("R",'Matriz riesgos de gestión'!$A$25),"")</f>
        <v/>
      </c>
      <c r="O14" s="794"/>
      <c r="P14" s="795" t="str">
        <f>IF(AND('Matriz riesgos de gestión'!$M$4="Alta",'Matriz riesgos de gestión'!$Q$4="Menor"),CONCATENATE("R",'Matriz riesgos de gestión'!$A$4),"")</f>
        <v/>
      </c>
      <c r="Q14" s="786"/>
      <c r="R14" s="793" t="str">
        <f>IF(AND('Matriz riesgos de gestión'!$M$15="Alta",'Matriz riesgos de gestión'!$Q$15="Menor"),CONCATENATE("R",'Matriz riesgos de gestión'!$A$15),"")</f>
        <v/>
      </c>
      <c r="S14" s="786"/>
      <c r="T14" s="793" t="str">
        <f>IF(AND('Matriz riesgos de gestión'!$M$25="Alta",'Matriz riesgos de gestión'!$Q$25="Menor"),CONCATENATE("R",'Matriz riesgos de gestión'!$A$25),"")</f>
        <v/>
      </c>
      <c r="U14" s="794"/>
      <c r="V14" s="785" t="str">
        <f>IF(AND('Matriz riesgos de gestión'!$M$4="Alta",'Matriz riesgos de gestión'!$Q$4="Moderado"),CONCATENATE("R",'Matriz riesgos de gestión'!$A$4),"")</f>
        <v/>
      </c>
      <c r="W14" s="786"/>
      <c r="X14" s="787" t="str">
        <f>IF(AND('Matriz riesgos de gestión'!$M$15="Alta",'Matriz riesgos de gestión'!$Q$15="Moderado"),CONCATENATE("R",'Matriz riesgos de gestión'!$A$15),"")</f>
        <v/>
      </c>
      <c r="Y14" s="786"/>
      <c r="Z14" s="787" t="str">
        <f>IF(AND('Matriz riesgos de gestión'!$M$25="Alta",'Matriz riesgos de gestión'!$Q$25="Moderado"),CONCATENATE("R",'Matriz riesgos de gestión'!$A$25),"")</f>
        <v/>
      </c>
      <c r="AA14" s="794"/>
      <c r="AB14" s="785" t="str">
        <f>IF(AND('Matriz riesgos de gestión'!$M$4="Alta",'Matriz riesgos de gestión'!$Q$4="Mayor"),CONCATENATE("R",'Matriz riesgos de gestión'!$A$4),"")</f>
        <v/>
      </c>
      <c r="AC14" s="786"/>
      <c r="AD14" s="787" t="str">
        <f>IF(AND('Matriz riesgos de gestión'!$M$15="Alta",'Matriz riesgos de gestión'!$Q$15="Mayor"),CONCATENATE("R",'Matriz riesgos de gestión'!$A$15),"")</f>
        <v/>
      </c>
      <c r="AE14" s="786"/>
      <c r="AF14" s="787" t="str">
        <f>IF(AND('Matriz riesgos de gestión'!$M$25="Alta",'Matriz riesgos de gestión'!$Q$25="Mayor"),CONCATENATE("R",'Matriz riesgos de gestión'!$A$25),"")</f>
        <v/>
      </c>
      <c r="AG14" s="794"/>
      <c r="AH14" s="796" t="str">
        <f>IF(AND('Matriz riesgos de gestión'!$M$4="Alta",'Matriz riesgos de gestión'!$Q$4="Catastrófico"),CONCATENATE("R",'Matriz riesgos de gestión'!$A$4),"")</f>
        <v/>
      </c>
      <c r="AI14" s="786"/>
      <c r="AJ14" s="789" t="str">
        <f>IF(AND('Matriz riesgos de gestión'!$M$15="Alta",'Matriz riesgos de gestión'!$Q$15="Catastrófico"),CONCATENATE("R",'Matriz riesgos de gestión'!$A$15),"")</f>
        <v/>
      </c>
      <c r="AK14" s="786"/>
      <c r="AL14" s="789" t="str">
        <f>IF(AND('Matriz riesgos de gestión'!$M$25="Alta",'Matriz riesgos de gestión'!$Q$25="Catastrófico"),CONCATENATE("R",'Matriz riesgos de gestión'!$A$25),"")</f>
        <v/>
      </c>
      <c r="AM14" s="794"/>
      <c r="AN14" s="115"/>
      <c r="AO14" s="809" t="s">
        <v>6</v>
      </c>
      <c r="AP14" s="801"/>
      <c r="AQ14" s="801"/>
      <c r="AR14" s="801"/>
      <c r="AS14" s="801"/>
      <c r="AT14" s="802"/>
      <c r="AU14" s="115"/>
      <c r="AV14" s="115"/>
      <c r="AW14" s="115"/>
      <c r="AX14" s="115"/>
      <c r="AY14" s="115"/>
      <c r="AZ14" s="115"/>
      <c r="BA14" s="115"/>
      <c r="BB14" s="115"/>
      <c r="BC14" s="115"/>
      <c r="BD14" s="115"/>
      <c r="BE14" s="115"/>
      <c r="BF14" s="115"/>
      <c r="BG14" s="115"/>
      <c r="BH14" s="115"/>
      <c r="BI14" s="115"/>
    </row>
    <row r="15" spans="1:61" ht="15" customHeight="1" x14ac:dyDescent="0.25">
      <c r="A15" s="115"/>
      <c r="B15" s="781"/>
      <c r="C15" s="804"/>
      <c r="D15" s="780"/>
      <c r="E15" s="783"/>
      <c r="F15" s="804"/>
      <c r="G15" s="804"/>
      <c r="H15" s="804"/>
      <c r="I15" s="804"/>
      <c r="J15" s="783"/>
      <c r="K15" s="781"/>
      <c r="L15" s="781"/>
      <c r="M15" s="781"/>
      <c r="N15" s="781"/>
      <c r="O15" s="780"/>
      <c r="P15" s="783"/>
      <c r="Q15" s="781"/>
      <c r="R15" s="781"/>
      <c r="S15" s="781"/>
      <c r="T15" s="781"/>
      <c r="U15" s="780"/>
      <c r="V15" s="783"/>
      <c r="W15" s="781"/>
      <c r="X15" s="781"/>
      <c r="Y15" s="781"/>
      <c r="Z15" s="781"/>
      <c r="AA15" s="780"/>
      <c r="AB15" s="783"/>
      <c r="AC15" s="781"/>
      <c r="AD15" s="781"/>
      <c r="AE15" s="781"/>
      <c r="AF15" s="781"/>
      <c r="AG15" s="780"/>
      <c r="AH15" s="783"/>
      <c r="AI15" s="781"/>
      <c r="AJ15" s="781"/>
      <c r="AK15" s="781"/>
      <c r="AL15" s="781"/>
      <c r="AM15" s="780"/>
      <c r="AN15" s="115"/>
      <c r="AO15" s="803"/>
      <c r="AP15" s="804"/>
      <c r="AQ15" s="804"/>
      <c r="AR15" s="804"/>
      <c r="AS15" s="804"/>
      <c r="AT15" s="805"/>
      <c r="AU15" s="115"/>
      <c r="AV15" s="115"/>
      <c r="AW15" s="115"/>
      <c r="AX15" s="115"/>
      <c r="AY15" s="115"/>
      <c r="AZ15" s="115"/>
      <c r="BA15" s="115"/>
      <c r="BB15" s="115"/>
      <c r="BC15" s="115"/>
      <c r="BD15" s="115"/>
      <c r="BE15" s="115"/>
      <c r="BF15" s="115"/>
      <c r="BG15" s="115"/>
      <c r="BH15" s="115"/>
      <c r="BI15" s="115"/>
    </row>
    <row r="16" spans="1:61" ht="15" customHeight="1" x14ac:dyDescent="0.25">
      <c r="A16" s="115"/>
      <c r="B16" s="781"/>
      <c r="C16" s="804"/>
      <c r="D16" s="780"/>
      <c r="E16" s="783"/>
      <c r="F16" s="804"/>
      <c r="G16" s="804"/>
      <c r="H16" s="804"/>
      <c r="I16" s="804"/>
      <c r="J16" s="799" t="str">
        <f>IF(AND('Matriz riesgos de gestión'!$M$31="Alta",'Matriz riesgos de gestión'!$Q$31="Leve"),CONCATENATE("R",'Matriz riesgos de gestión'!$A$31),"")</f>
        <v/>
      </c>
      <c r="K16" s="781"/>
      <c r="L16" s="798" t="str">
        <f>IF(AND('Matriz riesgos de gestión'!$M$37="Alta",'Matriz riesgos de gestión'!$Q$37="Leve"),CONCATENATE("R",'Matriz riesgos de gestión'!$A$37),"")</f>
        <v/>
      </c>
      <c r="M16" s="781"/>
      <c r="N16" s="798" t="str">
        <f>IF(AND('Matriz riesgos de gestión'!$M$43="Alta",'Matriz riesgos de gestión'!$Q$43="Leve"),CONCATENATE("R",'Matriz riesgos de gestión'!$A$43),"")</f>
        <v/>
      </c>
      <c r="O16" s="780"/>
      <c r="P16" s="799" t="str">
        <f>IF(AND('Matriz riesgos de gestión'!$M$31="Alta",'Matriz riesgos de gestión'!$Q$31="Menor"),CONCATENATE("R",'Matriz riesgos de gestión'!$A$31),"")</f>
        <v/>
      </c>
      <c r="Q16" s="781"/>
      <c r="R16" s="798" t="str">
        <f>IF(AND('Matriz riesgos de gestión'!$M$37="Alta",'Matriz riesgos de gestión'!$Q$37="Menor"),CONCATENATE("R",'Matriz riesgos de gestión'!$A$37),"")</f>
        <v/>
      </c>
      <c r="S16" s="781"/>
      <c r="T16" s="798" t="str">
        <f>IF(AND('Matriz riesgos de gestión'!$M$43="Alta",'Matriz riesgos de gestión'!$Q$43="Menor"),CONCATENATE("R",'Matriz riesgos de gestión'!$A$43),"")</f>
        <v/>
      </c>
      <c r="U16" s="780"/>
      <c r="V16" s="788" t="str">
        <f>IF(AND('Matriz riesgos de gestión'!$M$31="Alta",'Matriz riesgos de gestión'!$Q$31="Moderado"),CONCATENATE("R",'Matriz riesgos de gestión'!$A$31),"")</f>
        <v/>
      </c>
      <c r="W16" s="781"/>
      <c r="X16" s="779" t="str">
        <f>IF(AND('Matriz riesgos de gestión'!$M$37="Alta",'Matriz riesgos de gestión'!$Q$37="Moderado"),CONCATENATE("R",'Matriz riesgos de gestión'!$A$37),"")</f>
        <v/>
      </c>
      <c r="Y16" s="781"/>
      <c r="Z16" s="779" t="str">
        <f>IF(AND('Matriz riesgos de gestión'!$M$43="Alta",'Matriz riesgos de gestión'!$Q$43="Moderado"),CONCATENATE("R",'Matriz riesgos de gestión'!$A$43),"")</f>
        <v>R17</v>
      </c>
      <c r="AA16" s="780"/>
      <c r="AB16" s="788" t="str">
        <f>IF(AND('Matriz riesgos de gestión'!$M$31="Alta",'Matriz riesgos de gestión'!$Q$31="Mayor"),CONCATENATE("R",'Matriz riesgos de gestión'!$A$31),"")</f>
        <v/>
      </c>
      <c r="AC16" s="781"/>
      <c r="AD16" s="779" t="str">
        <f>IF(AND('Matriz riesgos de gestión'!$M$37="Alta",'Matriz riesgos de gestión'!$Q$37="Mayor"),CONCATENATE("R",'Matriz riesgos de gestión'!$A$37),"")</f>
        <v/>
      </c>
      <c r="AE16" s="781"/>
      <c r="AF16" s="779" t="str">
        <f>IF(AND('Matriz riesgos de gestión'!$M$43="Alta",'Matriz riesgos de gestión'!$Q$43="Mayor"),CONCATENATE("R",'Matriz riesgos de gestión'!$A$43),"")</f>
        <v/>
      </c>
      <c r="AG16" s="780"/>
      <c r="AH16" s="782" t="str">
        <f>IF(AND('Matriz riesgos de gestión'!$M$31="Alta",'Matriz riesgos de gestión'!$Q$31="Catastrófico"),CONCATENATE("R",'Matriz riesgos de gestión'!$A$31),"")</f>
        <v/>
      </c>
      <c r="AI16" s="781"/>
      <c r="AJ16" s="784" t="str">
        <f>IF(AND('Matriz riesgos de gestión'!$M$37="Alta",'Matriz riesgos de gestión'!$Q$37="Catastrófico"),CONCATENATE("R",'Matriz riesgos de gestión'!$A$37),"")</f>
        <v/>
      </c>
      <c r="AK16" s="781"/>
      <c r="AL16" s="784" t="str">
        <f>IF(AND('Matriz riesgos de gestión'!$M$43="Alta",'Matriz riesgos de gestión'!$Q$43="Catastrófico"),CONCATENATE("R",'Matriz riesgos de gestión'!$A$43),"")</f>
        <v/>
      </c>
      <c r="AM16" s="780"/>
      <c r="AN16" s="115"/>
      <c r="AO16" s="803"/>
      <c r="AP16" s="804"/>
      <c r="AQ16" s="804"/>
      <c r="AR16" s="804"/>
      <c r="AS16" s="804"/>
      <c r="AT16" s="805"/>
      <c r="AU16" s="115"/>
      <c r="AV16" s="115"/>
      <c r="AW16" s="115"/>
      <c r="AX16" s="115"/>
      <c r="AY16" s="115"/>
      <c r="AZ16" s="115"/>
      <c r="BA16" s="115"/>
      <c r="BB16" s="115"/>
      <c r="BC16" s="115"/>
      <c r="BD16" s="115"/>
      <c r="BE16" s="115"/>
      <c r="BF16" s="115"/>
      <c r="BG16" s="115"/>
      <c r="BH16" s="115"/>
      <c r="BI16" s="115"/>
    </row>
    <row r="17" spans="1:61" ht="15" customHeight="1" x14ac:dyDescent="0.25">
      <c r="A17" s="115"/>
      <c r="B17" s="781"/>
      <c r="C17" s="804"/>
      <c r="D17" s="780"/>
      <c r="E17" s="783"/>
      <c r="F17" s="804"/>
      <c r="G17" s="804"/>
      <c r="H17" s="804"/>
      <c r="I17" s="804"/>
      <c r="J17" s="783"/>
      <c r="K17" s="781"/>
      <c r="L17" s="781"/>
      <c r="M17" s="781"/>
      <c r="N17" s="781"/>
      <c r="O17" s="780"/>
      <c r="P17" s="783"/>
      <c r="Q17" s="781"/>
      <c r="R17" s="781"/>
      <c r="S17" s="781"/>
      <c r="T17" s="781"/>
      <c r="U17" s="780"/>
      <c r="V17" s="783"/>
      <c r="W17" s="781"/>
      <c r="X17" s="781"/>
      <c r="Y17" s="781"/>
      <c r="Z17" s="781"/>
      <c r="AA17" s="780"/>
      <c r="AB17" s="783"/>
      <c r="AC17" s="781"/>
      <c r="AD17" s="781"/>
      <c r="AE17" s="781"/>
      <c r="AF17" s="781"/>
      <c r="AG17" s="780"/>
      <c r="AH17" s="783"/>
      <c r="AI17" s="781"/>
      <c r="AJ17" s="781"/>
      <c r="AK17" s="781"/>
      <c r="AL17" s="781"/>
      <c r="AM17" s="780"/>
      <c r="AN17" s="115"/>
      <c r="AO17" s="803"/>
      <c r="AP17" s="804"/>
      <c r="AQ17" s="804"/>
      <c r="AR17" s="804"/>
      <c r="AS17" s="804"/>
      <c r="AT17" s="805"/>
      <c r="AU17" s="115"/>
      <c r="AV17" s="115"/>
      <c r="AW17" s="115"/>
      <c r="AX17" s="115"/>
      <c r="AY17" s="115"/>
      <c r="AZ17" s="115"/>
      <c r="BA17" s="115"/>
      <c r="BB17" s="115"/>
      <c r="BC17" s="115"/>
      <c r="BD17" s="115"/>
      <c r="BE17" s="115"/>
      <c r="BF17" s="115"/>
      <c r="BG17" s="115"/>
      <c r="BH17" s="115"/>
      <c r="BI17" s="115"/>
    </row>
    <row r="18" spans="1:61" ht="15" customHeight="1" x14ac:dyDescent="0.25">
      <c r="A18" s="115"/>
      <c r="B18" s="781"/>
      <c r="C18" s="804"/>
      <c r="D18" s="780"/>
      <c r="E18" s="783"/>
      <c r="F18" s="804"/>
      <c r="G18" s="804"/>
      <c r="H18" s="804"/>
      <c r="I18" s="804"/>
      <c r="J18" s="799" t="str">
        <f>IF(AND('Matriz riesgos de gestión'!$M$49="Alta",'Matriz riesgos de gestión'!$Q$49="Leve"),CONCATENATE("R",'Matriz riesgos de gestión'!$A$49),"")</f>
        <v/>
      </c>
      <c r="K18" s="781"/>
      <c r="L18" s="798" t="str">
        <f>IF(AND('Matriz riesgos de gestión'!$M$55="Alta",'Matriz riesgos de gestión'!$Q$55="Leve"),CONCATENATE("R",'Matriz riesgos de gestión'!$A$55),"")</f>
        <v/>
      </c>
      <c r="M18" s="781"/>
      <c r="N18" s="798" t="str">
        <f>IF(AND('Matriz riesgos de gestión'!$M$61="Alta",'Matriz riesgos de gestión'!$Q$61="Leve"),CONCATENATE("R",'Matriz riesgos de gestión'!$A$61),"")</f>
        <v/>
      </c>
      <c r="O18" s="780"/>
      <c r="P18" s="799" t="str">
        <f>IF(AND('Matriz riesgos de gestión'!$M$49="Alta",'Matriz riesgos de gestión'!$Q$49="Menor"),CONCATENATE("R",'Matriz riesgos de gestión'!$A$49),"")</f>
        <v/>
      </c>
      <c r="Q18" s="781"/>
      <c r="R18" s="798" t="str">
        <f>IF(AND('Matriz riesgos de gestión'!$M$55="Alta",'Matriz riesgos de gestión'!$Q$55="Menor"),CONCATENATE("R",'Matriz riesgos de gestión'!$A$55),"")</f>
        <v/>
      </c>
      <c r="S18" s="781"/>
      <c r="T18" s="798" t="str">
        <f>IF(AND('Matriz riesgos de gestión'!$M$61="Alta",'Matriz riesgos de gestión'!$Q$61="Menor"),CONCATENATE("R",'Matriz riesgos de gestión'!$A$61),"")</f>
        <v/>
      </c>
      <c r="U18" s="780"/>
      <c r="V18" s="788" t="str">
        <f>IF(AND('Matriz riesgos de gestión'!$M$49="Alta",'Matriz riesgos de gestión'!$Q$49="Moderado"),CONCATENATE("R",'Matriz riesgos de gestión'!$A$49),"")</f>
        <v>R21</v>
      </c>
      <c r="W18" s="781"/>
      <c r="X18" s="779" t="str">
        <f>IF(AND('Matriz riesgos de gestión'!$M$55="Alta",'Matriz riesgos de gestión'!$Q$55="Moderado"),CONCATENATE("R",'Matriz riesgos de gestión'!$A$55),"")</f>
        <v/>
      </c>
      <c r="Y18" s="781"/>
      <c r="Z18" s="779" t="str">
        <f>IF(AND('Matriz riesgos de gestión'!$M$61="Alta",'Matriz riesgos de gestión'!$Q$61="Moderado"),CONCATENATE("R",'Matriz riesgos de gestión'!$A$61),"")</f>
        <v/>
      </c>
      <c r="AA18" s="780"/>
      <c r="AB18" s="788" t="str">
        <f>IF(AND('Matriz riesgos de gestión'!$M$49="Alta",'Matriz riesgos de gestión'!$Q$49="Mayor"),CONCATENATE("R",'Matriz riesgos de gestión'!$A$49),"")</f>
        <v/>
      </c>
      <c r="AC18" s="781"/>
      <c r="AD18" s="779" t="str">
        <f>IF(AND('Matriz riesgos de gestión'!$M$55="Alta",'Matriz riesgos de gestión'!$Q$55="Mayor"),CONCATENATE("R",'Matriz riesgos de gestión'!$A$55),"")</f>
        <v/>
      </c>
      <c r="AE18" s="781"/>
      <c r="AF18" s="779" t="str">
        <f>IF(AND('Matriz riesgos de gestión'!$M$61="Alta",'Matriz riesgos de gestión'!$Q$61="Mayor"),CONCATENATE("R",'Matriz riesgos de gestión'!$A$61),"")</f>
        <v/>
      </c>
      <c r="AG18" s="780"/>
      <c r="AH18" s="782" t="str">
        <f>IF(AND('Matriz riesgos de gestión'!$M$49="Alta",'Matriz riesgos de gestión'!$Q$49="Catastrófico"),CONCATENATE("R",'Matriz riesgos de gestión'!$A$49),"")</f>
        <v/>
      </c>
      <c r="AI18" s="781"/>
      <c r="AJ18" s="784" t="str">
        <f>IF(AND('Matriz riesgos de gestión'!$M$55="Alta",'Matriz riesgos de gestión'!$Q$55="Catastrófico"),CONCATENATE("R",'Matriz riesgos de gestión'!$A$55),"")</f>
        <v/>
      </c>
      <c r="AK18" s="781"/>
      <c r="AL18" s="784" t="str">
        <f>IF(AND('Matriz riesgos de gestión'!$M$61="Alta",'Matriz riesgos de gestión'!$Q$61="Catastrófico"),CONCATENATE("R",'Matriz riesgos de gestión'!$A$61),"")</f>
        <v/>
      </c>
      <c r="AM18" s="780"/>
      <c r="AN18" s="115"/>
      <c r="AO18" s="803"/>
      <c r="AP18" s="804"/>
      <c r="AQ18" s="804"/>
      <c r="AR18" s="804"/>
      <c r="AS18" s="804"/>
      <c r="AT18" s="805"/>
      <c r="AU18" s="115"/>
      <c r="AV18" s="115"/>
      <c r="AW18" s="115"/>
      <c r="AX18" s="115"/>
      <c r="AY18" s="115"/>
      <c r="AZ18" s="115"/>
      <c r="BA18" s="115"/>
      <c r="BB18" s="115"/>
      <c r="BC18" s="115"/>
      <c r="BD18" s="115"/>
      <c r="BE18" s="115"/>
      <c r="BF18" s="115"/>
      <c r="BG18" s="115"/>
      <c r="BH18" s="115"/>
      <c r="BI18" s="115"/>
    </row>
    <row r="19" spans="1:61" ht="15" customHeight="1" x14ac:dyDescent="0.25">
      <c r="A19" s="115"/>
      <c r="B19" s="781"/>
      <c r="C19" s="804"/>
      <c r="D19" s="780"/>
      <c r="E19" s="783"/>
      <c r="F19" s="804"/>
      <c r="G19" s="804"/>
      <c r="H19" s="804"/>
      <c r="I19" s="804"/>
      <c r="J19" s="783"/>
      <c r="K19" s="781"/>
      <c r="L19" s="781"/>
      <c r="M19" s="781"/>
      <c r="N19" s="781"/>
      <c r="O19" s="780"/>
      <c r="P19" s="783"/>
      <c r="Q19" s="781"/>
      <c r="R19" s="781"/>
      <c r="S19" s="781"/>
      <c r="T19" s="781"/>
      <c r="U19" s="780"/>
      <c r="V19" s="783"/>
      <c r="W19" s="781"/>
      <c r="X19" s="781"/>
      <c r="Y19" s="781"/>
      <c r="Z19" s="781"/>
      <c r="AA19" s="780"/>
      <c r="AB19" s="783"/>
      <c r="AC19" s="781"/>
      <c r="AD19" s="781"/>
      <c r="AE19" s="781"/>
      <c r="AF19" s="781"/>
      <c r="AG19" s="780"/>
      <c r="AH19" s="783"/>
      <c r="AI19" s="781"/>
      <c r="AJ19" s="781"/>
      <c r="AK19" s="781"/>
      <c r="AL19" s="781"/>
      <c r="AM19" s="780"/>
      <c r="AN19" s="115"/>
      <c r="AO19" s="803"/>
      <c r="AP19" s="804"/>
      <c r="AQ19" s="804"/>
      <c r="AR19" s="804"/>
      <c r="AS19" s="804"/>
      <c r="AT19" s="805"/>
      <c r="AU19" s="115"/>
      <c r="AV19" s="115"/>
      <c r="AW19" s="115"/>
      <c r="AX19" s="115"/>
      <c r="AY19" s="115"/>
      <c r="AZ19" s="115"/>
      <c r="BA19" s="115"/>
      <c r="BB19" s="115"/>
      <c r="BC19" s="115"/>
      <c r="BD19" s="115"/>
      <c r="BE19" s="115"/>
      <c r="BF19" s="115"/>
      <c r="BG19" s="115"/>
      <c r="BH19" s="115"/>
      <c r="BI19" s="115"/>
    </row>
    <row r="20" spans="1:61" ht="15" customHeight="1" x14ac:dyDescent="0.25">
      <c r="A20" s="115"/>
      <c r="B20" s="781"/>
      <c r="C20" s="804"/>
      <c r="D20" s="780"/>
      <c r="E20" s="783"/>
      <c r="F20" s="804"/>
      <c r="G20" s="804"/>
      <c r="H20" s="804"/>
      <c r="I20" s="804"/>
      <c r="J20" s="799" t="str">
        <f>IF(AND('Matriz riesgos de gestión'!$M$67="Alta",'Matriz riesgos de gestión'!$Q$67="Leve"),CONCATENATE("R",'Matriz riesgos de gestión'!$A$67),"")</f>
        <v/>
      </c>
      <c r="K20" s="781"/>
      <c r="L20" s="798" t="str">
        <f>IF(AND('Matriz riesgos de gestión'!$M$73="Alta",'Matriz riesgos de gestión'!$Q$73="Leve"),CONCATENATE("R",'Matriz riesgos de gestión'!$A$73),"")</f>
        <v/>
      </c>
      <c r="M20" s="781"/>
      <c r="N20" s="798" t="str">
        <f>IF(AND('Matriz riesgos de gestión'!$M$79="Alta",'Matriz riesgos de gestión'!$Q$79="Leve"),CONCATENATE("R",'Matriz riesgos de gestión'!$A$79),"")</f>
        <v/>
      </c>
      <c r="O20" s="780"/>
      <c r="P20" s="799" t="str">
        <f>IF(AND('Matriz riesgos de gestión'!$M$67="Alta",'Matriz riesgos de gestión'!$Q$67="Menor"),CONCATENATE("R",'Matriz riesgos de gestión'!$A$67),"")</f>
        <v/>
      </c>
      <c r="Q20" s="781"/>
      <c r="R20" s="798" t="str">
        <f>IF(AND('Matriz riesgos de gestión'!$M$73="Alta",'Matriz riesgos de gestión'!$Q$73="Menor"),CONCATENATE("R",'Matriz riesgos de gestión'!$A$73),"")</f>
        <v/>
      </c>
      <c r="S20" s="781"/>
      <c r="T20" s="798" t="str">
        <f>IF(AND('Matriz riesgos de gestión'!$M$79="Alta",'Matriz riesgos de gestión'!$Q$79="Menor"),CONCATENATE("R",'Matriz riesgos de gestión'!$A$79),"")</f>
        <v/>
      </c>
      <c r="U20" s="780"/>
      <c r="V20" s="788" t="str">
        <f>IF(AND('Matriz riesgos de gestión'!$M$67="Alta",'Matriz riesgos de gestión'!$Q$67="Moderado"),CONCATENATE("R",'Matriz riesgos de gestión'!$A$67),"")</f>
        <v/>
      </c>
      <c r="W20" s="781"/>
      <c r="X20" s="779" t="str">
        <f>IF(AND('Matriz riesgos de gestión'!$M$73="Alta",'Matriz riesgos de gestión'!$Q$73="Moderado"),CONCATENATE("R",'Matriz riesgos de gestión'!$A$73),"")</f>
        <v/>
      </c>
      <c r="Y20" s="781"/>
      <c r="Z20" s="779" t="str">
        <f>IF(AND('Matriz riesgos de gestión'!$M$79="Alta",'Matriz riesgos de gestión'!$Q$79="Moderado"),CONCATENATE("R",'Matriz riesgos de gestión'!$A$79),"")</f>
        <v/>
      </c>
      <c r="AA20" s="780"/>
      <c r="AB20" s="788" t="str">
        <f>IF(AND('Matriz riesgos de gestión'!$M$67="Alta",'Matriz riesgos de gestión'!$Q$67="Mayor"),CONCATENATE("R",'Matriz riesgos de gestión'!$A$67),"")</f>
        <v/>
      </c>
      <c r="AC20" s="781"/>
      <c r="AD20" s="779" t="str">
        <f>IF(AND('Matriz riesgos de gestión'!$M$73="Alta",'Matriz riesgos de gestión'!$Q$73="Mayor"),CONCATENATE("R",'Matriz riesgos de gestión'!$A$73),"")</f>
        <v/>
      </c>
      <c r="AE20" s="781"/>
      <c r="AF20" s="779" t="str">
        <f>IF(AND('Matriz riesgos de gestión'!$M$79="Alta",'Matriz riesgos de gestión'!$Q$79="Mayor"),CONCATENATE("R",'Matriz riesgos de gestión'!$A$79),"")</f>
        <v/>
      </c>
      <c r="AG20" s="780"/>
      <c r="AH20" s="782" t="str">
        <f>IF(AND('Matriz riesgos de gestión'!$M$67="Alta",'Matriz riesgos de gestión'!$Q$67="Catastrófico"),CONCATENATE("R",'Matriz riesgos de gestión'!$A$67),"")</f>
        <v/>
      </c>
      <c r="AI20" s="781"/>
      <c r="AJ20" s="784" t="str">
        <f>IF(AND('Matriz riesgos de gestión'!$M$73="Alta",'Matriz riesgos de gestión'!$Q$73="Catastrófico"),CONCATENATE("R",'Matriz riesgos de gestión'!$A$73),"")</f>
        <v/>
      </c>
      <c r="AK20" s="781"/>
      <c r="AL20" s="784" t="str">
        <f>IF(AND('Matriz riesgos de gestión'!$M$79="Alta",'Matriz riesgos de gestión'!$Q$79="Catastrófico"),CONCATENATE("R",'Matriz riesgos de gestión'!$A$79),"")</f>
        <v/>
      </c>
      <c r="AM20" s="780"/>
      <c r="AN20" s="115"/>
      <c r="AO20" s="803"/>
      <c r="AP20" s="804"/>
      <c r="AQ20" s="804"/>
      <c r="AR20" s="804"/>
      <c r="AS20" s="804"/>
      <c r="AT20" s="805"/>
      <c r="AU20" s="115"/>
      <c r="AV20" s="115"/>
      <c r="AW20" s="115"/>
      <c r="AX20" s="115"/>
      <c r="AY20" s="115"/>
      <c r="AZ20" s="115"/>
      <c r="BA20" s="115"/>
      <c r="BB20" s="115"/>
      <c r="BC20" s="115"/>
      <c r="BD20" s="115"/>
      <c r="BE20" s="115"/>
      <c r="BF20" s="115"/>
      <c r="BG20" s="115"/>
      <c r="BH20" s="115"/>
      <c r="BI20" s="115"/>
    </row>
    <row r="21" spans="1:61" ht="15.75" customHeight="1" x14ac:dyDescent="0.25">
      <c r="A21" s="115"/>
      <c r="B21" s="781"/>
      <c r="C21" s="804"/>
      <c r="D21" s="780"/>
      <c r="E21" s="790"/>
      <c r="F21" s="791"/>
      <c r="G21" s="791"/>
      <c r="H21" s="791"/>
      <c r="I21" s="791"/>
      <c r="J21" s="790"/>
      <c r="K21" s="791"/>
      <c r="L21" s="791"/>
      <c r="M21" s="791"/>
      <c r="N21" s="791"/>
      <c r="O21" s="792"/>
      <c r="P21" s="790"/>
      <c r="Q21" s="791"/>
      <c r="R21" s="791"/>
      <c r="S21" s="791"/>
      <c r="T21" s="791"/>
      <c r="U21" s="792"/>
      <c r="V21" s="790"/>
      <c r="W21" s="791"/>
      <c r="X21" s="791"/>
      <c r="Y21" s="791"/>
      <c r="Z21" s="791"/>
      <c r="AA21" s="792"/>
      <c r="AB21" s="790"/>
      <c r="AC21" s="791"/>
      <c r="AD21" s="791"/>
      <c r="AE21" s="791"/>
      <c r="AF21" s="791"/>
      <c r="AG21" s="792"/>
      <c r="AH21" s="790"/>
      <c r="AI21" s="791"/>
      <c r="AJ21" s="791"/>
      <c r="AK21" s="791"/>
      <c r="AL21" s="791"/>
      <c r="AM21" s="792"/>
      <c r="AN21" s="115"/>
      <c r="AO21" s="806"/>
      <c r="AP21" s="807"/>
      <c r="AQ21" s="807"/>
      <c r="AR21" s="807"/>
      <c r="AS21" s="807"/>
      <c r="AT21" s="808"/>
      <c r="AU21" s="115"/>
      <c r="AV21" s="115"/>
      <c r="AW21" s="115"/>
      <c r="AX21" s="115"/>
      <c r="AY21" s="115"/>
      <c r="AZ21" s="115"/>
      <c r="BA21" s="115"/>
      <c r="BB21" s="115"/>
      <c r="BC21" s="115"/>
      <c r="BD21" s="115"/>
      <c r="BE21" s="115"/>
      <c r="BF21" s="115"/>
      <c r="BG21" s="115"/>
      <c r="BH21" s="115"/>
      <c r="BI21" s="115"/>
    </row>
    <row r="22" spans="1:61" ht="15.75" customHeight="1" x14ac:dyDescent="0.25">
      <c r="A22" s="115"/>
      <c r="B22" s="781"/>
      <c r="C22" s="804"/>
      <c r="D22" s="780"/>
      <c r="E22" s="812" t="s">
        <v>7</v>
      </c>
      <c r="F22" s="786"/>
      <c r="G22" s="786"/>
      <c r="H22" s="786"/>
      <c r="I22" s="794"/>
      <c r="J22" s="795" t="str">
        <f>IF(AND('Matriz riesgos de gestión'!$M$4="Media",'Matriz riesgos de gestión'!$Q$4="Leve"),CONCATENATE("R",'Matriz riesgos de gestión'!$A$4),"")</f>
        <v/>
      </c>
      <c r="K22" s="786"/>
      <c r="L22" s="793" t="str">
        <f>IF(AND('Matriz riesgos de gestión'!$M$15="Media",'Matriz riesgos de gestión'!$Q$15="Leve"),CONCATENATE("R",'Matriz riesgos de gestión'!$A$15),"")</f>
        <v/>
      </c>
      <c r="M22" s="786"/>
      <c r="N22" s="793" t="str">
        <f>IF(AND('Matriz riesgos de gestión'!$M$25="Media",'Matriz riesgos de gestión'!$Q$25="Leve"),CONCATENATE("R",'Matriz riesgos de gestión'!$A$25),"")</f>
        <v/>
      </c>
      <c r="O22" s="794"/>
      <c r="P22" s="795" t="str">
        <f>IF(AND('Matriz riesgos de gestión'!$M$4="Media",'Matriz riesgos de gestión'!$Q$4="Menor"),CONCATENATE("R",'Matriz riesgos de gestión'!$A$4),"")</f>
        <v>R1</v>
      </c>
      <c r="Q22" s="786"/>
      <c r="R22" s="793" t="str">
        <f>IF(AND('Matriz riesgos de gestión'!$M$15="Media",'Matriz riesgos de gestión'!$Q$15="Menor"),CONCATENATE("R",'Matriz riesgos de gestión'!$A$15),"")</f>
        <v/>
      </c>
      <c r="S22" s="786"/>
      <c r="T22" s="793" t="str">
        <f>IF(AND('Matriz riesgos de gestión'!$M$25="Media",'Matriz riesgos de gestión'!$Q$25="Menor"),CONCATENATE("R",'Matriz riesgos de gestión'!$A$25),"")</f>
        <v/>
      </c>
      <c r="U22" s="794"/>
      <c r="V22" s="795" t="str">
        <f>IF(AND('Matriz riesgos de gestión'!$M$4="Media",'Matriz riesgos de gestión'!$Q$4="Moderado"),CONCATENATE("R",'Matriz riesgos de gestión'!$A$4),"")</f>
        <v/>
      </c>
      <c r="W22" s="786"/>
      <c r="X22" s="793" t="str">
        <f>IF(AND('Matriz riesgos de gestión'!$M$15="Media",'Matriz riesgos de gestión'!$Q$15="Moderado"),CONCATENATE("R",'Matriz riesgos de gestión'!$A$15),"")</f>
        <v/>
      </c>
      <c r="Y22" s="786"/>
      <c r="Z22" s="793" t="str">
        <f>IF(AND('Matriz riesgos de gestión'!$M$25="Media",'Matriz riesgos de gestión'!$Q$25="Moderado"),CONCATENATE("R",'Matriz riesgos de gestión'!$A$25),"")</f>
        <v>R9</v>
      </c>
      <c r="AA22" s="794"/>
      <c r="AB22" s="785" t="str">
        <f>IF(AND('Matriz riesgos de gestión'!$M$4="Media",'Matriz riesgos de gestión'!$Q$4="Mayor"),CONCATENATE("R",'Matriz riesgos de gestión'!$A$4),"")</f>
        <v/>
      </c>
      <c r="AC22" s="786"/>
      <c r="AD22" s="787" t="str">
        <f>IF(AND('Matriz riesgos de gestión'!$M$15="Media",'Matriz riesgos de gestión'!$Q$15="Mayor"),CONCATENATE("R",'Matriz riesgos de gestión'!$A$15),"")</f>
        <v>R6</v>
      </c>
      <c r="AE22" s="786"/>
      <c r="AF22" s="787" t="str">
        <f>IF(AND('Matriz riesgos de gestión'!$M$25="Media",'Matriz riesgos de gestión'!$Q$25="Mayor"),CONCATENATE("R",'Matriz riesgos de gestión'!$A$25),"")</f>
        <v/>
      </c>
      <c r="AG22" s="794"/>
      <c r="AH22" s="796" t="str">
        <f>IF(AND('Matriz riesgos de gestión'!$M$4="Media",'Matriz riesgos de gestión'!$Q$4="Catastrófico"),CONCATENATE("R",'Matriz riesgos de gestión'!$A$4),"")</f>
        <v/>
      </c>
      <c r="AI22" s="786"/>
      <c r="AJ22" s="789" t="str">
        <f>IF(AND('Matriz riesgos de gestión'!$M$15="Media",'Matriz riesgos de gestión'!$Q$15="Catastrófico"),CONCATENATE("R",'Matriz riesgos de gestión'!$A$15),"")</f>
        <v/>
      </c>
      <c r="AK22" s="786"/>
      <c r="AL22" s="789" t="str">
        <f>IF(AND('Matriz riesgos de gestión'!$M$25="Media",'Matriz riesgos de gestión'!$Q$25="Catastrófico"),CONCATENATE("R",'Matriz riesgos de gestión'!$A$25),"")</f>
        <v/>
      </c>
      <c r="AM22" s="794"/>
      <c r="AN22" s="115"/>
      <c r="AO22" s="810" t="s">
        <v>8</v>
      </c>
      <c r="AP22" s="801"/>
      <c r="AQ22" s="801"/>
      <c r="AR22" s="801"/>
      <c r="AS22" s="801"/>
      <c r="AT22" s="802"/>
      <c r="AU22" s="115"/>
      <c r="AV22" s="115"/>
      <c r="AW22" s="115"/>
      <c r="AX22" s="115"/>
      <c r="AY22" s="115"/>
      <c r="AZ22" s="115"/>
      <c r="BA22" s="115"/>
      <c r="BB22" s="115"/>
      <c r="BC22" s="115"/>
      <c r="BD22" s="115"/>
      <c r="BE22" s="115"/>
      <c r="BF22" s="115"/>
      <c r="BG22" s="115"/>
      <c r="BH22" s="115"/>
      <c r="BI22" s="115"/>
    </row>
    <row r="23" spans="1:61" ht="15.75" customHeight="1" x14ac:dyDescent="0.25">
      <c r="A23" s="115"/>
      <c r="B23" s="781"/>
      <c r="C23" s="804"/>
      <c r="D23" s="780"/>
      <c r="E23" s="783"/>
      <c r="F23" s="804"/>
      <c r="G23" s="804"/>
      <c r="H23" s="804"/>
      <c r="I23" s="780"/>
      <c r="J23" s="783"/>
      <c r="K23" s="781"/>
      <c r="L23" s="781"/>
      <c r="M23" s="781"/>
      <c r="N23" s="781"/>
      <c r="O23" s="780"/>
      <c r="P23" s="783"/>
      <c r="Q23" s="781"/>
      <c r="R23" s="781"/>
      <c r="S23" s="781"/>
      <c r="T23" s="781"/>
      <c r="U23" s="780"/>
      <c r="V23" s="783"/>
      <c r="W23" s="781"/>
      <c r="X23" s="781"/>
      <c r="Y23" s="781"/>
      <c r="Z23" s="781"/>
      <c r="AA23" s="780"/>
      <c r="AB23" s="783"/>
      <c r="AC23" s="781"/>
      <c r="AD23" s="781"/>
      <c r="AE23" s="781"/>
      <c r="AF23" s="781"/>
      <c r="AG23" s="780"/>
      <c r="AH23" s="783"/>
      <c r="AI23" s="781"/>
      <c r="AJ23" s="781"/>
      <c r="AK23" s="781"/>
      <c r="AL23" s="781"/>
      <c r="AM23" s="780"/>
      <c r="AN23" s="115"/>
      <c r="AO23" s="803"/>
      <c r="AP23" s="804"/>
      <c r="AQ23" s="804"/>
      <c r="AR23" s="804"/>
      <c r="AS23" s="804"/>
      <c r="AT23" s="805"/>
      <c r="AU23" s="115"/>
      <c r="AV23" s="115"/>
      <c r="AW23" s="115"/>
      <c r="AX23" s="115"/>
      <c r="AY23" s="115"/>
      <c r="AZ23" s="115"/>
      <c r="BA23" s="115"/>
      <c r="BB23" s="115"/>
      <c r="BC23" s="115"/>
      <c r="BD23" s="115"/>
      <c r="BE23" s="115"/>
      <c r="BF23" s="115"/>
      <c r="BG23" s="115"/>
      <c r="BH23" s="115"/>
      <c r="BI23" s="115"/>
    </row>
    <row r="24" spans="1:61" ht="15.75" customHeight="1" x14ac:dyDescent="0.25">
      <c r="A24" s="115"/>
      <c r="B24" s="781"/>
      <c r="C24" s="804"/>
      <c r="D24" s="780"/>
      <c r="E24" s="783"/>
      <c r="F24" s="804"/>
      <c r="G24" s="804"/>
      <c r="H24" s="804"/>
      <c r="I24" s="780"/>
      <c r="J24" s="799" t="str">
        <f>IF(AND('Matriz riesgos de gestión'!$M$31="Media",'Matriz riesgos de gestión'!$Q$31="Leve"),CONCATENATE("R",'Matriz riesgos de gestión'!$A$31),"")</f>
        <v/>
      </c>
      <c r="K24" s="781"/>
      <c r="L24" s="798" t="str">
        <f>IF(AND('Matriz riesgos de gestión'!$M$37="Media",'Matriz riesgos de gestión'!$Q$37="Leve"),CONCATENATE("R",'Matriz riesgos de gestión'!$A$37),"")</f>
        <v/>
      </c>
      <c r="M24" s="781"/>
      <c r="N24" s="798" t="str">
        <f>IF(AND('Matriz riesgos de gestión'!$M$43="Media",'Matriz riesgos de gestión'!$Q$43="Leve"),CONCATENATE("R",'Matriz riesgos de gestión'!$A$43),"")</f>
        <v/>
      </c>
      <c r="O24" s="780"/>
      <c r="P24" s="799" t="str">
        <f>IF(AND('Matriz riesgos de gestión'!$M$31="Media",'Matriz riesgos de gestión'!$Q$31="Menor"),CONCATENATE("R",'Matriz riesgos de gestión'!$A$31),"")</f>
        <v/>
      </c>
      <c r="Q24" s="781"/>
      <c r="R24" s="798" t="str">
        <f>IF(AND('Matriz riesgos de gestión'!$M$37="Media",'Matriz riesgos de gestión'!$Q$37="Menor"),CONCATENATE("R",'Matriz riesgos de gestión'!$A$37),"")</f>
        <v/>
      </c>
      <c r="S24" s="781"/>
      <c r="T24" s="798" t="str">
        <f>IF(AND('Matriz riesgos de gestión'!$M$43="Media",'Matriz riesgos de gestión'!$Q$43="Menor"),CONCATENATE("R",'Matriz riesgos de gestión'!$A$43),"")</f>
        <v/>
      </c>
      <c r="U24" s="780"/>
      <c r="V24" s="799" t="str">
        <f>IF(AND('Matriz riesgos de gestión'!$M$31="Media",'Matriz riesgos de gestión'!$Q$31="Moderado"),CONCATENATE("R",'Matriz riesgos de gestión'!$A$31),"")</f>
        <v/>
      </c>
      <c r="W24" s="781"/>
      <c r="X24" s="798" t="str">
        <f>IF(AND('Matriz riesgos de gestión'!$M$37="Media",'Matriz riesgos de gestión'!$Q$37="Moderado"),CONCATENATE("R",'Matriz riesgos de gestión'!$A$37),"")</f>
        <v>R14</v>
      </c>
      <c r="Y24" s="781"/>
      <c r="Z24" s="798" t="str">
        <f>IF(AND('Matriz riesgos de gestión'!$M$43="Media",'Matriz riesgos de gestión'!$Q$43="Moderado"),CONCATENATE("R",'Matriz riesgos de gestión'!$A$43),"")</f>
        <v/>
      </c>
      <c r="AA24" s="780"/>
      <c r="AB24" s="788" t="str">
        <f>IF(AND('Matriz riesgos de gestión'!$M$31="Media",'Matriz riesgos de gestión'!$Q$31="Mayor"),CONCATENATE("R",'Matriz riesgos de gestión'!$A$31),"")</f>
        <v/>
      </c>
      <c r="AC24" s="781"/>
      <c r="AD24" s="779" t="str">
        <f>IF(AND('Matriz riesgos de gestión'!$M$37="Media",'Matriz riesgos de gestión'!$Q$37="Mayor"),CONCATENATE("R",'Matriz riesgos de gestión'!$A$37),"")</f>
        <v/>
      </c>
      <c r="AE24" s="781"/>
      <c r="AF24" s="779" t="str">
        <f>IF(AND('Matriz riesgos de gestión'!$M$43="Media",'Matriz riesgos de gestión'!$Q$43="Mayor"),CONCATENATE("R",'Matriz riesgos de gestión'!$A$43),"")</f>
        <v/>
      </c>
      <c r="AG24" s="780"/>
      <c r="AH24" s="782" t="str">
        <f>IF(AND('Matriz riesgos de gestión'!$M$31="Media",'Matriz riesgos de gestión'!$Q$31="Catastrófico"),CONCATENATE("R",'Matriz riesgos de gestión'!$A$31),"")</f>
        <v/>
      </c>
      <c r="AI24" s="781"/>
      <c r="AJ24" s="784" t="str">
        <f>IF(AND('Matriz riesgos de gestión'!$M$37="Media",'Matriz riesgos de gestión'!$Q$37="Catastrófico"),CONCATENATE("R",'Matriz riesgos de gestión'!$A$37),"")</f>
        <v/>
      </c>
      <c r="AK24" s="781"/>
      <c r="AL24" s="784" t="str">
        <f>IF(AND('Matriz riesgos de gestión'!$M$43="Media",'Matriz riesgos de gestión'!$Q$43="Catastrófico"),CONCATENATE("R",'Matriz riesgos de gestión'!$A$43),"")</f>
        <v/>
      </c>
      <c r="AM24" s="780"/>
      <c r="AN24" s="115"/>
      <c r="AO24" s="803"/>
      <c r="AP24" s="804"/>
      <c r="AQ24" s="804"/>
      <c r="AR24" s="804"/>
      <c r="AS24" s="804"/>
      <c r="AT24" s="805"/>
      <c r="AU24" s="115"/>
      <c r="AV24" s="115"/>
      <c r="AW24" s="115"/>
      <c r="AX24" s="115"/>
      <c r="AY24" s="115"/>
      <c r="AZ24" s="115"/>
      <c r="BA24" s="115"/>
      <c r="BB24" s="115"/>
      <c r="BC24" s="115"/>
      <c r="BD24" s="115"/>
      <c r="BE24" s="115"/>
      <c r="BF24" s="115"/>
      <c r="BG24" s="115"/>
      <c r="BH24" s="115"/>
      <c r="BI24" s="115"/>
    </row>
    <row r="25" spans="1:61" ht="15.75" customHeight="1" x14ac:dyDescent="0.25">
      <c r="A25" s="115"/>
      <c r="B25" s="781"/>
      <c r="C25" s="804"/>
      <c r="D25" s="780"/>
      <c r="E25" s="783"/>
      <c r="F25" s="804"/>
      <c r="G25" s="804"/>
      <c r="H25" s="804"/>
      <c r="I25" s="780"/>
      <c r="J25" s="783"/>
      <c r="K25" s="781"/>
      <c r="L25" s="781"/>
      <c r="M25" s="781"/>
      <c r="N25" s="781"/>
      <c r="O25" s="780"/>
      <c r="P25" s="783"/>
      <c r="Q25" s="781"/>
      <c r="R25" s="781"/>
      <c r="S25" s="781"/>
      <c r="T25" s="781"/>
      <c r="U25" s="780"/>
      <c r="V25" s="783"/>
      <c r="W25" s="781"/>
      <c r="X25" s="781"/>
      <c r="Y25" s="781"/>
      <c r="Z25" s="781"/>
      <c r="AA25" s="780"/>
      <c r="AB25" s="783"/>
      <c r="AC25" s="781"/>
      <c r="AD25" s="781"/>
      <c r="AE25" s="781"/>
      <c r="AF25" s="781"/>
      <c r="AG25" s="780"/>
      <c r="AH25" s="783"/>
      <c r="AI25" s="781"/>
      <c r="AJ25" s="781"/>
      <c r="AK25" s="781"/>
      <c r="AL25" s="781"/>
      <c r="AM25" s="780"/>
      <c r="AN25" s="115"/>
      <c r="AO25" s="803"/>
      <c r="AP25" s="804"/>
      <c r="AQ25" s="804"/>
      <c r="AR25" s="804"/>
      <c r="AS25" s="804"/>
      <c r="AT25" s="805"/>
      <c r="AU25" s="115"/>
      <c r="AV25" s="115"/>
      <c r="AW25" s="115"/>
      <c r="AX25" s="115"/>
      <c r="AY25" s="115"/>
      <c r="AZ25" s="115"/>
      <c r="BA25" s="115"/>
      <c r="BB25" s="115"/>
      <c r="BC25" s="115"/>
      <c r="BD25" s="115"/>
      <c r="BE25" s="115"/>
      <c r="BF25" s="115"/>
      <c r="BG25" s="115"/>
      <c r="BH25" s="115"/>
      <c r="BI25" s="115"/>
    </row>
    <row r="26" spans="1:61" ht="15.75" customHeight="1" x14ac:dyDescent="0.25">
      <c r="A26" s="115"/>
      <c r="B26" s="781"/>
      <c r="C26" s="804"/>
      <c r="D26" s="780"/>
      <c r="E26" s="783"/>
      <c r="F26" s="804"/>
      <c r="G26" s="804"/>
      <c r="H26" s="804"/>
      <c r="I26" s="780"/>
      <c r="J26" s="799" t="str">
        <f>IF(AND('Matriz riesgos de gestión'!$M$49="Media",'Matriz riesgos de gestión'!$Q$49="Leve"),CONCATENATE("R",'Matriz riesgos de gestión'!$A$49),"")</f>
        <v/>
      </c>
      <c r="K26" s="781"/>
      <c r="L26" s="798" t="str">
        <f>IF(AND('Matriz riesgos de gestión'!$M$55="Media",'Matriz riesgos de gestión'!$Q$55="Leve"),CONCATENATE("R",'Matriz riesgos de gestión'!$A$55),"")</f>
        <v/>
      </c>
      <c r="M26" s="781"/>
      <c r="N26" s="798" t="str">
        <f>IF(AND('Matriz riesgos de gestión'!$M$61="Media",'Matriz riesgos de gestión'!$Q$61="Leve"),CONCATENATE("R",'Matriz riesgos de gestión'!$A$61),"")</f>
        <v/>
      </c>
      <c r="O26" s="780"/>
      <c r="P26" s="799" t="str">
        <f>IF(AND('Matriz riesgos de gestión'!$M$49="Media",'Matriz riesgos de gestión'!$Q$49="Menor"),CONCATENATE("R",'Matriz riesgos de gestión'!$A$49),"")</f>
        <v/>
      </c>
      <c r="Q26" s="781"/>
      <c r="R26" s="798" t="str">
        <f>IF(AND('Matriz riesgos de gestión'!$M$55="Media",'Matriz riesgos de gestión'!$Q$55="Menor"),CONCATENATE("R",'Matriz riesgos de gestión'!$A$55),"")</f>
        <v/>
      </c>
      <c r="S26" s="781"/>
      <c r="T26" s="798" t="str">
        <f>IF(AND('Matriz riesgos de gestión'!$M$61="Media",'Matriz riesgos de gestión'!$Q$61="Menor"),CONCATENATE("R",'Matriz riesgos de gestión'!$A$61),"")</f>
        <v/>
      </c>
      <c r="U26" s="780"/>
      <c r="V26" s="799" t="str">
        <f>IF(AND('Matriz riesgos de gestión'!$M$49="Media",'Matriz riesgos de gestión'!$Q$49="Moderado"),CONCATENATE("R",'Matriz riesgos de gestión'!$A$49),"")</f>
        <v/>
      </c>
      <c r="W26" s="781"/>
      <c r="X26" s="798" t="str">
        <f>IF(AND('Matriz riesgos de gestión'!$M$55="Media",'Matriz riesgos de gestión'!$Q$55="Moderado"),CONCATENATE("R",'Matriz riesgos de gestión'!$A$55),"")</f>
        <v/>
      </c>
      <c r="Y26" s="781"/>
      <c r="Z26" s="798" t="str">
        <f>IF(AND('Matriz riesgos de gestión'!$M$61="Media",'Matriz riesgos de gestión'!$Q$61="Moderado"),CONCATENATE("R",'Matriz riesgos de gestión'!$A$61),"")</f>
        <v>R30</v>
      </c>
      <c r="AA26" s="780"/>
      <c r="AB26" s="788" t="str">
        <f>IF(AND('Matriz riesgos de gestión'!$M$49="Media",'Matriz riesgos de gestión'!$Q$49="Mayor"),CONCATENATE("R",'Matriz riesgos de gestión'!$A$49),"")</f>
        <v/>
      </c>
      <c r="AC26" s="781"/>
      <c r="AD26" s="779" t="str">
        <f>IF(AND('Matriz riesgos de gestión'!$M$55="Media",'Matriz riesgos de gestión'!$Q$55="Mayor"),CONCATENATE("R",'Matriz riesgos de gestión'!$A$55),"")</f>
        <v/>
      </c>
      <c r="AE26" s="781"/>
      <c r="AF26" s="779" t="str">
        <f>IF(AND('Matriz riesgos de gestión'!$M$61="Media",'Matriz riesgos de gestión'!$Q$61="Mayor"),CONCATENATE("R",'Matriz riesgos de gestión'!$A$61),"")</f>
        <v/>
      </c>
      <c r="AG26" s="780"/>
      <c r="AH26" s="782" t="str">
        <f>IF(AND('Matriz riesgos de gestión'!$M$49="Media",'Matriz riesgos de gestión'!$Q$49="Catastrófico"),CONCATENATE("R",'Matriz riesgos de gestión'!$A$49),"")</f>
        <v/>
      </c>
      <c r="AI26" s="781"/>
      <c r="AJ26" s="784" t="str">
        <f>IF(AND('Matriz riesgos de gestión'!$M$55="Media",'Matriz riesgos de gestión'!$Q$55="Catastrófico"),CONCATENATE("R",'Matriz riesgos de gestión'!$A$55),"")</f>
        <v/>
      </c>
      <c r="AK26" s="781"/>
      <c r="AL26" s="784" t="str">
        <f>IF(AND('Matriz riesgos de gestión'!$M$61="Media",'Matriz riesgos de gestión'!$Q$61="Catastrófico"),CONCATENATE("R",'Matriz riesgos de gestión'!$A$61),"")</f>
        <v/>
      </c>
      <c r="AM26" s="780"/>
      <c r="AN26" s="115"/>
      <c r="AO26" s="803"/>
      <c r="AP26" s="804"/>
      <c r="AQ26" s="804"/>
      <c r="AR26" s="804"/>
      <c r="AS26" s="804"/>
      <c r="AT26" s="805"/>
      <c r="AU26" s="115"/>
      <c r="AV26" s="115"/>
      <c r="AW26" s="115"/>
      <c r="AX26" s="115"/>
      <c r="AY26" s="115"/>
      <c r="AZ26" s="115"/>
      <c r="BA26" s="115"/>
      <c r="BB26" s="115"/>
      <c r="BC26" s="115"/>
      <c r="BD26" s="115"/>
      <c r="BE26" s="115"/>
      <c r="BF26" s="115"/>
      <c r="BG26" s="115"/>
      <c r="BH26" s="115"/>
      <c r="BI26" s="115"/>
    </row>
    <row r="27" spans="1:61" ht="15.75" customHeight="1" x14ac:dyDescent="0.25">
      <c r="A27" s="115"/>
      <c r="B27" s="781"/>
      <c r="C27" s="804"/>
      <c r="D27" s="780"/>
      <c r="E27" s="783"/>
      <c r="F27" s="804"/>
      <c r="G27" s="804"/>
      <c r="H27" s="804"/>
      <c r="I27" s="780"/>
      <c r="J27" s="783"/>
      <c r="K27" s="781"/>
      <c r="L27" s="781"/>
      <c r="M27" s="781"/>
      <c r="N27" s="781"/>
      <c r="O27" s="780"/>
      <c r="P27" s="783"/>
      <c r="Q27" s="781"/>
      <c r="R27" s="781"/>
      <c r="S27" s="781"/>
      <c r="T27" s="781"/>
      <c r="U27" s="780"/>
      <c r="V27" s="783"/>
      <c r="W27" s="781"/>
      <c r="X27" s="781"/>
      <c r="Y27" s="781"/>
      <c r="Z27" s="781"/>
      <c r="AA27" s="780"/>
      <c r="AB27" s="783"/>
      <c r="AC27" s="781"/>
      <c r="AD27" s="781"/>
      <c r="AE27" s="781"/>
      <c r="AF27" s="781"/>
      <c r="AG27" s="780"/>
      <c r="AH27" s="783"/>
      <c r="AI27" s="781"/>
      <c r="AJ27" s="781"/>
      <c r="AK27" s="781"/>
      <c r="AL27" s="781"/>
      <c r="AM27" s="780"/>
      <c r="AN27" s="115"/>
      <c r="AO27" s="803"/>
      <c r="AP27" s="804"/>
      <c r="AQ27" s="804"/>
      <c r="AR27" s="804"/>
      <c r="AS27" s="804"/>
      <c r="AT27" s="805"/>
      <c r="AU27" s="115"/>
      <c r="AV27" s="115"/>
      <c r="AW27" s="115"/>
      <c r="AX27" s="115"/>
      <c r="AY27" s="115"/>
      <c r="AZ27" s="115"/>
      <c r="BA27" s="115"/>
      <c r="BB27" s="115"/>
      <c r="BC27" s="115"/>
      <c r="BD27" s="115"/>
      <c r="BE27" s="115"/>
      <c r="BF27" s="115"/>
      <c r="BG27" s="115"/>
      <c r="BH27" s="115"/>
      <c r="BI27" s="115"/>
    </row>
    <row r="28" spans="1:61" ht="15.75" customHeight="1" x14ac:dyDescent="0.25">
      <c r="A28" s="115"/>
      <c r="B28" s="781"/>
      <c r="C28" s="804"/>
      <c r="D28" s="780"/>
      <c r="E28" s="783"/>
      <c r="F28" s="804"/>
      <c r="G28" s="804"/>
      <c r="H28" s="804"/>
      <c r="I28" s="780"/>
      <c r="J28" s="799" t="str">
        <f>IF(AND('Matriz riesgos de gestión'!$M$67="Media",'Matriz riesgos de gestión'!$Q$67="Leve"),CONCATENATE("R",'Matriz riesgos de gestión'!$A$67),"")</f>
        <v/>
      </c>
      <c r="K28" s="781"/>
      <c r="L28" s="798" t="str">
        <f>IF(AND('Matriz riesgos de gestión'!$M$73="Media",'Matriz riesgos de gestión'!$Q$73="Leve"),CONCATENATE("R",'Matriz riesgos de gestión'!$A$73),"")</f>
        <v/>
      </c>
      <c r="M28" s="781"/>
      <c r="N28" s="798" t="str">
        <f>IF(AND('Matriz riesgos de gestión'!$M$79="Media",'Matriz riesgos de gestión'!$Q$79="Leve"),CONCATENATE("R",'Matriz riesgos de gestión'!$A$79),"")</f>
        <v/>
      </c>
      <c r="O28" s="780"/>
      <c r="P28" s="799" t="str">
        <f>IF(AND('Matriz riesgos de gestión'!$M$67="Media",'Matriz riesgos de gestión'!$Q$67="Menor"),CONCATENATE("R",'Matriz riesgos de gestión'!$A$67),"")</f>
        <v/>
      </c>
      <c r="Q28" s="781"/>
      <c r="R28" s="798" t="str">
        <f>IF(AND('Matriz riesgos de gestión'!$M$73="Media",'Matriz riesgos de gestión'!$Q$73="Menor"),CONCATENATE("R",'Matriz riesgos de gestión'!$A$73),"")</f>
        <v/>
      </c>
      <c r="S28" s="781"/>
      <c r="T28" s="798" t="str">
        <f>IF(AND('Matriz riesgos de gestión'!$M$79="Media",'Matriz riesgos de gestión'!$Q$79="Menor"),CONCATENATE("R",'Matriz riesgos de gestión'!$A$79),"")</f>
        <v/>
      </c>
      <c r="U28" s="780"/>
      <c r="V28" s="799" t="str">
        <f>IF(AND('Matriz riesgos de gestión'!$M$67="Media",'Matriz riesgos de gestión'!$Q$67="Moderado"),CONCATENATE("R",'Matriz riesgos de gestión'!$A$67),"")</f>
        <v/>
      </c>
      <c r="W28" s="781"/>
      <c r="X28" s="798" t="str">
        <f>IF(AND('Matriz riesgos de gestión'!$M$73="Media",'Matriz riesgos de gestión'!$Q$73="Moderado"),CONCATENATE("R",'Matriz riesgos de gestión'!$A$73),"")</f>
        <v/>
      </c>
      <c r="Y28" s="781"/>
      <c r="Z28" s="798" t="str">
        <f>IF(AND('Matriz riesgos de gestión'!$M$79="Media",'Matriz riesgos de gestión'!$Q$79="Moderado"),CONCATENATE("R",'Matriz riesgos de gestión'!$A$79),"")</f>
        <v/>
      </c>
      <c r="AA28" s="780"/>
      <c r="AB28" s="788" t="str">
        <f>IF(AND('Matriz riesgos de gestión'!$M$67="Media",'Matriz riesgos de gestión'!$Q$67="Mayor"),CONCATENATE("R",'Matriz riesgos de gestión'!$A$67),"")</f>
        <v/>
      </c>
      <c r="AC28" s="781"/>
      <c r="AD28" s="779" t="str">
        <f>IF(AND('Matriz riesgos de gestión'!$M$73="Media",'Matriz riesgos de gestión'!$Q$73="Mayor"),CONCATENATE("R",'Matriz riesgos de gestión'!$A$73),"")</f>
        <v/>
      </c>
      <c r="AE28" s="781"/>
      <c r="AF28" s="779" t="str">
        <f>IF(AND('Matriz riesgos de gestión'!$M$79="Media",'Matriz riesgos de gestión'!$Q$79="Mayor"),CONCATENATE("R",'Matriz riesgos de gestión'!$A$79),"")</f>
        <v/>
      </c>
      <c r="AG28" s="780"/>
      <c r="AH28" s="782" t="str">
        <f>IF(AND('Matriz riesgos de gestión'!$M$67="Media",'Matriz riesgos de gestión'!$Q$67="Catastrófico"),CONCATENATE("R",'Matriz riesgos de gestión'!$A$67),"")</f>
        <v/>
      </c>
      <c r="AI28" s="781"/>
      <c r="AJ28" s="784" t="str">
        <f>IF(AND('Matriz riesgos de gestión'!$M$73="Media",'Matriz riesgos de gestión'!$Q$73="Catastrófico"),CONCATENATE("R",'Matriz riesgos de gestión'!$A$73),"")</f>
        <v/>
      </c>
      <c r="AK28" s="781"/>
      <c r="AL28" s="784" t="str">
        <f>IF(AND('Matriz riesgos de gestión'!$M$79="Media",'Matriz riesgos de gestión'!$Q$79="Catastrófico"),CONCATENATE("R",'Matriz riesgos de gestión'!$A$79),"")</f>
        <v/>
      </c>
      <c r="AM28" s="780"/>
      <c r="AN28" s="115"/>
      <c r="AO28" s="803"/>
      <c r="AP28" s="804"/>
      <c r="AQ28" s="804"/>
      <c r="AR28" s="804"/>
      <c r="AS28" s="804"/>
      <c r="AT28" s="805"/>
      <c r="AU28" s="115"/>
      <c r="AV28" s="115"/>
      <c r="AW28" s="115"/>
      <c r="AX28" s="115"/>
      <c r="AY28" s="115"/>
      <c r="AZ28" s="115"/>
      <c r="BA28" s="115"/>
      <c r="BB28" s="115"/>
      <c r="BC28" s="115"/>
      <c r="BD28" s="115"/>
      <c r="BE28" s="115"/>
      <c r="BF28" s="115"/>
      <c r="BG28" s="115"/>
      <c r="BH28" s="115"/>
      <c r="BI28" s="115"/>
    </row>
    <row r="29" spans="1:61" ht="15.75" customHeight="1" x14ac:dyDescent="0.25">
      <c r="A29" s="115"/>
      <c r="B29" s="781"/>
      <c r="C29" s="804"/>
      <c r="D29" s="780"/>
      <c r="E29" s="790"/>
      <c r="F29" s="791"/>
      <c r="G29" s="791"/>
      <c r="H29" s="791"/>
      <c r="I29" s="792"/>
      <c r="J29" s="783"/>
      <c r="K29" s="781"/>
      <c r="L29" s="781"/>
      <c r="M29" s="781"/>
      <c r="N29" s="781"/>
      <c r="O29" s="780"/>
      <c r="P29" s="790"/>
      <c r="Q29" s="791"/>
      <c r="R29" s="791"/>
      <c r="S29" s="791"/>
      <c r="T29" s="791"/>
      <c r="U29" s="792"/>
      <c r="V29" s="790"/>
      <c r="W29" s="791"/>
      <c r="X29" s="791"/>
      <c r="Y29" s="791"/>
      <c r="Z29" s="791"/>
      <c r="AA29" s="792"/>
      <c r="AB29" s="790"/>
      <c r="AC29" s="791"/>
      <c r="AD29" s="791"/>
      <c r="AE29" s="791"/>
      <c r="AF29" s="791"/>
      <c r="AG29" s="792"/>
      <c r="AH29" s="790"/>
      <c r="AI29" s="791"/>
      <c r="AJ29" s="791"/>
      <c r="AK29" s="791"/>
      <c r="AL29" s="791"/>
      <c r="AM29" s="792"/>
      <c r="AN29" s="115"/>
      <c r="AO29" s="806"/>
      <c r="AP29" s="807"/>
      <c r="AQ29" s="807"/>
      <c r="AR29" s="807"/>
      <c r="AS29" s="807"/>
      <c r="AT29" s="808"/>
      <c r="AU29" s="115"/>
      <c r="AV29" s="115"/>
      <c r="AW29" s="115"/>
      <c r="AX29" s="115"/>
      <c r="AY29" s="115"/>
      <c r="AZ29" s="115"/>
      <c r="BA29" s="115"/>
      <c r="BB29" s="115"/>
      <c r="BC29" s="115"/>
      <c r="BD29" s="115"/>
      <c r="BE29" s="115"/>
      <c r="BF29" s="115"/>
      <c r="BG29" s="115"/>
      <c r="BH29" s="115"/>
      <c r="BI29" s="115"/>
    </row>
    <row r="30" spans="1:61" ht="15.75" customHeight="1" x14ac:dyDescent="0.25">
      <c r="A30" s="115"/>
      <c r="B30" s="781"/>
      <c r="C30" s="804"/>
      <c r="D30" s="780"/>
      <c r="E30" s="812" t="s">
        <v>9</v>
      </c>
      <c r="F30" s="786"/>
      <c r="G30" s="786"/>
      <c r="H30" s="786"/>
      <c r="I30" s="786"/>
      <c r="J30" s="813" t="str">
        <f>IF(AND('Matriz riesgos de gestión'!$M$4="Baja",'Matriz riesgos de gestión'!$Q$4="Leve"),CONCATENATE("R",'Matriz riesgos de gestión'!$A$4),"")</f>
        <v/>
      </c>
      <c r="K30" s="786"/>
      <c r="L30" s="815" t="str">
        <f>IF(AND('Matriz riesgos de gestión'!$M$15="Baja",'Matriz riesgos de gestión'!$Q$15="Leve"),CONCATENATE("R",'Matriz riesgos de gestión'!$A$15),"")</f>
        <v/>
      </c>
      <c r="M30" s="786"/>
      <c r="N30" s="815" t="str">
        <f>IF(AND('Matriz riesgos de gestión'!$M$25="Baja",'Matriz riesgos de gestión'!$Q$25="Leve"),CONCATENATE("R",'Matriz riesgos de gestión'!$A$25),"")</f>
        <v/>
      </c>
      <c r="O30" s="794"/>
      <c r="P30" s="793" t="str">
        <f>IF(AND('Matriz riesgos de gestión'!$M$4="Baja",'Matriz riesgos de gestión'!$Q$4="Menor"),CONCATENATE("R",'Matriz riesgos de gestión'!$A$4),"")</f>
        <v/>
      </c>
      <c r="Q30" s="786"/>
      <c r="R30" s="793" t="str">
        <f>IF(AND('Matriz riesgos de gestión'!$M$15="Baja",'Matriz riesgos de gestión'!$Q$15="Menor"),CONCATENATE("R",'Matriz riesgos de gestión'!$A$15),"")</f>
        <v/>
      </c>
      <c r="S30" s="786"/>
      <c r="T30" s="793" t="str">
        <f>IF(AND('Matriz riesgos de gestión'!$M$25="Baja",'Matriz riesgos de gestión'!$Q$25="Menor"),CONCATENATE("R",'Matriz riesgos de gestión'!$A$25),"")</f>
        <v/>
      </c>
      <c r="U30" s="794"/>
      <c r="V30" s="795" t="str">
        <f>IF(AND('Matriz riesgos de gestión'!$M$4="Baja",'Matriz riesgos de gestión'!$Q$4="Moderado"),CONCATENATE("R",'Matriz riesgos de gestión'!$A$4),"")</f>
        <v/>
      </c>
      <c r="W30" s="786"/>
      <c r="X30" s="793" t="str">
        <f>IF(AND('Matriz riesgos de gestión'!$M$15="Baja",'Matriz riesgos de gestión'!$Q$15="Moderado"),CONCATENATE("R",'Matriz riesgos de gestión'!$A$15),"")</f>
        <v/>
      </c>
      <c r="Y30" s="786"/>
      <c r="Z30" s="793" t="str">
        <f>IF(AND('Matriz riesgos de gestión'!$M$25="Baja",'Matriz riesgos de gestión'!$Q$25="Moderado"),CONCATENATE("R",'Matriz riesgos de gestión'!$A$25),"")</f>
        <v/>
      </c>
      <c r="AA30" s="794"/>
      <c r="AB30" s="785" t="str">
        <f>IF(AND('Matriz riesgos de gestión'!$M$4="Baja",'Matriz riesgos de gestión'!$Q$4="Mayor"),CONCATENATE("R",'Matriz riesgos de gestión'!$A$4),"")</f>
        <v/>
      </c>
      <c r="AC30" s="786"/>
      <c r="AD30" s="787" t="str">
        <f>IF(AND('Matriz riesgos de gestión'!$M$15="Baja",'Matriz riesgos de gestión'!$Q$15="Mayor"),CONCATENATE("R",'Matriz riesgos de gestión'!$A$15),"")</f>
        <v/>
      </c>
      <c r="AE30" s="786"/>
      <c r="AF30" s="787" t="str">
        <f>IF(AND('Matriz riesgos de gestión'!$M$25="Baja",'Matriz riesgos de gestión'!$Q$25="Mayor"),CONCATENATE("R",'Matriz riesgos de gestión'!$A$25),"")</f>
        <v/>
      </c>
      <c r="AG30" s="794"/>
      <c r="AH30" s="796" t="str">
        <f>IF(AND('Matriz riesgos de gestión'!$M$4="Baja",'Matriz riesgos de gestión'!$Q$4="Catastrófico"),CONCATENATE("R",'Matriz riesgos de gestión'!$A$4),"")</f>
        <v/>
      </c>
      <c r="AI30" s="786"/>
      <c r="AJ30" s="789" t="str">
        <f>IF(AND('Matriz riesgos de gestión'!$M$15="Baja",'Matriz riesgos de gestión'!$Q$15="Catastrófico"),CONCATENATE("R",'Matriz riesgos de gestión'!$A$15),"")</f>
        <v/>
      </c>
      <c r="AK30" s="786"/>
      <c r="AL30" s="789" t="str">
        <f>IF(AND('Matriz riesgos de gestión'!$M$25="Baja",'Matriz riesgos de gestión'!$Q$25="Catastrófico"),CONCATENATE("R",'Matriz riesgos de gestión'!$A$25),"")</f>
        <v/>
      </c>
      <c r="AM30" s="794"/>
      <c r="AN30" s="115"/>
      <c r="AO30" s="800" t="s">
        <v>10</v>
      </c>
      <c r="AP30" s="801"/>
      <c r="AQ30" s="801"/>
      <c r="AR30" s="801"/>
      <c r="AS30" s="801"/>
      <c r="AT30" s="802"/>
      <c r="AU30" s="115"/>
      <c r="AV30" s="115"/>
      <c r="AW30" s="115"/>
      <c r="AX30" s="115"/>
      <c r="AY30" s="115"/>
      <c r="AZ30" s="115"/>
      <c r="BA30" s="115"/>
      <c r="BB30" s="115"/>
      <c r="BC30" s="115"/>
      <c r="BD30" s="115"/>
      <c r="BE30" s="115"/>
      <c r="BF30" s="115"/>
      <c r="BG30" s="115"/>
      <c r="BH30" s="115"/>
      <c r="BI30" s="115"/>
    </row>
    <row r="31" spans="1:61" ht="15.75" customHeight="1" x14ac:dyDescent="0.25">
      <c r="A31" s="115"/>
      <c r="B31" s="781"/>
      <c r="C31" s="804"/>
      <c r="D31" s="780"/>
      <c r="E31" s="783"/>
      <c r="F31" s="804"/>
      <c r="G31" s="804"/>
      <c r="H31" s="804"/>
      <c r="I31" s="804"/>
      <c r="J31" s="783"/>
      <c r="K31" s="781"/>
      <c r="L31" s="781"/>
      <c r="M31" s="781"/>
      <c r="N31" s="781"/>
      <c r="O31" s="780"/>
      <c r="P31" s="781"/>
      <c r="Q31" s="781"/>
      <c r="R31" s="781"/>
      <c r="S31" s="781"/>
      <c r="T31" s="781"/>
      <c r="U31" s="780"/>
      <c r="V31" s="783"/>
      <c r="W31" s="781"/>
      <c r="X31" s="781"/>
      <c r="Y31" s="781"/>
      <c r="Z31" s="781"/>
      <c r="AA31" s="780"/>
      <c r="AB31" s="783"/>
      <c r="AC31" s="781"/>
      <c r="AD31" s="781"/>
      <c r="AE31" s="781"/>
      <c r="AF31" s="781"/>
      <c r="AG31" s="780"/>
      <c r="AH31" s="783"/>
      <c r="AI31" s="781"/>
      <c r="AJ31" s="781"/>
      <c r="AK31" s="781"/>
      <c r="AL31" s="781"/>
      <c r="AM31" s="780"/>
      <c r="AN31" s="115"/>
      <c r="AO31" s="803"/>
      <c r="AP31" s="804"/>
      <c r="AQ31" s="804"/>
      <c r="AR31" s="804"/>
      <c r="AS31" s="804"/>
      <c r="AT31" s="805"/>
      <c r="AU31" s="115"/>
      <c r="AV31" s="115"/>
      <c r="AW31" s="115"/>
      <c r="AX31" s="115"/>
      <c r="AY31" s="115"/>
      <c r="AZ31" s="115"/>
      <c r="BA31" s="115"/>
      <c r="BB31" s="115"/>
      <c r="BC31" s="115"/>
      <c r="BD31" s="115"/>
      <c r="BE31" s="115"/>
      <c r="BF31" s="115"/>
      <c r="BG31" s="115"/>
      <c r="BH31" s="115"/>
      <c r="BI31" s="115"/>
    </row>
    <row r="32" spans="1:61" ht="15.75" customHeight="1" x14ac:dyDescent="0.25">
      <c r="A32" s="115"/>
      <c r="B32" s="781"/>
      <c r="C32" s="804"/>
      <c r="D32" s="780"/>
      <c r="E32" s="783"/>
      <c r="F32" s="804"/>
      <c r="G32" s="804"/>
      <c r="H32" s="804"/>
      <c r="I32" s="804"/>
      <c r="J32" s="814" t="str">
        <f>IF(AND('Matriz riesgos de gestión'!$M$31="Baja",'Matriz riesgos de gestión'!$Q$31="Leve"),CONCATENATE("R",'Matriz riesgos de gestión'!$A$31),"")</f>
        <v/>
      </c>
      <c r="K32" s="781"/>
      <c r="L32" s="797" t="str">
        <f>IF(AND('Matriz riesgos de gestión'!$M$37="Baja",'Matriz riesgos de gestión'!$Q$37="Leve"),CONCATENATE("R",'Matriz riesgos de gestión'!$A$37),"")</f>
        <v/>
      </c>
      <c r="M32" s="781"/>
      <c r="N32" s="797" t="str">
        <f>IF(AND('Matriz riesgos de gestión'!$M$43="Baja",'Matriz riesgos de gestión'!$Q$43="Leve"),CONCATENATE("R",'Matriz riesgos de gestión'!$A$43),"")</f>
        <v/>
      </c>
      <c r="O32" s="780"/>
      <c r="P32" s="798" t="str">
        <f>IF(AND('Matriz riesgos de gestión'!$M$31="Baja",'Matriz riesgos de gestión'!$Q$31="Menor"),CONCATENATE("R",'Matriz riesgos de gestión'!$A$31),"")</f>
        <v/>
      </c>
      <c r="Q32" s="781"/>
      <c r="R32" s="798" t="str">
        <f>IF(AND('Matriz riesgos de gestión'!$M$37="Baja",'Matriz riesgos de gestión'!$Q$37="Menor"),CONCATENATE("R",'Matriz riesgos de gestión'!$A$37),"")</f>
        <v/>
      </c>
      <c r="S32" s="781"/>
      <c r="T32" s="798" t="str">
        <f>IF(AND('Matriz riesgos de gestión'!$M$43="Baja",'Matriz riesgos de gestión'!$Q$43="Menor"),CONCATENATE("R",'Matriz riesgos de gestión'!$A$43),"")</f>
        <v/>
      </c>
      <c r="U32" s="780"/>
      <c r="V32" s="799" t="str">
        <f>IF(AND('Matriz riesgos de gestión'!$M$31="Baja",'Matriz riesgos de gestión'!$Q$31="Moderado"),CONCATENATE("R",'Matriz riesgos de gestión'!$A$31),"")</f>
        <v>R11</v>
      </c>
      <c r="W32" s="781"/>
      <c r="X32" s="798" t="str">
        <f>IF(AND('Matriz riesgos de gestión'!$M$37="Baja",'Matriz riesgos de gestión'!$Q$37="Moderado"),CONCATENATE("R",'Matriz riesgos de gestión'!$A$37),"")</f>
        <v/>
      </c>
      <c r="Y32" s="781"/>
      <c r="Z32" s="798" t="str">
        <f>IF(AND('Matriz riesgos de gestión'!$M$43="Baja",'Matriz riesgos de gestión'!$Q$43="Moderado"),CONCATENATE("R",'Matriz riesgos de gestión'!$A$43),"")</f>
        <v/>
      </c>
      <c r="AA32" s="780"/>
      <c r="AB32" s="788" t="str">
        <f>IF(AND('Matriz riesgos de gestión'!$M$31="Baja",'Matriz riesgos de gestión'!$Q$31="Mayor"),CONCATENATE("R",'Matriz riesgos de gestión'!$A$31),"")</f>
        <v/>
      </c>
      <c r="AC32" s="781"/>
      <c r="AD32" s="779" t="str">
        <f>IF(AND('Matriz riesgos de gestión'!$M$37="Baja",'Matriz riesgos de gestión'!$Q$37="Mayor"),CONCATENATE("R",'Matriz riesgos de gestión'!$A$37),"")</f>
        <v/>
      </c>
      <c r="AE32" s="781"/>
      <c r="AF32" s="779" t="str">
        <f>IF(AND('Matriz riesgos de gestión'!$M$43="Baja",'Matriz riesgos de gestión'!$Q$43="Mayor"),CONCATENATE("R",'Matriz riesgos de gestión'!$A$43),"")</f>
        <v/>
      </c>
      <c r="AG32" s="780"/>
      <c r="AH32" s="782" t="str">
        <f>IF(AND('Matriz riesgos de gestión'!$M$31="Baja",'Matriz riesgos de gestión'!$Q$31="Catastrófico"),CONCATENATE("R",'Matriz riesgos de gestión'!$A$31),"")</f>
        <v/>
      </c>
      <c r="AI32" s="781"/>
      <c r="AJ32" s="784" t="str">
        <f>IF(AND('Matriz riesgos de gestión'!$M$37="Baja",'Matriz riesgos de gestión'!$Q$37="Catastrófico"),CONCATENATE("R",'Matriz riesgos de gestión'!$A$37),"")</f>
        <v/>
      </c>
      <c r="AK32" s="781"/>
      <c r="AL32" s="784" t="str">
        <f>IF(AND('Matriz riesgos de gestión'!$M$43="Baja",'Matriz riesgos de gestión'!$Q$43="Catastrófico"),CONCATENATE("R",'Matriz riesgos de gestión'!$A$43),"")</f>
        <v/>
      </c>
      <c r="AM32" s="780"/>
      <c r="AN32" s="115"/>
      <c r="AO32" s="803"/>
      <c r="AP32" s="804"/>
      <c r="AQ32" s="804"/>
      <c r="AR32" s="804"/>
      <c r="AS32" s="804"/>
      <c r="AT32" s="805"/>
      <c r="AU32" s="115"/>
      <c r="AV32" s="115"/>
      <c r="AW32" s="115"/>
      <c r="AX32" s="115"/>
      <c r="AY32" s="115"/>
      <c r="AZ32" s="115"/>
      <c r="BA32" s="115"/>
      <c r="BB32" s="115"/>
      <c r="BC32" s="115"/>
      <c r="BD32" s="115"/>
      <c r="BE32" s="115"/>
      <c r="BF32" s="115"/>
      <c r="BG32" s="115"/>
      <c r="BH32" s="115"/>
      <c r="BI32" s="115"/>
    </row>
    <row r="33" spans="1:61" ht="15.75" customHeight="1" x14ac:dyDescent="0.25">
      <c r="A33" s="115"/>
      <c r="B33" s="781"/>
      <c r="C33" s="804"/>
      <c r="D33" s="780"/>
      <c r="E33" s="783"/>
      <c r="F33" s="804"/>
      <c r="G33" s="804"/>
      <c r="H33" s="804"/>
      <c r="I33" s="804"/>
      <c r="J33" s="783"/>
      <c r="K33" s="781"/>
      <c r="L33" s="781"/>
      <c r="M33" s="781"/>
      <c r="N33" s="781"/>
      <c r="O33" s="780"/>
      <c r="P33" s="781"/>
      <c r="Q33" s="781"/>
      <c r="R33" s="781"/>
      <c r="S33" s="781"/>
      <c r="T33" s="781"/>
      <c r="U33" s="780"/>
      <c r="V33" s="783"/>
      <c r="W33" s="781"/>
      <c r="X33" s="781"/>
      <c r="Y33" s="781"/>
      <c r="Z33" s="781"/>
      <c r="AA33" s="780"/>
      <c r="AB33" s="783"/>
      <c r="AC33" s="781"/>
      <c r="AD33" s="781"/>
      <c r="AE33" s="781"/>
      <c r="AF33" s="781"/>
      <c r="AG33" s="780"/>
      <c r="AH33" s="783"/>
      <c r="AI33" s="781"/>
      <c r="AJ33" s="781"/>
      <c r="AK33" s="781"/>
      <c r="AL33" s="781"/>
      <c r="AM33" s="780"/>
      <c r="AN33" s="115"/>
      <c r="AO33" s="803"/>
      <c r="AP33" s="804"/>
      <c r="AQ33" s="804"/>
      <c r="AR33" s="804"/>
      <c r="AS33" s="804"/>
      <c r="AT33" s="805"/>
      <c r="AU33" s="115"/>
      <c r="AV33" s="115"/>
      <c r="AW33" s="115"/>
      <c r="AX33" s="115"/>
      <c r="AY33" s="115"/>
      <c r="AZ33" s="115"/>
      <c r="BA33" s="115"/>
      <c r="BB33" s="115"/>
      <c r="BC33" s="115"/>
      <c r="BD33" s="115"/>
      <c r="BE33" s="115"/>
      <c r="BF33" s="115"/>
      <c r="BG33" s="115"/>
      <c r="BH33" s="115"/>
      <c r="BI33" s="115"/>
    </row>
    <row r="34" spans="1:61" ht="15.75" customHeight="1" x14ac:dyDescent="0.25">
      <c r="A34" s="115"/>
      <c r="B34" s="781"/>
      <c r="C34" s="804"/>
      <c r="D34" s="780"/>
      <c r="E34" s="783"/>
      <c r="F34" s="804"/>
      <c r="G34" s="804"/>
      <c r="H34" s="804"/>
      <c r="I34" s="804"/>
      <c r="J34" s="814" t="str">
        <f>IF(AND('Matriz riesgos de gestión'!$M$49="Baja",'Matriz riesgos de gestión'!$Q$49="Leve"),CONCATENATE("R",'Matriz riesgos de gestión'!$A$49),"")</f>
        <v/>
      </c>
      <c r="K34" s="781"/>
      <c r="L34" s="797" t="str">
        <f>IF(AND('Matriz riesgos de gestión'!$M$55="Baja",'Matriz riesgos de gestión'!$Q$55="Leve"),CONCATENATE("R",'Matriz riesgos de gestión'!$A$55),"")</f>
        <v/>
      </c>
      <c r="M34" s="781"/>
      <c r="N34" s="797" t="str">
        <f>IF(AND('Matriz riesgos de gestión'!$M$61="Baja",'Matriz riesgos de gestión'!$Q$61="Leve"),CONCATENATE("R",'Matriz riesgos de gestión'!$A$61),"")</f>
        <v/>
      </c>
      <c r="O34" s="780"/>
      <c r="P34" s="798" t="str">
        <f>IF(AND('Matriz riesgos de gestión'!$M$49="Baja",'Matriz riesgos de gestión'!$Q$49="Menor"),CONCATENATE("R",'Matriz riesgos de gestión'!$A$49),"")</f>
        <v/>
      </c>
      <c r="Q34" s="781"/>
      <c r="R34" s="798" t="str">
        <f>IF(AND('Matriz riesgos de gestión'!$M$55="Baja",'Matriz riesgos de gestión'!$Q$55="Menor"),CONCATENATE("R",'Matriz riesgos de gestión'!$A$55),"")</f>
        <v/>
      </c>
      <c r="S34" s="781"/>
      <c r="T34" s="798" t="str">
        <f>IF(AND('Matriz riesgos de gestión'!$M$61="Baja",'Matriz riesgos de gestión'!$Q$61="Menor"),CONCATENATE("R",'Matriz riesgos de gestión'!$A$61),"")</f>
        <v/>
      </c>
      <c r="U34" s="780"/>
      <c r="V34" s="799" t="str">
        <f>IF(AND('Matriz riesgos de gestión'!$M$49="Baja",'Matriz riesgos de gestión'!$Q$49="Moderado"),CONCATENATE("R",'Matriz riesgos de gestión'!$A$49),"")</f>
        <v/>
      </c>
      <c r="W34" s="781"/>
      <c r="X34" s="798" t="str">
        <f>IF(AND('Matriz riesgos de gestión'!$M$55="Baja",'Matriz riesgos de gestión'!$Q$55="Moderado"),CONCATENATE("R",'Matriz riesgos de gestión'!$A$55),"")</f>
        <v/>
      </c>
      <c r="Y34" s="781"/>
      <c r="Z34" s="798" t="str">
        <f>IF(AND('Matriz riesgos de gestión'!$M$61="Baja",'Matriz riesgos de gestión'!$Q$61="Moderado"),CONCATENATE("R",'Matriz riesgos de gestión'!$A$61),"")</f>
        <v/>
      </c>
      <c r="AA34" s="780"/>
      <c r="AB34" s="788" t="str">
        <f>IF(AND('Matriz riesgos de gestión'!$M$49="Baja",'Matriz riesgos de gestión'!$Q$49="Mayor"),CONCATENATE("R",'Matriz riesgos de gestión'!$A$49),"")</f>
        <v/>
      </c>
      <c r="AC34" s="781"/>
      <c r="AD34" s="779" t="str">
        <f>IF(AND('Matriz riesgos de gestión'!$M$55="Baja",'Matriz riesgos de gestión'!$Q$55="Mayor"),CONCATENATE("R",'Matriz riesgos de gestión'!$A$55),"")</f>
        <v/>
      </c>
      <c r="AE34" s="781"/>
      <c r="AF34" s="779" t="str">
        <f>IF(AND('Matriz riesgos de gestión'!$M$61="Baja",'Matriz riesgos de gestión'!$Q$61="Mayor"),CONCATENATE("R",'Matriz riesgos de gestión'!$A$61),"")</f>
        <v/>
      </c>
      <c r="AG34" s="780"/>
      <c r="AH34" s="782" t="str">
        <f>IF(AND('Matriz riesgos de gestión'!$M$49="Baja",'Matriz riesgos de gestión'!$Q$49="Catastrófico"),CONCATENATE("R",'Matriz riesgos de gestión'!$A$49),"")</f>
        <v/>
      </c>
      <c r="AI34" s="781"/>
      <c r="AJ34" s="784" t="str">
        <f>IF(AND('Matriz riesgos de gestión'!$M$55="Baja",'Matriz riesgos de gestión'!$Q$55="Catastrófico"),CONCATENATE("R",'Matriz riesgos de gestión'!$A$55),"")</f>
        <v/>
      </c>
      <c r="AK34" s="781"/>
      <c r="AL34" s="784" t="str">
        <f>IF(AND('Matriz riesgos de gestión'!$M$61="Baja",'Matriz riesgos de gestión'!$Q$61="Catastrófico"),CONCATENATE("R",'Matriz riesgos de gestión'!$A$61),"")</f>
        <v/>
      </c>
      <c r="AM34" s="780"/>
      <c r="AN34" s="115"/>
      <c r="AO34" s="803"/>
      <c r="AP34" s="804"/>
      <c r="AQ34" s="804"/>
      <c r="AR34" s="804"/>
      <c r="AS34" s="804"/>
      <c r="AT34" s="805"/>
      <c r="AU34" s="115"/>
      <c r="AV34" s="115"/>
      <c r="AW34" s="115"/>
      <c r="AX34" s="115"/>
      <c r="AY34" s="115"/>
      <c r="AZ34" s="115"/>
      <c r="BA34" s="115"/>
      <c r="BB34" s="115"/>
      <c r="BC34" s="115"/>
      <c r="BD34" s="115"/>
      <c r="BE34" s="115"/>
      <c r="BF34" s="115"/>
      <c r="BG34" s="115"/>
      <c r="BH34" s="115"/>
      <c r="BI34" s="115"/>
    </row>
    <row r="35" spans="1:61" ht="15.75" customHeight="1" x14ac:dyDescent="0.25">
      <c r="A35" s="115"/>
      <c r="B35" s="781"/>
      <c r="C35" s="804"/>
      <c r="D35" s="780"/>
      <c r="E35" s="783"/>
      <c r="F35" s="804"/>
      <c r="G35" s="804"/>
      <c r="H35" s="804"/>
      <c r="I35" s="804"/>
      <c r="J35" s="783"/>
      <c r="K35" s="781"/>
      <c r="L35" s="781"/>
      <c r="M35" s="781"/>
      <c r="N35" s="781"/>
      <c r="O35" s="780"/>
      <c r="P35" s="781"/>
      <c r="Q35" s="781"/>
      <c r="R35" s="781"/>
      <c r="S35" s="781"/>
      <c r="T35" s="781"/>
      <c r="U35" s="780"/>
      <c r="V35" s="783"/>
      <c r="W35" s="781"/>
      <c r="X35" s="781"/>
      <c r="Y35" s="781"/>
      <c r="Z35" s="781"/>
      <c r="AA35" s="780"/>
      <c r="AB35" s="783"/>
      <c r="AC35" s="781"/>
      <c r="AD35" s="781"/>
      <c r="AE35" s="781"/>
      <c r="AF35" s="781"/>
      <c r="AG35" s="780"/>
      <c r="AH35" s="783"/>
      <c r="AI35" s="781"/>
      <c r="AJ35" s="781"/>
      <c r="AK35" s="781"/>
      <c r="AL35" s="781"/>
      <c r="AM35" s="780"/>
      <c r="AN35" s="115"/>
      <c r="AO35" s="803"/>
      <c r="AP35" s="804"/>
      <c r="AQ35" s="804"/>
      <c r="AR35" s="804"/>
      <c r="AS35" s="804"/>
      <c r="AT35" s="805"/>
      <c r="AU35" s="115"/>
      <c r="AV35" s="115"/>
      <c r="AW35" s="115"/>
      <c r="AX35" s="115"/>
      <c r="AY35" s="115"/>
      <c r="AZ35" s="115"/>
      <c r="BA35" s="115"/>
      <c r="BB35" s="115"/>
      <c r="BC35" s="115"/>
      <c r="BD35" s="115"/>
      <c r="BE35" s="115"/>
      <c r="BF35" s="115"/>
      <c r="BG35" s="115"/>
      <c r="BH35" s="115"/>
      <c r="BI35" s="115"/>
    </row>
    <row r="36" spans="1:61" ht="15.75" customHeight="1" x14ac:dyDescent="0.25">
      <c r="A36" s="115"/>
      <c r="B36" s="781"/>
      <c r="C36" s="804"/>
      <c r="D36" s="780"/>
      <c r="E36" s="783"/>
      <c r="F36" s="804"/>
      <c r="G36" s="804"/>
      <c r="H36" s="804"/>
      <c r="I36" s="804"/>
      <c r="J36" s="814" t="str">
        <f>IF(AND('Matriz riesgos de gestión'!$M$67="Baja",'Matriz riesgos de gestión'!$Q$67="Leve"),CONCATENATE("R",'Matriz riesgos de gestión'!$A$67),"")</f>
        <v/>
      </c>
      <c r="K36" s="781"/>
      <c r="L36" s="797" t="str">
        <f>IF(AND('Matriz riesgos de gestión'!$M$73="Baja",'Matriz riesgos de gestión'!$Q$73="Leve"),CONCATENATE("R",'Matriz riesgos de gestión'!$A$73),"")</f>
        <v/>
      </c>
      <c r="M36" s="781"/>
      <c r="N36" s="797" t="str">
        <f>IF(AND('Matriz riesgos de gestión'!$M$79="Baja",'Matriz riesgos de gestión'!$Q$79="Leve"),CONCATENATE("R",'Matriz riesgos de gestión'!$A$79),"")</f>
        <v/>
      </c>
      <c r="O36" s="780"/>
      <c r="P36" s="798" t="str">
        <f>IF(AND('Matriz riesgos de gestión'!$M$67="Baja",'Matriz riesgos de gestión'!$Q$67="Menor"),CONCATENATE("R",'Matriz riesgos de gestión'!$A$67),"")</f>
        <v/>
      </c>
      <c r="Q36" s="781"/>
      <c r="R36" s="798" t="str">
        <f>IF(AND('Matriz riesgos de gestión'!$M$73="Baja",'Matriz riesgos de gestión'!$Q$73="Menor"),CONCATENATE("R",'Matriz riesgos de gestión'!$A$73),"")</f>
        <v/>
      </c>
      <c r="S36" s="781"/>
      <c r="T36" s="798" t="str">
        <f>IF(AND('Matriz riesgos de gestión'!$M$79="Baja",'Matriz riesgos de gestión'!$Q$79="Menor"),CONCATENATE("R",'Matriz riesgos de gestión'!$A$79),"")</f>
        <v/>
      </c>
      <c r="U36" s="780"/>
      <c r="V36" s="799" t="str">
        <f>IF(AND('Matriz riesgos de gestión'!$M$67="Baja",'Matriz riesgos de gestión'!$Q$67="Moderado"),CONCATENATE("R",'Matriz riesgos de gestión'!$A$67),"")</f>
        <v/>
      </c>
      <c r="W36" s="781"/>
      <c r="X36" s="798" t="str">
        <f>IF(AND('Matriz riesgos de gestión'!$M$73="Baja",'Matriz riesgos de gestión'!$Q$73="Moderado"),CONCATENATE("R",'Matriz riesgos de gestión'!$A$73),"")</f>
        <v>R33</v>
      </c>
      <c r="Y36" s="781"/>
      <c r="Z36" s="798" t="str">
        <f>IF(AND('Matriz riesgos de gestión'!$M$79="Baja",'Matriz riesgos de gestión'!$Q$79="Moderado"),CONCATENATE("R",'Matriz riesgos de gestión'!$A$79),"")</f>
        <v/>
      </c>
      <c r="AA36" s="780"/>
      <c r="AB36" s="788" t="str">
        <f>IF(AND('Matriz riesgos de gestión'!$M$67="Baja",'Matriz riesgos de gestión'!$Q$67="Mayor"),CONCATENATE("R",'Matriz riesgos de gestión'!$A$67),"")</f>
        <v>R31</v>
      </c>
      <c r="AC36" s="781"/>
      <c r="AD36" s="779" t="str">
        <f>IF(AND('Matriz riesgos de gestión'!$M$73="Baja",'Matriz riesgos de gestión'!$Q$73="Mayor"),CONCATENATE("R",'Matriz riesgos de gestión'!$A$73),"")</f>
        <v/>
      </c>
      <c r="AE36" s="781"/>
      <c r="AF36" s="779" t="str">
        <f>IF(AND('Matriz riesgos de gestión'!$M$79="Baja",'Matriz riesgos de gestión'!$Q$79="Mayor"),CONCATENATE("R",'Matriz riesgos de gestión'!$A$79),"")</f>
        <v/>
      </c>
      <c r="AG36" s="780"/>
      <c r="AH36" s="782" t="str">
        <f>IF(AND('Matriz riesgos de gestión'!$M$67="Baja",'Matriz riesgos de gestión'!$Q$67="Catastrófico"),CONCATENATE("R",'Matriz riesgos de gestión'!$A$67),"")</f>
        <v/>
      </c>
      <c r="AI36" s="781"/>
      <c r="AJ36" s="784" t="str">
        <f>IF(AND('Matriz riesgos de gestión'!$M$73="Baja",'Matriz riesgos de gestión'!$Q$73="Catastrófico"),CONCATENATE("R",'Matriz riesgos de gestión'!$A$73),"")</f>
        <v/>
      </c>
      <c r="AK36" s="781"/>
      <c r="AL36" s="784" t="str">
        <f>IF(AND('Matriz riesgos de gestión'!$M$79="Baja",'Matriz riesgos de gestión'!$Q$79="Catastrófico"),CONCATENATE("R",'Matriz riesgos de gestión'!$A$79),"")</f>
        <v>R36</v>
      </c>
      <c r="AM36" s="780"/>
      <c r="AN36" s="115"/>
      <c r="AO36" s="803"/>
      <c r="AP36" s="804"/>
      <c r="AQ36" s="804"/>
      <c r="AR36" s="804"/>
      <c r="AS36" s="804"/>
      <c r="AT36" s="805"/>
      <c r="AU36" s="115"/>
      <c r="AV36" s="115"/>
      <c r="AW36" s="115"/>
      <c r="AX36" s="115"/>
      <c r="AY36" s="115"/>
      <c r="AZ36" s="115"/>
      <c r="BA36" s="115"/>
      <c r="BB36" s="115"/>
      <c r="BC36" s="115"/>
      <c r="BD36" s="115"/>
      <c r="BE36" s="115"/>
      <c r="BF36" s="115"/>
      <c r="BG36" s="115"/>
      <c r="BH36" s="115"/>
      <c r="BI36" s="115"/>
    </row>
    <row r="37" spans="1:61" ht="15.75" customHeight="1" x14ac:dyDescent="0.25">
      <c r="A37" s="115"/>
      <c r="B37" s="781"/>
      <c r="C37" s="804"/>
      <c r="D37" s="780"/>
      <c r="E37" s="790"/>
      <c r="F37" s="791"/>
      <c r="G37" s="791"/>
      <c r="H37" s="791"/>
      <c r="I37" s="791"/>
      <c r="J37" s="790"/>
      <c r="K37" s="791"/>
      <c r="L37" s="791"/>
      <c r="M37" s="791"/>
      <c r="N37" s="791"/>
      <c r="O37" s="792"/>
      <c r="P37" s="791"/>
      <c r="Q37" s="791"/>
      <c r="R37" s="791"/>
      <c r="S37" s="791"/>
      <c r="T37" s="791"/>
      <c r="U37" s="792"/>
      <c r="V37" s="790"/>
      <c r="W37" s="791"/>
      <c r="X37" s="791"/>
      <c r="Y37" s="791"/>
      <c r="Z37" s="791"/>
      <c r="AA37" s="792"/>
      <c r="AB37" s="790"/>
      <c r="AC37" s="791"/>
      <c r="AD37" s="791"/>
      <c r="AE37" s="791"/>
      <c r="AF37" s="791"/>
      <c r="AG37" s="792"/>
      <c r="AH37" s="790"/>
      <c r="AI37" s="791"/>
      <c r="AJ37" s="791"/>
      <c r="AK37" s="791"/>
      <c r="AL37" s="791"/>
      <c r="AM37" s="792"/>
      <c r="AN37" s="115"/>
      <c r="AO37" s="806"/>
      <c r="AP37" s="807"/>
      <c r="AQ37" s="807"/>
      <c r="AR37" s="807"/>
      <c r="AS37" s="807"/>
      <c r="AT37" s="808"/>
      <c r="AU37" s="115"/>
      <c r="AV37" s="115"/>
      <c r="AW37" s="115"/>
      <c r="AX37" s="115"/>
      <c r="AY37" s="115"/>
      <c r="AZ37" s="115"/>
      <c r="BA37" s="115"/>
      <c r="BB37" s="115"/>
      <c r="BC37" s="115"/>
      <c r="BD37" s="115"/>
      <c r="BE37" s="115"/>
      <c r="BF37" s="115"/>
      <c r="BG37" s="115"/>
      <c r="BH37" s="115"/>
      <c r="BI37" s="115"/>
    </row>
    <row r="38" spans="1:61" ht="15.75" customHeight="1" x14ac:dyDescent="0.25">
      <c r="A38" s="115"/>
      <c r="B38" s="781"/>
      <c r="C38" s="804"/>
      <c r="D38" s="780"/>
      <c r="E38" s="812" t="s">
        <v>11</v>
      </c>
      <c r="F38" s="786"/>
      <c r="G38" s="786"/>
      <c r="H38" s="786"/>
      <c r="I38" s="794"/>
      <c r="J38" s="813" t="str">
        <f>IF(AND('Matriz riesgos de gestión'!$M$4="Muy Baja",'Matriz riesgos de gestión'!$Q$4="Leve"),CONCATENATE("R",'Matriz riesgos de gestión'!$A$4),"")</f>
        <v/>
      </c>
      <c r="K38" s="786"/>
      <c r="L38" s="815" t="str">
        <f>IF(AND('Matriz riesgos de gestión'!$M$15="Muy Baja",'Matriz riesgos de gestión'!$Q$15="Leve"),CONCATENATE("R",'Matriz riesgos de gestión'!$A$15),"")</f>
        <v/>
      </c>
      <c r="M38" s="786"/>
      <c r="N38" s="815" t="str">
        <f>IF(AND('Matriz riesgos de gestión'!$M$25="Muy Baja",'Matriz riesgos de gestión'!$Q$25="Leve"),CONCATENATE("R",'Matriz riesgos de gestión'!$A$25),"")</f>
        <v/>
      </c>
      <c r="O38" s="794"/>
      <c r="P38" s="813" t="str">
        <f>IF(AND('Matriz riesgos de gestión'!$M$4="Muy Baja",'Matriz riesgos de gestión'!$Q$4="Menor"),CONCATENATE("R",'Matriz riesgos de gestión'!$A$4),"")</f>
        <v/>
      </c>
      <c r="Q38" s="786"/>
      <c r="R38" s="815" t="str">
        <f>IF(AND('Matriz riesgos de gestión'!$M$15="Muy Baja",'Matriz riesgos de gestión'!$Q$15="Menor"),CONCATENATE("R",'Matriz riesgos de gestión'!$A$15),"")</f>
        <v/>
      </c>
      <c r="S38" s="786"/>
      <c r="T38" s="815" t="str">
        <f>IF(AND('Matriz riesgos de gestión'!$M$25="Muy Baja",'Matriz riesgos de gestión'!$Q$25="Menor"),CONCATENATE("R",'Matriz riesgos de gestión'!$A$25),"")</f>
        <v/>
      </c>
      <c r="U38" s="794"/>
      <c r="V38" s="795" t="str">
        <f>IF(AND('Matriz riesgos de gestión'!$M$4="Muy Baja",'Matriz riesgos de gestión'!$Q$4="Moderado"),CONCATENATE("R",'Matriz riesgos de gestión'!$A$4),"")</f>
        <v/>
      </c>
      <c r="W38" s="786"/>
      <c r="X38" s="793" t="str">
        <f>IF(AND('Matriz riesgos de gestión'!$M$15="Muy Baja",'Matriz riesgos de gestión'!$Q$15="Moderado"),CONCATENATE("R",'Matriz riesgos de gestión'!$A$15),"")</f>
        <v/>
      </c>
      <c r="Y38" s="786"/>
      <c r="Z38" s="793" t="str">
        <f>IF(AND('Matriz riesgos de gestión'!$M$25="Muy Baja",'Matriz riesgos de gestión'!$Q$25="Moderado"),CONCATENATE("R",'Matriz riesgos de gestión'!$A$25),"")</f>
        <v/>
      </c>
      <c r="AA38" s="794"/>
      <c r="AB38" s="785" t="str">
        <f>IF(AND('Matriz riesgos de gestión'!$M$4="Muy Baja",'Matriz riesgos de gestión'!$Q$4="Mayor"),CONCATENATE("R",'Matriz riesgos de gestión'!$A$4),"")</f>
        <v/>
      </c>
      <c r="AC38" s="786"/>
      <c r="AD38" s="787" t="str">
        <f>IF(AND('Matriz riesgos de gestión'!$M$15="Muy Baja",'Matriz riesgos de gestión'!$Q$15="Mayor"),CONCATENATE("R",'Matriz riesgos de gestión'!$A$15),"")</f>
        <v/>
      </c>
      <c r="AE38" s="786"/>
      <c r="AF38" s="787" t="str">
        <f>IF(AND('Matriz riesgos de gestión'!$M$25="Muy Baja",'Matriz riesgos de gestión'!$Q$25="Mayor"),CONCATENATE("R",'Matriz riesgos de gestión'!$A$25),"")</f>
        <v/>
      </c>
      <c r="AG38" s="794"/>
      <c r="AH38" s="796" t="str">
        <f>IF(AND('Matriz riesgos de gestión'!$M$4="Muy Baja",'Matriz riesgos de gestión'!$Q$4="Catastrófico"),CONCATENATE("R",'Matriz riesgos de gestión'!$A$4),"")</f>
        <v/>
      </c>
      <c r="AI38" s="786"/>
      <c r="AJ38" s="789" t="str">
        <f>IF(AND('Matriz riesgos de gestión'!$M$15="Muy Baja",'Matriz riesgos de gestión'!$Q$15="Catastrófico"),CONCATENATE("R",'Matriz riesgos de gestión'!$A$15),"")</f>
        <v/>
      </c>
      <c r="AK38" s="786"/>
      <c r="AL38" s="789" t="str">
        <f>IF(AND('Matriz riesgos de gestión'!$M$25="Muy Baja",'Matriz riesgos de gestión'!$Q$25="Catastrófico"),CONCATENATE("R",'Matriz riesgos de gestión'!$A$25),"")</f>
        <v/>
      </c>
      <c r="AM38" s="794"/>
      <c r="AN38" s="115"/>
      <c r="AO38" s="115"/>
      <c r="AP38" s="115"/>
      <c r="AQ38" s="115"/>
      <c r="AR38" s="115"/>
      <c r="AS38" s="115"/>
      <c r="AT38" s="115"/>
      <c r="AU38" s="115"/>
      <c r="AV38" s="115"/>
      <c r="AW38" s="115"/>
      <c r="AX38" s="115"/>
      <c r="AY38" s="115"/>
      <c r="AZ38" s="115"/>
      <c r="BA38" s="115"/>
      <c r="BB38" s="115"/>
      <c r="BC38" s="115"/>
      <c r="BD38" s="115"/>
      <c r="BE38" s="115"/>
      <c r="BF38" s="115"/>
      <c r="BG38" s="115"/>
      <c r="BH38" s="115"/>
      <c r="BI38" s="115"/>
    </row>
    <row r="39" spans="1:61" ht="15.75" customHeight="1" x14ac:dyDescent="0.25">
      <c r="A39" s="115"/>
      <c r="B39" s="781"/>
      <c r="C39" s="804"/>
      <c r="D39" s="780"/>
      <c r="E39" s="783"/>
      <c r="F39" s="804"/>
      <c r="G39" s="804"/>
      <c r="H39" s="804"/>
      <c r="I39" s="780"/>
      <c r="J39" s="783"/>
      <c r="K39" s="781"/>
      <c r="L39" s="781"/>
      <c r="M39" s="781"/>
      <c r="N39" s="781"/>
      <c r="O39" s="780"/>
      <c r="P39" s="783"/>
      <c r="Q39" s="781"/>
      <c r="R39" s="781"/>
      <c r="S39" s="781"/>
      <c r="T39" s="781"/>
      <c r="U39" s="780"/>
      <c r="V39" s="783"/>
      <c r="W39" s="781"/>
      <c r="X39" s="781"/>
      <c r="Y39" s="781"/>
      <c r="Z39" s="781"/>
      <c r="AA39" s="780"/>
      <c r="AB39" s="783"/>
      <c r="AC39" s="781"/>
      <c r="AD39" s="781"/>
      <c r="AE39" s="781"/>
      <c r="AF39" s="781"/>
      <c r="AG39" s="780"/>
      <c r="AH39" s="783"/>
      <c r="AI39" s="781"/>
      <c r="AJ39" s="781"/>
      <c r="AK39" s="781"/>
      <c r="AL39" s="781"/>
      <c r="AM39" s="780"/>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115"/>
    </row>
    <row r="40" spans="1:61" ht="15.75" customHeight="1" x14ac:dyDescent="0.25">
      <c r="A40" s="115"/>
      <c r="B40" s="781"/>
      <c r="C40" s="804"/>
      <c r="D40" s="780"/>
      <c r="E40" s="783"/>
      <c r="F40" s="804"/>
      <c r="G40" s="804"/>
      <c r="H40" s="804"/>
      <c r="I40" s="780"/>
      <c r="J40" s="814" t="str">
        <f>IF(AND('Matriz riesgos de gestión'!$M$31="Muy Baja",'Matriz riesgos de gestión'!$Q$31="Leve"),CONCATENATE("R",'Matriz riesgos de gestión'!$A$31),"")</f>
        <v/>
      </c>
      <c r="K40" s="781"/>
      <c r="L40" s="797" t="str">
        <f>IF(AND('Matriz riesgos de gestión'!$M$37="Muy Baja",'Matriz riesgos de gestión'!$Q$37="Leve"),CONCATENATE("R",'Matriz riesgos de gestión'!$A$37),"")</f>
        <v/>
      </c>
      <c r="M40" s="781"/>
      <c r="N40" s="797" t="str">
        <f>IF(AND('Matriz riesgos de gestión'!$M$43="Muy Baja",'Matriz riesgos de gestión'!$Q$43="Leve"),CONCATENATE("R",'Matriz riesgos de gestión'!$A$43),"")</f>
        <v/>
      </c>
      <c r="O40" s="780"/>
      <c r="P40" s="814" t="str">
        <f>IF(AND('Matriz riesgos de gestión'!$M$31="Muy Baja",'Matriz riesgos de gestión'!$Q$31="Menor"),CONCATENATE("R",'Matriz riesgos de gestión'!$A$31),"")</f>
        <v/>
      </c>
      <c r="Q40" s="781"/>
      <c r="R40" s="797" t="str">
        <f>IF(AND('Matriz riesgos de gestión'!$M$37="Muy Baja",'Matriz riesgos de gestión'!$Q$37="Menor"),CONCATENATE("R",'Matriz riesgos de gestión'!$A$37),"")</f>
        <v/>
      </c>
      <c r="S40" s="781"/>
      <c r="T40" s="797" t="str">
        <f>IF(AND('Matriz riesgos de gestión'!$M$43="Muy Baja",'Matriz riesgos de gestión'!$Q$43="Menor"),CONCATENATE("R",'Matriz riesgos de gestión'!$A$43),"")</f>
        <v/>
      </c>
      <c r="U40" s="780"/>
      <c r="V40" s="799" t="str">
        <f>IF(AND('Matriz riesgos de gestión'!$M$31="Muy Baja",'Matriz riesgos de gestión'!$Q$31="Moderado"),CONCATENATE("R",'Matriz riesgos de gestión'!$A$31),"")</f>
        <v/>
      </c>
      <c r="W40" s="781"/>
      <c r="X40" s="798" t="str">
        <f>IF(AND('Matriz riesgos de gestión'!$M$37="Muy Baja",'Matriz riesgos de gestión'!$Q$37="Moderado"),CONCATENATE("R",'Matriz riesgos de gestión'!$A$37),"")</f>
        <v/>
      </c>
      <c r="Y40" s="781"/>
      <c r="Z40" s="798" t="str">
        <f>IF(AND('Matriz riesgos de gestión'!$M$43="Muy Baja",'Matriz riesgos de gestión'!$Q$43="Moderado"),CONCATENATE("R",'Matriz riesgos de gestión'!$A$43),"")</f>
        <v/>
      </c>
      <c r="AA40" s="780"/>
      <c r="AB40" s="788" t="str">
        <f>IF(AND('Matriz riesgos de gestión'!$M$31="Muy Baja",'Matriz riesgos de gestión'!$Q$31="Mayor"),CONCATENATE("R",'Matriz riesgos de gestión'!$A$31),"")</f>
        <v/>
      </c>
      <c r="AC40" s="781"/>
      <c r="AD40" s="779" t="str">
        <f>IF(AND('Matriz riesgos de gestión'!$M$37="Muy Baja",'Matriz riesgos de gestión'!$Q$37="Mayor"),CONCATENATE("R",'Matriz riesgos de gestión'!$A$37),"")</f>
        <v/>
      </c>
      <c r="AE40" s="781"/>
      <c r="AF40" s="779" t="str">
        <f>IF(AND('Matriz riesgos de gestión'!$M$43="Muy Baja",'Matriz riesgos de gestión'!$Q$43="Mayor"),CONCATENATE("R",'Matriz riesgos de gestión'!$A$43),"")</f>
        <v/>
      </c>
      <c r="AG40" s="780"/>
      <c r="AH40" s="782" t="str">
        <f>IF(AND('Matriz riesgos de gestión'!$M$31="Muy Baja",'Matriz riesgos de gestión'!$Q$31="Catastrófico"),CONCATENATE("R",'Matriz riesgos de gestión'!$A$31),"")</f>
        <v/>
      </c>
      <c r="AI40" s="781"/>
      <c r="AJ40" s="784" t="str">
        <f>IF(AND('Matriz riesgos de gestión'!$M$37="Muy Baja",'Matriz riesgos de gestión'!$Q$37="Catastrófico"),CONCATENATE("R",'Matriz riesgos de gestión'!$A$37),"")</f>
        <v/>
      </c>
      <c r="AK40" s="781"/>
      <c r="AL40" s="784" t="str">
        <f>IF(AND('Matriz riesgos de gestión'!$M$43="Muy Baja",'Matriz riesgos de gestión'!$Q$43="Catastrófico"),CONCATENATE("R",'Matriz riesgos de gestión'!$A$43),"")</f>
        <v/>
      </c>
      <c r="AM40" s="780"/>
      <c r="AN40" s="115"/>
      <c r="AO40" s="115"/>
      <c r="AP40" s="115"/>
      <c r="AQ40" s="115"/>
      <c r="AR40" s="115"/>
      <c r="AS40" s="115"/>
      <c r="AT40" s="115"/>
      <c r="AU40" s="115"/>
      <c r="AV40" s="115"/>
      <c r="AW40" s="115"/>
      <c r="AX40" s="115"/>
      <c r="AY40" s="115"/>
      <c r="AZ40" s="115"/>
      <c r="BA40" s="115"/>
      <c r="BB40" s="115"/>
      <c r="BC40" s="115"/>
      <c r="BD40" s="115"/>
      <c r="BE40" s="115"/>
      <c r="BF40" s="115"/>
      <c r="BG40" s="115"/>
      <c r="BH40" s="115"/>
      <c r="BI40" s="115"/>
    </row>
    <row r="41" spans="1:61" ht="15.75" customHeight="1" x14ac:dyDescent="0.25">
      <c r="A41" s="115"/>
      <c r="B41" s="781"/>
      <c r="C41" s="804"/>
      <c r="D41" s="780"/>
      <c r="E41" s="783"/>
      <c r="F41" s="804"/>
      <c r="G41" s="804"/>
      <c r="H41" s="804"/>
      <c r="I41" s="780"/>
      <c r="J41" s="783"/>
      <c r="K41" s="781"/>
      <c r="L41" s="781"/>
      <c r="M41" s="781"/>
      <c r="N41" s="781"/>
      <c r="O41" s="780"/>
      <c r="P41" s="783"/>
      <c r="Q41" s="781"/>
      <c r="R41" s="781"/>
      <c r="S41" s="781"/>
      <c r="T41" s="781"/>
      <c r="U41" s="780"/>
      <c r="V41" s="783"/>
      <c r="W41" s="781"/>
      <c r="X41" s="781"/>
      <c r="Y41" s="781"/>
      <c r="Z41" s="781"/>
      <c r="AA41" s="780"/>
      <c r="AB41" s="783"/>
      <c r="AC41" s="781"/>
      <c r="AD41" s="781"/>
      <c r="AE41" s="781"/>
      <c r="AF41" s="781"/>
      <c r="AG41" s="780"/>
      <c r="AH41" s="783"/>
      <c r="AI41" s="781"/>
      <c r="AJ41" s="781"/>
      <c r="AK41" s="781"/>
      <c r="AL41" s="781"/>
      <c r="AM41" s="780"/>
      <c r="AN41" s="115"/>
      <c r="AO41" s="115"/>
      <c r="AP41" s="115"/>
      <c r="AQ41" s="115"/>
      <c r="AR41" s="115"/>
      <c r="AS41" s="115"/>
      <c r="AT41" s="115"/>
      <c r="AU41" s="115"/>
      <c r="AV41" s="115"/>
      <c r="AW41" s="115"/>
      <c r="AX41" s="115"/>
      <c r="AY41" s="115"/>
      <c r="AZ41" s="115"/>
      <c r="BA41" s="115"/>
      <c r="BB41" s="115"/>
      <c r="BC41" s="115"/>
      <c r="BD41" s="115"/>
      <c r="BE41" s="115"/>
      <c r="BF41" s="115"/>
      <c r="BG41" s="115"/>
      <c r="BH41" s="115"/>
      <c r="BI41" s="115"/>
    </row>
    <row r="42" spans="1:61" ht="15.75" customHeight="1" x14ac:dyDescent="0.25">
      <c r="A42" s="115"/>
      <c r="B42" s="781"/>
      <c r="C42" s="804"/>
      <c r="D42" s="780"/>
      <c r="E42" s="783"/>
      <c r="F42" s="804"/>
      <c r="G42" s="804"/>
      <c r="H42" s="804"/>
      <c r="I42" s="780"/>
      <c r="J42" s="814" t="str">
        <f>IF(AND('Matriz riesgos de gestión'!$M$49="Muy Baja",'Matriz riesgos de gestión'!$Q$49="Leve"),CONCATENATE("R",'Matriz riesgos de gestión'!$A$49),"")</f>
        <v/>
      </c>
      <c r="K42" s="781"/>
      <c r="L42" s="797" t="str">
        <f>IF(AND('Matriz riesgos de gestión'!$M$55="Muy Baja",'Matriz riesgos de gestión'!$Q$55="Leve"),CONCATENATE("R",'Matriz riesgos de gestión'!$A$55),"")</f>
        <v/>
      </c>
      <c r="M42" s="781"/>
      <c r="N42" s="797" t="str">
        <f>IF(AND('Matriz riesgos de gestión'!$M$61="Muy Baja",'Matriz riesgos de gestión'!$Q$61="Leve"),CONCATENATE("R",'Matriz riesgos de gestión'!$A$61),"")</f>
        <v/>
      </c>
      <c r="O42" s="780"/>
      <c r="P42" s="814" t="str">
        <f>IF(AND('Matriz riesgos de gestión'!$M$49="Muy Baja",'Matriz riesgos de gestión'!$Q$49="Menor"),CONCATENATE("R",'Matriz riesgos de gestión'!$A$49),"")</f>
        <v/>
      </c>
      <c r="Q42" s="781"/>
      <c r="R42" s="797" t="str">
        <f>IF(AND('Matriz riesgos de gestión'!$M$55="Muy Baja",'Matriz riesgos de gestión'!$Q$55="Menor"),CONCATENATE("R",'Matriz riesgos de gestión'!$A$55),"")</f>
        <v/>
      </c>
      <c r="S42" s="781"/>
      <c r="T42" s="797" t="str">
        <f>IF(AND('Matriz riesgos de gestión'!$M$61="Muy Baja",'Matriz riesgos de gestión'!$Q$61="Menor"),CONCATENATE("R",'Matriz riesgos de gestión'!$A$61),"")</f>
        <v/>
      </c>
      <c r="U42" s="780"/>
      <c r="V42" s="799" t="str">
        <f>IF(AND('Matriz riesgos de gestión'!$M$49="Muy Baja",'Matriz riesgos de gestión'!$Q$49="Moderado"),CONCATENATE("R",'Matriz riesgos de gestión'!$A$49),"")</f>
        <v/>
      </c>
      <c r="W42" s="781"/>
      <c r="X42" s="798" t="str">
        <f>IF(AND('Matriz riesgos de gestión'!$M$55="Muy Baja",'Matriz riesgos de gestión'!$Q$55="Moderado"),CONCATENATE("R",'Matriz riesgos de gestión'!$A$55),"")</f>
        <v/>
      </c>
      <c r="Y42" s="781"/>
      <c r="Z42" s="798" t="str">
        <f>IF(AND('Matriz riesgos de gestión'!$M$61="Muy Baja",'Matriz riesgos de gestión'!$Q$61="Moderado"),CONCATENATE("R",'Matriz riesgos de gestión'!$A$61),"")</f>
        <v/>
      </c>
      <c r="AA42" s="780"/>
      <c r="AB42" s="788" t="str">
        <f>IF(AND('Matriz riesgos de gestión'!$M$49="Muy Baja",'Matriz riesgos de gestión'!$Q$49="Mayor"),CONCATENATE("R",'Matriz riesgos de gestión'!$A$49),"")</f>
        <v/>
      </c>
      <c r="AC42" s="781"/>
      <c r="AD42" s="779" t="str">
        <f>IF(AND('Matriz riesgos de gestión'!$M$55="Muy Baja",'Matriz riesgos de gestión'!$Q$55="Mayor"),CONCATENATE("R",'Matriz riesgos de gestión'!$A$55),"")</f>
        <v/>
      </c>
      <c r="AE42" s="781"/>
      <c r="AF42" s="779" t="str">
        <f>IF(AND('Matriz riesgos de gestión'!$M$61="Muy Baja",'Matriz riesgos de gestión'!$Q$61="Mayor"),CONCATENATE("R",'Matriz riesgos de gestión'!$A$61),"")</f>
        <v/>
      </c>
      <c r="AG42" s="780"/>
      <c r="AH42" s="782" t="str">
        <f>IF(AND('Matriz riesgos de gestión'!$M$49="Muy Baja",'Matriz riesgos de gestión'!$Q$49="Catastrófico"),CONCATENATE("R",'Matriz riesgos de gestión'!$A$49),"")</f>
        <v/>
      </c>
      <c r="AI42" s="781"/>
      <c r="AJ42" s="784" t="str">
        <f>IF(AND('Matriz riesgos de gestión'!$M$55="Muy Baja",'Matriz riesgos de gestión'!$Q$55="Catastrófico"),CONCATENATE("R",'Matriz riesgos de gestión'!$A$55),"")</f>
        <v/>
      </c>
      <c r="AK42" s="781"/>
      <c r="AL42" s="784" t="str">
        <f>IF(AND('Matriz riesgos de gestión'!$M$61="Muy Baja",'Matriz riesgos de gestión'!$Q$61="Catastrófico"),CONCATENATE("R",'Matriz riesgos de gestión'!$A$61),"")</f>
        <v/>
      </c>
      <c r="AM42" s="780"/>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row>
    <row r="43" spans="1:61" ht="15.75" customHeight="1" x14ac:dyDescent="0.25">
      <c r="A43" s="115"/>
      <c r="B43" s="781"/>
      <c r="C43" s="804"/>
      <c r="D43" s="780"/>
      <c r="E43" s="783"/>
      <c r="F43" s="804"/>
      <c r="G43" s="804"/>
      <c r="H43" s="804"/>
      <c r="I43" s="780"/>
      <c r="J43" s="783"/>
      <c r="K43" s="781"/>
      <c r="L43" s="781"/>
      <c r="M43" s="781"/>
      <c r="N43" s="781"/>
      <c r="O43" s="780"/>
      <c r="P43" s="783"/>
      <c r="Q43" s="781"/>
      <c r="R43" s="781"/>
      <c r="S43" s="781"/>
      <c r="T43" s="781"/>
      <c r="U43" s="780"/>
      <c r="V43" s="783"/>
      <c r="W43" s="781"/>
      <c r="X43" s="781"/>
      <c r="Y43" s="781"/>
      <c r="Z43" s="781"/>
      <c r="AA43" s="780"/>
      <c r="AB43" s="783"/>
      <c r="AC43" s="781"/>
      <c r="AD43" s="781"/>
      <c r="AE43" s="781"/>
      <c r="AF43" s="781"/>
      <c r="AG43" s="780"/>
      <c r="AH43" s="783"/>
      <c r="AI43" s="781"/>
      <c r="AJ43" s="781"/>
      <c r="AK43" s="781"/>
      <c r="AL43" s="781"/>
      <c r="AM43" s="780"/>
      <c r="AN43" s="115"/>
      <c r="AO43" s="115"/>
      <c r="AP43" s="115"/>
      <c r="AQ43" s="115"/>
      <c r="AR43" s="115"/>
      <c r="AS43" s="115"/>
      <c r="AT43" s="115"/>
      <c r="AU43" s="115"/>
      <c r="AV43" s="115"/>
      <c r="AW43" s="115"/>
      <c r="AX43" s="115"/>
      <c r="AY43" s="115"/>
      <c r="AZ43" s="115"/>
      <c r="BA43" s="115"/>
      <c r="BB43" s="115"/>
      <c r="BC43" s="115"/>
      <c r="BD43" s="115"/>
      <c r="BE43" s="115"/>
      <c r="BF43" s="115"/>
      <c r="BG43" s="115"/>
      <c r="BH43" s="115"/>
      <c r="BI43" s="115"/>
    </row>
    <row r="44" spans="1:61" ht="15.75" customHeight="1" x14ac:dyDescent="0.25">
      <c r="A44" s="115"/>
      <c r="B44" s="781"/>
      <c r="C44" s="804"/>
      <c r="D44" s="780"/>
      <c r="E44" s="783"/>
      <c r="F44" s="804"/>
      <c r="G44" s="804"/>
      <c r="H44" s="804"/>
      <c r="I44" s="780"/>
      <c r="J44" s="814" t="str">
        <f>IF(AND('Matriz riesgos de gestión'!$M$67="Muy Baja",'Matriz riesgos de gestión'!$Q$67="Leve"),CONCATENATE("R",'Matriz riesgos de gestión'!$A$67),"")</f>
        <v/>
      </c>
      <c r="K44" s="781"/>
      <c r="L44" s="797" t="str">
        <f>IF(AND('Matriz riesgos de gestión'!$M$73="Muy Baja",'Matriz riesgos de gestión'!$Q$73="Leve"),CONCATENATE("R",'Matriz riesgos de gestión'!$A$73),"")</f>
        <v/>
      </c>
      <c r="M44" s="781"/>
      <c r="N44" s="797" t="str">
        <f>IF(AND('Matriz riesgos de gestión'!$M$79="Muy Baja",'Matriz riesgos de gestión'!$Q$79="Leve"),CONCATENATE("R",'Matriz riesgos de gestión'!$A$79),"")</f>
        <v/>
      </c>
      <c r="O44" s="780"/>
      <c r="P44" s="814" t="str">
        <f>IF(AND('Matriz riesgos de gestión'!$M$67="Muy Baja",'Matriz riesgos de gestión'!$Q$67="Menor"),CONCATENATE("R",'Matriz riesgos de gestión'!$A$67),"")</f>
        <v/>
      </c>
      <c r="Q44" s="781"/>
      <c r="R44" s="797" t="str">
        <f>IF(AND('Matriz riesgos de gestión'!$M$73="Muy Baja",'Matriz riesgos de gestión'!$Q$73="Menor"),CONCATENATE("R",'Matriz riesgos de gestión'!$A$73),"")</f>
        <v/>
      </c>
      <c r="S44" s="781"/>
      <c r="T44" s="797" t="str">
        <f>IF(AND('Matriz riesgos de gestión'!$M$79="Muy Baja",'Matriz riesgos de gestión'!$Q$79="Menor"),CONCATENATE("R",'Matriz riesgos de gestión'!$A$79),"")</f>
        <v/>
      </c>
      <c r="U44" s="780"/>
      <c r="V44" s="799" t="str">
        <f>IF(AND('Matriz riesgos de gestión'!$M$67="Muy Baja",'Matriz riesgos de gestión'!$Q$67="Moderado"),CONCATENATE("R",'Matriz riesgos de gestión'!$A$67),"")</f>
        <v/>
      </c>
      <c r="W44" s="781"/>
      <c r="X44" s="798" t="str">
        <f>IF(AND('Matriz riesgos de gestión'!$M$73="Muy Baja",'Matriz riesgos de gestión'!$Q$73="Moderado"),CONCATENATE("R",'Matriz riesgos de gestión'!$A$73),"")</f>
        <v/>
      </c>
      <c r="Y44" s="781"/>
      <c r="Z44" s="798" t="str">
        <f>IF(AND('Matriz riesgos de gestión'!$M$79="Muy Baja",'Matriz riesgos de gestión'!$Q$79="Moderado"),CONCATENATE("R",'Matriz riesgos de gestión'!$A$79),"")</f>
        <v/>
      </c>
      <c r="AA44" s="780"/>
      <c r="AB44" s="788" t="str">
        <f>IF(AND('Matriz riesgos de gestión'!$M$67="Muy Baja",'Matriz riesgos de gestión'!$Q$67="Mayor"),CONCATENATE("R",'Matriz riesgos de gestión'!$A$67),"")</f>
        <v/>
      </c>
      <c r="AC44" s="781"/>
      <c r="AD44" s="779" t="str">
        <f>IF(AND('Matriz riesgos de gestión'!$M$73="Muy Baja",'Matriz riesgos de gestión'!$Q$73="Mayor"),CONCATENATE("R",'Matriz riesgos de gestión'!$A$73),"")</f>
        <v/>
      </c>
      <c r="AE44" s="781"/>
      <c r="AF44" s="779" t="str">
        <f>IF(AND('Matriz riesgos de gestión'!$M$79="Muy Baja",'Matriz riesgos de gestión'!$Q$79="Mayor"),CONCATENATE("R",'Matriz riesgos de gestión'!$A$79),"")</f>
        <v/>
      </c>
      <c r="AG44" s="780"/>
      <c r="AH44" s="782" t="str">
        <f>IF(AND('Matriz riesgos de gestión'!$M$67="Muy Baja",'Matriz riesgos de gestión'!$Q$67="Catastrófico"),CONCATENATE("R",'Matriz riesgos de gestión'!$A$67),"")</f>
        <v/>
      </c>
      <c r="AI44" s="781"/>
      <c r="AJ44" s="784" t="str">
        <f>IF(AND('Matriz riesgos de gestión'!$M$73="Muy Baja",'Matriz riesgos de gestión'!$Q$73="Catastrófico"),CONCATENATE("R",'Matriz riesgos de gestión'!$A$73),"")</f>
        <v/>
      </c>
      <c r="AK44" s="781"/>
      <c r="AL44" s="784" t="str">
        <f>IF(AND('Matriz riesgos de gestión'!$M$79="Muy Baja",'Matriz riesgos de gestión'!$Q$79="Catastrófico"),CONCATENATE("R",'Matriz riesgos de gestión'!$A$79),"")</f>
        <v/>
      </c>
      <c r="AM44" s="780"/>
      <c r="AN44" s="115"/>
      <c r="AO44" s="115"/>
      <c r="AP44" s="115"/>
      <c r="AQ44" s="115"/>
      <c r="AR44" s="115"/>
      <c r="AS44" s="115"/>
      <c r="AT44" s="115"/>
      <c r="AU44" s="115"/>
      <c r="AV44" s="115"/>
      <c r="AW44" s="115"/>
      <c r="AX44" s="115"/>
      <c r="AY44" s="115"/>
      <c r="AZ44" s="115"/>
      <c r="BA44" s="115"/>
      <c r="BB44" s="115"/>
      <c r="BC44" s="115"/>
      <c r="BD44" s="115"/>
      <c r="BE44" s="115"/>
      <c r="BF44" s="115"/>
      <c r="BG44" s="115"/>
      <c r="BH44" s="115"/>
      <c r="BI44" s="115"/>
    </row>
    <row r="45" spans="1:61" ht="15.75" customHeight="1" x14ac:dyDescent="0.25">
      <c r="A45" s="115"/>
      <c r="B45" s="781"/>
      <c r="C45" s="781"/>
      <c r="D45" s="780"/>
      <c r="E45" s="790"/>
      <c r="F45" s="791"/>
      <c r="G45" s="791"/>
      <c r="H45" s="791"/>
      <c r="I45" s="792"/>
      <c r="J45" s="790"/>
      <c r="K45" s="791"/>
      <c r="L45" s="791"/>
      <c r="M45" s="791"/>
      <c r="N45" s="791"/>
      <c r="O45" s="792"/>
      <c r="P45" s="790"/>
      <c r="Q45" s="791"/>
      <c r="R45" s="791"/>
      <c r="S45" s="791"/>
      <c r="T45" s="791"/>
      <c r="U45" s="792"/>
      <c r="V45" s="790"/>
      <c r="W45" s="791"/>
      <c r="X45" s="791"/>
      <c r="Y45" s="791"/>
      <c r="Z45" s="791"/>
      <c r="AA45" s="792"/>
      <c r="AB45" s="790"/>
      <c r="AC45" s="791"/>
      <c r="AD45" s="791"/>
      <c r="AE45" s="791"/>
      <c r="AF45" s="791"/>
      <c r="AG45" s="792"/>
      <c r="AH45" s="790"/>
      <c r="AI45" s="791"/>
      <c r="AJ45" s="791"/>
      <c r="AK45" s="791"/>
      <c r="AL45" s="791"/>
      <c r="AM45" s="792"/>
      <c r="AN45" s="115"/>
      <c r="AO45" s="115"/>
      <c r="AP45" s="115"/>
      <c r="AQ45" s="115"/>
      <c r="AR45" s="115"/>
      <c r="AS45" s="115"/>
      <c r="AT45" s="115"/>
      <c r="AU45" s="115"/>
      <c r="AV45" s="115"/>
      <c r="AW45" s="115"/>
      <c r="AX45" s="115"/>
      <c r="AY45" s="115"/>
      <c r="AZ45" s="115"/>
      <c r="BA45" s="115"/>
      <c r="BB45" s="115"/>
      <c r="BC45" s="115"/>
      <c r="BD45" s="115"/>
      <c r="BE45" s="115"/>
      <c r="BF45" s="115"/>
      <c r="BG45" s="115"/>
      <c r="BH45" s="115"/>
      <c r="BI45" s="115"/>
    </row>
    <row r="46" spans="1:61" ht="15.75" customHeight="1" x14ac:dyDescent="0.25">
      <c r="A46" s="115"/>
      <c r="B46" s="115"/>
      <c r="C46" s="115"/>
      <c r="D46" s="115"/>
      <c r="E46" s="115"/>
      <c r="F46" s="115"/>
      <c r="G46" s="115"/>
      <c r="H46" s="115"/>
      <c r="I46" s="115"/>
      <c r="J46" s="812" t="s">
        <v>12</v>
      </c>
      <c r="K46" s="786"/>
      <c r="L46" s="786"/>
      <c r="M46" s="786"/>
      <c r="N46" s="786"/>
      <c r="O46" s="794"/>
      <c r="P46" s="812" t="s">
        <v>13</v>
      </c>
      <c r="Q46" s="786"/>
      <c r="R46" s="786"/>
      <c r="S46" s="786"/>
      <c r="T46" s="786"/>
      <c r="U46" s="794"/>
      <c r="V46" s="812" t="s">
        <v>14</v>
      </c>
      <c r="W46" s="786"/>
      <c r="X46" s="786"/>
      <c r="Y46" s="786"/>
      <c r="Z46" s="786"/>
      <c r="AA46" s="794"/>
      <c r="AB46" s="812" t="s">
        <v>15</v>
      </c>
      <c r="AC46" s="786"/>
      <c r="AD46" s="786"/>
      <c r="AE46" s="786"/>
      <c r="AF46" s="786"/>
      <c r="AG46" s="794"/>
      <c r="AH46" s="812" t="s">
        <v>16</v>
      </c>
      <c r="AI46" s="786"/>
      <c r="AJ46" s="786"/>
      <c r="AK46" s="786"/>
      <c r="AL46" s="786"/>
      <c r="AM46" s="794"/>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row>
    <row r="47" spans="1:61" ht="15.75" customHeight="1" x14ac:dyDescent="0.25">
      <c r="A47" s="115"/>
      <c r="B47" s="115"/>
      <c r="C47" s="115"/>
      <c r="D47" s="115"/>
      <c r="E47" s="115"/>
      <c r="F47" s="115"/>
      <c r="G47" s="115"/>
      <c r="H47" s="115"/>
      <c r="I47" s="115"/>
      <c r="J47" s="783"/>
      <c r="K47" s="804"/>
      <c r="L47" s="804"/>
      <c r="M47" s="804"/>
      <c r="N47" s="804"/>
      <c r="O47" s="780"/>
      <c r="P47" s="783"/>
      <c r="Q47" s="804"/>
      <c r="R47" s="804"/>
      <c r="S47" s="804"/>
      <c r="T47" s="804"/>
      <c r="U47" s="780"/>
      <c r="V47" s="783"/>
      <c r="W47" s="804"/>
      <c r="X47" s="804"/>
      <c r="Y47" s="804"/>
      <c r="Z47" s="804"/>
      <c r="AA47" s="780"/>
      <c r="AB47" s="783"/>
      <c r="AC47" s="804"/>
      <c r="AD47" s="804"/>
      <c r="AE47" s="804"/>
      <c r="AF47" s="804"/>
      <c r="AG47" s="780"/>
      <c r="AH47" s="783"/>
      <c r="AI47" s="804"/>
      <c r="AJ47" s="804"/>
      <c r="AK47" s="804"/>
      <c r="AL47" s="804"/>
      <c r="AM47" s="780"/>
      <c r="AN47" s="115"/>
      <c r="AO47" s="115"/>
      <c r="AP47" s="115"/>
      <c r="AQ47" s="115"/>
      <c r="AR47" s="115"/>
      <c r="AS47" s="115"/>
      <c r="AT47" s="115"/>
      <c r="AU47" s="115"/>
      <c r="AV47" s="115"/>
      <c r="AW47" s="115"/>
      <c r="AX47" s="115"/>
      <c r="AY47" s="115"/>
      <c r="AZ47" s="115"/>
      <c r="BA47" s="115"/>
      <c r="BB47" s="115"/>
      <c r="BC47" s="115"/>
      <c r="BD47" s="115"/>
      <c r="BE47" s="115"/>
      <c r="BF47" s="115"/>
      <c r="BG47" s="115"/>
      <c r="BH47" s="115"/>
      <c r="BI47" s="115"/>
    </row>
    <row r="48" spans="1:61" ht="15.75" customHeight="1" x14ac:dyDescent="0.25">
      <c r="A48" s="115"/>
      <c r="B48" s="115"/>
      <c r="C48" s="115"/>
      <c r="D48" s="115"/>
      <c r="E48" s="115"/>
      <c r="F48" s="115"/>
      <c r="G48" s="115"/>
      <c r="H48" s="115"/>
      <c r="I48" s="115"/>
      <c r="J48" s="783"/>
      <c r="K48" s="804"/>
      <c r="L48" s="804"/>
      <c r="M48" s="804"/>
      <c r="N48" s="804"/>
      <c r="O48" s="780"/>
      <c r="P48" s="783"/>
      <c r="Q48" s="804"/>
      <c r="R48" s="804"/>
      <c r="S48" s="804"/>
      <c r="T48" s="804"/>
      <c r="U48" s="780"/>
      <c r="V48" s="783"/>
      <c r="W48" s="804"/>
      <c r="X48" s="804"/>
      <c r="Y48" s="804"/>
      <c r="Z48" s="804"/>
      <c r="AA48" s="780"/>
      <c r="AB48" s="783"/>
      <c r="AC48" s="804"/>
      <c r="AD48" s="804"/>
      <c r="AE48" s="804"/>
      <c r="AF48" s="804"/>
      <c r="AG48" s="780"/>
      <c r="AH48" s="783"/>
      <c r="AI48" s="804"/>
      <c r="AJ48" s="804"/>
      <c r="AK48" s="804"/>
      <c r="AL48" s="804"/>
      <c r="AM48" s="780"/>
      <c r="AN48" s="115"/>
      <c r="AO48" s="115"/>
      <c r="AP48" s="115"/>
      <c r="AQ48" s="115"/>
      <c r="AR48" s="115"/>
      <c r="AS48" s="115"/>
      <c r="AT48" s="115"/>
      <c r="AU48" s="115"/>
      <c r="AV48" s="115"/>
      <c r="AW48" s="115"/>
      <c r="AX48" s="115"/>
      <c r="AY48" s="115"/>
      <c r="AZ48" s="115"/>
      <c r="BA48" s="115"/>
      <c r="BB48" s="115"/>
      <c r="BC48" s="115"/>
      <c r="BD48" s="115"/>
      <c r="BE48" s="115"/>
      <c r="BF48" s="115"/>
      <c r="BG48" s="115"/>
      <c r="BH48" s="115"/>
      <c r="BI48" s="115"/>
    </row>
    <row r="49" spans="1:61" ht="15.75" customHeight="1" x14ac:dyDescent="0.25">
      <c r="A49" s="115"/>
      <c r="B49" s="115"/>
      <c r="C49" s="115"/>
      <c r="D49" s="115"/>
      <c r="E49" s="115"/>
      <c r="F49" s="115"/>
      <c r="G49" s="115"/>
      <c r="H49" s="115"/>
      <c r="I49" s="115"/>
      <c r="J49" s="783"/>
      <c r="K49" s="804"/>
      <c r="L49" s="804"/>
      <c r="M49" s="804"/>
      <c r="N49" s="804"/>
      <c r="O49" s="780"/>
      <c r="P49" s="783"/>
      <c r="Q49" s="804"/>
      <c r="R49" s="804"/>
      <c r="S49" s="804"/>
      <c r="T49" s="804"/>
      <c r="U49" s="780"/>
      <c r="V49" s="783"/>
      <c r="W49" s="804"/>
      <c r="X49" s="804"/>
      <c r="Y49" s="804"/>
      <c r="Z49" s="804"/>
      <c r="AA49" s="780"/>
      <c r="AB49" s="783"/>
      <c r="AC49" s="804"/>
      <c r="AD49" s="804"/>
      <c r="AE49" s="804"/>
      <c r="AF49" s="804"/>
      <c r="AG49" s="780"/>
      <c r="AH49" s="783"/>
      <c r="AI49" s="804"/>
      <c r="AJ49" s="804"/>
      <c r="AK49" s="804"/>
      <c r="AL49" s="804"/>
      <c r="AM49" s="780"/>
      <c r="AN49" s="115"/>
      <c r="AO49" s="115"/>
      <c r="AP49" s="115"/>
      <c r="AQ49" s="115"/>
      <c r="AR49" s="115"/>
      <c r="AS49" s="115"/>
      <c r="AT49" s="115"/>
      <c r="AU49" s="115"/>
      <c r="AV49" s="115"/>
      <c r="AW49" s="115"/>
      <c r="AX49" s="115"/>
      <c r="AY49" s="115"/>
      <c r="AZ49" s="115"/>
      <c r="BA49" s="115"/>
      <c r="BB49" s="115"/>
      <c r="BC49" s="115"/>
      <c r="BD49" s="115"/>
      <c r="BE49" s="115"/>
      <c r="BF49" s="115"/>
      <c r="BG49" s="115"/>
      <c r="BH49" s="115"/>
      <c r="BI49" s="115"/>
    </row>
    <row r="50" spans="1:61" ht="15.75" customHeight="1" x14ac:dyDescent="0.25">
      <c r="A50" s="115"/>
      <c r="B50" s="115"/>
      <c r="C50" s="115"/>
      <c r="D50" s="115"/>
      <c r="E50" s="115"/>
      <c r="F50" s="115"/>
      <c r="G50" s="115"/>
      <c r="H50" s="115"/>
      <c r="I50" s="115"/>
      <c r="J50" s="783"/>
      <c r="K50" s="804"/>
      <c r="L50" s="804"/>
      <c r="M50" s="804"/>
      <c r="N50" s="804"/>
      <c r="O50" s="780"/>
      <c r="P50" s="783"/>
      <c r="Q50" s="804"/>
      <c r="R50" s="804"/>
      <c r="S50" s="804"/>
      <c r="T50" s="804"/>
      <c r="U50" s="780"/>
      <c r="V50" s="783"/>
      <c r="W50" s="804"/>
      <c r="X50" s="804"/>
      <c r="Y50" s="804"/>
      <c r="Z50" s="804"/>
      <c r="AA50" s="780"/>
      <c r="AB50" s="783"/>
      <c r="AC50" s="804"/>
      <c r="AD50" s="804"/>
      <c r="AE50" s="804"/>
      <c r="AF50" s="804"/>
      <c r="AG50" s="780"/>
      <c r="AH50" s="783"/>
      <c r="AI50" s="804"/>
      <c r="AJ50" s="804"/>
      <c r="AK50" s="804"/>
      <c r="AL50" s="804"/>
      <c r="AM50" s="780"/>
      <c r="AN50" s="115"/>
      <c r="AO50" s="115"/>
      <c r="AP50" s="115"/>
      <c r="AQ50" s="115"/>
      <c r="AR50" s="115"/>
      <c r="AS50" s="115"/>
      <c r="AT50" s="115"/>
      <c r="AU50" s="115"/>
      <c r="AV50" s="115"/>
      <c r="AW50" s="115"/>
      <c r="AX50" s="115"/>
      <c r="AY50" s="115"/>
      <c r="AZ50" s="115"/>
      <c r="BA50" s="115"/>
      <c r="BB50" s="115"/>
      <c r="BC50" s="115"/>
      <c r="BD50" s="115"/>
      <c r="BE50" s="115"/>
      <c r="BF50" s="115"/>
      <c r="BG50" s="115"/>
      <c r="BH50" s="115"/>
      <c r="BI50" s="115"/>
    </row>
    <row r="51" spans="1:61" ht="15.75" customHeight="1" x14ac:dyDescent="0.25">
      <c r="A51" s="115"/>
      <c r="B51" s="115"/>
      <c r="C51" s="115"/>
      <c r="D51" s="115"/>
      <c r="E51" s="115"/>
      <c r="F51" s="115"/>
      <c r="G51" s="115"/>
      <c r="H51" s="115"/>
      <c r="I51" s="115"/>
      <c r="J51" s="790"/>
      <c r="K51" s="791"/>
      <c r="L51" s="791"/>
      <c r="M51" s="791"/>
      <c r="N51" s="791"/>
      <c r="O51" s="792"/>
      <c r="P51" s="790"/>
      <c r="Q51" s="791"/>
      <c r="R51" s="791"/>
      <c r="S51" s="791"/>
      <c r="T51" s="791"/>
      <c r="U51" s="792"/>
      <c r="V51" s="790"/>
      <c r="W51" s="791"/>
      <c r="X51" s="791"/>
      <c r="Y51" s="791"/>
      <c r="Z51" s="791"/>
      <c r="AA51" s="792"/>
      <c r="AB51" s="790"/>
      <c r="AC51" s="791"/>
      <c r="AD51" s="791"/>
      <c r="AE51" s="791"/>
      <c r="AF51" s="791"/>
      <c r="AG51" s="792"/>
      <c r="AH51" s="790"/>
      <c r="AI51" s="791"/>
      <c r="AJ51" s="791"/>
      <c r="AK51" s="791"/>
      <c r="AL51" s="791"/>
      <c r="AM51" s="792"/>
      <c r="AN51" s="115"/>
      <c r="AO51" s="115"/>
      <c r="AP51" s="115"/>
      <c r="AQ51" s="115"/>
      <c r="AR51" s="115"/>
      <c r="AS51" s="115"/>
      <c r="AT51" s="115"/>
      <c r="AU51" s="115"/>
      <c r="AV51" s="115"/>
      <c r="AW51" s="115"/>
      <c r="AX51" s="115"/>
      <c r="AY51" s="115"/>
      <c r="AZ51" s="115"/>
      <c r="BA51" s="115"/>
      <c r="BB51" s="115"/>
      <c r="BC51" s="115"/>
      <c r="BD51" s="115"/>
      <c r="BE51" s="115"/>
      <c r="BF51" s="115"/>
      <c r="BG51" s="115"/>
      <c r="BH51" s="115"/>
      <c r="BI51" s="115"/>
    </row>
    <row r="52" spans="1:61" ht="15.75" customHeight="1" x14ac:dyDescent="0.25">
      <c r="A52" s="115"/>
      <c r="B52" s="115"/>
      <c r="C52" s="115"/>
      <c r="D52" s="115"/>
      <c r="E52" s="115"/>
      <c r="F52" s="115"/>
      <c r="G52" s="115"/>
      <c r="H52" s="115"/>
      <c r="I52" s="115"/>
      <c r="J52" s="115"/>
      <c r="K52" s="115"/>
      <c r="L52" s="115"/>
      <c r="M52" s="115"/>
      <c r="N52" s="115"/>
      <c r="O52" s="115"/>
      <c r="P52" s="115"/>
      <c r="Q52" s="115"/>
      <c r="R52" s="115"/>
      <c r="S52" s="115"/>
      <c r="T52" s="115"/>
      <c r="U52" s="115"/>
      <c r="V52" s="115"/>
      <c r="W52" s="115"/>
      <c r="X52" s="115"/>
      <c r="Y52" s="115"/>
      <c r="Z52" s="115"/>
      <c r="AA52" s="115"/>
      <c r="AB52" s="115"/>
      <c r="AC52" s="115"/>
      <c r="AD52" s="115"/>
      <c r="AE52" s="115"/>
      <c r="AF52" s="115"/>
      <c r="AG52" s="115"/>
      <c r="AH52" s="115"/>
      <c r="AI52" s="115"/>
      <c r="AJ52" s="115"/>
      <c r="AK52" s="115"/>
      <c r="AL52" s="115"/>
      <c r="AM52" s="115"/>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row>
    <row r="53" spans="1:61" ht="15" customHeight="1" x14ac:dyDescent="0.25">
      <c r="A53" s="115"/>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c r="AM53" s="133"/>
      <c r="AN53" s="133"/>
      <c r="AO53" s="133"/>
      <c r="AP53" s="133"/>
      <c r="AQ53" s="133"/>
      <c r="AR53" s="133"/>
      <c r="AS53" s="133"/>
      <c r="AT53" s="133"/>
      <c r="AU53" s="115"/>
      <c r="AV53" s="115"/>
      <c r="AW53" s="115"/>
      <c r="AX53" s="115"/>
      <c r="AY53" s="115"/>
      <c r="AZ53" s="115"/>
      <c r="BA53" s="115"/>
      <c r="BB53" s="115"/>
      <c r="BC53" s="115"/>
      <c r="BD53" s="115"/>
      <c r="BE53" s="115"/>
      <c r="BF53" s="115"/>
      <c r="BG53" s="115"/>
      <c r="BH53" s="115"/>
      <c r="BI53" s="115"/>
    </row>
    <row r="54" spans="1:61" ht="15" customHeight="1" x14ac:dyDescent="0.25">
      <c r="A54" s="115"/>
      <c r="B54" s="133"/>
      <c r="C54" s="133"/>
      <c r="D54" s="133"/>
      <c r="E54" s="133"/>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c r="AM54" s="133"/>
      <c r="AN54" s="133"/>
      <c r="AO54" s="133"/>
      <c r="AP54" s="133"/>
      <c r="AQ54" s="133"/>
      <c r="AR54" s="133"/>
      <c r="AS54" s="133"/>
      <c r="AT54" s="133"/>
      <c r="AU54" s="115"/>
      <c r="AV54" s="115"/>
      <c r="AW54" s="115"/>
      <c r="AX54" s="115"/>
      <c r="AY54" s="115"/>
      <c r="AZ54" s="115"/>
      <c r="BA54" s="115"/>
      <c r="BB54" s="115"/>
      <c r="BC54" s="115"/>
      <c r="BD54" s="115"/>
      <c r="BE54" s="115"/>
      <c r="BF54" s="115"/>
      <c r="BG54" s="115"/>
      <c r="BH54" s="115"/>
      <c r="BI54" s="115"/>
    </row>
    <row r="55" spans="1:61" ht="15.75" customHeight="1" x14ac:dyDescent="0.25">
      <c r="A55" s="115"/>
      <c r="B55" s="115"/>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row>
    <row r="56" spans="1:61" ht="15.75" customHeight="1" x14ac:dyDescent="0.25">
      <c r="A56" s="115"/>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c r="BA56" s="115"/>
      <c r="BB56" s="115"/>
      <c r="BC56" s="115"/>
      <c r="BD56" s="115"/>
      <c r="BE56" s="115"/>
      <c r="BF56" s="115"/>
      <c r="BG56" s="115"/>
      <c r="BH56" s="115"/>
      <c r="BI56" s="115"/>
    </row>
    <row r="57" spans="1:61" ht="15.75" customHeight="1" x14ac:dyDescent="0.25">
      <c r="A57" s="115"/>
      <c r="B57" s="115"/>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5"/>
      <c r="BB57" s="115"/>
      <c r="BC57" s="115"/>
      <c r="BD57" s="115"/>
      <c r="BE57" s="115"/>
      <c r="BF57" s="115"/>
      <c r="BG57" s="115"/>
      <c r="BH57" s="115"/>
      <c r="BI57" s="115"/>
    </row>
    <row r="58" spans="1:61" ht="15.75" customHeight="1" x14ac:dyDescent="0.25">
      <c r="A58" s="115"/>
      <c r="B58" s="115"/>
      <c r="C58" s="115"/>
      <c r="D58" s="115"/>
      <c r="E58" s="115"/>
      <c r="F58" s="115"/>
      <c r="G58" s="115"/>
      <c r="H58" s="115"/>
      <c r="I58" s="115"/>
      <c r="J58" s="115"/>
      <c r="K58" s="115"/>
      <c r="L58" s="115"/>
      <c r="M58" s="115"/>
      <c r="N58" s="115"/>
      <c r="O58" s="115"/>
      <c r="P58" s="115"/>
      <c r="Q58" s="115"/>
      <c r="R58" s="115"/>
      <c r="S58" s="115"/>
      <c r="T58" s="115"/>
      <c r="U58" s="115"/>
      <c r="V58" s="115"/>
      <c r="W58" s="115"/>
      <c r="X58" s="115"/>
      <c r="Y58" s="115"/>
      <c r="Z58" s="115"/>
      <c r="AA58" s="115"/>
      <c r="AB58" s="115"/>
      <c r="AC58" s="115"/>
      <c r="AD58" s="115"/>
      <c r="AE58" s="115"/>
      <c r="AF58" s="115"/>
      <c r="AG58" s="115"/>
      <c r="AH58" s="115"/>
      <c r="AI58" s="115"/>
      <c r="AJ58" s="115"/>
      <c r="AK58" s="115"/>
      <c r="AL58" s="115"/>
      <c r="AM58" s="115"/>
      <c r="AN58" s="115"/>
      <c r="AO58" s="115"/>
      <c r="AP58" s="115"/>
      <c r="AQ58" s="115"/>
      <c r="AR58" s="115"/>
      <c r="AS58" s="115"/>
      <c r="AT58" s="115"/>
      <c r="AU58" s="115"/>
      <c r="AV58" s="115"/>
      <c r="AW58" s="115"/>
      <c r="AX58" s="115"/>
      <c r="AY58" s="115"/>
      <c r="AZ58" s="115"/>
      <c r="BA58" s="115"/>
      <c r="BB58" s="115"/>
      <c r="BC58" s="115"/>
      <c r="BD58" s="115"/>
      <c r="BE58" s="115"/>
      <c r="BF58" s="115"/>
      <c r="BG58" s="115"/>
      <c r="BH58" s="115"/>
      <c r="BI58" s="115"/>
    </row>
    <row r="59" spans="1:61" ht="15.75" customHeight="1" x14ac:dyDescent="0.25">
      <c r="A59" s="115"/>
      <c r="B59" s="115"/>
      <c r="C59" s="115"/>
      <c r="D59" s="115"/>
      <c r="E59" s="115"/>
      <c r="F59" s="115"/>
      <c r="G59" s="115"/>
      <c r="H59" s="115"/>
      <c r="I59" s="115"/>
      <c r="J59" s="115"/>
      <c r="K59" s="115"/>
      <c r="L59" s="115"/>
      <c r="M59" s="115"/>
      <c r="N59" s="115"/>
      <c r="O59" s="115"/>
      <c r="P59" s="115"/>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c r="AN59" s="115"/>
      <c r="AO59" s="115"/>
      <c r="AP59" s="115"/>
      <c r="AQ59" s="115"/>
      <c r="AR59" s="115"/>
      <c r="AS59" s="115"/>
      <c r="AT59" s="115"/>
      <c r="AU59" s="115"/>
      <c r="AV59" s="115"/>
      <c r="AW59" s="115"/>
      <c r="AX59" s="115"/>
      <c r="AY59" s="115"/>
      <c r="AZ59" s="115"/>
      <c r="BA59" s="115"/>
      <c r="BB59" s="115"/>
      <c r="BC59" s="115"/>
      <c r="BD59" s="115"/>
      <c r="BE59" s="115"/>
      <c r="BF59" s="115"/>
      <c r="BG59" s="115"/>
      <c r="BH59" s="115"/>
      <c r="BI59" s="115"/>
    </row>
    <row r="60" spans="1:61" ht="15.75" customHeight="1" x14ac:dyDescent="0.25">
      <c r="A60" s="115"/>
      <c r="B60" s="115"/>
      <c r="C60" s="115"/>
      <c r="D60" s="115"/>
      <c r="E60" s="115"/>
      <c r="F60" s="115"/>
      <c r="G60" s="115"/>
      <c r="H60" s="115"/>
      <c r="I60" s="115"/>
      <c r="J60" s="115"/>
      <c r="K60" s="115"/>
      <c r="L60" s="115"/>
      <c r="M60" s="115"/>
      <c r="N60" s="115"/>
      <c r="O60" s="115"/>
      <c r="P60" s="115"/>
      <c r="Q60" s="115"/>
      <c r="R60" s="115"/>
      <c r="S60" s="115"/>
      <c r="T60" s="115"/>
      <c r="U60" s="115"/>
      <c r="V60" s="115"/>
      <c r="W60" s="115"/>
      <c r="X60" s="115"/>
      <c r="Y60" s="115"/>
      <c r="Z60" s="115"/>
      <c r="AA60" s="115"/>
      <c r="AB60" s="115"/>
      <c r="AC60" s="115"/>
      <c r="AD60" s="115"/>
      <c r="AE60" s="115"/>
      <c r="AF60" s="115"/>
      <c r="AG60" s="115"/>
      <c r="AH60" s="115"/>
      <c r="AI60" s="115"/>
      <c r="AJ60" s="115"/>
      <c r="AK60" s="115"/>
      <c r="AL60" s="115"/>
      <c r="AM60" s="115"/>
      <c r="AN60" s="115"/>
      <c r="AO60" s="115"/>
      <c r="AP60" s="115"/>
      <c r="AQ60" s="115"/>
      <c r="AR60" s="115"/>
      <c r="AS60" s="115"/>
      <c r="AT60" s="115"/>
      <c r="AU60" s="115"/>
      <c r="AV60" s="115"/>
      <c r="AW60" s="115"/>
      <c r="AX60" s="115"/>
      <c r="AY60" s="115"/>
      <c r="AZ60" s="115"/>
      <c r="BA60" s="115"/>
      <c r="BB60" s="115"/>
      <c r="BC60" s="115"/>
      <c r="BD60" s="115"/>
      <c r="BE60" s="115"/>
      <c r="BF60" s="115"/>
      <c r="BG60" s="115"/>
      <c r="BH60" s="115"/>
      <c r="BI60" s="115"/>
    </row>
    <row r="61" spans="1:61" ht="15.75" customHeight="1" x14ac:dyDescent="0.25">
      <c r="A61" s="115"/>
      <c r="B61" s="115"/>
      <c r="C61" s="115"/>
      <c r="D61" s="115"/>
      <c r="E61" s="115"/>
      <c r="F61" s="115"/>
      <c r="G61" s="115"/>
      <c r="H61" s="115"/>
      <c r="I61" s="115"/>
      <c r="J61" s="115"/>
      <c r="K61" s="115"/>
      <c r="L61" s="115"/>
      <c r="M61" s="115"/>
      <c r="N61" s="115"/>
      <c r="O61" s="115"/>
      <c r="P61" s="115"/>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c r="AN61" s="115"/>
      <c r="AO61" s="115"/>
      <c r="AP61" s="115"/>
      <c r="AQ61" s="115"/>
      <c r="AR61" s="115"/>
      <c r="AS61" s="115"/>
      <c r="AT61" s="115"/>
      <c r="AU61" s="115"/>
      <c r="AV61" s="115"/>
      <c r="AW61" s="115"/>
      <c r="AX61" s="115"/>
      <c r="AY61" s="115"/>
      <c r="AZ61" s="115"/>
      <c r="BA61" s="115"/>
      <c r="BB61" s="115"/>
      <c r="BC61" s="115"/>
      <c r="BD61" s="115"/>
      <c r="BE61" s="115"/>
      <c r="BF61" s="115"/>
      <c r="BG61" s="115"/>
      <c r="BH61" s="115"/>
      <c r="BI61" s="115"/>
    </row>
    <row r="62" spans="1:61" ht="15.75" customHeight="1" x14ac:dyDescent="0.25">
      <c r="A62" s="115"/>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c r="BA62" s="115"/>
      <c r="BB62" s="115"/>
      <c r="BC62" s="115"/>
      <c r="BD62" s="115"/>
      <c r="BE62" s="115"/>
      <c r="BF62" s="115"/>
      <c r="BG62" s="115"/>
      <c r="BH62" s="115"/>
      <c r="BI62" s="115"/>
    </row>
    <row r="63" spans="1:61" ht="15.75" customHeight="1" x14ac:dyDescent="0.25">
      <c r="A63" s="115"/>
      <c r="B63" s="115"/>
      <c r="C63" s="115"/>
      <c r="D63" s="115"/>
      <c r="E63" s="115"/>
      <c r="F63" s="115"/>
      <c r="G63" s="115"/>
      <c r="H63" s="115"/>
      <c r="I63" s="115"/>
      <c r="J63" s="115"/>
      <c r="K63" s="115"/>
      <c r="L63" s="115"/>
      <c r="M63" s="115"/>
      <c r="N63" s="115"/>
      <c r="O63" s="115"/>
      <c r="P63" s="115"/>
      <c r="Q63" s="115"/>
      <c r="R63" s="115"/>
      <c r="S63" s="115"/>
      <c r="T63" s="115"/>
      <c r="U63" s="115"/>
      <c r="V63" s="115"/>
      <c r="W63" s="115"/>
      <c r="X63" s="115"/>
      <c r="Y63" s="115"/>
      <c r="Z63" s="115"/>
      <c r="AA63" s="115"/>
      <c r="AB63" s="115"/>
      <c r="AC63" s="115"/>
      <c r="AD63" s="115"/>
      <c r="AE63" s="115"/>
      <c r="AF63" s="115"/>
      <c r="AG63" s="115"/>
      <c r="AH63" s="115"/>
      <c r="AI63" s="115"/>
      <c r="AJ63" s="115"/>
      <c r="AK63" s="115"/>
      <c r="AL63" s="115"/>
      <c r="AM63" s="115"/>
      <c r="AN63" s="115"/>
      <c r="AO63" s="115"/>
      <c r="AP63" s="115"/>
      <c r="AQ63" s="115"/>
      <c r="AR63" s="115"/>
      <c r="AS63" s="115"/>
      <c r="AT63" s="115"/>
      <c r="AU63" s="115"/>
      <c r="AV63" s="115"/>
      <c r="AW63" s="115"/>
      <c r="AX63" s="115"/>
      <c r="AY63" s="115"/>
      <c r="AZ63" s="115"/>
      <c r="BA63" s="115"/>
      <c r="BB63" s="115"/>
      <c r="BC63" s="115"/>
      <c r="BD63" s="115"/>
      <c r="BE63" s="115"/>
      <c r="BF63" s="115"/>
      <c r="BG63" s="115"/>
      <c r="BH63" s="115"/>
      <c r="BI63" s="115"/>
    </row>
    <row r="64" spans="1:61" ht="15.75" customHeight="1" x14ac:dyDescent="0.25">
      <c r="A64" s="115"/>
      <c r="B64" s="115"/>
      <c r="C64" s="115"/>
      <c r="D64" s="115"/>
      <c r="E64" s="115"/>
      <c r="F64" s="115"/>
      <c r="G64" s="115"/>
      <c r="H64" s="115"/>
      <c r="I64" s="115"/>
      <c r="J64" s="115"/>
      <c r="K64" s="115"/>
      <c r="L64" s="115"/>
      <c r="M64" s="115"/>
      <c r="N64" s="115"/>
      <c r="O64" s="115"/>
      <c r="P64" s="115"/>
      <c r="Q64" s="115"/>
      <c r="R64" s="115"/>
      <c r="S64" s="115"/>
      <c r="T64" s="115"/>
      <c r="U64" s="115"/>
      <c r="V64" s="115"/>
      <c r="W64" s="115"/>
      <c r="X64" s="115"/>
      <c r="Y64" s="115"/>
      <c r="Z64" s="115"/>
      <c r="AA64" s="115"/>
      <c r="AB64" s="115"/>
      <c r="AC64" s="115"/>
      <c r="AD64" s="115"/>
      <c r="AE64" s="115"/>
      <c r="AF64" s="115"/>
      <c r="AG64" s="115"/>
      <c r="AH64" s="115"/>
      <c r="AI64" s="115"/>
      <c r="AJ64" s="115"/>
      <c r="AK64" s="115"/>
      <c r="AL64" s="115"/>
      <c r="AM64" s="115"/>
      <c r="AN64" s="115"/>
      <c r="AO64" s="115"/>
      <c r="AP64" s="115"/>
      <c r="AQ64" s="115"/>
      <c r="AR64" s="115"/>
      <c r="AS64" s="115"/>
      <c r="AT64" s="115"/>
      <c r="AU64" s="115"/>
      <c r="AV64" s="115"/>
      <c r="AW64" s="115"/>
      <c r="AX64" s="115"/>
      <c r="AY64" s="115"/>
      <c r="AZ64" s="115"/>
      <c r="BA64" s="115"/>
      <c r="BB64" s="115"/>
      <c r="BC64" s="115"/>
      <c r="BD64" s="115"/>
      <c r="BE64" s="115"/>
      <c r="BF64" s="115"/>
      <c r="BG64" s="115"/>
      <c r="BH64" s="115"/>
      <c r="BI64" s="115"/>
    </row>
    <row r="65" spans="1:61" ht="15.75" customHeight="1" x14ac:dyDescent="0.25">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c r="BI65" s="115"/>
    </row>
    <row r="66" spans="1:61" ht="15.75" customHeight="1" x14ac:dyDescent="0.25">
      <c r="A66" s="115"/>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c r="BC66" s="115"/>
      <c r="BD66" s="115"/>
      <c r="BE66" s="115"/>
      <c r="BF66" s="115"/>
      <c r="BG66" s="115"/>
      <c r="BH66" s="115"/>
      <c r="BI66" s="115"/>
    </row>
    <row r="67" spans="1:61" ht="15.75" customHeight="1" x14ac:dyDescent="0.25">
      <c r="A67" s="115"/>
      <c r="B67" s="115"/>
      <c r="C67" s="115"/>
      <c r="D67" s="115"/>
      <c r="E67" s="115"/>
      <c r="F67" s="115"/>
      <c r="G67" s="115"/>
      <c r="H67" s="115"/>
      <c r="I67" s="115"/>
      <c r="J67" s="115"/>
      <c r="K67" s="115"/>
      <c r="L67" s="115"/>
      <c r="M67" s="115"/>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c r="AN67" s="115"/>
      <c r="AO67" s="115"/>
      <c r="AP67" s="115"/>
      <c r="AQ67" s="115"/>
      <c r="AR67" s="115"/>
      <c r="AS67" s="115"/>
      <c r="AT67" s="115"/>
      <c r="AU67" s="115"/>
      <c r="AV67" s="115"/>
      <c r="AW67" s="115"/>
      <c r="AX67" s="115"/>
      <c r="AY67" s="115"/>
      <c r="AZ67" s="115"/>
      <c r="BA67" s="115"/>
      <c r="BB67" s="115"/>
      <c r="BC67" s="115"/>
      <c r="BD67" s="115"/>
      <c r="BE67" s="115"/>
      <c r="BF67" s="115"/>
      <c r="BG67" s="115"/>
      <c r="BH67" s="115"/>
      <c r="BI67" s="115"/>
    </row>
    <row r="68" spans="1:61" ht="15.75" customHeight="1" x14ac:dyDescent="0.25">
      <c r="A68" s="115"/>
      <c r="B68" s="115"/>
      <c r="C68" s="115"/>
      <c r="D68" s="115"/>
      <c r="E68" s="115"/>
      <c r="F68" s="115"/>
      <c r="G68" s="115"/>
      <c r="H68" s="115"/>
      <c r="I68" s="115"/>
      <c r="J68" s="115"/>
      <c r="K68" s="115"/>
      <c r="L68" s="115"/>
      <c r="M68" s="115"/>
      <c r="N68" s="115"/>
      <c r="O68" s="115"/>
      <c r="P68" s="115"/>
      <c r="Q68" s="115"/>
      <c r="R68" s="115"/>
      <c r="S68" s="115"/>
      <c r="T68" s="115"/>
      <c r="U68" s="115"/>
      <c r="V68" s="115"/>
      <c r="W68" s="115"/>
      <c r="X68" s="115"/>
      <c r="Y68" s="115"/>
      <c r="Z68" s="115"/>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c r="BA68" s="115"/>
      <c r="BB68" s="115"/>
      <c r="BC68" s="115"/>
      <c r="BD68" s="115"/>
      <c r="BE68" s="115"/>
      <c r="BF68" s="115"/>
      <c r="BG68" s="115"/>
      <c r="BH68" s="115"/>
      <c r="BI68" s="115"/>
    </row>
    <row r="69" spans="1:61" ht="15.75" customHeight="1" x14ac:dyDescent="0.25">
      <c r="A69" s="115"/>
      <c r="B69" s="115"/>
      <c r="C69" s="115"/>
      <c r="D69" s="115"/>
      <c r="E69" s="115"/>
      <c r="F69" s="115"/>
      <c r="G69" s="115"/>
      <c r="H69" s="115"/>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c r="AN69" s="115"/>
      <c r="AO69" s="115"/>
      <c r="AP69" s="115"/>
      <c r="AQ69" s="115"/>
      <c r="AR69" s="115"/>
      <c r="AS69" s="115"/>
      <c r="AT69" s="115"/>
      <c r="AU69" s="115"/>
      <c r="AV69" s="115"/>
      <c r="AW69" s="115"/>
      <c r="AX69" s="115"/>
      <c r="AY69" s="115"/>
      <c r="AZ69" s="115"/>
      <c r="BA69" s="115"/>
      <c r="BB69" s="115"/>
      <c r="BC69" s="115"/>
      <c r="BD69" s="115"/>
      <c r="BE69" s="115"/>
      <c r="BF69" s="115"/>
      <c r="BG69" s="115"/>
      <c r="BH69" s="115"/>
      <c r="BI69" s="115"/>
    </row>
    <row r="70" spans="1:61" ht="15.75" customHeight="1" x14ac:dyDescent="0.25">
      <c r="A70" s="115"/>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c r="AI70" s="115"/>
      <c r="AJ70" s="115"/>
      <c r="AK70" s="115"/>
      <c r="AL70" s="115"/>
      <c r="AM70" s="115"/>
      <c r="AN70" s="115"/>
      <c r="AO70" s="115"/>
      <c r="AP70" s="115"/>
      <c r="AQ70" s="115"/>
      <c r="AR70" s="115"/>
      <c r="AS70" s="115"/>
      <c r="AT70" s="115"/>
      <c r="AU70" s="115"/>
      <c r="AV70" s="115"/>
      <c r="AW70" s="115"/>
      <c r="AX70" s="115"/>
      <c r="AY70" s="115"/>
      <c r="AZ70" s="115"/>
      <c r="BA70" s="115"/>
      <c r="BB70" s="115"/>
      <c r="BC70" s="115"/>
      <c r="BD70" s="115"/>
      <c r="BE70" s="115"/>
      <c r="BF70" s="115"/>
      <c r="BG70" s="115"/>
      <c r="BH70" s="115"/>
      <c r="BI70" s="115"/>
    </row>
    <row r="71" spans="1:61" ht="15.75" customHeight="1" x14ac:dyDescent="0.25">
      <c r="A71" s="115"/>
      <c r="B71" s="115"/>
      <c r="C71" s="115"/>
      <c r="D71" s="115"/>
      <c r="E71" s="115"/>
      <c r="F71" s="115"/>
      <c r="G71" s="115"/>
      <c r="H71" s="115"/>
      <c r="I71" s="115"/>
      <c r="J71" s="115"/>
      <c r="K71" s="115"/>
      <c r="L71" s="115"/>
      <c r="M71" s="115"/>
      <c r="N71" s="115"/>
      <c r="O71" s="115"/>
      <c r="P71" s="115"/>
      <c r="Q71" s="115"/>
      <c r="R71" s="115"/>
      <c r="S71" s="115"/>
      <c r="T71" s="115"/>
      <c r="U71" s="115"/>
      <c r="V71" s="115"/>
      <c r="W71" s="115"/>
      <c r="X71" s="115"/>
      <c r="Y71" s="115"/>
      <c r="Z71" s="115"/>
      <c r="AA71" s="115"/>
      <c r="AB71" s="115"/>
      <c r="AC71" s="115"/>
      <c r="AD71" s="115"/>
      <c r="AE71" s="115"/>
      <c r="AF71" s="115"/>
      <c r="AG71" s="115"/>
      <c r="AH71" s="115"/>
      <c r="AI71" s="115"/>
      <c r="AJ71" s="115"/>
      <c r="AK71" s="115"/>
      <c r="AL71" s="115"/>
      <c r="AM71" s="115"/>
      <c r="AN71" s="115"/>
      <c r="AO71" s="115"/>
      <c r="AP71" s="115"/>
      <c r="AQ71" s="115"/>
      <c r="AR71" s="115"/>
      <c r="AS71" s="115"/>
      <c r="AT71" s="115"/>
      <c r="AU71" s="115"/>
      <c r="AV71" s="115"/>
      <c r="AW71" s="115"/>
      <c r="AX71" s="115"/>
      <c r="AY71" s="115"/>
      <c r="AZ71" s="115"/>
      <c r="BA71" s="115"/>
      <c r="BB71" s="115"/>
      <c r="BC71" s="115"/>
      <c r="BD71" s="115"/>
      <c r="BE71" s="115"/>
      <c r="BF71" s="115"/>
      <c r="BG71" s="115"/>
      <c r="BH71" s="115"/>
      <c r="BI71" s="115"/>
    </row>
    <row r="72" spans="1:61" ht="15.75" customHeight="1" x14ac:dyDescent="0.25">
      <c r="A72" s="115"/>
      <c r="B72" s="115"/>
      <c r="C72" s="115"/>
      <c r="D72" s="115"/>
      <c r="E72" s="115"/>
      <c r="F72" s="115"/>
      <c r="G72" s="115"/>
      <c r="H72" s="115"/>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c r="AN72" s="115"/>
      <c r="AO72" s="115"/>
      <c r="AP72" s="115"/>
      <c r="AQ72" s="115"/>
      <c r="AR72" s="115"/>
      <c r="AS72" s="115"/>
      <c r="AT72" s="115"/>
      <c r="AU72" s="115"/>
      <c r="AV72" s="115"/>
      <c r="AW72" s="115"/>
      <c r="AX72" s="115"/>
      <c r="AY72" s="115"/>
      <c r="AZ72" s="115"/>
      <c r="BA72" s="115"/>
      <c r="BB72" s="115"/>
      <c r="BC72" s="115"/>
      <c r="BD72" s="115"/>
      <c r="BE72" s="115"/>
      <c r="BF72" s="115"/>
      <c r="BG72" s="115"/>
      <c r="BH72" s="115"/>
      <c r="BI72" s="115"/>
    </row>
    <row r="73" spans="1:61" ht="15.75" customHeight="1" x14ac:dyDescent="0.25">
      <c r="A73" s="115"/>
      <c r="B73" s="115"/>
      <c r="C73" s="115"/>
      <c r="D73" s="115"/>
      <c r="E73" s="115"/>
      <c r="F73" s="115"/>
      <c r="G73" s="115"/>
      <c r="H73" s="115"/>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c r="AN73" s="115"/>
      <c r="AO73" s="115"/>
      <c r="AP73" s="115"/>
      <c r="AQ73" s="115"/>
      <c r="AR73" s="115"/>
      <c r="AS73" s="115"/>
      <c r="AT73" s="115"/>
      <c r="AU73" s="115"/>
      <c r="AV73" s="115"/>
      <c r="AW73" s="115"/>
      <c r="AX73" s="115"/>
      <c r="AY73" s="115"/>
      <c r="AZ73" s="115"/>
      <c r="BA73" s="115"/>
      <c r="BB73" s="115"/>
      <c r="BC73" s="115"/>
      <c r="BD73" s="115"/>
      <c r="BE73" s="115"/>
      <c r="BF73" s="115"/>
      <c r="BG73" s="115"/>
      <c r="BH73" s="115"/>
      <c r="BI73" s="115"/>
    </row>
    <row r="74" spans="1:61" ht="15.75" customHeight="1" x14ac:dyDescent="0.2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c r="AN74" s="115"/>
      <c r="AO74" s="115"/>
      <c r="AP74" s="115"/>
      <c r="AQ74" s="115"/>
      <c r="AR74" s="115"/>
      <c r="AS74" s="115"/>
      <c r="AT74" s="115"/>
      <c r="AU74" s="115"/>
      <c r="AV74" s="115"/>
      <c r="AW74" s="115"/>
      <c r="AX74" s="115"/>
      <c r="AY74" s="115"/>
      <c r="AZ74" s="115"/>
      <c r="BA74" s="115"/>
      <c r="BB74" s="115"/>
      <c r="BC74" s="115"/>
      <c r="BD74" s="115"/>
      <c r="BE74" s="115"/>
      <c r="BF74" s="115"/>
      <c r="BG74" s="115"/>
      <c r="BH74" s="115"/>
      <c r="BI74" s="115"/>
    </row>
    <row r="75" spans="1:61" ht="15.75" customHeight="1" x14ac:dyDescent="0.25">
      <c r="A75" s="115"/>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c r="AN75" s="115"/>
      <c r="AO75" s="115"/>
      <c r="AP75" s="115"/>
      <c r="AQ75" s="115"/>
      <c r="AR75" s="115"/>
      <c r="AS75" s="115"/>
      <c r="AT75" s="115"/>
      <c r="AU75" s="115"/>
      <c r="AV75" s="115"/>
      <c r="AW75" s="115"/>
      <c r="AX75" s="115"/>
      <c r="AY75" s="115"/>
      <c r="AZ75" s="115"/>
      <c r="BA75" s="115"/>
      <c r="BB75" s="115"/>
      <c r="BC75" s="115"/>
      <c r="BD75" s="115"/>
      <c r="BE75" s="115"/>
      <c r="BF75" s="115"/>
      <c r="BG75" s="115"/>
      <c r="BH75" s="115"/>
      <c r="BI75" s="115"/>
    </row>
    <row r="76" spans="1:61" ht="15.75" customHeight="1" x14ac:dyDescent="0.25">
      <c r="A76" s="115"/>
      <c r="B76" s="115"/>
      <c r="C76" s="115"/>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115"/>
      <c r="AW76" s="115"/>
      <c r="AX76" s="115"/>
      <c r="AY76" s="115"/>
      <c r="AZ76" s="115"/>
      <c r="BA76" s="115"/>
      <c r="BB76" s="115"/>
      <c r="BC76" s="115"/>
      <c r="BD76" s="115"/>
      <c r="BE76" s="115"/>
      <c r="BF76" s="115"/>
      <c r="BG76" s="115"/>
      <c r="BH76" s="115"/>
      <c r="BI76" s="115"/>
    </row>
    <row r="77" spans="1:61" ht="15.75" customHeight="1" x14ac:dyDescent="0.25">
      <c r="A77" s="115"/>
      <c r="B77" s="115"/>
      <c r="C77" s="115"/>
      <c r="D77" s="115"/>
      <c r="E77" s="115"/>
      <c r="F77" s="115"/>
      <c r="G77" s="115"/>
      <c r="H77" s="115"/>
      <c r="I77" s="115"/>
      <c r="J77" s="115"/>
      <c r="K77" s="115"/>
      <c r="L77" s="115"/>
      <c r="M77" s="115"/>
      <c r="N77" s="115"/>
      <c r="O77" s="115"/>
      <c r="P77" s="115"/>
      <c r="Q77" s="115"/>
      <c r="R77" s="115"/>
      <c r="S77" s="115"/>
      <c r="T77" s="115"/>
      <c r="U77" s="115"/>
      <c r="V77" s="115"/>
      <c r="W77" s="115"/>
      <c r="X77" s="115"/>
      <c r="Y77" s="115"/>
      <c r="Z77" s="115"/>
      <c r="AA77" s="115"/>
      <c r="AB77" s="115"/>
      <c r="AC77" s="115"/>
      <c r="AD77" s="115"/>
      <c r="AE77" s="115"/>
      <c r="AF77" s="115"/>
      <c r="AG77" s="115"/>
      <c r="AH77" s="115"/>
      <c r="AI77" s="115"/>
      <c r="AJ77" s="115"/>
      <c r="AK77" s="115"/>
      <c r="AL77" s="115"/>
      <c r="AM77" s="115"/>
      <c r="AN77" s="115"/>
      <c r="AO77" s="115"/>
      <c r="AP77" s="115"/>
      <c r="AQ77" s="115"/>
      <c r="AR77" s="115"/>
      <c r="AS77" s="115"/>
      <c r="AT77" s="115"/>
      <c r="AU77" s="115"/>
      <c r="AV77" s="115"/>
      <c r="AW77" s="115"/>
      <c r="AX77" s="115"/>
      <c r="AY77" s="115"/>
      <c r="AZ77" s="115"/>
      <c r="BA77" s="115"/>
      <c r="BB77" s="115"/>
      <c r="BC77" s="115"/>
      <c r="BD77" s="115"/>
      <c r="BE77" s="115"/>
      <c r="BF77" s="115"/>
      <c r="BG77" s="115"/>
      <c r="BH77" s="115"/>
      <c r="BI77" s="115"/>
    </row>
    <row r="78" spans="1:61" ht="15.75" customHeight="1" x14ac:dyDescent="0.25">
      <c r="A78" s="115"/>
      <c r="B78" s="115"/>
      <c r="C78" s="115"/>
      <c r="D78" s="115"/>
      <c r="E78" s="115"/>
      <c r="F78" s="115"/>
      <c r="G78" s="115"/>
      <c r="H78" s="115"/>
      <c r="I78" s="115"/>
      <c r="J78" s="115"/>
      <c r="K78" s="115"/>
      <c r="L78" s="115"/>
      <c r="M78" s="115"/>
      <c r="N78" s="115"/>
      <c r="O78" s="115"/>
      <c r="P78" s="115"/>
      <c r="Q78" s="115"/>
      <c r="R78" s="115"/>
      <c r="S78" s="115"/>
      <c r="T78" s="115"/>
      <c r="U78" s="115"/>
      <c r="V78" s="115"/>
      <c r="W78" s="115"/>
      <c r="X78" s="115"/>
      <c r="Y78" s="115"/>
      <c r="Z78" s="115"/>
      <c r="AA78" s="115"/>
      <c r="AB78" s="115"/>
      <c r="AC78" s="115"/>
      <c r="AD78" s="115"/>
      <c r="AE78" s="115"/>
      <c r="AF78" s="115"/>
      <c r="AG78" s="115"/>
      <c r="AH78" s="115"/>
      <c r="AI78" s="115"/>
      <c r="AJ78" s="115"/>
      <c r="AK78" s="115"/>
      <c r="AL78" s="115"/>
      <c r="AM78" s="115"/>
      <c r="AN78" s="115"/>
      <c r="AO78" s="115"/>
      <c r="AP78" s="115"/>
      <c r="AQ78" s="115"/>
      <c r="AR78" s="115"/>
      <c r="AS78" s="115"/>
      <c r="AT78" s="115"/>
      <c r="AU78" s="115"/>
      <c r="AV78" s="115"/>
      <c r="AW78" s="115"/>
      <c r="AX78" s="115"/>
      <c r="AY78" s="115"/>
      <c r="AZ78" s="115"/>
      <c r="BA78" s="115"/>
      <c r="BB78" s="115"/>
      <c r="BC78" s="115"/>
      <c r="BD78" s="115"/>
      <c r="BE78" s="115"/>
      <c r="BF78" s="115"/>
      <c r="BG78" s="115"/>
      <c r="BH78" s="115"/>
      <c r="BI78" s="115"/>
    </row>
    <row r="79" spans="1:61" ht="15.75" customHeight="1" x14ac:dyDescent="0.25">
      <c r="A79" s="11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c r="AN79" s="115"/>
      <c r="AO79" s="115"/>
      <c r="AP79" s="115"/>
      <c r="AQ79" s="115"/>
      <c r="AR79" s="115"/>
      <c r="AS79" s="115"/>
      <c r="AT79" s="115"/>
      <c r="AU79" s="115"/>
      <c r="AV79" s="115"/>
      <c r="AW79" s="115"/>
      <c r="AX79" s="115"/>
      <c r="AY79" s="115"/>
      <c r="AZ79" s="115"/>
      <c r="BA79" s="115"/>
      <c r="BB79" s="115"/>
      <c r="BC79" s="115"/>
      <c r="BD79" s="115"/>
      <c r="BE79" s="115"/>
      <c r="BF79" s="115"/>
      <c r="BG79" s="115"/>
      <c r="BH79" s="115"/>
      <c r="BI79" s="115"/>
    </row>
    <row r="80" spans="1:61" ht="15.75" customHeight="1" x14ac:dyDescent="0.25">
      <c r="A80" s="11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5"/>
      <c r="AY80" s="115"/>
      <c r="AZ80" s="115"/>
      <c r="BA80" s="115"/>
      <c r="BB80" s="115"/>
      <c r="BC80" s="115"/>
      <c r="BD80" s="115"/>
      <c r="BE80" s="115"/>
      <c r="BF80" s="115"/>
      <c r="BG80" s="115"/>
      <c r="BH80" s="115"/>
      <c r="BI80" s="115"/>
    </row>
    <row r="81" spans="1:61" ht="15.75" customHeight="1" x14ac:dyDescent="0.25">
      <c r="A81" s="1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c r="BD81" s="115"/>
      <c r="BE81" s="115"/>
      <c r="BF81" s="115"/>
      <c r="BG81" s="115"/>
      <c r="BH81" s="115"/>
      <c r="BI81" s="115"/>
    </row>
    <row r="82" spans="1:61" ht="15.75" customHeight="1" x14ac:dyDescent="0.25">
      <c r="A82" s="1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c r="BD82" s="115"/>
      <c r="BE82" s="115"/>
      <c r="BF82" s="115"/>
      <c r="BG82" s="115"/>
      <c r="BH82" s="115"/>
      <c r="BI82" s="115"/>
    </row>
    <row r="83" spans="1:61" ht="15.75" customHeight="1" x14ac:dyDescent="0.25">
      <c r="A83" s="11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c r="AV83" s="115"/>
      <c r="AW83" s="115"/>
      <c r="AX83" s="115"/>
      <c r="AY83" s="115"/>
      <c r="AZ83" s="115"/>
      <c r="BA83" s="115"/>
      <c r="BB83" s="115"/>
      <c r="BC83" s="115"/>
      <c r="BD83" s="115"/>
      <c r="BE83" s="115"/>
      <c r="BF83" s="115"/>
      <c r="BG83" s="115"/>
      <c r="BH83" s="115"/>
      <c r="BI83" s="115"/>
    </row>
    <row r="84" spans="1:61" ht="15.75" customHeight="1" x14ac:dyDescent="0.2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c r="BI84" s="115"/>
    </row>
    <row r="85" spans="1:61" ht="15.75" customHeight="1" x14ac:dyDescent="0.25">
      <c r="A85" s="11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c r="BG85" s="115"/>
      <c r="BH85" s="115"/>
      <c r="BI85" s="115"/>
    </row>
    <row r="86" spans="1:61" ht="15.75" customHeight="1" x14ac:dyDescent="0.25">
      <c r="A86" s="11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c r="BG86" s="115"/>
      <c r="BH86" s="115"/>
      <c r="BI86" s="115"/>
    </row>
    <row r="87" spans="1:61" ht="15.75" customHeight="1" x14ac:dyDescent="0.25">
      <c r="A87" s="11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c r="BG87" s="115"/>
      <c r="BH87" s="115"/>
      <c r="BI87" s="115"/>
    </row>
    <row r="88" spans="1:61" ht="15.75" customHeight="1" x14ac:dyDescent="0.25">
      <c r="A88" s="11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c r="AN88" s="115"/>
      <c r="AO88" s="115"/>
      <c r="AP88" s="115"/>
      <c r="AQ88" s="115"/>
      <c r="AR88" s="115"/>
      <c r="AS88" s="115"/>
      <c r="AT88" s="115"/>
      <c r="AU88" s="115"/>
      <c r="AV88" s="115"/>
      <c r="AW88" s="115"/>
      <c r="AX88" s="115"/>
      <c r="AY88" s="115"/>
      <c r="AZ88" s="115"/>
      <c r="BA88" s="115"/>
      <c r="BB88" s="115"/>
      <c r="BC88" s="115"/>
      <c r="BD88" s="115"/>
      <c r="BE88" s="115"/>
      <c r="BF88" s="115"/>
      <c r="BG88" s="115"/>
      <c r="BH88" s="115"/>
      <c r="BI88" s="115"/>
    </row>
    <row r="89" spans="1:61" ht="15.75" customHeight="1" x14ac:dyDescent="0.25">
      <c r="A89" s="11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c r="AN89" s="115"/>
      <c r="AO89" s="115"/>
      <c r="AP89" s="115"/>
      <c r="AQ89" s="115"/>
      <c r="AR89" s="115"/>
      <c r="AS89" s="115"/>
      <c r="AT89" s="115"/>
      <c r="AU89" s="115"/>
      <c r="AV89" s="115"/>
      <c r="AW89" s="115"/>
      <c r="AX89" s="115"/>
      <c r="AY89" s="115"/>
      <c r="AZ89" s="115"/>
      <c r="BA89" s="115"/>
      <c r="BB89" s="115"/>
      <c r="BC89" s="115"/>
      <c r="BD89" s="115"/>
      <c r="BE89" s="115"/>
      <c r="BF89" s="115"/>
      <c r="BG89" s="115"/>
      <c r="BH89" s="115"/>
      <c r="BI89" s="115"/>
    </row>
    <row r="90" spans="1:61" ht="15.75" customHeight="1" x14ac:dyDescent="0.25">
      <c r="A90" s="11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c r="AP90" s="115"/>
      <c r="AQ90" s="115"/>
      <c r="AR90" s="115"/>
      <c r="AS90" s="115"/>
      <c r="AT90" s="115"/>
      <c r="AU90" s="115"/>
      <c r="AV90" s="115"/>
      <c r="AW90" s="115"/>
      <c r="AX90" s="115"/>
      <c r="AY90" s="115"/>
      <c r="AZ90" s="115"/>
      <c r="BA90" s="115"/>
      <c r="BB90" s="115"/>
      <c r="BC90" s="115"/>
      <c r="BD90" s="115"/>
      <c r="BE90" s="115"/>
      <c r="BF90" s="115"/>
      <c r="BG90" s="115"/>
      <c r="BH90" s="115"/>
      <c r="BI90" s="115"/>
    </row>
    <row r="91" spans="1:61" ht="15.75" customHeight="1" x14ac:dyDescent="0.2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c r="AP91" s="115"/>
      <c r="AQ91" s="115"/>
      <c r="AR91" s="115"/>
      <c r="AS91" s="115"/>
      <c r="AT91" s="115"/>
      <c r="AU91" s="115"/>
      <c r="AV91" s="115"/>
      <c r="AW91" s="115"/>
      <c r="AX91" s="115"/>
      <c r="AY91" s="115"/>
      <c r="AZ91" s="115"/>
      <c r="BA91" s="115"/>
      <c r="BB91" s="115"/>
      <c r="BC91" s="115"/>
      <c r="BD91" s="115"/>
      <c r="BE91" s="115"/>
      <c r="BF91" s="115"/>
      <c r="BG91" s="115"/>
      <c r="BH91" s="115"/>
      <c r="BI91" s="115"/>
    </row>
    <row r="92" spans="1:61" ht="15.75" customHeight="1" x14ac:dyDescent="0.2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5"/>
      <c r="BF92" s="115"/>
      <c r="BG92" s="115"/>
      <c r="BH92" s="115"/>
      <c r="BI92" s="115"/>
    </row>
    <row r="93" spans="1:61" ht="15.75" customHeight="1" x14ac:dyDescent="0.25">
      <c r="A93" s="11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115"/>
      <c r="AQ93" s="115"/>
      <c r="AR93" s="115"/>
      <c r="AS93" s="115"/>
      <c r="AT93" s="115"/>
      <c r="AU93" s="115"/>
      <c r="AV93" s="115"/>
      <c r="AW93" s="115"/>
      <c r="AX93" s="115"/>
      <c r="AY93" s="115"/>
      <c r="AZ93" s="115"/>
      <c r="BA93" s="115"/>
      <c r="BB93" s="115"/>
      <c r="BC93" s="115"/>
      <c r="BD93" s="115"/>
      <c r="BE93" s="115"/>
      <c r="BF93" s="115"/>
      <c r="BG93" s="115"/>
      <c r="BH93" s="115"/>
      <c r="BI93" s="115"/>
    </row>
    <row r="94" spans="1:61" ht="15.75" customHeight="1" x14ac:dyDescent="0.2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c r="BG94" s="115"/>
      <c r="BH94" s="115"/>
      <c r="BI94" s="115"/>
    </row>
    <row r="95" spans="1:61" ht="15.75" customHeight="1" x14ac:dyDescent="0.25">
      <c r="A95" s="115"/>
      <c r="B95" s="115"/>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c r="BG95" s="115"/>
      <c r="BH95" s="115"/>
      <c r="BI95" s="115"/>
    </row>
    <row r="96" spans="1:61" ht="15.75" customHeight="1" x14ac:dyDescent="0.25">
      <c r="A96" s="115"/>
      <c r="B96" s="115"/>
      <c r="C96" s="115"/>
      <c r="D96" s="115"/>
      <c r="E96" s="115"/>
      <c r="F96" s="115"/>
      <c r="G96" s="115"/>
      <c r="H96" s="115"/>
      <c r="I96" s="115"/>
      <c r="J96" s="115"/>
      <c r="K96" s="115"/>
      <c r="L96" s="115"/>
      <c r="M96" s="115"/>
      <c r="N96" s="115"/>
      <c r="O96" s="115"/>
      <c r="P96" s="115"/>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c r="AN96" s="115"/>
      <c r="AO96" s="115"/>
      <c r="AP96" s="115"/>
      <c r="AQ96" s="115"/>
      <c r="AR96" s="115"/>
      <c r="AS96" s="115"/>
      <c r="AT96" s="115"/>
      <c r="AU96" s="115"/>
      <c r="AV96" s="115"/>
      <c r="AW96" s="115"/>
      <c r="AX96" s="115"/>
      <c r="AY96" s="115"/>
      <c r="AZ96" s="115"/>
      <c r="BA96" s="115"/>
      <c r="BB96" s="115"/>
      <c r="BC96" s="115"/>
      <c r="BD96" s="115"/>
      <c r="BE96" s="115"/>
      <c r="BF96" s="115"/>
      <c r="BG96" s="115"/>
      <c r="BH96" s="115"/>
      <c r="BI96" s="115"/>
    </row>
    <row r="97" spans="1:61" ht="15.75" customHeight="1" x14ac:dyDescent="0.25">
      <c r="A97" s="115"/>
      <c r="B97" s="115"/>
      <c r="C97" s="115"/>
      <c r="D97" s="115"/>
      <c r="E97" s="115"/>
      <c r="F97" s="115"/>
      <c r="G97" s="115"/>
      <c r="H97" s="115"/>
      <c r="I97" s="115"/>
      <c r="J97" s="115"/>
      <c r="K97" s="115"/>
      <c r="L97" s="115"/>
      <c r="M97" s="115"/>
      <c r="N97" s="115"/>
      <c r="O97" s="115"/>
      <c r="P97" s="115"/>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c r="AN97" s="115"/>
      <c r="AO97" s="115"/>
      <c r="AP97" s="115"/>
      <c r="AQ97" s="115"/>
      <c r="AR97" s="115"/>
      <c r="AS97" s="115"/>
      <c r="AT97" s="115"/>
      <c r="AU97" s="115"/>
      <c r="AV97" s="115"/>
      <c r="AW97" s="115"/>
      <c r="AX97" s="115"/>
      <c r="AY97" s="115"/>
      <c r="AZ97" s="115"/>
      <c r="BA97" s="115"/>
      <c r="BB97" s="115"/>
      <c r="BC97" s="115"/>
      <c r="BD97" s="115"/>
      <c r="BE97" s="115"/>
      <c r="BF97" s="115"/>
      <c r="BG97" s="115"/>
      <c r="BH97" s="115"/>
      <c r="BI97" s="115"/>
    </row>
    <row r="98" spans="1:61" ht="15.75" customHeight="1" x14ac:dyDescent="0.25">
      <c r="A98" s="115"/>
      <c r="B98" s="115"/>
      <c r="C98" s="115"/>
      <c r="D98" s="115"/>
      <c r="E98" s="115"/>
      <c r="F98" s="115"/>
      <c r="G98" s="115"/>
      <c r="H98" s="115"/>
      <c r="I98" s="115"/>
      <c r="J98" s="115"/>
      <c r="K98" s="115"/>
      <c r="L98" s="115"/>
      <c r="M98" s="115"/>
      <c r="N98" s="115"/>
      <c r="O98" s="115"/>
      <c r="P98" s="115"/>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c r="AN98" s="115"/>
      <c r="AO98" s="115"/>
      <c r="AP98" s="115"/>
      <c r="AQ98" s="115"/>
      <c r="AR98" s="115"/>
      <c r="AS98" s="115"/>
      <c r="AT98" s="115"/>
      <c r="AU98" s="115"/>
      <c r="AV98" s="115"/>
      <c r="AW98" s="115"/>
      <c r="AX98" s="115"/>
      <c r="AY98" s="115"/>
      <c r="AZ98" s="115"/>
      <c r="BA98" s="115"/>
      <c r="BB98" s="115"/>
      <c r="BC98" s="115"/>
      <c r="BD98" s="115"/>
      <c r="BE98" s="115"/>
      <c r="BF98" s="115"/>
      <c r="BG98" s="115"/>
      <c r="BH98" s="115"/>
      <c r="BI98" s="115"/>
    </row>
    <row r="99" spans="1:61" ht="15.75" customHeight="1" x14ac:dyDescent="0.25">
      <c r="A99" s="115"/>
      <c r="B99" s="115"/>
      <c r="C99" s="115"/>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c r="BF99" s="115"/>
      <c r="BG99" s="115"/>
      <c r="BH99" s="115"/>
      <c r="BI99" s="115"/>
    </row>
    <row r="100" spans="1:61" ht="15.75" customHeight="1" x14ac:dyDescent="0.25">
      <c r="A100" s="115"/>
      <c r="B100" s="115"/>
      <c r="C100" s="115"/>
      <c r="D100" s="115"/>
      <c r="E100" s="115"/>
      <c r="F100" s="115"/>
      <c r="G100" s="115"/>
      <c r="H100" s="115"/>
      <c r="I100" s="115"/>
      <c r="J100" s="115"/>
      <c r="K100" s="115"/>
      <c r="L100" s="115"/>
      <c r="M100" s="115"/>
      <c r="N100" s="115"/>
      <c r="O100" s="115"/>
      <c r="P100" s="115"/>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c r="AN100" s="115"/>
      <c r="AO100" s="115"/>
      <c r="AP100" s="115"/>
      <c r="AQ100" s="115"/>
      <c r="AR100" s="115"/>
      <c r="AS100" s="115"/>
      <c r="AT100" s="115"/>
      <c r="AU100" s="115"/>
      <c r="AV100" s="115"/>
      <c r="AW100" s="115"/>
      <c r="AX100" s="115"/>
      <c r="AY100" s="115"/>
      <c r="AZ100" s="115"/>
      <c r="BA100" s="115"/>
      <c r="BB100" s="115"/>
      <c r="BC100" s="115"/>
      <c r="BD100" s="115"/>
      <c r="BE100" s="115"/>
      <c r="BF100" s="115"/>
      <c r="BG100" s="115"/>
      <c r="BH100" s="115"/>
      <c r="BI100" s="115"/>
    </row>
    <row r="101" spans="1:61" ht="15.75" customHeight="1" x14ac:dyDescent="0.25">
      <c r="A101" s="115"/>
      <c r="B101" s="115"/>
      <c r="C101" s="115"/>
      <c r="D101" s="115"/>
      <c r="E101" s="115"/>
      <c r="F101" s="115"/>
      <c r="G101" s="115"/>
      <c r="H101" s="115"/>
      <c r="I101" s="115"/>
      <c r="J101" s="115"/>
      <c r="K101" s="115"/>
      <c r="L101" s="115"/>
      <c r="M101" s="115"/>
      <c r="N101" s="115"/>
      <c r="O101" s="115"/>
      <c r="P101" s="115"/>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c r="AN101" s="115"/>
      <c r="AO101" s="115"/>
      <c r="AP101" s="115"/>
      <c r="AQ101" s="115"/>
      <c r="AR101" s="115"/>
      <c r="AS101" s="115"/>
      <c r="AT101" s="115"/>
      <c r="AU101" s="115"/>
      <c r="AV101" s="115"/>
      <c r="AW101" s="115"/>
      <c r="AX101" s="115"/>
      <c r="AY101" s="115"/>
      <c r="AZ101" s="115"/>
      <c r="BA101" s="115"/>
      <c r="BB101" s="115"/>
      <c r="BC101" s="115"/>
      <c r="BD101" s="115"/>
      <c r="BE101" s="115"/>
      <c r="BF101" s="115"/>
      <c r="BG101" s="115"/>
      <c r="BH101" s="115"/>
      <c r="BI101" s="115"/>
    </row>
    <row r="102" spans="1:61" ht="15.75" customHeight="1" x14ac:dyDescent="0.25">
      <c r="A102" s="1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c r="BG102" s="115"/>
      <c r="BH102" s="115"/>
      <c r="BI102" s="115"/>
    </row>
    <row r="103" spans="1:61" ht="15.75" customHeight="1" x14ac:dyDescent="0.25">
      <c r="A103" s="115"/>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5"/>
      <c r="AT103" s="115"/>
      <c r="AU103" s="115"/>
      <c r="AV103" s="115"/>
      <c r="AW103" s="115"/>
      <c r="AX103" s="115"/>
      <c r="AY103" s="115"/>
      <c r="AZ103" s="115"/>
      <c r="BA103" s="115"/>
      <c r="BB103" s="115"/>
      <c r="BC103" s="115"/>
      <c r="BD103" s="115"/>
      <c r="BE103" s="115"/>
      <c r="BF103" s="115"/>
      <c r="BG103" s="115"/>
      <c r="BH103" s="115"/>
      <c r="BI103" s="115"/>
    </row>
    <row r="104" spans="1:61" ht="15.75" customHeight="1" x14ac:dyDescent="0.25">
      <c r="A104" s="115"/>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c r="BG104" s="115"/>
      <c r="BH104" s="115"/>
      <c r="BI104" s="115"/>
    </row>
    <row r="105" spans="1:61" ht="15.75" customHeight="1" x14ac:dyDescent="0.25">
      <c r="A105" s="115"/>
      <c r="B105" s="115"/>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15"/>
      <c r="BF105" s="115"/>
      <c r="BG105" s="115"/>
      <c r="BH105" s="115"/>
      <c r="BI105" s="115"/>
    </row>
    <row r="106" spans="1:61" ht="15.75" customHeight="1" x14ac:dyDescent="0.25">
      <c r="A106" s="115"/>
      <c r="B106" s="115"/>
      <c r="C106" s="115"/>
      <c r="D106" s="115"/>
      <c r="E106" s="115"/>
      <c r="F106" s="115"/>
      <c r="G106" s="115"/>
      <c r="H106" s="115"/>
      <c r="I106" s="115"/>
      <c r="J106" s="115"/>
      <c r="K106" s="115"/>
      <c r="L106" s="115"/>
      <c r="M106" s="115"/>
      <c r="N106" s="115"/>
      <c r="O106" s="115"/>
      <c r="P106" s="115"/>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5"/>
      <c r="AT106" s="115"/>
      <c r="AU106" s="115"/>
      <c r="AV106" s="115"/>
      <c r="AW106" s="115"/>
      <c r="AX106" s="115"/>
      <c r="AY106" s="115"/>
      <c r="AZ106" s="115"/>
      <c r="BA106" s="115"/>
      <c r="BB106" s="115"/>
      <c r="BC106" s="115"/>
      <c r="BD106" s="115"/>
      <c r="BE106" s="115"/>
      <c r="BF106" s="115"/>
      <c r="BG106" s="115"/>
      <c r="BH106" s="115"/>
      <c r="BI106" s="115"/>
    </row>
    <row r="107" spans="1:61" ht="15.75" customHeight="1" x14ac:dyDescent="0.25">
      <c r="A107" s="115"/>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115"/>
      <c r="BI107" s="115"/>
    </row>
    <row r="108" spans="1:61" ht="15.75" customHeight="1" x14ac:dyDescent="0.25">
      <c r="A108" s="11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c r="AN108" s="115"/>
      <c r="AO108" s="115"/>
      <c r="AP108" s="115"/>
      <c r="AQ108" s="115"/>
      <c r="AR108" s="115"/>
      <c r="AS108" s="115"/>
      <c r="AT108" s="115"/>
      <c r="AU108" s="115"/>
      <c r="AV108" s="115"/>
      <c r="AW108" s="115"/>
      <c r="AX108" s="115"/>
      <c r="AY108" s="115"/>
      <c r="AZ108" s="115"/>
      <c r="BA108" s="115"/>
      <c r="BB108" s="115"/>
      <c r="BC108" s="115"/>
      <c r="BD108" s="115"/>
      <c r="BE108" s="115"/>
      <c r="BF108" s="115"/>
      <c r="BG108" s="115"/>
      <c r="BH108" s="115"/>
      <c r="BI108" s="115"/>
    </row>
    <row r="109" spans="1:61" ht="15.75" customHeight="1" x14ac:dyDescent="0.25">
      <c r="A109" s="115"/>
      <c r="B109" s="115"/>
      <c r="C109" s="115"/>
      <c r="D109" s="115"/>
      <c r="E109" s="115"/>
      <c r="F109" s="115"/>
      <c r="G109" s="115"/>
      <c r="H109" s="115"/>
      <c r="I109" s="115"/>
      <c r="J109" s="115"/>
      <c r="K109" s="115"/>
      <c r="L109" s="115"/>
      <c r="M109" s="115"/>
      <c r="N109" s="115"/>
      <c r="O109" s="115"/>
      <c r="P109" s="115"/>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c r="AN109" s="115"/>
      <c r="AO109" s="115"/>
      <c r="AP109" s="115"/>
      <c r="AQ109" s="115"/>
      <c r="AR109" s="115"/>
      <c r="AS109" s="115"/>
      <c r="AT109" s="115"/>
      <c r="AU109" s="115"/>
      <c r="AV109" s="115"/>
      <c r="AW109" s="115"/>
      <c r="AX109" s="115"/>
      <c r="AY109" s="115"/>
      <c r="AZ109" s="115"/>
      <c r="BA109" s="115"/>
      <c r="BB109" s="115"/>
      <c r="BC109" s="115"/>
      <c r="BD109" s="115"/>
      <c r="BE109" s="115"/>
      <c r="BF109" s="115"/>
      <c r="BG109" s="115"/>
      <c r="BH109" s="115"/>
      <c r="BI109" s="115"/>
    </row>
    <row r="110" spans="1:61" ht="15.75" customHeight="1" x14ac:dyDescent="0.25">
      <c r="A110" s="115"/>
      <c r="B110" s="115"/>
      <c r="C110" s="115"/>
      <c r="D110" s="115"/>
      <c r="E110" s="115"/>
      <c r="F110" s="115"/>
      <c r="G110" s="115"/>
      <c r="H110" s="115"/>
      <c r="I110" s="115"/>
      <c r="J110" s="115"/>
      <c r="K110" s="115"/>
      <c r="L110" s="115"/>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115"/>
      <c r="BH110" s="115"/>
      <c r="BI110" s="115"/>
    </row>
    <row r="111" spans="1:61" ht="15.75" customHeight="1" x14ac:dyDescent="0.25">
      <c r="A111" s="115"/>
      <c r="B111" s="115"/>
      <c r="C111" s="115"/>
      <c r="D111" s="115"/>
      <c r="E111" s="115"/>
      <c r="F111" s="115"/>
      <c r="G111" s="115"/>
      <c r="H111" s="115"/>
      <c r="I111" s="115"/>
      <c r="J111" s="115"/>
      <c r="K111" s="115"/>
      <c r="L111" s="115"/>
      <c r="M111" s="115"/>
      <c r="N111" s="115"/>
      <c r="O111" s="115"/>
      <c r="P111" s="115"/>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c r="AN111" s="115"/>
      <c r="AO111" s="115"/>
      <c r="AP111" s="115"/>
      <c r="AQ111" s="115"/>
      <c r="AR111" s="115"/>
      <c r="AS111" s="115"/>
      <c r="AT111" s="115"/>
      <c r="AU111" s="115"/>
      <c r="AV111" s="115"/>
      <c r="AW111" s="115"/>
      <c r="AX111" s="115"/>
      <c r="AY111" s="115"/>
      <c r="AZ111" s="115"/>
      <c r="BA111" s="115"/>
      <c r="BB111" s="115"/>
      <c r="BC111" s="115"/>
      <c r="BD111" s="115"/>
      <c r="BE111" s="115"/>
      <c r="BF111" s="115"/>
      <c r="BG111" s="115"/>
      <c r="BH111" s="115"/>
      <c r="BI111" s="115"/>
    </row>
    <row r="112" spans="1:61" ht="15.75" customHeight="1" x14ac:dyDescent="0.25">
      <c r="A112" s="115"/>
      <c r="B112" s="115"/>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15"/>
      <c r="BF112" s="115"/>
      <c r="BG112" s="115"/>
      <c r="BH112" s="115"/>
      <c r="BI112" s="115"/>
    </row>
    <row r="113" spans="1:61" ht="15.75" customHeight="1" x14ac:dyDescent="0.25">
      <c r="A113" s="115"/>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c r="AN113" s="115"/>
      <c r="AO113" s="115"/>
      <c r="AP113" s="115"/>
      <c r="AQ113" s="115"/>
      <c r="AR113" s="115"/>
      <c r="AS113" s="115"/>
      <c r="AT113" s="115"/>
      <c r="AU113" s="115"/>
      <c r="AV113" s="115"/>
      <c r="AW113" s="115"/>
      <c r="AX113" s="115"/>
      <c r="AY113" s="115"/>
      <c r="AZ113" s="115"/>
      <c r="BA113" s="115"/>
      <c r="BB113" s="115"/>
      <c r="BC113" s="115"/>
      <c r="BD113" s="115"/>
      <c r="BE113" s="115"/>
      <c r="BF113" s="115"/>
      <c r="BG113" s="115"/>
      <c r="BH113" s="115"/>
      <c r="BI113" s="115"/>
    </row>
    <row r="114" spans="1:61" ht="15.75" customHeight="1" x14ac:dyDescent="0.25">
      <c r="A114" s="115"/>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15"/>
      <c r="AY114" s="115"/>
      <c r="AZ114" s="115"/>
      <c r="BA114" s="115"/>
      <c r="BB114" s="115"/>
      <c r="BC114" s="115"/>
      <c r="BD114" s="115"/>
      <c r="BE114" s="115"/>
      <c r="BF114" s="115"/>
      <c r="BG114" s="115"/>
      <c r="BH114" s="115"/>
      <c r="BI114" s="115"/>
    </row>
    <row r="115" spans="1:61" ht="15.75" customHeight="1" x14ac:dyDescent="0.25">
      <c r="A115" s="115"/>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c r="AN115" s="115"/>
      <c r="AO115" s="115"/>
      <c r="AP115" s="115"/>
      <c r="AQ115" s="115"/>
      <c r="AR115" s="115"/>
      <c r="AS115" s="115"/>
      <c r="AT115" s="115"/>
      <c r="AU115" s="115"/>
      <c r="AV115" s="115"/>
      <c r="AW115" s="115"/>
      <c r="AX115" s="115"/>
      <c r="AY115" s="115"/>
      <c r="AZ115" s="115"/>
      <c r="BA115" s="115"/>
      <c r="BB115" s="115"/>
      <c r="BC115" s="115"/>
      <c r="BD115" s="115"/>
      <c r="BE115" s="115"/>
      <c r="BF115" s="115"/>
      <c r="BG115" s="115"/>
      <c r="BH115" s="115"/>
      <c r="BI115" s="115"/>
    </row>
    <row r="116" spans="1:61" ht="15.75" customHeight="1" x14ac:dyDescent="0.25">
      <c r="A116" s="115"/>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5"/>
      <c r="BF116" s="115"/>
      <c r="BG116" s="115"/>
      <c r="BH116" s="115"/>
      <c r="BI116" s="115"/>
    </row>
    <row r="117" spans="1:61" ht="15.75" customHeight="1" x14ac:dyDescent="0.25">
      <c r="A117" s="115"/>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c r="AN117" s="115"/>
      <c r="AO117" s="115"/>
      <c r="AP117" s="115"/>
      <c r="AQ117" s="115"/>
      <c r="AR117" s="115"/>
      <c r="AS117" s="115"/>
      <c r="AT117" s="115"/>
      <c r="AU117" s="115"/>
      <c r="AV117" s="115"/>
      <c r="AW117" s="115"/>
      <c r="AX117" s="115"/>
      <c r="AY117" s="115"/>
      <c r="AZ117" s="115"/>
      <c r="BA117" s="115"/>
      <c r="BB117" s="115"/>
      <c r="BC117" s="115"/>
      <c r="BD117" s="115"/>
      <c r="BE117" s="115"/>
      <c r="BF117" s="115"/>
      <c r="BG117" s="115"/>
      <c r="BH117" s="115"/>
      <c r="BI117" s="115"/>
    </row>
    <row r="118" spans="1:61" ht="15.75" customHeight="1" x14ac:dyDescent="0.25">
      <c r="A118" s="115"/>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c r="BG118" s="115"/>
      <c r="BH118" s="115"/>
      <c r="BI118" s="115"/>
    </row>
    <row r="119" spans="1:61" ht="15.75" customHeight="1" x14ac:dyDescent="0.25">
      <c r="A119" s="115"/>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15"/>
      <c r="BF119" s="115"/>
      <c r="BG119" s="115"/>
      <c r="BH119" s="115"/>
      <c r="BI119" s="115"/>
    </row>
    <row r="120" spans="1:61" ht="15.75" customHeight="1" x14ac:dyDescent="0.25">
      <c r="A120" s="115"/>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W120" s="115"/>
      <c r="AX120" s="115"/>
      <c r="AY120" s="115"/>
      <c r="AZ120" s="115"/>
      <c r="BA120" s="115"/>
      <c r="BB120" s="115"/>
      <c r="BC120" s="115"/>
      <c r="BD120" s="115"/>
      <c r="BE120" s="115"/>
      <c r="BF120" s="115"/>
      <c r="BG120" s="115"/>
      <c r="BH120" s="115"/>
      <c r="BI120" s="115"/>
    </row>
    <row r="121" spans="1:61" ht="15.75" customHeight="1" x14ac:dyDescent="0.25">
      <c r="A121" s="11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W121" s="115"/>
      <c r="AX121" s="115"/>
      <c r="AY121" s="115"/>
      <c r="AZ121" s="115"/>
      <c r="BA121" s="115"/>
      <c r="BB121" s="115"/>
      <c r="BC121" s="115"/>
      <c r="BD121" s="115"/>
      <c r="BE121" s="115"/>
      <c r="BF121" s="115"/>
      <c r="BG121" s="115"/>
      <c r="BH121" s="115"/>
      <c r="BI121" s="115"/>
    </row>
    <row r="122" spans="1:61" ht="15.75" customHeight="1" x14ac:dyDescent="0.25">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115"/>
      <c r="BF122" s="115"/>
      <c r="BG122" s="115"/>
      <c r="BH122" s="115"/>
      <c r="BI122" s="115"/>
    </row>
    <row r="123" spans="1:61" ht="15.75" customHeight="1" x14ac:dyDescent="0.25">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c r="AN123" s="115"/>
      <c r="AO123" s="115"/>
      <c r="AP123" s="115"/>
      <c r="AQ123" s="115"/>
      <c r="AR123" s="115"/>
      <c r="AS123" s="115"/>
      <c r="AT123" s="115"/>
      <c r="AU123" s="115"/>
      <c r="AV123" s="115"/>
      <c r="AW123" s="115"/>
      <c r="AX123" s="115"/>
      <c r="AY123" s="115"/>
      <c r="AZ123" s="115"/>
      <c r="BA123" s="115"/>
      <c r="BB123" s="115"/>
      <c r="BC123" s="115"/>
      <c r="BD123" s="115"/>
      <c r="BE123" s="115"/>
      <c r="BF123" s="115"/>
      <c r="BG123" s="115"/>
      <c r="BH123" s="115"/>
      <c r="BI123" s="115"/>
    </row>
    <row r="124" spans="1:61" ht="15.75" customHeight="1" x14ac:dyDescent="0.25">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115"/>
      <c r="BH124" s="115"/>
      <c r="BI124" s="115"/>
    </row>
    <row r="125" spans="1:61" ht="15.75" customHeight="1" x14ac:dyDescent="0.25">
      <c r="B125" s="115"/>
      <c r="C125" s="115"/>
      <c r="D125" s="115"/>
      <c r="E125" s="115"/>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c r="BI125" s="115"/>
    </row>
    <row r="126" spans="1:61" ht="15.75" customHeight="1" x14ac:dyDescent="0.2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5"/>
      <c r="BF126" s="115"/>
      <c r="BG126" s="115"/>
      <c r="BH126" s="115"/>
      <c r="BI126" s="115"/>
    </row>
    <row r="127" spans="1:61" ht="15.75" customHeight="1" x14ac:dyDescent="0.25">
      <c r="B127" s="115"/>
      <c r="C127" s="115"/>
      <c r="D127" s="115"/>
      <c r="E127" s="115"/>
      <c r="F127" s="115"/>
      <c r="G127" s="115"/>
      <c r="H127" s="115"/>
      <c r="I127" s="115"/>
      <c r="J127" s="115"/>
      <c r="K127" s="115"/>
      <c r="L127" s="115"/>
      <c r="M127" s="115"/>
      <c r="N127" s="115"/>
      <c r="O127" s="115"/>
      <c r="P127" s="115"/>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c r="AN127" s="115"/>
      <c r="AO127" s="115"/>
      <c r="AP127" s="115"/>
      <c r="AQ127" s="115"/>
      <c r="AR127" s="115"/>
      <c r="AS127" s="115"/>
      <c r="AT127" s="115"/>
      <c r="AU127" s="115"/>
      <c r="AV127" s="115"/>
      <c r="AW127" s="115"/>
      <c r="AX127" s="115"/>
      <c r="AY127" s="115"/>
      <c r="AZ127" s="115"/>
      <c r="BA127" s="115"/>
      <c r="BB127" s="115"/>
      <c r="BC127" s="115"/>
      <c r="BD127" s="115"/>
      <c r="BE127" s="115"/>
      <c r="BF127" s="115"/>
      <c r="BG127" s="115"/>
      <c r="BH127" s="115"/>
      <c r="BI127" s="115"/>
    </row>
    <row r="128" spans="1:61" ht="15.75" customHeight="1" x14ac:dyDescent="0.25">
      <c r="B128" s="115"/>
      <c r="C128" s="115"/>
      <c r="D128" s="115"/>
      <c r="E128" s="115"/>
      <c r="F128" s="115"/>
      <c r="G128" s="115"/>
      <c r="H128" s="115"/>
      <c r="I128" s="115"/>
      <c r="J128" s="115"/>
      <c r="K128" s="115"/>
      <c r="L128" s="115"/>
      <c r="M128" s="115"/>
      <c r="N128" s="115"/>
      <c r="O128" s="115"/>
      <c r="P128" s="115"/>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c r="AN128" s="115"/>
      <c r="AO128" s="115"/>
      <c r="AP128" s="115"/>
      <c r="AQ128" s="115"/>
      <c r="AR128" s="115"/>
      <c r="AS128" s="115"/>
      <c r="AT128" s="115"/>
      <c r="AU128" s="115"/>
      <c r="AV128" s="115"/>
      <c r="AW128" s="115"/>
      <c r="AX128" s="115"/>
      <c r="AY128" s="115"/>
      <c r="AZ128" s="115"/>
      <c r="BA128" s="115"/>
      <c r="BB128" s="115"/>
      <c r="BC128" s="115"/>
      <c r="BD128" s="115"/>
      <c r="BE128" s="115"/>
      <c r="BF128" s="115"/>
      <c r="BG128" s="115"/>
      <c r="BH128" s="115"/>
      <c r="BI128" s="115"/>
    </row>
    <row r="129" spans="2:61" ht="15.75" customHeight="1" x14ac:dyDescent="0.2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c r="BG129" s="115"/>
      <c r="BH129" s="115"/>
      <c r="BI129" s="115"/>
    </row>
    <row r="130" spans="2:61" ht="15.75" customHeight="1" x14ac:dyDescent="0.25">
      <c r="B130" s="115"/>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15"/>
      <c r="BF130" s="115"/>
      <c r="BG130" s="115"/>
      <c r="BH130" s="115"/>
      <c r="BI130" s="115"/>
    </row>
    <row r="131" spans="2:61" ht="15.75" customHeight="1" x14ac:dyDescent="0.25">
      <c r="B131" s="115"/>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c r="AN131" s="115"/>
      <c r="AO131" s="115"/>
      <c r="AP131" s="115"/>
      <c r="AQ131" s="115"/>
      <c r="AR131" s="115"/>
      <c r="AS131" s="115"/>
      <c r="AT131" s="115"/>
      <c r="AU131" s="115"/>
      <c r="AV131" s="115"/>
      <c r="AW131" s="115"/>
      <c r="AX131" s="115"/>
      <c r="AY131" s="115"/>
      <c r="AZ131" s="115"/>
      <c r="BA131" s="115"/>
      <c r="BB131" s="115"/>
      <c r="BC131" s="115"/>
      <c r="BD131" s="115"/>
      <c r="BE131" s="115"/>
      <c r="BF131" s="115"/>
      <c r="BG131" s="115"/>
      <c r="BH131" s="115"/>
      <c r="BI131" s="115"/>
    </row>
    <row r="132" spans="2:61" ht="15.75" customHeight="1" x14ac:dyDescent="0.2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c r="BI132" s="115"/>
    </row>
    <row r="133" spans="2:61" ht="15.75" customHeight="1" x14ac:dyDescent="0.2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c r="AN133" s="115"/>
      <c r="AO133" s="115"/>
      <c r="AP133" s="115"/>
      <c r="AQ133" s="115"/>
      <c r="AR133" s="115"/>
      <c r="AS133" s="115"/>
      <c r="AT133" s="115"/>
      <c r="AU133" s="115"/>
      <c r="AV133" s="115"/>
      <c r="AW133" s="115"/>
      <c r="AX133" s="115"/>
      <c r="AY133" s="115"/>
      <c r="AZ133" s="115"/>
      <c r="BA133" s="115"/>
      <c r="BB133" s="115"/>
      <c r="BC133" s="115"/>
      <c r="BD133" s="115"/>
      <c r="BE133" s="115"/>
      <c r="BF133" s="115"/>
      <c r="BG133" s="115"/>
      <c r="BH133" s="115"/>
      <c r="BI133" s="115"/>
    </row>
    <row r="134" spans="2:61" ht="15.75" customHeight="1" x14ac:dyDescent="0.25">
      <c r="B134" s="115"/>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c r="BF134" s="115"/>
      <c r="BG134" s="115"/>
      <c r="BH134" s="115"/>
      <c r="BI134" s="115"/>
    </row>
    <row r="135" spans="2:61" ht="15.75" customHeight="1" x14ac:dyDescent="0.25">
      <c r="B135" s="115"/>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115"/>
      <c r="BH135" s="115"/>
      <c r="BI135" s="115"/>
    </row>
    <row r="136" spans="2:61" ht="15.75" customHeight="1" x14ac:dyDescent="0.25">
      <c r="B136" s="115"/>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c r="AN136" s="115"/>
      <c r="AO136" s="115"/>
      <c r="AP136" s="115"/>
      <c r="AQ136" s="115"/>
      <c r="AR136" s="115"/>
      <c r="AS136" s="115"/>
      <c r="AT136" s="115"/>
      <c r="AU136" s="115"/>
      <c r="AV136" s="115"/>
      <c r="AW136" s="115"/>
      <c r="AX136" s="115"/>
      <c r="AY136" s="115"/>
      <c r="AZ136" s="115"/>
      <c r="BA136" s="115"/>
      <c r="BB136" s="115"/>
      <c r="BC136" s="115"/>
      <c r="BD136" s="115"/>
      <c r="BE136" s="115"/>
      <c r="BF136" s="115"/>
      <c r="BG136" s="115"/>
      <c r="BH136" s="115"/>
      <c r="BI136" s="115"/>
    </row>
    <row r="137" spans="2:61" ht="15.75" customHeight="1" x14ac:dyDescent="0.25">
      <c r="B137" s="115"/>
      <c r="C137" s="115"/>
      <c r="D137" s="115"/>
      <c r="E137" s="115"/>
      <c r="F137" s="115"/>
      <c r="G137" s="115"/>
      <c r="H137" s="115"/>
      <c r="I137" s="115"/>
    </row>
    <row r="138" spans="2:61" ht="15.75" customHeight="1" x14ac:dyDescent="0.25">
      <c r="B138" s="115"/>
      <c r="C138" s="115"/>
      <c r="D138" s="115"/>
      <c r="E138" s="115"/>
      <c r="F138" s="115"/>
      <c r="G138" s="115"/>
      <c r="H138" s="115"/>
      <c r="I138" s="115"/>
    </row>
    <row r="139" spans="2:61" ht="15.75" customHeight="1" x14ac:dyDescent="0.25">
      <c r="B139" s="115"/>
      <c r="C139" s="115"/>
      <c r="D139" s="115"/>
      <c r="E139" s="115"/>
      <c r="F139" s="115"/>
      <c r="G139" s="115"/>
      <c r="H139" s="115"/>
      <c r="I139" s="115"/>
    </row>
    <row r="140" spans="2:61" ht="15.75" customHeight="1" x14ac:dyDescent="0.25">
      <c r="B140" s="115"/>
      <c r="C140" s="115"/>
      <c r="D140" s="115"/>
      <c r="E140" s="115"/>
      <c r="F140" s="115"/>
      <c r="G140" s="115"/>
      <c r="H140" s="115"/>
      <c r="I140" s="115"/>
    </row>
    <row r="141" spans="2:61" ht="15.75" customHeight="1" x14ac:dyDescent="0.2"/>
    <row r="142" spans="2:61" ht="15.75" customHeight="1" x14ac:dyDescent="0.2"/>
    <row r="143" spans="2:61" ht="15.75" customHeight="1" x14ac:dyDescent="0.2"/>
    <row r="144" spans="2:61"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1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J46:O51"/>
    <mergeCell ref="P44:Q45"/>
    <mergeCell ref="R44:S45"/>
    <mergeCell ref="P46:U51"/>
    <mergeCell ref="T44:U45"/>
    <mergeCell ref="V44:W45"/>
    <mergeCell ref="X44:Y45"/>
    <mergeCell ref="Z44:AA45"/>
    <mergeCell ref="V46:AA5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J40:AK41"/>
    <mergeCell ref="AL40:AM41"/>
    <mergeCell ref="T38:U39"/>
    <mergeCell ref="V38:W39"/>
    <mergeCell ref="X38:Y39"/>
    <mergeCell ref="Z38:AA39"/>
    <mergeCell ref="AB38:AC39"/>
    <mergeCell ref="AD38:AE39"/>
    <mergeCell ref="AF38:AG39"/>
    <mergeCell ref="AH38:AI39"/>
    <mergeCell ref="AJ38:AK39"/>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J8:K9"/>
    <mergeCell ref="L8:M9"/>
    <mergeCell ref="J12:K13"/>
    <mergeCell ref="L12:M13"/>
    <mergeCell ref="N12:O13"/>
    <mergeCell ref="P12:Q13"/>
    <mergeCell ref="R12:S13"/>
    <mergeCell ref="J6:K7"/>
    <mergeCell ref="J10:K11"/>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s>
  <pageMargins left="0.70866141732283472" right="0.70866141732283472" top="0.74803149606299213" bottom="0.74803149606299213" header="0" footer="0"/>
  <pageSetup scale="34" orientation="portrait" r:id="rId1"/>
  <headerFooter>
    <oddHeader>&amp;L&amp;G&amp;C
MATRIZ DE RIESGOS&amp;RCódigo:E-02-F-014
Versión: 4
Fecha: Ver Isolución</oddHeader>
  </headerFooter>
  <colBreaks count="1" manualBreakCount="1">
    <brk id="46" max="139" man="1"/>
  </col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BI1000"/>
  <sheetViews>
    <sheetView showGridLines="0" zoomScale="40" zoomScaleNormal="40" workbookViewId="0">
      <selection activeCell="AY52" sqref="AY52"/>
    </sheetView>
  </sheetViews>
  <sheetFormatPr baseColWidth="10" defaultColWidth="12.625" defaultRowHeight="15" customHeight="1" x14ac:dyDescent="0.2"/>
  <cols>
    <col min="1" max="1" width="9.375" customWidth="1"/>
    <col min="2" max="18" width="5" customWidth="1"/>
    <col min="19" max="19" width="7.375" customWidth="1"/>
    <col min="20" max="23" width="5" customWidth="1"/>
    <col min="24" max="24" width="7.5" customWidth="1"/>
    <col min="25" max="26" width="5" customWidth="1"/>
    <col min="27" max="27" width="9.375" customWidth="1"/>
    <col min="28" max="28" width="5" customWidth="1"/>
    <col min="29" max="29" width="6.5" customWidth="1"/>
    <col min="30" max="33" width="5" customWidth="1"/>
    <col min="34" max="34" width="7.5" customWidth="1"/>
    <col min="35" max="39" width="5" customWidth="1"/>
    <col min="40" max="40" width="9.375" customWidth="1"/>
    <col min="41" max="46" width="5" customWidth="1"/>
    <col min="47" max="61" width="9.375" customWidth="1"/>
  </cols>
  <sheetData>
    <row r="1" spans="1:61" x14ac:dyDescent="0.25">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row>
    <row r="2" spans="1:61" ht="18" customHeight="1" x14ac:dyDescent="0.25">
      <c r="A2" s="115"/>
      <c r="B2" s="824" t="s">
        <v>17</v>
      </c>
      <c r="C2" s="804"/>
      <c r="D2" s="804"/>
      <c r="E2" s="804"/>
      <c r="F2" s="804"/>
      <c r="G2" s="804"/>
      <c r="H2" s="804"/>
      <c r="I2" s="804"/>
      <c r="J2" s="817" t="s">
        <v>1</v>
      </c>
      <c r="K2" s="781"/>
      <c r="L2" s="781"/>
      <c r="M2" s="781"/>
      <c r="N2" s="781"/>
      <c r="O2" s="781"/>
      <c r="P2" s="781"/>
      <c r="Q2" s="781"/>
      <c r="R2" s="781"/>
      <c r="S2" s="781"/>
      <c r="T2" s="781"/>
      <c r="U2" s="781"/>
      <c r="V2" s="781"/>
      <c r="W2" s="781"/>
      <c r="X2" s="781"/>
      <c r="Y2" s="781"/>
      <c r="Z2" s="781"/>
      <c r="AA2" s="781"/>
      <c r="AB2" s="781"/>
      <c r="AC2" s="781"/>
      <c r="AD2" s="781"/>
      <c r="AE2" s="781"/>
      <c r="AF2" s="781"/>
      <c r="AG2" s="781"/>
      <c r="AH2" s="781"/>
      <c r="AI2" s="781"/>
      <c r="AJ2" s="781"/>
      <c r="AK2" s="781"/>
      <c r="AL2" s="781"/>
      <c r="AM2" s="781"/>
      <c r="AN2" s="115"/>
      <c r="AO2" s="115"/>
      <c r="AP2" s="115"/>
      <c r="AQ2" s="115"/>
      <c r="AR2" s="115"/>
      <c r="AS2" s="115"/>
      <c r="AT2" s="115"/>
      <c r="AU2" s="115"/>
      <c r="AV2" s="115"/>
      <c r="AW2" s="115"/>
      <c r="AX2" s="115"/>
      <c r="AY2" s="115"/>
      <c r="AZ2" s="115"/>
      <c r="BA2" s="115"/>
      <c r="BB2" s="115"/>
      <c r="BC2" s="115"/>
      <c r="BD2" s="115"/>
      <c r="BE2" s="115"/>
      <c r="BF2" s="115"/>
      <c r="BG2" s="115"/>
      <c r="BH2" s="115"/>
      <c r="BI2" s="115"/>
    </row>
    <row r="3" spans="1:61" ht="18.75" customHeight="1" x14ac:dyDescent="0.25">
      <c r="A3" s="115"/>
      <c r="B3" s="804"/>
      <c r="C3" s="804"/>
      <c r="D3" s="804"/>
      <c r="E3" s="804"/>
      <c r="F3" s="804"/>
      <c r="G3" s="804"/>
      <c r="H3" s="804"/>
      <c r="I3" s="804"/>
      <c r="J3" s="781"/>
      <c r="K3" s="804"/>
      <c r="L3" s="804"/>
      <c r="M3" s="804"/>
      <c r="N3" s="804"/>
      <c r="O3" s="804"/>
      <c r="P3" s="804"/>
      <c r="Q3" s="804"/>
      <c r="R3" s="804"/>
      <c r="S3" s="804"/>
      <c r="T3" s="804"/>
      <c r="U3" s="804"/>
      <c r="V3" s="804"/>
      <c r="W3" s="804"/>
      <c r="X3" s="804"/>
      <c r="Y3" s="804"/>
      <c r="Z3" s="804"/>
      <c r="AA3" s="804"/>
      <c r="AB3" s="804"/>
      <c r="AC3" s="804"/>
      <c r="AD3" s="804"/>
      <c r="AE3" s="804"/>
      <c r="AF3" s="804"/>
      <c r="AG3" s="804"/>
      <c r="AH3" s="804"/>
      <c r="AI3" s="804"/>
      <c r="AJ3" s="804"/>
      <c r="AK3" s="804"/>
      <c r="AL3" s="804"/>
      <c r="AM3" s="781"/>
      <c r="AN3" s="115"/>
      <c r="AO3" s="115"/>
      <c r="AP3" s="115"/>
      <c r="AQ3" s="115"/>
      <c r="AR3" s="115"/>
      <c r="AS3" s="115"/>
      <c r="AT3" s="115"/>
      <c r="AU3" s="115"/>
      <c r="AV3" s="115"/>
      <c r="AW3" s="115"/>
      <c r="AX3" s="115"/>
      <c r="AY3" s="115"/>
      <c r="AZ3" s="115"/>
      <c r="BA3" s="115"/>
      <c r="BB3" s="115"/>
      <c r="BC3" s="115"/>
      <c r="BD3" s="115"/>
      <c r="BE3" s="115"/>
      <c r="BF3" s="115"/>
      <c r="BG3" s="115"/>
      <c r="BH3" s="115"/>
      <c r="BI3" s="115"/>
    </row>
    <row r="4" spans="1:61" ht="15" customHeight="1" x14ac:dyDescent="0.25">
      <c r="A4" s="115"/>
      <c r="B4" s="804"/>
      <c r="C4" s="804"/>
      <c r="D4" s="804"/>
      <c r="E4" s="804"/>
      <c r="F4" s="804"/>
      <c r="G4" s="804"/>
      <c r="H4" s="804"/>
      <c r="I4" s="804"/>
      <c r="J4" s="781"/>
      <c r="K4" s="781"/>
      <c r="L4" s="781"/>
      <c r="M4" s="781"/>
      <c r="N4" s="781"/>
      <c r="O4" s="781"/>
      <c r="P4" s="781"/>
      <c r="Q4" s="781"/>
      <c r="R4" s="781"/>
      <c r="S4" s="781"/>
      <c r="T4" s="781"/>
      <c r="U4" s="781"/>
      <c r="V4" s="781"/>
      <c r="W4" s="781"/>
      <c r="X4" s="781"/>
      <c r="Y4" s="781"/>
      <c r="Z4" s="781"/>
      <c r="AA4" s="781"/>
      <c r="AB4" s="781"/>
      <c r="AC4" s="781"/>
      <c r="AD4" s="781"/>
      <c r="AE4" s="781"/>
      <c r="AF4" s="781"/>
      <c r="AG4" s="781"/>
      <c r="AH4" s="781"/>
      <c r="AI4" s="781"/>
      <c r="AJ4" s="781"/>
      <c r="AK4" s="781"/>
      <c r="AL4" s="781"/>
      <c r="AM4" s="781"/>
      <c r="AN4" s="115"/>
      <c r="AO4" s="115"/>
      <c r="AP4" s="115"/>
      <c r="AQ4" s="115"/>
      <c r="AR4" s="115"/>
      <c r="AS4" s="115"/>
      <c r="AT4" s="115"/>
      <c r="AU4" s="115"/>
      <c r="AV4" s="115"/>
      <c r="AW4" s="115"/>
      <c r="AX4" s="115"/>
      <c r="AY4" s="115"/>
      <c r="AZ4" s="115"/>
      <c r="BA4" s="115"/>
      <c r="BB4" s="115"/>
      <c r="BC4" s="115"/>
      <c r="BD4" s="115"/>
      <c r="BE4" s="115"/>
      <c r="BF4" s="115"/>
      <c r="BG4" s="115"/>
      <c r="BH4" s="115"/>
      <c r="BI4" s="115"/>
    </row>
    <row r="5" spans="1:61" x14ac:dyDescent="0.25">
      <c r="A5" s="115"/>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c r="BI5" s="115"/>
    </row>
    <row r="6" spans="1:61" ht="15" customHeight="1" x14ac:dyDescent="0.25">
      <c r="A6" s="115"/>
      <c r="B6" s="818" t="s">
        <v>2</v>
      </c>
      <c r="C6" s="781"/>
      <c r="D6" s="780"/>
      <c r="E6" s="823" t="s">
        <v>3</v>
      </c>
      <c r="F6" s="786"/>
      <c r="G6" s="786"/>
      <c r="H6" s="786"/>
      <c r="I6" s="794"/>
      <c r="J6" s="19" t="str">
        <f>IF(AND('Matriz riesgos de gestión'!$AD$4="Muy Alta",'Matriz riesgos de gestión'!$AF$4="Leve"),CONCATENATE("R1C",'Matriz riesgos de gestión'!$T$4),"")</f>
        <v/>
      </c>
      <c r="K6" s="20" t="str">
        <f>IF(AND('Matriz riesgos de gestión'!$AD$5="Muy Alta",'Matriz riesgos de gestión'!$AF$5="Leve"),CONCATENATE("R1C",'Matriz riesgos de gestión'!$T$5),"")</f>
        <v/>
      </c>
      <c r="L6" s="20" t="str">
        <f>IF(AND('Matriz riesgos de gestión'!$AD$6="Muy Alta",'Matriz riesgos de gestión'!$AF$6="Leve"),CONCATENATE("R1C",'Matriz riesgos de gestión'!$T$6),"")</f>
        <v/>
      </c>
      <c r="M6" s="20" t="str">
        <f>IF(AND('Matriz riesgos de gestión'!$AD$7="Muy Alta",'Matriz riesgos de gestión'!$AF$7="Leve"),CONCATENATE("R1C",'Matriz riesgos de gestión'!$T$7),"")</f>
        <v/>
      </c>
      <c r="N6" s="20" t="str">
        <f>IF(AND('Matriz riesgos de gestión'!$AD$8="Muy Alta",'Matriz riesgos de gestión'!$AF$8="Leve"),CONCATENATE("R1C",'Matriz riesgos de gestión'!$T$8),"")</f>
        <v/>
      </c>
      <c r="O6" s="21" t="str">
        <f>IF(AND('Matriz riesgos de gestión'!$AD$9="Muy Alta",'Matriz riesgos de gestión'!$AF$9="Leve"),CONCATENATE("R1C",'Matriz riesgos de gestión'!$T$9),"")</f>
        <v/>
      </c>
      <c r="P6" s="19" t="str">
        <f>IF(AND('Matriz riesgos de gestión'!$AD$4="Muy Alta",'Matriz riesgos de gestión'!$AF$4="Menor"),CONCATENATE("R1C",'Matriz riesgos de gestión'!$T$4),"")</f>
        <v/>
      </c>
      <c r="Q6" s="20" t="str">
        <f>IF(AND('Matriz riesgos de gestión'!$AD$5="Muy Alta",'Matriz riesgos de gestión'!$AF$5="Menor"),CONCATENATE("R1C",'Matriz riesgos de gestión'!$T$5),"")</f>
        <v/>
      </c>
      <c r="R6" s="20" t="str">
        <f>IF(AND('Matriz riesgos de gestión'!$AD$6="Muy Alta",'Matriz riesgos de gestión'!$AF$6="Menor"),CONCATENATE("R1C",'Matriz riesgos de gestión'!$T$6),"")</f>
        <v/>
      </c>
      <c r="S6" s="20" t="str">
        <f>IF(AND('Matriz riesgos de gestión'!$AD$7="Muy Alta",'Matriz riesgos de gestión'!$AF$7="Menor"),CONCATENATE("R1C",'Matriz riesgos de gestión'!$T$7),"")</f>
        <v/>
      </c>
      <c r="T6" s="20" t="str">
        <f>IF(AND('Matriz riesgos de gestión'!$AD$8="Muy Alta",'Matriz riesgos de gestión'!$AF$8="Menor"),CONCATENATE("R1C",'Matriz riesgos de gestión'!$T$8),"")</f>
        <v/>
      </c>
      <c r="U6" s="21" t="str">
        <f>IF(AND('Matriz riesgos de gestión'!$AD$9="Muy Alta",'Matriz riesgos de gestión'!$AF$9="Menor"),CONCATENATE("R1C",'Matriz riesgos de gestión'!$T$9),"")</f>
        <v/>
      </c>
      <c r="V6" s="19" t="str">
        <f>IF(AND('Matriz riesgos de gestión'!$AD$4="Muy Alta",'Matriz riesgos de gestión'!$AF$4="Moderado"),CONCATENATE("R1C",'Matriz riesgos de gestión'!$T$4),"")</f>
        <v/>
      </c>
      <c r="W6" s="20" t="str">
        <f>IF(AND('Matriz riesgos de gestión'!$AD$5="Muy Alta",'Matriz riesgos de gestión'!$AF$5="Moderado"),CONCATENATE("R1C",'Matriz riesgos de gestión'!$T$5),"")</f>
        <v/>
      </c>
      <c r="X6" s="20" t="str">
        <f>IF(AND('Matriz riesgos de gestión'!$AD$6="Muy Alta",'Matriz riesgos de gestión'!$AF$6="Moderado"),CONCATENATE("R1C",'Matriz riesgos de gestión'!$T$6),"")</f>
        <v/>
      </c>
      <c r="Y6" s="20" t="str">
        <f>IF(AND('Matriz riesgos de gestión'!$AD$7="Muy Alta",'Matriz riesgos de gestión'!$AF$7="Moderado"),CONCATENATE("R1C",'Matriz riesgos de gestión'!$T$7),"")</f>
        <v/>
      </c>
      <c r="Z6" s="20" t="str">
        <f>IF(AND('Matriz riesgos de gestión'!$AD$8="Muy Alta",'Matriz riesgos de gestión'!$AF$8="Moderado"),CONCATENATE("R1C",'Matriz riesgos de gestión'!$T$8),"")</f>
        <v/>
      </c>
      <c r="AA6" s="21" t="str">
        <f>IF(AND('Matriz riesgos de gestión'!$AD$9="Muy Alta",'Matriz riesgos de gestión'!$AF$9="Moderado"),CONCATENATE("R1C",'Matriz riesgos de gestión'!$T$9),"")</f>
        <v/>
      </c>
      <c r="AB6" s="19" t="str">
        <f>IF(AND('Matriz riesgos de gestión'!$AD$4="Muy Alta",'Matriz riesgos de gestión'!$AF$4="Mayor"),CONCATENATE("R1C",'Matriz riesgos de gestión'!$T$4),"")</f>
        <v/>
      </c>
      <c r="AC6" s="20" t="str">
        <f>IF(AND('Matriz riesgos de gestión'!$AD$5="Muy Alta",'Matriz riesgos de gestión'!$AF$5="Mayor"),CONCATENATE("R1C",'Matriz riesgos de gestión'!$T$5),"")</f>
        <v/>
      </c>
      <c r="AD6" s="20" t="str">
        <f>IF(AND('Matriz riesgos de gestión'!$AD$6="Muy Alta",'Matriz riesgos de gestión'!$AF$6="Mayor"),CONCATENATE("R1C",'Matriz riesgos de gestión'!$T$6),"")</f>
        <v/>
      </c>
      <c r="AE6" s="20" t="str">
        <f>IF(AND('Matriz riesgos de gestión'!$AD$7="Muy Alta",'Matriz riesgos de gestión'!$AF$7="Mayor"),CONCATENATE("R1C",'Matriz riesgos de gestión'!$T$7),"")</f>
        <v/>
      </c>
      <c r="AF6" s="20" t="str">
        <f>IF(AND('Matriz riesgos de gestión'!$AD$8="Muy Alta",'Matriz riesgos de gestión'!$AF$8="Mayor"),CONCATENATE("R1C",'Matriz riesgos de gestión'!$T$8),"")</f>
        <v/>
      </c>
      <c r="AG6" s="21" t="str">
        <f>IF(AND('Matriz riesgos de gestión'!$AD$9="Muy Alta",'Matriz riesgos de gestión'!$AF$9="Mayor"),CONCATENATE("R1C",'Matriz riesgos de gestión'!$T$9),"")</f>
        <v/>
      </c>
      <c r="AH6" s="22" t="str">
        <f>IF(AND('Matriz riesgos de gestión'!$AD$4="Muy Alta",'Matriz riesgos de gestión'!$AF$4="Catastrófico"),CONCATENATE("R1C",'Matriz riesgos de gestión'!$T$4),"")</f>
        <v/>
      </c>
      <c r="AI6" s="23" t="str">
        <f>IF(AND('Matriz riesgos de gestión'!$AD$5="Muy Alta",'Matriz riesgos de gestión'!$AF$5="Catastrófico"),CONCATENATE("R1C",'Matriz riesgos de gestión'!$T$5),"")</f>
        <v/>
      </c>
      <c r="AJ6" s="23" t="str">
        <f>IF(AND('Matriz riesgos de gestión'!$AD$6="Muy Alta",'Matriz riesgos de gestión'!$AF$6="Catastrófico"),CONCATENATE("R1C",'Matriz riesgos de gestión'!$T$6),"")</f>
        <v/>
      </c>
      <c r="AK6" s="23" t="str">
        <f>IF(AND('Matriz riesgos de gestión'!$AD$7="Muy Alta",'Matriz riesgos de gestión'!$AF$7="Catastrófico"),CONCATENATE("R1C",'Matriz riesgos de gestión'!$T$7),"")</f>
        <v/>
      </c>
      <c r="AL6" s="23" t="str">
        <f>IF(AND('Matriz riesgos de gestión'!$AD$8="Muy Alta",'Matriz riesgos de gestión'!$AF$8="Catastrófico"),CONCATENATE("R1C",'Matriz riesgos de gestión'!$T$8),"")</f>
        <v/>
      </c>
      <c r="AM6" s="24" t="str">
        <f>IF(AND('Matriz riesgos de gestión'!$AD$9="Muy Alta",'Matriz riesgos de gestión'!$AF$9="Catastrófico"),CONCATENATE("R1C",'Matriz riesgos de gestión'!$T$9),"")</f>
        <v/>
      </c>
      <c r="AN6" s="115"/>
      <c r="AO6" s="821" t="s">
        <v>4</v>
      </c>
      <c r="AP6" s="801"/>
      <c r="AQ6" s="801"/>
      <c r="AR6" s="801"/>
      <c r="AS6" s="801"/>
      <c r="AT6" s="802"/>
      <c r="AU6" s="115"/>
      <c r="AV6" s="115"/>
      <c r="AW6" s="115"/>
      <c r="AX6" s="115"/>
      <c r="AY6" s="115"/>
      <c r="AZ6" s="115"/>
      <c r="BA6" s="115"/>
      <c r="BB6" s="115"/>
      <c r="BC6" s="115"/>
      <c r="BD6" s="115"/>
      <c r="BE6" s="115"/>
      <c r="BF6" s="115"/>
      <c r="BG6" s="115"/>
      <c r="BH6" s="115"/>
      <c r="BI6" s="115"/>
    </row>
    <row r="7" spans="1:61" ht="15" customHeight="1" x14ac:dyDescent="0.25">
      <c r="A7" s="115"/>
      <c r="B7" s="781"/>
      <c r="C7" s="804"/>
      <c r="D7" s="780"/>
      <c r="E7" s="783"/>
      <c r="F7" s="804"/>
      <c r="G7" s="804"/>
      <c r="H7" s="804"/>
      <c r="I7" s="780"/>
      <c r="J7" s="134" t="str">
        <f>IF(AND('Matriz riesgos de gestión'!$AD$15="Muy Alta",'Matriz riesgos de gestión'!$AF$15="Leve"),CONCATENATE("R2C",'Matriz riesgos de gestión'!$T$15),"")</f>
        <v/>
      </c>
      <c r="K7" s="135" t="str">
        <f>IF(AND('Matriz riesgos de gestión'!$AD$16="Muy Alta",'Matriz riesgos de gestión'!$AF$16="Leve"),CONCATENATE("R2C",'Matriz riesgos de gestión'!$T$16),"")</f>
        <v/>
      </c>
      <c r="L7" s="135" t="str">
        <f>IF(AND('Matriz riesgos de gestión'!$AD$17="Muy Alta",'Matriz riesgos de gestión'!$AF$17="Leve"),CONCATENATE("R2C",'Matriz riesgos de gestión'!$T$17),"")</f>
        <v/>
      </c>
      <c r="M7" s="135" t="str">
        <f>IF(AND('Matriz riesgos de gestión'!$AD$22="Muy Alta",'Matriz riesgos de gestión'!$AF$22="Leve"),CONCATENATE("R2C",'Matriz riesgos de gestión'!$T$22),"")</f>
        <v/>
      </c>
      <c r="N7" s="135" t="str">
        <f>IF(AND('Matriz riesgos de gestión'!$AD$23="Muy Alta",'Matriz riesgos de gestión'!$AF$23="Leve"),CONCATENATE("R2C",'Matriz riesgos de gestión'!$T$23),"")</f>
        <v/>
      </c>
      <c r="O7" s="136" t="str">
        <f>IF(AND('Matriz riesgos de gestión'!$AD$24="Muy Alta",'Matriz riesgos de gestión'!$AF$24="Leve"),CONCATENATE("R2C",'Matriz riesgos de gestión'!$T$24),"")</f>
        <v/>
      </c>
      <c r="P7" s="134" t="str">
        <f>IF(AND('Matriz riesgos de gestión'!$AD$15="Muy Alta",'Matriz riesgos de gestión'!$AF$15="Menor"),CONCATENATE("R2C",'Matriz riesgos de gestión'!$T$15),"")</f>
        <v/>
      </c>
      <c r="Q7" s="135" t="str">
        <f>IF(AND('Matriz riesgos de gestión'!$AD$16="Muy Alta",'Matriz riesgos de gestión'!$AF$16="Menor"),CONCATENATE("R2C",'Matriz riesgos de gestión'!$T$16),"")</f>
        <v/>
      </c>
      <c r="R7" s="135" t="str">
        <f>IF(AND('Matriz riesgos de gestión'!$AD$17="Muy Alta",'Matriz riesgos de gestión'!$AF$17="Menor"),CONCATENATE("R2C",'Matriz riesgos de gestión'!$T$17),"")</f>
        <v/>
      </c>
      <c r="S7" s="135" t="str">
        <f>IF(AND('Matriz riesgos de gestión'!$AD$22="Muy Alta",'Matriz riesgos de gestión'!$AF$22="Menor"),CONCATENATE("R2C",'Matriz riesgos de gestión'!$T$22),"")</f>
        <v/>
      </c>
      <c r="T7" s="135" t="str">
        <f>IF(AND('Matriz riesgos de gestión'!$AD$23="Muy Alta",'Matriz riesgos de gestión'!$AF$23="Menor"),CONCATENATE("R2C",'Matriz riesgos de gestión'!$T$23),"")</f>
        <v/>
      </c>
      <c r="U7" s="136" t="str">
        <f>IF(AND('Matriz riesgos de gestión'!$AD$24="Muy Alta",'Matriz riesgos de gestión'!$AF$24="Menor"),CONCATENATE("R2C",'Matriz riesgos de gestión'!$T$24),"")</f>
        <v/>
      </c>
      <c r="V7" s="134" t="str">
        <f>IF(AND('Matriz riesgos de gestión'!$AD$15="Muy Alta",'Matriz riesgos de gestión'!$AF$15="Moderado"),CONCATENATE("R2C",'Matriz riesgos de gestión'!$T$15),"")</f>
        <v/>
      </c>
      <c r="W7" s="135" t="str">
        <f>IF(AND('Matriz riesgos de gestión'!$AD$16="Muy Alta",'Matriz riesgos de gestión'!$AF$16="Moderado"),CONCATENATE("R2C",'Matriz riesgos de gestión'!$T$16),"")</f>
        <v/>
      </c>
      <c r="X7" s="135" t="str">
        <f>IF(AND('Matriz riesgos de gestión'!$AD$17="Muy Alta",'Matriz riesgos de gestión'!$AF$17="Moderado"),CONCATENATE("R2C",'Matriz riesgos de gestión'!$T$17),"")</f>
        <v/>
      </c>
      <c r="Y7" s="135" t="str">
        <f>IF(AND('Matriz riesgos de gestión'!$AD$22="Muy Alta",'Matriz riesgos de gestión'!$AF$22="Moderado"),CONCATENATE("R2C",'Matriz riesgos de gestión'!$T$22),"")</f>
        <v/>
      </c>
      <c r="Z7" s="135" t="str">
        <f>IF(AND('Matriz riesgos de gestión'!$AD$23="Muy Alta",'Matriz riesgos de gestión'!$AF$23="Moderado"),CONCATENATE("R2C",'Matriz riesgos de gestión'!$T$23),"")</f>
        <v/>
      </c>
      <c r="AA7" s="136" t="str">
        <f>IF(AND('Matriz riesgos de gestión'!$AD$24="Muy Alta",'Matriz riesgos de gestión'!$AF$24="Moderado"),CONCATENATE("R2C",'Matriz riesgos de gestión'!$T$24),"")</f>
        <v/>
      </c>
      <c r="AB7" s="134" t="str">
        <f>IF(AND('Matriz riesgos de gestión'!$AD$15="Muy Alta",'Matriz riesgos de gestión'!$AF$15="Mayor"),CONCATENATE("R2C",'Matriz riesgos de gestión'!$T$15),"")</f>
        <v/>
      </c>
      <c r="AC7" s="135" t="str">
        <f>IF(AND('Matriz riesgos de gestión'!$AD$16="Muy Alta",'Matriz riesgos de gestión'!$AF$16="Mayor"),CONCATENATE("R2C",'Matriz riesgos de gestión'!$T$16),"")</f>
        <v/>
      </c>
      <c r="AD7" s="135" t="str">
        <f>IF(AND('Matriz riesgos de gestión'!$AD$17="Muy Alta",'Matriz riesgos de gestión'!$AF$17="Mayor"),CONCATENATE("R2C",'Matriz riesgos de gestión'!$T$17),"")</f>
        <v/>
      </c>
      <c r="AE7" s="135" t="str">
        <f>IF(AND('Matriz riesgos de gestión'!$AD$22="Muy Alta",'Matriz riesgos de gestión'!$AF$22="Mayor"),CONCATENATE("R2C",'Matriz riesgos de gestión'!$T$22),"")</f>
        <v/>
      </c>
      <c r="AF7" s="135" t="str">
        <f>IF(AND('Matriz riesgos de gestión'!$AD$23="Muy Alta",'Matriz riesgos de gestión'!$AF$23="Mayor"),CONCATENATE("R2C",'Matriz riesgos de gestión'!$T$23),"")</f>
        <v/>
      </c>
      <c r="AG7" s="136" t="str">
        <f>IF(AND('Matriz riesgos de gestión'!$AD$24="Muy Alta",'Matriz riesgos de gestión'!$AF$24="Mayor"),CONCATENATE("R2C",'Matriz riesgos de gestión'!$T$24),"")</f>
        <v/>
      </c>
      <c r="AH7" s="137" t="str">
        <f>IF(AND('Matriz riesgos de gestión'!$AD$15="Muy Alta",'Matriz riesgos de gestión'!$AF$15="Catastrófico"),CONCATENATE("R2C",'Matriz riesgos de gestión'!$T$15),"")</f>
        <v/>
      </c>
      <c r="AI7" s="138" t="str">
        <f>IF(AND('Matriz riesgos de gestión'!$AD$16="Muy Alta",'Matriz riesgos de gestión'!$AF$16="Catastrófico"),CONCATENATE("R2C",'Matriz riesgos de gestión'!$T$16),"")</f>
        <v/>
      </c>
      <c r="AJ7" s="138" t="str">
        <f>IF(AND('Matriz riesgos de gestión'!$AD$17="Muy Alta",'Matriz riesgos de gestión'!$AF$17="Catastrófico"),CONCATENATE("R2C",'Matriz riesgos de gestión'!$T$17),"")</f>
        <v/>
      </c>
      <c r="AK7" s="138" t="str">
        <f>IF(AND('Matriz riesgos de gestión'!$AD$22="Muy Alta",'Matriz riesgos de gestión'!$AF$22="Catastrófico"),CONCATENATE("R2C",'Matriz riesgos de gestión'!$T$22),"")</f>
        <v/>
      </c>
      <c r="AL7" s="138" t="str">
        <f>IF(AND('Matriz riesgos de gestión'!$AD$23="Muy Alta",'Matriz riesgos de gestión'!$AF$23="Catastrófico"),CONCATENATE("R2C",'Matriz riesgos de gestión'!$T$23),"")</f>
        <v/>
      </c>
      <c r="AM7" s="139" t="str">
        <f>IF(AND('Matriz riesgos de gestión'!$AD$24="Muy Alta",'Matriz riesgos de gestión'!$AF$24="Catastrófico"),CONCATENATE("R2C",'Matriz riesgos de gestión'!$T$24),"")</f>
        <v/>
      </c>
      <c r="AN7" s="115"/>
      <c r="AO7" s="803"/>
      <c r="AP7" s="804"/>
      <c r="AQ7" s="804"/>
      <c r="AR7" s="804"/>
      <c r="AS7" s="804"/>
      <c r="AT7" s="805"/>
      <c r="AU7" s="115"/>
      <c r="AV7" s="115"/>
      <c r="AW7" s="115"/>
      <c r="AX7" s="115"/>
      <c r="AY7" s="115"/>
      <c r="AZ7" s="115"/>
      <c r="BA7" s="115"/>
      <c r="BB7" s="115"/>
      <c r="BC7" s="115"/>
      <c r="BD7" s="115"/>
      <c r="BE7" s="115"/>
      <c r="BF7" s="115"/>
      <c r="BG7" s="115"/>
      <c r="BH7" s="115"/>
      <c r="BI7" s="115"/>
    </row>
    <row r="8" spans="1:61" ht="15" customHeight="1" x14ac:dyDescent="0.25">
      <c r="A8" s="115"/>
      <c r="B8" s="781"/>
      <c r="C8" s="804"/>
      <c r="D8" s="780"/>
      <c r="E8" s="783"/>
      <c r="F8" s="804"/>
      <c r="G8" s="804"/>
      <c r="H8" s="804"/>
      <c r="I8" s="780"/>
      <c r="J8" s="134" t="str">
        <f>IF(AND('Matriz riesgos de gestión'!$AD$25="Muy Alta",'Matriz riesgos de gestión'!$AF$25="Leve"),CONCATENATE("R3C",'Matriz riesgos de gestión'!$T$25),"")</f>
        <v/>
      </c>
      <c r="K8" s="135" t="str">
        <f>IF(AND('Matriz riesgos de gestión'!$AD$26="Muy Alta",'Matriz riesgos de gestión'!$AF$26="Leve"),CONCATENATE("R3C",'Matriz riesgos de gestión'!$T$26),"")</f>
        <v/>
      </c>
      <c r="L8" s="135" t="str">
        <f>IF(AND('Matriz riesgos de gestión'!$AD$27="Muy Alta",'Matriz riesgos de gestión'!$AF$27="Leve"),CONCATENATE("R3C",'Matriz riesgos de gestión'!$T$27),"")</f>
        <v/>
      </c>
      <c r="M8" s="135" t="str">
        <f>IF(AND('Matriz riesgos de gestión'!$AD$28="Muy Alta",'Matriz riesgos de gestión'!$AF$28="Leve"),CONCATENATE("R3C",'Matriz riesgos de gestión'!$T$28),"")</f>
        <v/>
      </c>
      <c r="N8" s="135" t="str">
        <f>IF(AND('Matriz riesgos de gestión'!$AD$29="Muy Alta",'Matriz riesgos de gestión'!$AF$29="Leve"),CONCATENATE("R3C",'Matriz riesgos de gestión'!$T$29),"")</f>
        <v/>
      </c>
      <c r="O8" s="136" t="str">
        <f>IF(AND('Matriz riesgos de gestión'!$AD$30="Muy Alta",'Matriz riesgos de gestión'!$AF$30="Leve"),CONCATENATE("R3C",'Matriz riesgos de gestión'!$T$30),"")</f>
        <v/>
      </c>
      <c r="P8" s="134" t="str">
        <f>IF(AND('Matriz riesgos de gestión'!$AD$25="Muy Alta",'Matriz riesgos de gestión'!$AF$25="Menor"),CONCATENATE("R3C",'Matriz riesgos de gestión'!$T$25),"")</f>
        <v/>
      </c>
      <c r="Q8" s="135" t="str">
        <f>IF(AND('Matriz riesgos de gestión'!$AD$26="Muy Alta",'Matriz riesgos de gestión'!$AF$26="Menor"),CONCATENATE("R3C",'Matriz riesgos de gestión'!$T$26),"")</f>
        <v/>
      </c>
      <c r="R8" s="135" t="str">
        <f>IF(AND('Matriz riesgos de gestión'!$AD$27="Muy Alta",'Matriz riesgos de gestión'!$AF$27="Menor"),CONCATENATE("R3C",'Matriz riesgos de gestión'!$T$27),"")</f>
        <v/>
      </c>
      <c r="S8" s="135" t="str">
        <f>IF(AND('Matriz riesgos de gestión'!$AD$28="Muy Alta",'Matriz riesgos de gestión'!$AF$28="Menor"),CONCATENATE("R3C",'Matriz riesgos de gestión'!$T$28),"")</f>
        <v/>
      </c>
      <c r="T8" s="135" t="str">
        <f>IF(AND('Matriz riesgos de gestión'!$AD$29="Muy Alta",'Matriz riesgos de gestión'!$AF$29="Menor"),CONCATENATE("R3C",'Matriz riesgos de gestión'!$T$29),"")</f>
        <v/>
      </c>
      <c r="U8" s="136" t="str">
        <f>IF(AND('Matriz riesgos de gestión'!$AD$30="Muy Alta",'Matriz riesgos de gestión'!$AF$30="Menor"),CONCATENATE("R3C",'Matriz riesgos de gestión'!$T$30),"")</f>
        <v/>
      </c>
      <c r="V8" s="134" t="str">
        <f>IF(AND('Matriz riesgos de gestión'!$AD$25="Muy Alta",'Matriz riesgos de gestión'!$AF$25="Moderado"),CONCATENATE("R3C",'Matriz riesgos de gestión'!$T$25),"")</f>
        <v/>
      </c>
      <c r="W8" s="135" t="str">
        <f>IF(AND('Matriz riesgos de gestión'!$AD$26="Muy Alta",'Matriz riesgos de gestión'!$AF$26="Moderado"),CONCATENATE("R3C",'Matriz riesgos de gestión'!$T$26),"")</f>
        <v/>
      </c>
      <c r="X8" s="135" t="str">
        <f>IF(AND('Matriz riesgos de gestión'!$AD$27="Muy Alta",'Matriz riesgos de gestión'!$AF$27="Moderado"),CONCATENATE("R3C",'Matriz riesgos de gestión'!$T$27),"")</f>
        <v/>
      </c>
      <c r="Y8" s="135" t="str">
        <f>IF(AND('Matriz riesgos de gestión'!$AD$28="Muy Alta",'Matriz riesgos de gestión'!$AF$28="Moderado"),CONCATENATE("R3C",'Matriz riesgos de gestión'!$T$28),"")</f>
        <v/>
      </c>
      <c r="Z8" s="135" t="str">
        <f>IF(AND('Matriz riesgos de gestión'!$AD$29="Muy Alta",'Matriz riesgos de gestión'!$AF$29="Moderado"),CONCATENATE("R3C",'Matriz riesgos de gestión'!$T$29),"")</f>
        <v/>
      </c>
      <c r="AA8" s="136" t="str">
        <f>IF(AND('Matriz riesgos de gestión'!$AD$30="Muy Alta",'Matriz riesgos de gestión'!$AF$30="Moderado"),CONCATENATE("R3C",'Matriz riesgos de gestión'!$T$30),"")</f>
        <v/>
      </c>
      <c r="AB8" s="134" t="str">
        <f>IF(AND('Matriz riesgos de gestión'!$AD$25="Muy Alta",'Matriz riesgos de gestión'!$AF$25="Mayor"),CONCATENATE("R3C",'Matriz riesgos de gestión'!$T$25),"")</f>
        <v/>
      </c>
      <c r="AC8" s="135" t="str">
        <f>IF(AND('Matriz riesgos de gestión'!$AD$26="Muy Alta",'Matriz riesgos de gestión'!$AF$26="Mayor"),CONCATENATE("R3C",'Matriz riesgos de gestión'!$T$26),"")</f>
        <v/>
      </c>
      <c r="AD8" s="135" t="str">
        <f>IF(AND('Matriz riesgos de gestión'!$AD$27="Muy Alta",'Matriz riesgos de gestión'!$AF$27="Mayor"),CONCATENATE("R3C",'Matriz riesgos de gestión'!$T$27),"")</f>
        <v/>
      </c>
      <c r="AE8" s="135" t="str">
        <f>IF(AND('Matriz riesgos de gestión'!$AD$28="Muy Alta",'Matriz riesgos de gestión'!$AF$28="Mayor"),CONCATENATE("R3C",'Matriz riesgos de gestión'!$T$28),"")</f>
        <v/>
      </c>
      <c r="AF8" s="135" t="str">
        <f>IF(AND('Matriz riesgos de gestión'!$AD$29="Muy Alta",'Matriz riesgos de gestión'!$AF$29="Mayor"),CONCATENATE("R3C",'Matriz riesgos de gestión'!$T$29),"")</f>
        <v/>
      </c>
      <c r="AG8" s="136" t="str">
        <f>IF(AND('Matriz riesgos de gestión'!$AD$30="Muy Alta",'Matriz riesgos de gestión'!$AF$30="Mayor"),CONCATENATE("R3C",'Matriz riesgos de gestión'!$T$30),"")</f>
        <v/>
      </c>
      <c r="AH8" s="137" t="str">
        <f>IF(AND('Matriz riesgos de gestión'!$AD$25="Muy Alta",'Matriz riesgos de gestión'!$AF$25="Catastrófico"),CONCATENATE("R3C",'Matriz riesgos de gestión'!$T$25),"")</f>
        <v/>
      </c>
      <c r="AI8" s="138" t="str">
        <f>IF(AND('Matriz riesgos de gestión'!$AD$26="Muy Alta",'Matriz riesgos de gestión'!$AF$26="Catastrófico"),CONCATENATE("R3C",'Matriz riesgos de gestión'!$T$26),"")</f>
        <v/>
      </c>
      <c r="AJ8" s="138" t="str">
        <f>IF(AND('Matriz riesgos de gestión'!$AD$27="Muy Alta",'Matriz riesgos de gestión'!$AF$27="Catastrófico"),CONCATENATE("R3C",'Matriz riesgos de gestión'!$T$27),"")</f>
        <v/>
      </c>
      <c r="AK8" s="138" t="str">
        <f>IF(AND('Matriz riesgos de gestión'!$AD$28="Muy Alta",'Matriz riesgos de gestión'!$AF$28="Catastrófico"),CONCATENATE("R3C",'Matriz riesgos de gestión'!$T$28),"")</f>
        <v/>
      </c>
      <c r="AL8" s="138" t="str">
        <f>IF(AND('Matriz riesgos de gestión'!$AD$29="Muy Alta",'Matriz riesgos de gestión'!$AF$29="Catastrófico"),CONCATENATE("R3C",'Matriz riesgos de gestión'!$T$29),"")</f>
        <v/>
      </c>
      <c r="AM8" s="139" t="str">
        <f>IF(AND('Matriz riesgos de gestión'!$AD$30="Muy Alta",'Matriz riesgos de gestión'!$AF$30="Catastrófico"),CONCATENATE("R3C",'Matriz riesgos de gestión'!$T$30),"")</f>
        <v/>
      </c>
      <c r="AN8" s="115"/>
      <c r="AO8" s="803"/>
      <c r="AP8" s="804"/>
      <c r="AQ8" s="804"/>
      <c r="AR8" s="804"/>
      <c r="AS8" s="804"/>
      <c r="AT8" s="805"/>
      <c r="AU8" s="115"/>
      <c r="AV8" s="115"/>
      <c r="AW8" s="115"/>
      <c r="AX8" s="115"/>
      <c r="AY8" s="115"/>
      <c r="AZ8" s="115"/>
      <c r="BA8" s="115"/>
      <c r="BB8" s="115"/>
      <c r="BC8" s="115"/>
      <c r="BD8" s="115"/>
      <c r="BE8" s="115"/>
      <c r="BF8" s="115"/>
      <c r="BG8" s="115"/>
      <c r="BH8" s="115"/>
      <c r="BI8" s="115"/>
    </row>
    <row r="9" spans="1:61" ht="15" customHeight="1" x14ac:dyDescent="0.25">
      <c r="A9" s="115"/>
      <c r="B9" s="781"/>
      <c r="C9" s="804"/>
      <c r="D9" s="780"/>
      <c r="E9" s="783"/>
      <c r="F9" s="804"/>
      <c r="G9" s="804"/>
      <c r="H9" s="804"/>
      <c r="I9" s="780"/>
      <c r="J9" s="134" t="str">
        <f>IF(AND('Matriz riesgos de gestión'!$AD$31="Muy Alta",'Matriz riesgos de gestión'!$AF$31="Leve"),CONCATENATE("R4C",'Matriz riesgos de gestión'!$T$31),"")</f>
        <v/>
      </c>
      <c r="K9" s="135" t="str">
        <f>IF(AND('Matriz riesgos de gestión'!$AD$32="Muy Alta",'Matriz riesgos de gestión'!$AF$32="Leve"),CONCATENATE("R4C",'Matriz riesgos de gestión'!$T$32),"")</f>
        <v/>
      </c>
      <c r="L9" s="135" t="str">
        <f>IF(AND('Matriz riesgos de gestión'!$AD$33="Muy Alta",'Matriz riesgos de gestión'!$AF$33="Leve"),CONCATENATE("R4C",'Matriz riesgos de gestión'!$T$33),"")</f>
        <v/>
      </c>
      <c r="M9" s="135" t="str">
        <f>IF(AND('Matriz riesgos de gestión'!$AD$34="Muy Alta",'Matriz riesgos de gestión'!$AF$34="Leve"),CONCATENATE("R4C",'Matriz riesgos de gestión'!$T$34),"")</f>
        <v/>
      </c>
      <c r="N9" s="135" t="str">
        <f>IF(AND('Matriz riesgos de gestión'!$AD$35="Muy Alta",'Matriz riesgos de gestión'!$AF$35="Leve"),CONCATENATE("R4C",'Matriz riesgos de gestión'!$T$35),"")</f>
        <v/>
      </c>
      <c r="O9" s="136" t="str">
        <f>IF(AND('Matriz riesgos de gestión'!$AD$36="Muy Alta",'Matriz riesgos de gestión'!$AF$36="Leve"),CONCATENATE("R4C",'Matriz riesgos de gestión'!$T$36),"")</f>
        <v/>
      </c>
      <c r="P9" s="134" t="str">
        <f>IF(AND('Matriz riesgos de gestión'!$AD$31="Muy Alta",'Matriz riesgos de gestión'!$AF$31="Menor"),CONCATENATE("R4C",'Matriz riesgos de gestión'!$T$31),"")</f>
        <v/>
      </c>
      <c r="Q9" s="135" t="str">
        <f>IF(AND('Matriz riesgos de gestión'!$AD$32="Muy Alta",'Matriz riesgos de gestión'!$AF$32="Menor"),CONCATENATE("R4C",'Matriz riesgos de gestión'!$T$32),"")</f>
        <v/>
      </c>
      <c r="R9" s="135" t="str">
        <f>IF(AND('Matriz riesgos de gestión'!$AD$33="Muy Alta",'Matriz riesgos de gestión'!$AF$33="Menor"),CONCATENATE("R4C",'Matriz riesgos de gestión'!$T$33),"")</f>
        <v/>
      </c>
      <c r="S9" s="135" t="str">
        <f>IF(AND('Matriz riesgos de gestión'!$AD$34="Muy Alta",'Matriz riesgos de gestión'!$AF$34="Menor"),CONCATENATE("R4C",'Matriz riesgos de gestión'!$T$34),"")</f>
        <v/>
      </c>
      <c r="T9" s="135" t="str">
        <f>IF(AND('Matriz riesgos de gestión'!$AD$35="Muy Alta",'Matriz riesgos de gestión'!$AF$35="Menor"),CONCATENATE("R4C",'Matriz riesgos de gestión'!$T$35),"")</f>
        <v/>
      </c>
      <c r="U9" s="136" t="str">
        <f>IF(AND('Matriz riesgos de gestión'!$AD$36="Muy Alta",'Matriz riesgos de gestión'!$AF$36="Menor"),CONCATENATE("R4C",'Matriz riesgos de gestión'!$T$36),"")</f>
        <v/>
      </c>
      <c r="V9" s="134" t="str">
        <f>IF(AND('Matriz riesgos de gestión'!$AD$31="Muy Alta",'Matriz riesgos de gestión'!$AF$31="Moderado"),CONCATENATE("R4C",'Matriz riesgos de gestión'!$T$31),"")</f>
        <v/>
      </c>
      <c r="W9" s="135" t="str">
        <f>IF(AND('Matriz riesgos de gestión'!$AD$32="Muy Alta",'Matriz riesgos de gestión'!$AF$32="Moderado"),CONCATENATE("R4C",'Matriz riesgos de gestión'!$T$32),"")</f>
        <v/>
      </c>
      <c r="X9" s="135" t="str">
        <f>IF(AND('Matriz riesgos de gestión'!$AD$33="Muy Alta",'Matriz riesgos de gestión'!$AF$33="Moderado"),CONCATENATE("R4C",'Matriz riesgos de gestión'!$T$33),"")</f>
        <v/>
      </c>
      <c r="Y9" s="135" t="str">
        <f>IF(AND('Matriz riesgos de gestión'!$AD$34="Muy Alta",'Matriz riesgos de gestión'!$AF$34="Moderado"),CONCATENATE("R4C",'Matriz riesgos de gestión'!$T$34),"")</f>
        <v/>
      </c>
      <c r="Z9" s="135" t="str">
        <f>IF(AND('Matriz riesgos de gestión'!$AD$35="Muy Alta",'Matriz riesgos de gestión'!$AF$35="Moderado"),CONCATENATE("R4C",'Matriz riesgos de gestión'!$T$35),"")</f>
        <v/>
      </c>
      <c r="AA9" s="136" t="str">
        <f>IF(AND('Matriz riesgos de gestión'!$AD$36="Muy Alta",'Matriz riesgos de gestión'!$AF$36="Moderado"),CONCATENATE("R4C",'Matriz riesgos de gestión'!$T$36),"")</f>
        <v/>
      </c>
      <c r="AB9" s="134" t="str">
        <f>IF(AND('Matriz riesgos de gestión'!$AD$31="Muy Alta",'Matriz riesgos de gestión'!$AF$31="Mayor"),CONCATENATE("R4C",'Matriz riesgos de gestión'!$T$31),"")</f>
        <v/>
      </c>
      <c r="AC9" s="135" t="str">
        <f>IF(AND('Matriz riesgos de gestión'!$AD$32="Muy Alta",'Matriz riesgos de gestión'!$AF$32="Mayor"),CONCATENATE("R4C",'Matriz riesgos de gestión'!$T$32),"")</f>
        <v/>
      </c>
      <c r="AD9" s="135" t="str">
        <f>IF(AND('Matriz riesgos de gestión'!$AD$33="Muy Alta",'Matriz riesgos de gestión'!$AF$33="Mayor"),CONCATENATE("R4C",'Matriz riesgos de gestión'!$T$33),"")</f>
        <v/>
      </c>
      <c r="AE9" s="135" t="str">
        <f>IF(AND('Matriz riesgos de gestión'!$AD$34="Muy Alta",'Matriz riesgos de gestión'!$AF$34="Mayor"),CONCATENATE("R4C",'Matriz riesgos de gestión'!$T$34),"")</f>
        <v/>
      </c>
      <c r="AF9" s="135" t="str">
        <f>IF(AND('Matriz riesgos de gestión'!$AD$35="Muy Alta",'Matriz riesgos de gestión'!$AF$35="Mayor"),CONCATENATE("R4C",'Matriz riesgos de gestión'!$T$35),"")</f>
        <v/>
      </c>
      <c r="AG9" s="136" t="str">
        <f>IF(AND('Matriz riesgos de gestión'!$AD$36="Muy Alta",'Matriz riesgos de gestión'!$AF$36="Mayor"),CONCATENATE("R4C",'Matriz riesgos de gestión'!$T$36),"")</f>
        <v/>
      </c>
      <c r="AH9" s="137" t="str">
        <f>IF(AND('Matriz riesgos de gestión'!$AD$31="Muy Alta",'Matriz riesgos de gestión'!$AF$31="Catastrófico"),CONCATENATE("R4C",'Matriz riesgos de gestión'!$T$31),"")</f>
        <v/>
      </c>
      <c r="AI9" s="138" t="str">
        <f>IF(AND('Matriz riesgos de gestión'!$AD$32="Muy Alta",'Matriz riesgos de gestión'!$AF$32="Catastrófico"),CONCATENATE("R4C",'Matriz riesgos de gestión'!$T$32),"")</f>
        <v/>
      </c>
      <c r="AJ9" s="138" t="str">
        <f>IF(AND('Matriz riesgos de gestión'!$AD$33="Muy Alta",'Matriz riesgos de gestión'!$AF$33="Catastrófico"),CONCATENATE("R4C",'Matriz riesgos de gestión'!$T$33),"")</f>
        <v/>
      </c>
      <c r="AK9" s="138" t="str">
        <f>IF(AND('Matriz riesgos de gestión'!$AD$34="Muy Alta",'Matriz riesgos de gestión'!$AF$34="Catastrófico"),CONCATENATE("R4C",'Matriz riesgos de gestión'!$T$34),"")</f>
        <v/>
      </c>
      <c r="AL9" s="138" t="str">
        <f>IF(AND('Matriz riesgos de gestión'!$AD$35="Muy Alta",'Matriz riesgos de gestión'!$AF$35="Catastrófico"),CONCATENATE("R4C",'Matriz riesgos de gestión'!$T$35),"")</f>
        <v/>
      </c>
      <c r="AM9" s="139" t="str">
        <f>IF(AND('Matriz riesgos de gestión'!$AD$36="Muy Alta",'Matriz riesgos de gestión'!$AF$36="Catastrófico"),CONCATENATE("R4C",'Matriz riesgos de gestión'!$T$36),"")</f>
        <v/>
      </c>
      <c r="AN9" s="115"/>
      <c r="AO9" s="803"/>
      <c r="AP9" s="804"/>
      <c r="AQ9" s="804"/>
      <c r="AR9" s="804"/>
      <c r="AS9" s="804"/>
      <c r="AT9" s="805"/>
      <c r="AU9" s="115"/>
      <c r="AV9" s="115"/>
      <c r="AW9" s="115"/>
      <c r="AX9" s="115"/>
      <c r="AY9" s="115"/>
      <c r="AZ9" s="115"/>
      <c r="BA9" s="115"/>
      <c r="BB9" s="115"/>
      <c r="BC9" s="115"/>
      <c r="BD9" s="115"/>
      <c r="BE9" s="115"/>
      <c r="BF9" s="115"/>
      <c r="BG9" s="115"/>
      <c r="BH9" s="115"/>
      <c r="BI9" s="115"/>
    </row>
    <row r="10" spans="1:61" ht="15" customHeight="1" x14ac:dyDescent="0.25">
      <c r="A10" s="115"/>
      <c r="B10" s="781"/>
      <c r="C10" s="804"/>
      <c r="D10" s="780"/>
      <c r="E10" s="783"/>
      <c r="F10" s="804"/>
      <c r="G10" s="804"/>
      <c r="H10" s="804"/>
      <c r="I10" s="780"/>
      <c r="J10" s="134" t="str">
        <f>IF(AND('Matriz riesgos de gestión'!$AD$37="Muy Alta",'Matriz riesgos de gestión'!$AF$37="Leve"),CONCATENATE("R5C",'Matriz riesgos de gestión'!$T$37),"")</f>
        <v/>
      </c>
      <c r="K10" s="135" t="str">
        <f>IF(AND('Matriz riesgos de gestión'!$AD$38="Muy Alta",'Matriz riesgos de gestión'!$AF$38="Leve"),CONCATENATE("R5C",'Matriz riesgos de gestión'!$T$38),"")</f>
        <v/>
      </c>
      <c r="L10" s="135" t="str">
        <f>IF(AND('Matriz riesgos de gestión'!$AD$39="Muy Alta",'Matriz riesgos de gestión'!$AF$39="Leve"),CONCATENATE("R5C",'Matriz riesgos de gestión'!$T$39),"")</f>
        <v/>
      </c>
      <c r="M10" s="135" t="str">
        <f>IF(AND('Matriz riesgos de gestión'!$AD$40="Muy Alta",'Matriz riesgos de gestión'!$AF$40="Leve"),CONCATENATE("R5C",'Matriz riesgos de gestión'!$T$40),"")</f>
        <v/>
      </c>
      <c r="N10" s="135" t="str">
        <f>IF(AND('Matriz riesgos de gestión'!$AD$41="Muy Alta",'Matriz riesgos de gestión'!$AF$41="Leve"),CONCATENATE("R5C",'Matriz riesgos de gestión'!$T$41),"")</f>
        <v/>
      </c>
      <c r="O10" s="136" t="str">
        <f>IF(AND('Matriz riesgos de gestión'!$AD$42="Muy Alta",'Matriz riesgos de gestión'!$AF$42="Leve"),CONCATENATE("R5C",'Matriz riesgos de gestión'!$T$42),"")</f>
        <v/>
      </c>
      <c r="P10" s="134" t="str">
        <f>IF(AND('Matriz riesgos de gestión'!$AD$37="Muy Alta",'Matriz riesgos de gestión'!$AF$37="Menor"),CONCATENATE("R5C",'Matriz riesgos de gestión'!$T$37),"")</f>
        <v/>
      </c>
      <c r="Q10" s="135" t="str">
        <f>IF(AND('Matriz riesgos de gestión'!$AD$38="Muy Alta",'Matriz riesgos de gestión'!$AF$38="Menor"),CONCATENATE("R5C",'Matriz riesgos de gestión'!$T$38),"")</f>
        <v/>
      </c>
      <c r="R10" s="135" t="str">
        <f>IF(AND('Matriz riesgos de gestión'!$AD$39="Muy Alta",'Matriz riesgos de gestión'!$AF$39="Menor"),CONCATENATE("R5C",'Matriz riesgos de gestión'!$T$39),"")</f>
        <v/>
      </c>
      <c r="S10" s="135" t="str">
        <f>IF(AND('Matriz riesgos de gestión'!$AD$40="Muy Alta",'Matriz riesgos de gestión'!$AF$40="Menor"),CONCATENATE("R5C",'Matriz riesgos de gestión'!$T$40),"")</f>
        <v/>
      </c>
      <c r="T10" s="135" t="str">
        <f>IF(AND('Matriz riesgos de gestión'!$AD$41="Muy Alta",'Matriz riesgos de gestión'!$AF$41="Menor"),CONCATENATE("R5C",'Matriz riesgos de gestión'!$T$41),"")</f>
        <v/>
      </c>
      <c r="U10" s="136" t="str">
        <f>IF(AND('Matriz riesgos de gestión'!$AD$42="Muy Alta",'Matriz riesgos de gestión'!$AF$42="Menor"),CONCATENATE("R5C",'Matriz riesgos de gestión'!$T$42),"")</f>
        <v/>
      </c>
      <c r="V10" s="134" t="str">
        <f>IF(AND('Matriz riesgos de gestión'!$AD$37="Muy Alta",'Matriz riesgos de gestión'!$AF$37="Moderado"),CONCATENATE("R5C",'Matriz riesgos de gestión'!$T$37),"")</f>
        <v/>
      </c>
      <c r="W10" s="135" t="str">
        <f>IF(AND('Matriz riesgos de gestión'!$AD$38="Muy Alta",'Matriz riesgos de gestión'!$AF$38="Moderado"),CONCATENATE("R5C",'Matriz riesgos de gestión'!$T$38),"")</f>
        <v/>
      </c>
      <c r="X10" s="135" t="str">
        <f>IF(AND('Matriz riesgos de gestión'!$AD$39="Muy Alta",'Matriz riesgos de gestión'!$AF$39="Moderado"),CONCATENATE("R5C",'Matriz riesgos de gestión'!$T$39),"")</f>
        <v/>
      </c>
      <c r="Y10" s="135" t="str">
        <f>IF(AND('Matriz riesgos de gestión'!$AD$40="Muy Alta",'Matriz riesgos de gestión'!$AF$40="Moderado"),CONCATENATE("R5C",'Matriz riesgos de gestión'!$T$40),"")</f>
        <v/>
      </c>
      <c r="Z10" s="135" t="str">
        <f>IF(AND('Matriz riesgos de gestión'!$AD$41="Muy Alta",'Matriz riesgos de gestión'!$AF$41="Moderado"),CONCATENATE("R5C",'Matriz riesgos de gestión'!$T$41),"")</f>
        <v/>
      </c>
      <c r="AA10" s="136" t="str">
        <f>IF(AND('Matriz riesgos de gestión'!$AD$42="Muy Alta",'Matriz riesgos de gestión'!$AF$42="Moderado"),CONCATENATE("R5C",'Matriz riesgos de gestión'!$T$42),"")</f>
        <v/>
      </c>
      <c r="AB10" s="134" t="str">
        <f>IF(AND('Matriz riesgos de gestión'!$AD$37="Muy Alta",'Matriz riesgos de gestión'!$AF$37="Mayor"),CONCATENATE("R5C",'Matriz riesgos de gestión'!$T$37),"")</f>
        <v/>
      </c>
      <c r="AC10" s="135" t="str">
        <f>IF(AND('Matriz riesgos de gestión'!$AD$38="Muy Alta",'Matriz riesgos de gestión'!$AF$38="Mayor"),CONCATENATE("R5C",'Matriz riesgos de gestión'!$T$38),"")</f>
        <v/>
      </c>
      <c r="AD10" s="135" t="str">
        <f>IF(AND('Matriz riesgos de gestión'!$AD$39="Muy Alta",'Matriz riesgos de gestión'!$AF$39="Mayor"),CONCATENATE("R5C",'Matriz riesgos de gestión'!$T$39),"")</f>
        <v/>
      </c>
      <c r="AE10" s="135" t="str">
        <f>IF(AND('Matriz riesgos de gestión'!$AD$40="Muy Alta",'Matriz riesgos de gestión'!$AF$40="Mayor"),CONCATENATE("R5C",'Matriz riesgos de gestión'!$T$40),"")</f>
        <v/>
      </c>
      <c r="AF10" s="135" t="str">
        <f>IF(AND('Matriz riesgos de gestión'!$AD$41="Muy Alta",'Matriz riesgos de gestión'!$AF$41="Mayor"),CONCATENATE("R5C",'Matriz riesgos de gestión'!$T$41),"")</f>
        <v/>
      </c>
      <c r="AG10" s="136" t="str">
        <f>IF(AND('Matriz riesgos de gestión'!$AD$42="Muy Alta",'Matriz riesgos de gestión'!$AF$42="Mayor"),CONCATENATE("R5C",'Matriz riesgos de gestión'!$T$42),"")</f>
        <v/>
      </c>
      <c r="AH10" s="137" t="str">
        <f>IF(AND('Matriz riesgos de gestión'!$AD$37="Muy Alta",'Matriz riesgos de gestión'!$AF$37="Catastrófico"),CONCATENATE("R5C",'Matriz riesgos de gestión'!$T$37),"")</f>
        <v/>
      </c>
      <c r="AI10" s="138" t="str">
        <f>IF(AND('Matriz riesgos de gestión'!$AD$38="Muy Alta",'Matriz riesgos de gestión'!$AF$38="Catastrófico"),CONCATENATE("R5C",'Matriz riesgos de gestión'!$T$38),"")</f>
        <v/>
      </c>
      <c r="AJ10" s="138" t="str">
        <f>IF(AND('Matriz riesgos de gestión'!$AD$39="Muy Alta",'Matriz riesgos de gestión'!$AF$39="Catastrófico"),CONCATENATE("R5C",'Matriz riesgos de gestión'!$T$39),"")</f>
        <v/>
      </c>
      <c r="AK10" s="138" t="str">
        <f>IF(AND('Matriz riesgos de gestión'!$AD$40="Muy Alta",'Matriz riesgos de gestión'!$AF$40="Catastrófico"),CONCATENATE("R5C",'Matriz riesgos de gestión'!$T$40),"")</f>
        <v/>
      </c>
      <c r="AL10" s="138" t="str">
        <f>IF(AND('Matriz riesgos de gestión'!$AD$41="Muy Alta",'Matriz riesgos de gestión'!$AF$41="Catastrófico"),CONCATENATE("R5C",'Matriz riesgos de gestión'!$T$41),"")</f>
        <v/>
      </c>
      <c r="AM10" s="139" t="str">
        <f>IF(AND('Matriz riesgos de gestión'!$AD$42="Muy Alta",'Matriz riesgos de gestión'!$AF$42="Catastrófico"),CONCATENATE("R5C",'Matriz riesgos de gestión'!$T$42),"")</f>
        <v/>
      </c>
      <c r="AN10" s="115"/>
      <c r="AO10" s="803"/>
      <c r="AP10" s="804"/>
      <c r="AQ10" s="804"/>
      <c r="AR10" s="804"/>
      <c r="AS10" s="804"/>
      <c r="AT10" s="805"/>
      <c r="AU10" s="115"/>
      <c r="AV10" s="115"/>
      <c r="AW10" s="115"/>
      <c r="AX10" s="115"/>
      <c r="AY10" s="115"/>
      <c r="AZ10" s="115"/>
      <c r="BA10" s="115"/>
      <c r="BB10" s="115"/>
      <c r="BC10" s="115"/>
      <c r="BD10" s="115"/>
      <c r="BE10" s="115"/>
      <c r="BF10" s="115"/>
      <c r="BG10" s="115"/>
      <c r="BH10" s="115"/>
      <c r="BI10" s="115"/>
    </row>
    <row r="11" spans="1:61" ht="15" customHeight="1" x14ac:dyDescent="0.25">
      <c r="A11" s="115"/>
      <c r="B11" s="781"/>
      <c r="C11" s="804"/>
      <c r="D11" s="780"/>
      <c r="E11" s="783"/>
      <c r="F11" s="804"/>
      <c r="G11" s="804"/>
      <c r="H11" s="804"/>
      <c r="I11" s="780"/>
      <c r="J11" s="134" t="str">
        <f>IF(AND('Matriz riesgos de gestión'!$AD$43="Muy Alta",'Matriz riesgos de gestión'!$AF$43="Leve"),CONCATENATE("R6C",'Matriz riesgos de gestión'!$T$43),"")</f>
        <v/>
      </c>
      <c r="K11" s="135" t="str">
        <f>IF(AND('Matriz riesgos de gestión'!$AD$44="Muy Alta",'Matriz riesgos de gestión'!$AF$44="Leve"),CONCATENATE("R6C",'Matriz riesgos de gestión'!$T$44),"")</f>
        <v/>
      </c>
      <c r="L11" s="135" t="str">
        <f>IF(AND('Matriz riesgos de gestión'!$AD$45="Muy Alta",'Matriz riesgos de gestión'!$AF$45="Leve"),CONCATENATE("R6C",'Matriz riesgos de gestión'!$T$45),"")</f>
        <v/>
      </c>
      <c r="M11" s="135" t="str">
        <f>IF(AND('Matriz riesgos de gestión'!$AD$46="Muy Alta",'Matriz riesgos de gestión'!$AF$46="Leve"),CONCATENATE("R6C",'Matriz riesgos de gestión'!$T$46),"")</f>
        <v/>
      </c>
      <c r="N11" s="135" t="str">
        <f>IF(AND('Matriz riesgos de gestión'!$AD$47="Muy Alta",'Matriz riesgos de gestión'!$AF$47="Leve"),CONCATENATE("R6C",'Matriz riesgos de gestión'!$T$47),"")</f>
        <v/>
      </c>
      <c r="O11" s="136" t="str">
        <f>IF(AND('Matriz riesgos de gestión'!$AD$48="Muy Alta",'Matriz riesgos de gestión'!$AF$48="Leve"),CONCATENATE("R6C",'Matriz riesgos de gestión'!$T$48),"")</f>
        <v/>
      </c>
      <c r="P11" s="134" t="str">
        <f>IF(AND('Matriz riesgos de gestión'!$AD$43="Muy Alta",'Matriz riesgos de gestión'!$AF$43="Menor"),CONCATENATE("R6C",'Matriz riesgos de gestión'!$T$43),"")</f>
        <v/>
      </c>
      <c r="Q11" s="135" t="str">
        <f>IF(AND('Matriz riesgos de gestión'!$AD$44="Muy Alta",'Matriz riesgos de gestión'!$AF$44="Menor"),CONCATENATE("R6C",'Matriz riesgos de gestión'!$T$44),"")</f>
        <v/>
      </c>
      <c r="R11" s="135" t="str">
        <f>IF(AND('Matriz riesgos de gestión'!$AD$45="Muy Alta",'Matriz riesgos de gestión'!$AF$45="Menor"),CONCATENATE("R6C",'Matriz riesgos de gestión'!$T$45),"")</f>
        <v/>
      </c>
      <c r="S11" s="135" t="str">
        <f>IF(AND('Matriz riesgos de gestión'!$AD$46="Muy Alta",'Matriz riesgos de gestión'!$AF$46="Menor"),CONCATENATE("R6C",'Matriz riesgos de gestión'!$T$46),"")</f>
        <v/>
      </c>
      <c r="T11" s="135" t="str">
        <f>IF(AND('Matriz riesgos de gestión'!$AD$47="Muy Alta",'Matriz riesgos de gestión'!$AF$47="Menor"),CONCATENATE("R6C",'Matriz riesgos de gestión'!$T$47),"")</f>
        <v/>
      </c>
      <c r="U11" s="136" t="str">
        <f>IF(AND('Matriz riesgos de gestión'!$AD$48="Muy Alta",'Matriz riesgos de gestión'!$AF$48="Menor"),CONCATENATE("R6C",'Matriz riesgos de gestión'!$T$48),"")</f>
        <v/>
      </c>
      <c r="V11" s="134" t="str">
        <f>IF(AND('Matriz riesgos de gestión'!$AD$43="Muy Alta",'Matriz riesgos de gestión'!$AF$43="Moderado"),CONCATENATE("R6C",'Matriz riesgos de gestión'!$T$43),"")</f>
        <v/>
      </c>
      <c r="W11" s="135" t="str">
        <f>IF(AND('Matriz riesgos de gestión'!$AD$44="Muy Alta",'Matriz riesgos de gestión'!$AF$44="Moderado"),CONCATENATE("R6C",'Matriz riesgos de gestión'!$T$44),"")</f>
        <v/>
      </c>
      <c r="X11" s="135" t="str">
        <f>IF(AND('Matriz riesgos de gestión'!$AD$45="Muy Alta",'Matriz riesgos de gestión'!$AF$45="Moderado"),CONCATENATE("R6C",'Matriz riesgos de gestión'!$T$45),"")</f>
        <v/>
      </c>
      <c r="Y11" s="135" t="str">
        <f>IF(AND('Matriz riesgos de gestión'!$AD$46="Muy Alta",'Matriz riesgos de gestión'!$AF$46="Moderado"),CONCATENATE("R6C",'Matriz riesgos de gestión'!$T$46),"")</f>
        <v/>
      </c>
      <c r="Z11" s="135" t="str">
        <f>IF(AND('Matriz riesgos de gestión'!$AD$47="Muy Alta",'Matriz riesgos de gestión'!$AF$47="Moderado"),CONCATENATE("R6C",'Matriz riesgos de gestión'!$T$47),"")</f>
        <v/>
      </c>
      <c r="AA11" s="136" t="str">
        <f>IF(AND('Matriz riesgos de gestión'!$AD$48="Muy Alta",'Matriz riesgos de gestión'!$AF$48="Moderado"),CONCATENATE("R6C",'Matriz riesgos de gestión'!$T$48),"")</f>
        <v/>
      </c>
      <c r="AB11" s="134" t="str">
        <f>IF(AND('Matriz riesgos de gestión'!$AD$43="Muy Alta",'Matriz riesgos de gestión'!$AF$43="Mayor"),CONCATENATE("R6C",'Matriz riesgos de gestión'!$T$43),"")</f>
        <v/>
      </c>
      <c r="AC11" s="135" t="str">
        <f>IF(AND('Matriz riesgos de gestión'!$AD$44="Muy Alta",'Matriz riesgos de gestión'!$AF$44="Mayor"),CONCATENATE("R6C",'Matriz riesgos de gestión'!$T$44),"")</f>
        <v/>
      </c>
      <c r="AD11" s="135" t="str">
        <f>IF(AND('Matriz riesgos de gestión'!$AD$45="Muy Alta",'Matriz riesgos de gestión'!$AF$45="Mayor"),CONCATENATE("R6C",'Matriz riesgos de gestión'!$T$45),"")</f>
        <v/>
      </c>
      <c r="AE11" s="135" t="str">
        <f>IF(AND('Matriz riesgos de gestión'!$AD$46="Muy Alta",'Matriz riesgos de gestión'!$AF$46="Mayor"),CONCATENATE("R6C",'Matriz riesgos de gestión'!$T$46),"")</f>
        <v/>
      </c>
      <c r="AF11" s="135" t="str">
        <f>IF(AND('Matriz riesgos de gestión'!$AD$47="Muy Alta",'Matriz riesgos de gestión'!$AF$47="Mayor"),CONCATENATE("R6C",'Matriz riesgos de gestión'!$T$47),"")</f>
        <v/>
      </c>
      <c r="AG11" s="136" t="str">
        <f>IF(AND('Matriz riesgos de gestión'!$AD$48="Muy Alta",'Matriz riesgos de gestión'!$AF$48="Mayor"),CONCATENATE("R6C",'Matriz riesgos de gestión'!$T$48),"")</f>
        <v/>
      </c>
      <c r="AH11" s="137" t="str">
        <f>IF(AND('Matriz riesgos de gestión'!$AD$43="Muy Alta",'Matriz riesgos de gestión'!$AF$43="Catastrófico"),CONCATENATE("R6C",'Matriz riesgos de gestión'!$T$43),"")</f>
        <v/>
      </c>
      <c r="AI11" s="138" t="str">
        <f>IF(AND('Matriz riesgos de gestión'!$AD$44="Muy Alta",'Matriz riesgos de gestión'!$AF$44="Catastrófico"),CONCATENATE("R6C",'Matriz riesgos de gestión'!$T$44),"")</f>
        <v/>
      </c>
      <c r="AJ11" s="138" t="str">
        <f>IF(AND('Matriz riesgos de gestión'!$AD$45="Muy Alta",'Matriz riesgos de gestión'!$AF$45="Catastrófico"),CONCATENATE("R6C",'Matriz riesgos de gestión'!$T$45),"")</f>
        <v/>
      </c>
      <c r="AK11" s="138" t="str">
        <f>IF(AND('Matriz riesgos de gestión'!$AD$46="Muy Alta",'Matriz riesgos de gestión'!$AF$46="Catastrófico"),CONCATENATE("R6C",'Matriz riesgos de gestión'!$T$46),"")</f>
        <v/>
      </c>
      <c r="AL11" s="138" t="str">
        <f>IF(AND('Matriz riesgos de gestión'!$AD$47="Muy Alta",'Matriz riesgos de gestión'!$AF$47="Catastrófico"),CONCATENATE("R6C",'Matriz riesgos de gestión'!$T$47),"")</f>
        <v/>
      </c>
      <c r="AM11" s="139" t="str">
        <f>IF(AND('Matriz riesgos de gestión'!$AD$48="Muy Alta",'Matriz riesgos de gestión'!$AF$48="Catastrófico"),CONCATENATE("R6C",'Matriz riesgos de gestión'!$T$48),"")</f>
        <v/>
      </c>
      <c r="AN11" s="115"/>
      <c r="AO11" s="803"/>
      <c r="AP11" s="804"/>
      <c r="AQ11" s="804"/>
      <c r="AR11" s="804"/>
      <c r="AS11" s="804"/>
      <c r="AT11" s="805"/>
      <c r="AU11" s="115"/>
      <c r="AV11" s="115"/>
      <c r="AW11" s="115"/>
      <c r="AX11" s="115"/>
      <c r="AY11" s="115"/>
      <c r="AZ11" s="115"/>
      <c r="BA11" s="115"/>
      <c r="BB11" s="115"/>
      <c r="BC11" s="115"/>
      <c r="BD11" s="115"/>
      <c r="BE11" s="115"/>
      <c r="BF11" s="115"/>
      <c r="BG11" s="115"/>
      <c r="BH11" s="115"/>
      <c r="BI11" s="115"/>
    </row>
    <row r="12" spans="1:61" ht="15" customHeight="1" x14ac:dyDescent="0.25">
      <c r="A12" s="115"/>
      <c r="B12" s="781"/>
      <c r="C12" s="804"/>
      <c r="D12" s="780"/>
      <c r="E12" s="783"/>
      <c r="F12" s="804"/>
      <c r="G12" s="804"/>
      <c r="H12" s="804"/>
      <c r="I12" s="780"/>
      <c r="J12" s="134" t="str">
        <f>IF(AND('Matriz riesgos de gestión'!$AD$49="Muy Alta",'Matriz riesgos de gestión'!$AF$49="Leve"),CONCATENATE("R7C",'Matriz riesgos de gestión'!$T$49),"")</f>
        <v/>
      </c>
      <c r="K12" s="135" t="str">
        <f>IF(AND('Matriz riesgos de gestión'!$AD$50="Muy Alta",'Matriz riesgos de gestión'!$AF$50="Leve"),CONCATENATE("R7C",'Matriz riesgos de gestión'!$T$50),"")</f>
        <v/>
      </c>
      <c r="L12" s="135" t="str">
        <f>IF(AND('Matriz riesgos de gestión'!$AD$51="Muy Alta",'Matriz riesgos de gestión'!$AF$51="Leve"),CONCATENATE("R7C",'Matriz riesgos de gestión'!$T$51),"")</f>
        <v/>
      </c>
      <c r="M12" s="135" t="str">
        <f>IF(AND('Matriz riesgos de gestión'!$AD$52="Muy Alta",'Matriz riesgos de gestión'!$AF$52="Leve"),CONCATENATE("R7C",'Matriz riesgos de gestión'!$T$52),"")</f>
        <v/>
      </c>
      <c r="N12" s="135" t="str">
        <f>IF(AND('Matriz riesgos de gestión'!$AD$53="Muy Alta",'Matriz riesgos de gestión'!$AF$53="Leve"),CONCATENATE("R7C",'Matriz riesgos de gestión'!$T$53),"")</f>
        <v/>
      </c>
      <c r="O12" s="136" t="str">
        <f>IF(AND('Matriz riesgos de gestión'!$AD$54="Muy Alta",'Matriz riesgos de gestión'!$AF$54="Leve"),CONCATENATE("R7C",'Matriz riesgos de gestión'!$T$54),"")</f>
        <v/>
      </c>
      <c r="P12" s="134" t="str">
        <f>IF(AND('Matriz riesgos de gestión'!$AD$49="Muy Alta",'Matriz riesgos de gestión'!$AF$49="Menor"),CONCATENATE("R7C",'Matriz riesgos de gestión'!$T$49),"")</f>
        <v/>
      </c>
      <c r="Q12" s="135" t="str">
        <f>IF(AND('Matriz riesgos de gestión'!$AD$50="Muy Alta",'Matriz riesgos de gestión'!$AF$50="Menor"),CONCATENATE("R7C",'Matriz riesgos de gestión'!$T$50),"")</f>
        <v/>
      </c>
      <c r="R12" s="135" t="str">
        <f>IF(AND('Matriz riesgos de gestión'!$AD$51="Muy Alta",'Matriz riesgos de gestión'!$AF$51="Menor"),CONCATENATE("R7C",'Matriz riesgos de gestión'!$T$51),"")</f>
        <v/>
      </c>
      <c r="S12" s="135" t="str">
        <f>IF(AND('Matriz riesgos de gestión'!$AD$52="Muy Alta",'Matriz riesgos de gestión'!$AF$52="Menor"),CONCATENATE("R7C",'Matriz riesgos de gestión'!$T$52),"")</f>
        <v/>
      </c>
      <c r="T12" s="135" t="str">
        <f>IF(AND('Matriz riesgos de gestión'!$AD$53="Muy Alta",'Matriz riesgos de gestión'!$AF$53="Menor"),CONCATENATE("R7C",'Matriz riesgos de gestión'!$T$53),"")</f>
        <v/>
      </c>
      <c r="U12" s="136" t="str">
        <f>IF(AND('Matriz riesgos de gestión'!$AD$54="Muy Alta",'Matriz riesgos de gestión'!$AF$54="Menor"),CONCATENATE("R7C",'Matriz riesgos de gestión'!$T$54),"")</f>
        <v/>
      </c>
      <c r="V12" s="134" t="str">
        <f>IF(AND('Matriz riesgos de gestión'!$AD$49="Muy Alta",'Matriz riesgos de gestión'!$AF$49="Moderado"),CONCATENATE("R7C",'Matriz riesgos de gestión'!$T$49),"")</f>
        <v/>
      </c>
      <c r="W12" s="135" t="str">
        <f>IF(AND('Matriz riesgos de gestión'!$AD$50="Muy Alta",'Matriz riesgos de gestión'!$AF$50="Moderado"),CONCATENATE("R7C",'Matriz riesgos de gestión'!$T$50),"")</f>
        <v/>
      </c>
      <c r="X12" s="135" t="str">
        <f>IF(AND('Matriz riesgos de gestión'!$AD$51="Muy Alta",'Matriz riesgos de gestión'!$AF$51="Moderado"),CONCATENATE("R7C",'Matriz riesgos de gestión'!$T$51),"")</f>
        <v/>
      </c>
      <c r="Y12" s="135" t="str">
        <f>IF(AND('Matriz riesgos de gestión'!$AD$52="Muy Alta",'Matriz riesgos de gestión'!$AF$52="Moderado"),CONCATENATE("R7C",'Matriz riesgos de gestión'!$T$52),"")</f>
        <v/>
      </c>
      <c r="Z12" s="135" t="str">
        <f>IF(AND('Matriz riesgos de gestión'!$AD$53="Muy Alta",'Matriz riesgos de gestión'!$AF$53="Moderado"),CONCATENATE("R7C",'Matriz riesgos de gestión'!$T$53),"")</f>
        <v/>
      </c>
      <c r="AA12" s="136" t="str">
        <f>IF(AND('Matriz riesgos de gestión'!$AD$54="Muy Alta",'Matriz riesgos de gestión'!$AF$54="Moderado"),CONCATENATE("R7C",'Matriz riesgos de gestión'!$T$54),"")</f>
        <v/>
      </c>
      <c r="AB12" s="134" t="str">
        <f>IF(AND('Matriz riesgos de gestión'!$AD$49="Muy Alta",'Matriz riesgos de gestión'!$AF$49="Mayor"),CONCATENATE("R7C",'Matriz riesgos de gestión'!$T$49),"")</f>
        <v/>
      </c>
      <c r="AC12" s="135" t="str">
        <f>IF(AND('Matriz riesgos de gestión'!$AD$50="Muy Alta",'Matriz riesgos de gestión'!$AF$50="Mayor"),CONCATENATE("R7C",'Matriz riesgos de gestión'!$T$50),"")</f>
        <v/>
      </c>
      <c r="AD12" s="135" t="str">
        <f>IF(AND('Matriz riesgos de gestión'!$AD$51="Muy Alta",'Matriz riesgos de gestión'!$AF$51="Mayor"),CONCATENATE("R7C",'Matriz riesgos de gestión'!$T$51),"")</f>
        <v/>
      </c>
      <c r="AE12" s="135" t="str">
        <f>IF(AND('Matriz riesgos de gestión'!$AD$52="Muy Alta",'Matriz riesgos de gestión'!$AF$52="Mayor"),CONCATENATE("R7C",'Matriz riesgos de gestión'!$T$52),"")</f>
        <v/>
      </c>
      <c r="AF12" s="135" t="str">
        <f>IF(AND('Matriz riesgos de gestión'!$AD$53="Muy Alta",'Matriz riesgos de gestión'!$AF$53="Mayor"),CONCATENATE("R7C",'Matriz riesgos de gestión'!$T$53),"")</f>
        <v/>
      </c>
      <c r="AG12" s="136" t="str">
        <f>IF(AND('Matriz riesgos de gestión'!$AD$54="Muy Alta",'Matriz riesgos de gestión'!$AF$54="Mayor"),CONCATENATE("R7C",'Matriz riesgos de gestión'!$T$54),"")</f>
        <v/>
      </c>
      <c r="AH12" s="137" t="str">
        <f>IF(AND('Matriz riesgos de gestión'!$AD$49="Muy Alta",'Matriz riesgos de gestión'!$AF$49="Catastrófico"),CONCATENATE("R7C",'Matriz riesgos de gestión'!$T$49),"")</f>
        <v/>
      </c>
      <c r="AI12" s="138" t="str">
        <f>IF(AND('Matriz riesgos de gestión'!$AD$50="Muy Alta",'Matriz riesgos de gestión'!$AF$50="Catastrófico"),CONCATENATE("R7C",'Matriz riesgos de gestión'!$T$50),"")</f>
        <v/>
      </c>
      <c r="AJ12" s="138" t="str">
        <f>IF(AND('Matriz riesgos de gestión'!$AD$51="Muy Alta",'Matriz riesgos de gestión'!$AF$51="Catastrófico"),CONCATENATE("R7C",'Matriz riesgos de gestión'!$T$51),"")</f>
        <v/>
      </c>
      <c r="AK12" s="138" t="str">
        <f>IF(AND('Matriz riesgos de gestión'!$AD$52="Muy Alta",'Matriz riesgos de gestión'!$AF$52="Catastrófico"),CONCATENATE("R7C",'Matriz riesgos de gestión'!$T$52),"")</f>
        <v/>
      </c>
      <c r="AL12" s="138" t="str">
        <f>IF(AND('Matriz riesgos de gestión'!$AD$53="Muy Alta",'Matriz riesgos de gestión'!$AF$53="Catastrófico"),CONCATENATE("R7C",'Matriz riesgos de gestión'!$T$53),"")</f>
        <v/>
      </c>
      <c r="AM12" s="139" t="str">
        <f>IF(AND('Matriz riesgos de gestión'!$AD$54="Muy Alta",'Matriz riesgos de gestión'!$AF$54="Catastrófico"),CONCATENATE("R7C",'Matriz riesgos de gestión'!$T$54),"")</f>
        <v/>
      </c>
      <c r="AN12" s="115"/>
      <c r="AO12" s="803"/>
      <c r="AP12" s="804"/>
      <c r="AQ12" s="804"/>
      <c r="AR12" s="804"/>
      <c r="AS12" s="804"/>
      <c r="AT12" s="805"/>
      <c r="AU12" s="115"/>
      <c r="AV12" s="115"/>
      <c r="AW12" s="115"/>
      <c r="AX12" s="115"/>
      <c r="AY12" s="115"/>
      <c r="AZ12" s="115"/>
      <c r="BA12" s="115"/>
      <c r="BB12" s="115"/>
      <c r="BC12" s="115"/>
      <c r="BD12" s="115"/>
      <c r="BE12" s="115"/>
      <c r="BF12" s="115"/>
      <c r="BG12" s="115"/>
      <c r="BH12" s="115"/>
      <c r="BI12" s="115"/>
    </row>
    <row r="13" spans="1:61" ht="15" customHeight="1" x14ac:dyDescent="0.25">
      <c r="A13" s="115"/>
      <c r="B13" s="781"/>
      <c r="C13" s="804"/>
      <c r="D13" s="780"/>
      <c r="E13" s="783"/>
      <c r="F13" s="804"/>
      <c r="G13" s="804"/>
      <c r="H13" s="804"/>
      <c r="I13" s="780"/>
      <c r="J13" s="134" t="str">
        <f>IF(AND('Matriz riesgos de gestión'!$AD$55="Muy Alta",'Matriz riesgos de gestión'!$AF$55="Leve"),CONCATENATE("R8C",'Matriz riesgos de gestión'!$T$55),"")</f>
        <v/>
      </c>
      <c r="K13" s="135" t="str">
        <f>IF(AND('Matriz riesgos de gestión'!$AD$56="Muy Alta",'Matriz riesgos de gestión'!$AF$56="Leve"),CONCATENATE("R8C",'Matriz riesgos de gestión'!$T$56),"")</f>
        <v/>
      </c>
      <c r="L13" s="135" t="str">
        <f>IF(AND('Matriz riesgos de gestión'!$AD$57="Muy Alta",'Matriz riesgos de gestión'!$AF$57="Leve"),CONCATENATE("R8C",'Matriz riesgos de gestión'!$T$57),"")</f>
        <v/>
      </c>
      <c r="M13" s="135" t="str">
        <f>IF(AND('Matriz riesgos de gestión'!$AD$58="Muy Alta",'Matriz riesgos de gestión'!$AF$58="Leve"),CONCATENATE("R8C",'Matriz riesgos de gestión'!$T$58),"")</f>
        <v/>
      </c>
      <c r="N13" s="135" t="str">
        <f>IF(AND('Matriz riesgos de gestión'!$AD$59="Muy Alta",'Matriz riesgos de gestión'!$AF$59="Leve"),CONCATENATE("R8C",'Matriz riesgos de gestión'!$T$59),"")</f>
        <v/>
      </c>
      <c r="O13" s="136" t="str">
        <f>IF(AND('Matriz riesgos de gestión'!$AD$60="Muy Alta",'Matriz riesgos de gestión'!$AF$60="Leve"),CONCATENATE("R8C",'Matriz riesgos de gestión'!$T$60),"")</f>
        <v/>
      </c>
      <c r="P13" s="134" t="str">
        <f>IF(AND('Matriz riesgos de gestión'!$AD$55="Muy Alta",'Matriz riesgos de gestión'!$AF$55="Menor"),CONCATENATE("R8C",'Matriz riesgos de gestión'!$T$55),"")</f>
        <v/>
      </c>
      <c r="Q13" s="135" t="str">
        <f>IF(AND('Matriz riesgos de gestión'!$AD$56="Muy Alta",'Matriz riesgos de gestión'!$AF$56="Menor"),CONCATENATE("R8C",'Matriz riesgos de gestión'!$T$56),"")</f>
        <v/>
      </c>
      <c r="R13" s="135" t="str">
        <f>IF(AND('Matriz riesgos de gestión'!$AD$57="Muy Alta",'Matriz riesgos de gestión'!$AF$57="Menor"),CONCATENATE("R8C",'Matriz riesgos de gestión'!$T$57),"")</f>
        <v/>
      </c>
      <c r="S13" s="135" t="str">
        <f>IF(AND('Matriz riesgos de gestión'!$AD$58="Muy Alta",'Matriz riesgos de gestión'!$AF$58="Menor"),CONCATENATE("R8C",'Matriz riesgos de gestión'!$T$58),"")</f>
        <v/>
      </c>
      <c r="T13" s="135" t="str">
        <f>IF(AND('Matriz riesgos de gestión'!$AD$59="Muy Alta",'Matriz riesgos de gestión'!$AF$59="Menor"),CONCATENATE("R8C",'Matriz riesgos de gestión'!$T$59),"")</f>
        <v/>
      </c>
      <c r="U13" s="136" t="str">
        <f>IF(AND('Matriz riesgos de gestión'!$AD$60="Muy Alta",'Matriz riesgos de gestión'!$AF$60="Menor"),CONCATENATE("R8C",'Matriz riesgos de gestión'!$T$60),"")</f>
        <v/>
      </c>
      <c r="V13" s="134" t="str">
        <f>IF(AND('Matriz riesgos de gestión'!$AD$55="Muy Alta",'Matriz riesgos de gestión'!$AF$55="Moderado"),CONCATENATE("R8C",'Matriz riesgos de gestión'!$T$55),"")</f>
        <v/>
      </c>
      <c r="W13" s="135" t="str">
        <f>IF(AND('Matriz riesgos de gestión'!$AD$56="Muy Alta",'Matriz riesgos de gestión'!$AF$56="Moderado"),CONCATENATE("R8C",'Matriz riesgos de gestión'!$T$56),"")</f>
        <v/>
      </c>
      <c r="X13" s="135" t="str">
        <f>IF(AND('Matriz riesgos de gestión'!$AD$57="Muy Alta",'Matriz riesgos de gestión'!$AF$57="Moderado"),CONCATENATE("R8C",'Matriz riesgos de gestión'!$T$57),"")</f>
        <v/>
      </c>
      <c r="Y13" s="135" t="str">
        <f>IF(AND('Matriz riesgos de gestión'!$AD$58="Muy Alta",'Matriz riesgos de gestión'!$AF$58="Moderado"),CONCATENATE("R8C",'Matriz riesgos de gestión'!$T$58),"")</f>
        <v/>
      </c>
      <c r="Z13" s="135" t="str">
        <f>IF(AND('Matriz riesgos de gestión'!$AD$59="Muy Alta",'Matriz riesgos de gestión'!$AF$59="Moderado"),CONCATENATE("R8C",'Matriz riesgos de gestión'!$T$59),"")</f>
        <v/>
      </c>
      <c r="AA13" s="136" t="str">
        <f>IF(AND('Matriz riesgos de gestión'!$AD$60="Muy Alta",'Matriz riesgos de gestión'!$AF$60="Moderado"),CONCATENATE("R8C",'Matriz riesgos de gestión'!$T$60),"")</f>
        <v/>
      </c>
      <c r="AB13" s="134" t="str">
        <f>IF(AND('Matriz riesgos de gestión'!$AD$55="Muy Alta",'Matriz riesgos de gestión'!$AF$55="Mayor"),CONCATENATE("R8C",'Matriz riesgos de gestión'!$T$55),"")</f>
        <v/>
      </c>
      <c r="AC13" s="135" t="str">
        <f>IF(AND('Matriz riesgos de gestión'!$AD$56="Muy Alta",'Matriz riesgos de gestión'!$AF$56="Mayor"),CONCATENATE("R8C",'Matriz riesgos de gestión'!$T$56),"")</f>
        <v/>
      </c>
      <c r="AD13" s="135" t="str">
        <f>IF(AND('Matriz riesgos de gestión'!$AD$57="Muy Alta",'Matriz riesgos de gestión'!$AF$57="Mayor"),CONCATENATE("R8C",'Matriz riesgos de gestión'!$T$57),"")</f>
        <v/>
      </c>
      <c r="AE13" s="135" t="str">
        <f>IF(AND('Matriz riesgos de gestión'!$AD$58="Muy Alta",'Matriz riesgos de gestión'!$AF$58="Mayor"),CONCATENATE("R8C",'Matriz riesgos de gestión'!$T$58),"")</f>
        <v/>
      </c>
      <c r="AF13" s="135" t="str">
        <f>IF(AND('Matriz riesgos de gestión'!$AD$59="Muy Alta",'Matriz riesgos de gestión'!$AF$59="Mayor"),CONCATENATE("R8C",'Matriz riesgos de gestión'!$T$59),"")</f>
        <v/>
      </c>
      <c r="AG13" s="136" t="str">
        <f>IF(AND('Matriz riesgos de gestión'!$AD$60="Muy Alta",'Matriz riesgos de gestión'!$AF$60="Mayor"),CONCATENATE("R8C",'Matriz riesgos de gestión'!$T$60),"")</f>
        <v/>
      </c>
      <c r="AH13" s="137" t="str">
        <f>IF(AND('Matriz riesgos de gestión'!$AD$55="Muy Alta",'Matriz riesgos de gestión'!$AF$55="Catastrófico"),CONCATENATE("R8C",'Matriz riesgos de gestión'!$T$55),"")</f>
        <v/>
      </c>
      <c r="AI13" s="138" t="str">
        <f>IF(AND('Matriz riesgos de gestión'!$AD$56="Muy Alta",'Matriz riesgos de gestión'!$AF$56="Catastrófico"),CONCATENATE("R8C",'Matriz riesgos de gestión'!$T$56),"")</f>
        <v/>
      </c>
      <c r="AJ13" s="138" t="str">
        <f>IF(AND('Matriz riesgos de gestión'!$AD$57="Muy Alta",'Matriz riesgos de gestión'!$AF$57="Catastrófico"),CONCATENATE("R8C",'Matriz riesgos de gestión'!$T$57),"")</f>
        <v/>
      </c>
      <c r="AK13" s="138" t="str">
        <f>IF(AND('Matriz riesgos de gestión'!$AD$58="Muy Alta",'Matriz riesgos de gestión'!$AF$58="Catastrófico"),CONCATENATE("R8C",'Matriz riesgos de gestión'!$T$58),"")</f>
        <v/>
      </c>
      <c r="AL13" s="138" t="str">
        <f>IF(AND('Matriz riesgos de gestión'!$AD$59="Muy Alta",'Matriz riesgos de gestión'!$AF$59="Catastrófico"),CONCATENATE("R8C",'Matriz riesgos de gestión'!$T$59),"")</f>
        <v/>
      </c>
      <c r="AM13" s="139" t="str">
        <f>IF(AND('Matriz riesgos de gestión'!$AD$60="Muy Alta",'Matriz riesgos de gestión'!$AF$60="Catastrófico"),CONCATENATE("R8C",'Matriz riesgos de gestión'!$T$60),"")</f>
        <v/>
      </c>
      <c r="AN13" s="115"/>
      <c r="AO13" s="803"/>
      <c r="AP13" s="804"/>
      <c r="AQ13" s="804"/>
      <c r="AR13" s="804"/>
      <c r="AS13" s="804"/>
      <c r="AT13" s="805"/>
      <c r="AU13" s="115"/>
      <c r="AV13" s="115"/>
      <c r="AW13" s="115"/>
      <c r="AX13" s="115"/>
      <c r="AY13" s="115"/>
      <c r="AZ13" s="115"/>
      <c r="BA13" s="115"/>
      <c r="BB13" s="115"/>
      <c r="BC13" s="115"/>
      <c r="BD13" s="115"/>
      <c r="BE13" s="115"/>
      <c r="BF13" s="115"/>
      <c r="BG13" s="115"/>
      <c r="BH13" s="115"/>
      <c r="BI13" s="115"/>
    </row>
    <row r="14" spans="1:61" ht="15" customHeight="1" x14ac:dyDescent="0.25">
      <c r="A14" s="115"/>
      <c r="B14" s="781"/>
      <c r="C14" s="804"/>
      <c r="D14" s="780"/>
      <c r="E14" s="783"/>
      <c r="F14" s="804"/>
      <c r="G14" s="804"/>
      <c r="H14" s="804"/>
      <c r="I14" s="780"/>
      <c r="J14" s="134" t="str">
        <f>IF(AND('Matriz riesgos de gestión'!$AD$61="Muy Alta",'Matriz riesgos de gestión'!$AF$61="Leve"),CONCATENATE("R9C",'Matriz riesgos de gestión'!$T$61),"")</f>
        <v/>
      </c>
      <c r="K14" s="135" t="str">
        <f>IF(AND('Matriz riesgos de gestión'!$AD$62="Muy Alta",'Matriz riesgos de gestión'!$AF$62="Leve"),CONCATENATE("R9C",'Matriz riesgos de gestión'!$T$62),"")</f>
        <v/>
      </c>
      <c r="L14" s="135" t="str">
        <f>IF(AND('Matriz riesgos de gestión'!$AD$63="Muy Alta",'Matriz riesgos de gestión'!$AF$63="Leve"),CONCATENATE("R9C",'Matriz riesgos de gestión'!$T$63),"")</f>
        <v/>
      </c>
      <c r="M14" s="135" t="str">
        <f>IF(AND('Matriz riesgos de gestión'!$AD$64="Muy Alta",'Matriz riesgos de gestión'!$AF$64="Leve"),CONCATENATE("R9C",'Matriz riesgos de gestión'!$T$64),"")</f>
        <v/>
      </c>
      <c r="N14" s="135" t="str">
        <f>IF(AND('Matriz riesgos de gestión'!$AD$65="Muy Alta",'Matriz riesgos de gestión'!$AF$65="Leve"),CONCATENATE("R9C",'Matriz riesgos de gestión'!$T$65),"")</f>
        <v/>
      </c>
      <c r="O14" s="136" t="str">
        <f>IF(AND('Matriz riesgos de gestión'!$AD$66="Muy Alta",'Matriz riesgos de gestión'!$AF$66="Leve"),CONCATENATE("R9C",'Matriz riesgos de gestión'!$T$66),"")</f>
        <v/>
      </c>
      <c r="P14" s="134" t="str">
        <f>IF(AND('Matriz riesgos de gestión'!$AD$61="Muy Alta",'Matriz riesgos de gestión'!$AF$61="Menor"),CONCATENATE("R9C",'Matriz riesgos de gestión'!$T$61),"")</f>
        <v/>
      </c>
      <c r="Q14" s="135" t="str">
        <f>IF(AND('Matriz riesgos de gestión'!$AD$62="Muy Alta",'Matriz riesgos de gestión'!$AF$62="Menor"),CONCATENATE("R9C",'Matriz riesgos de gestión'!$T$62),"")</f>
        <v/>
      </c>
      <c r="R14" s="135" t="str">
        <f>IF(AND('Matriz riesgos de gestión'!$AD$63="Muy Alta",'Matriz riesgos de gestión'!$AF$63="Menor"),CONCATENATE("R9C",'Matriz riesgos de gestión'!$T$63),"")</f>
        <v/>
      </c>
      <c r="S14" s="135" t="str">
        <f>IF(AND('Matriz riesgos de gestión'!$AD$64="Muy Alta",'Matriz riesgos de gestión'!$AF$64="Menor"),CONCATENATE("R9C",'Matriz riesgos de gestión'!$T$64),"")</f>
        <v/>
      </c>
      <c r="T14" s="135" t="str">
        <f>IF(AND('Matriz riesgos de gestión'!$AD$65="Muy Alta",'Matriz riesgos de gestión'!$AF$65="Menor"),CONCATENATE("R9C",'Matriz riesgos de gestión'!$T$65),"")</f>
        <v/>
      </c>
      <c r="U14" s="136" t="str">
        <f>IF(AND('Matriz riesgos de gestión'!$AD$66="Muy Alta",'Matriz riesgos de gestión'!$AF$66="Menor"),CONCATENATE("R9C",'Matriz riesgos de gestión'!$T$66),"")</f>
        <v/>
      </c>
      <c r="V14" s="134" t="str">
        <f>IF(AND('Matriz riesgos de gestión'!$AD$61="Muy Alta",'Matriz riesgos de gestión'!$AF$61="Moderado"),CONCATENATE("R9C",'Matriz riesgos de gestión'!$T$61),"")</f>
        <v/>
      </c>
      <c r="W14" s="135" t="str">
        <f>IF(AND('Matriz riesgos de gestión'!$AD$62="Muy Alta",'Matriz riesgos de gestión'!$AF$62="Moderado"),CONCATENATE("R9C",'Matriz riesgos de gestión'!$T$62),"")</f>
        <v/>
      </c>
      <c r="X14" s="135" t="str">
        <f>IF(AND('Matriz riesgos de gestión'!$AD$63="Muy Alta",'Matriz riesgos de gestión'!$AF$63="Moderado"),CONCATENATE("R9C",'Matriz riesgos de gestión'!$T$63),"")</f>
        <v/>
      </c>
      <c r="Y14" s="135" t="str">
        <f>IF(AND('Matriz riesgos de gestión'!$AD$64="Muy Alta",'Matriz riesgos de gestión'!$AF$64="Moderado"),CONCATENATE("R9C",'Matriz riesgos de gestión'!$T$64),"")</f>
        <v/>
      </c>
      <c r="Z14" s="135" t="str">
        <f>IF(AND('Matriz riesgos de gestión'!$AD$65="Muy Alta",'Matriz riesgos de gestión'!$AF$65="Moderado"),CONCATENATE("R9C",'Matriz riesgos de gestión'!$T$65),"")</f>
        <v/>
      </c>
      <c r="AA14" s="136" t="str">
        <f>IF(AND('Matriz riesgos de gestión'!$AD$66="Muy Alta",'Matriz riesgos de gestión'!$AF$66="Moderado"),CONCATENATE("R9C",'Matriz riesgos de gestión'!$T$66),"")</f>
        <v/>
      </c>
      <c r="AB14" s="134" t="str">
        <f>IF(AND('Matriz riesgos de gestión'!$AD$61="Muy Alta",'Matriz riesgos de gestión'!$AF$61="Mayor"),CONCATENATE("R9C",'Matriz riesgos de gestión'!$T$61),"")</f>
        <v/>
      </c>
      <c r="AC14" s="135" t="str">
        <f>IF(AND('Matriz riesgos de gestión'!$AD$62="Muy Alta",'Matriz riesgos de gestión'!$AF$62="Mayor"),CONCATENATE("R9C",'Matriz riesgos de gestión'!$T$62),"")</f>
        <v/>
      </c>
      <c r="AD14" s="135" t="str" cm="1">
        <f t="array" ref="AD14">IF(AND('Matriz riesgos de gestión'!$M$15="Alta",'Matriz riesgos de gestión'!$Q$15="Mayor"),'Matriz Calor Residual'!S18CONCATENAR("R",'Matriz riesgos de gestión'!$A$15),"")</f>
        <v/>
      </c>
      <c r="AE14" s="135" t="str">
        <f>IF(AND('Matriz riesgos de gestión'!$AD$64="Muy Alta",'Matriz riesgos de gestión'!$AF$64="Mayor"),CONCATENATE("R9C",'Matriz riesgos de gestión'!$T$64),"")</f>
        <v/>
      </c>
      <c r="AF14" s="135" t="str">
        <f>IF(AND('Matriz riesgos de gestión'!$AD$65="Muy Alta",'Matriz riesgos de gestión'!$AF$65="Mayor"),CONCATENATE("R9C",'Matriz riesgos de gestión'!$T$65),"")</f>
        <v/>
      </c>
      <c r="AG14" s="136" t="str">
        <f>IF(AND('Matriz riesgos de gestión'!$AD$66="Muy Alta",'Matriz riesgos de gestión'!$AF$66="Mayor"),CONCATENATE("R9C",'Matriz riesgos de gestión'!$T$66),"")</f>
        <v/>
      </c>
      <c r="AH14" s="137" t="str">
        <f>IF(AND('Matriz riesgos de gestión'!$AD$61="Muy Alta",'Matriz riesgos de gestión'!$AF$61="Catastrófico"),CONCATENATE("R9C",'Matriz riesgos de gestión'!$T$61),"")</f>
        <v/>
      </c>
      <c r="AI14" s="138" t="str">
        <f>IF(AND('Matriz riesgos de gestión'!$AD$62="Muy Alta",'Matriz riesgos de gestión'!$AF$62="Catastrófico"),CONCATENATE("R9C",'Matriz riesgos de gestión'!$T$62),"")</f>
        <v/>
      </c>
      <c r="AJ14" s="138" t="str">
        <f>IF(AND('Matriz riesgos de gestión'!$AD$63="Muy Alta",'Matriz riesgos de gestión'!$AF$63="Catastrófico"),CONCATENATE("R9C",'Matriz riesgos de gestión'!$T$63),"")</f>
        <v/>
      </c>
      <c r="AK14" s="138" t="str">
        <f>IF(AND('Matriz riesgos de gestión'!$AD$64="Muy Alta",'Matriz riesgos de gestión'!$AF$64="Catastrófico"),CONCATENATE("R9C",'Matriz riesgos de gestión'!$T$64),"")</f>
        <v/>
      </c>
      <c r="AL14" s="138" t="str">
        <f>IF(AND('Matriz riesgos de gestión'!$AD$65="Muy Alta",'Matriz riesgos de gestión'!$AF$65="Catastrófico"),CONCATENATE("R9C",'Matriz riesgos de gestión'!$T$65),"")</f>
        <v/>
      </c>
      <c r="AM14" s="139" t="str">
        <f>IF(AND('Matriz riesgos de gestión'!$AD$66="Muy Alta",'Matriz riesgos de gestión'!$AF$66="Catastrófico"),CONCATENATE("R9C",'Matriz riesgos de gestión'!$T$66),"")</f>
        <v/>
      </c>
      <c r="AN14" s="115"/>
      <c r="AO14" s="803"/>
      <c r="AP14" s="804"/>
      <c r="AQ14" s="804"/>
      <c r="AR14" s="804"/>
      <c r="AS14" s="804"/>
      <c r="AT14" s="805"/>
      <c r="AU14" s="115"/>
      <c r="AV14" s="115"/>
      <c r="AW14" s="115"/>
      <c r="AX14" s="115"/>
      <c r="AY14" s="115"/>
      <c r="AZ14" s="115"/>
      <c r="BA14" s="115"/>
      <c r="BB14" s="115"/>
      <c r="BC14" s="115"/>
      <c r="BD14" s="115"/>
      <c r="BE14" s="115"/>
      <c r="BF14" s="115"/>
      <c r="BG14" s="115"/>
      <c r="BH14" s="115"/>
      <c r="BI14" s="115"/>
    </row>
    <row r="15" spans="1:61" ht="15.75" customHeight="1" x14ac:dyDescent="0.25">
      <c r="A15" s="115"/>
      <c r="B15" s="781"/>
      <c r="C15" s="804"/>
      <c r="D15" s="780"/>
      <c r="E15" s="790"/>
      <c r="F15" s="791"/>
      <c r="G15" s="791"/>
      <c r="H15" s="791"/>
      <c r="I15" s="792"/>
      <c r="J15" s="140" t="str">
        <f>IF(AND('Matriz riesgos de gestión'!$AD$67="Muy Alta",'Matriz riesgos de gestión'!$AF$67="Leve"),CONCATENATE("R10C",'Matriz riesgos de gestión'!$T$67),"")</f>
        <v/>
      </c>
      <c r="K15" s="141" t="str">
        <f>IF(AND('Matriz riesgos de gestión'!$AD$68="Muy Alta",'Matriz riesgos de gestión'!$AF$68="Leve"),CONCATENATE("R10C",'Matriz riesgos de gestión'!$T$68),"")</f>
        <v/>
      </c>
      <c r="L15" s="141" t="str">
        <f>IF(AND('Matriz riesgos de gestión'!$AD$69="Muy Alta",'Matriz riesgos de gestión'!$AF$69="Leve"),CONCATENATE("R10C",'Matriz riesgos de gestión'!$T$69),"")</f>
        <v/>
      </c>
      <c r="M15" s="141" t="str">
        <f>IF(AND('Matriz riesgos de gestión'!$AD$70="Muy Alta",'Matriz riesgos de gestión'!$AF$70="Leve"),CONCATENATE("R10C",'Matriz riesgos de gestión'!$T$70),"")</f>
        <v/>
      </c>
      <c r="N15" s="141" t="str">
        <f>IF(AND('Matriz riesgos de gestión'!$AD$71="Muy Alta",'Matriz riesgos de gestión'!$AF$71="Leve"),CONCATENATE("R10C",'Matriz riesgos de gestión'!$T$71),"")</f>
        <v/>
      </c>
      <c r="O15" s="142" t="str">
        <f>IF(AND('Matriz riesgos de gestión'!$AD$72="Muy Alta",'Matriz riesgos de gestión'!$AF$72="Leve"),CONCATENATE("R10C",'Matriz riesgos de gestión'!$T$72),"")</f>
        <v/>
      </c>
      <c r="P15" s="134" t="str">
        <f>IF(AND('Matriz riesgos de gestión'!$AD$67="Muy Alta",'Matriz riesgos de gestión'!$AF$67="Menor"),CONCATENATE("R10C",'Matriz riesgos de gestión'!$T$67),"")</f>
        <v/>
      </c>
      <c r="Q15" s="135" t="str">
        <f>IF(AND('Matriz riesgos de gestión'!$AD$68="Muy Alta",'Matriz riesgos de gestión'!$AF$68="Menor"),CONCATENATE("R10C",'Matriz riesgos de gestión'!$T$68),"")</f>
        <v/>
      </c>
      <c r="R15" s="135" t="str">
        <f>IF(AND('Matriz riesgos de gestión'!$AD$69="Muy Alta",'Matriz riesgos de gestión'!$AF$69="Menor"),CONCATENATE("R10C",'Matriz riesgos de gestión'!$T$69),"")</f>
        <v/>
      </c>
      <c r="S15" s="135" t="str">
        <f>IF(AND('Matriz riesgos de gestión'!$AD$70="Muy Alta",'Matriz riesgos de gestión'!$AF$70="Menor"),CONCATENATE("R10C",'Matriz riesgos de gestión'!$T$70),"")</f>
        <v/>
      </c>
      <c r="T15" s="135" t="str">
        <f>IF(AND('Matriz riesgos de gestión'!$AD$71="Muy Alta",'Matriz riesgos de gestión'!$AF$71="Menor"),CONCATENATE("R10C",'Matriz riesgos de gestión'!$T$71),"")</f>
        <v/>
      </c>
      <c r="U15" s="136" t="str">
        <f>IF(AND('Matriz riesgos de gestión'!$AD$72="Muy Alta",'Matriz riesgos de gestión'!$AF$72="Menor"),CONCATENATE("R10C",'Matriz riesgos de gestión'!$T$72),"")</f>
        <v/>
      </c>
      <c r="V15" s="140" t="str">
        <f>IF(AND('Matriz riesgos de gestión'!$AD$67="Muy Alta",'Matriz riesgos de gestión'!$AF$67="Moderado"),CONCATENATE("R10C",'Matriz riesgos de gestión'!$T$67),"")</f>
        <v/>
      </c>
      <c r="W15" s="141" t="str">
        <f>IF(AND('Matriz riesgos de gestión'!$AD$68="Muy Alta",'Matriz riesgos de gestión'!$AF$68="Moderado"),CONCATENATE("R10C",'Matriz riesgos de gestión'!$T$68),"")</f>
        <v/>
      </c>
      <c r="X15" s="141" t="str">
        <f>IF(AND('Matriz riesgos de gestión'!$AD$69="Muy Alta",'Matriz riesgos de gestión'!$AF$69="Moderado"),CONCATENATE("R10C",'Matriz riesgos de gestión'!$T$69),"")</f>
        <v/>
      </c>
      <c r="Y15" s="141" t="str">
        <f>IF(AND('Matriz riesgos de gestión'!$AD$70="Muy Alta",'Matriz riesgos de gestión'!$AF$70="Moderado"),CONCATENATE("R10C",'Matriz riesgos de gestión'!$T$70),"")</f>
        <v/>
      </c>
      <c r="Z15" s="141" t="str">
        <f>IF(AND('Matriz riesgos de gestión'!$AD$71="Muy Alta",'Matriz riesgos de gestión'!$AF$71="Moderado"),CONCATENATE("R10C",'Matriz riesgos de gestión'!$T$71),"")</f>
        <v/>
      </c>
      <c r="AA15" s="142" t="str">
        <f>IF(AND('Matriz riesgos de gestión'!$AD$72="Muy Alta",'Matriz riesgos de gestión'!$AF$72="Moderado"),CONCATENATE("R10C",'Matriz riesgos de gestión'!$T$72),"")</f>
        <v/>
      </c>
      <c r="AB15" s="134" t="str">
        <f>IF(AND('Matriz riesgos de gestión'!$AD$67="Muy Alta",'Matriz riesgos de gestión'!$AF$67="Mayor"),CONCATENATE("R10C",'Matriz riesgos de gestión'!$T$67),"")</f>
        <v/>
      </c>
      <c r="AC15" s="135" t="str">
        <f>IF(AND('Matriz riesgos de gestión'!$AD$68="Muy Alta",'Matriz riesgos de gestión'!$AF$68="Mayor"),CONCATENATE("R10C",'Matriz riesgos de gestión'!$T$68),"")</f>
        <v/>
      </c>
      <c r="AD15" s="135" t="str">
        <f>IF(AND('Matriz riesgos de gestión'!$AD$69="Muy Alta",'Matriz riesgos de gestión'!$AF$69="Mayor"),CONCATENATE("R10C",'Matriz riesgos de gestión'!$T$69),"")</f>
        <v/>
      </c>
      <c r="AE15" s="135" t="str">
        <f>IF(AND('Matriz riesgos de gestión'!$AD$70="Muy Alta",'Matriz riesgos de gestión'!$AF$70="Mayor"),CONCATENATE("R10C",'Matriz riesgos de gestión'!$T$70),"")</f>
        <v/>
      </c>
      <c r="AF15" s="135" t="str">
        <f>IF(AND('Matriz riesgos de gestión'!$AD$71="Muy Alta",'Matriz riesgos de gestión'!$AF$71="Mayor"),CONCATENATE("R10C",'Matriz riesgos de gestión'!$T$71),"")</f>
        <v/>
      </c>
      <c r="AG15" s="136" t="str">
        <f>IF(AND('Matriz riesgos de gestión'!$AD$72="Muy Alta",'Matriz riesgos de gestión'!$AF$72="Mayor"),CONCATENATE("R10C",'Matriz riesgos de gestión'!$T$72),"")</f>
        <v/>
      </c>
      <c r="AH15" s="143" t="str">
        <f>IF(AND('Matriz riesgos de gestión'!$AD$67="Muy Alta",'Matriz riesgos de gestión'!$AF$67="Catastrófico"),CONCATENATE("R10C",'Matriz riesgos de gestión'!$T$67),"")</f>
        <v/>
      </c>
      <c r="AI15" s="144" t="str">
        <f>IF(AND('Matriz riesgos de gestión'!$AD$68="Muy Alta",'Matriz riesgos de gestión'!$AF$68="Catastrófico"),CONCATENATE("R10C",'Matriz riesgos de gestión'!$T$68),"")</f>
        <v/>
      </c>
      <c r="AJ15" s="144" t="str">
        <f>IF(AND('Matriz riesgos de gestión'!$AD$69="Muy Alta",'Matriz riesgos de gestión'!$AF$69="Catastrófico"),CONCATENATE("R10C",'Matriz riesgos de gestión'!$T$69),"")</f>
        <v/>
      </c>
      <c r="AK15" s="144" t="str">
        <f>IF(AND('Matriz riesgos de gestión'!$AD$70="Muy Alta",'Matriz riesgos de gestión'!$AF$70="Catastrófico"),CONCATENATE("R10C",'Matriz riesgos de gestión'!$T$70),"")</f>
        <v/>
      </c>
      <c r="AL15" s="144" t="str">
        <f>IF(AND('Matriz riesgos de gestión'!$AD$71="Muy Alta",'Matriz riesgos de gestión'!$AF$71="Catastrófico"),CONCATENATE("R10C",'Matriz riesgos de gestión'!$T$71),"")</f>
        <v/>
      </c>
      <c r="AM15" s="145" t="str">
        <f>IF(AND('Matriz riesgos de gestión'!$AD$72="Muy Alta",'Matriz riesgos de gestión'!$AF$72="Catastrófico"),CONCATENATE("R10C",'Matriz riesgos de gestión'!$T$72),"")</f>
        <v/>
      </c>
      <c r="AN15" s="115"/>
      <c r="AO15" s="806"/>
      <c r="AP15" s="807"/>
      <c r="AQ15" s="807"/>
      <c r="AR15" s="807"/>
      <c r="AS15" s="807"/>
      <c r="AT15" s="808"/>
      <c r="AU15" s="115"/>
      <c r="AV15" s="115"/>
      <c r="AW15" s="115"/>
      <c r="AX15" s="115"/>
      <c r="AY15" s="115"/>
      <c r="AZ15" s="115"/>
      <c r="BA15" s="115"/>
      <c r="BB15" s="115"/>
      <c r="BC15" s="115"/>
      <c r="BD15" s="115"/>
      <c r="BE15" s="115"/>
      <c r="BF15" s="115"/>
      <c r="BG15" s="115"/>
      <c r="BH15" s="115"/>
      <c r="BI15" s="115"/>
    </row>
    <row r="16" spans="1:61" ht="15" customHeight="1" x14ac:dyDescent="0.25">
      <c r="A16" s="115"/>
      <c r="B16" s="781"/>
      <c r="C16" s="804"/>
      <c r="D16" s="780"/>
      <c r="E16" s="823" t="s">
        <v>5</v>
      </c>
      <c r="F16" s="786"/>
      <c r="G16" s="786"/>
      <c r="H16" s="786"/>
      <c r="I16" s="786"/>
      <c r="J16" s="25" t="str">
        <f>IF(AND('Matriz riesgos de gestión'!$AD$4="Alta",'Matriz riesgos de gestión'!$AF$4="Leve"),CONCATENATE("R1C",'Matriz riesgos de gestión'!$T$4),"")</f>
        <v/>
      </c>
      <c r="K16" s="26" t="str">
        <f>IF(AND('Matriz riesgos de gestión'!$AD$5="Alta",'Matriz riesgos de gestión'!$AF$5="Leve"),CONCATENATE("R1C",'Matriz riesgos de gestión'!$T$5),"")</f>
        <v/>
      </c>
      <c r="L16" s="26" t="str">
        <f>IF(AND('Matriz riesgos de gestión'!$AD$6="Alta",'Matriz riesgos de gestión'!$AF$6="Leve"),CONCATENATE("R1C",'Matriz riesgos de gestión'!$T$6),"")</f>
        <v/>
      </c>
      <c r="M16" s="26" t="str">
        <f>IF(AND('Matriz riesgos de gestión'!$AD$7="Alta",'Matriz riesgos de gestión'!$AF$7="Leve"),CONCATENATE("R1C",'Matriz riesgos de gestión'!$T$7),"")</f>
        <v/>
      </c>
      <c r="N16" s="26" t="str">
        <f>IF(AND('Matriz riesgos de gestión'!$AD$8="Alta",'Matriz riesgos de gestión'!$AF$8="Leve"),CONCATENATE("R1C",'Matriz riesgos de gestión'!$T$8),"")</f>
        <v/>
      </c>
      <c r="O16" s="27" t="str">
        <f>IF(AND('Matriz riesgos de gestión'!$AD$9="Alta",'Matriz riesgos de gestión'!$AF$9="Leve"),CONCATENATE("R1C",'Matriz riesgos de gestión'!$T$9),"")</f>
        <v/>
      </c>
      <c r="P16" s="25" t="str">
        <f>IF(AND('Matriz riesgos de gestión'!$AD$4="Alta",'Matriz riesgos de gestión'!$AF$4="Menor"),CONCATENATE("R1C",'Matriz riesgos de gestión'!$T$4),"")</f>
        <v/>
      </c>
      <c r="Q16" s="26" t="str">
        <f>IF(AND('Matriz riesgos de gestión'!$AD$5="Alta",'Matriz riesgos de gestión'!$AF$5="Menor"),CONCATENATE("R1C",'Matriz riesgos de gestión'!$T$5),"")</f>
        <v/>
      </c>
      <c r="R16" s="26" t="str">
        <f>IF(AND('Matriz riesgos de gestión'!$AD$6="Alta",'Matriz riesgos de gestión'!$AF$6="Menor"),CONCATENATE("R1C",'Matriz riesgos de gestión'!$T$6),"")</f>
        <v/>
      </c>
      <c r="S16" s="26" t="str">
        <f>IF(AND('Matriz riesgos de gestión'!$AD$7="Alta",'Matriz riesgos de gestión'!$AF$7="Menor"),CONCATENATE("R1C",'Matriz riesgos de gestión'!$T$7),"")</f>
        <v/>
      </c>
      <c r="T16" s="26" t="str">
        <f>IF(AND('Matriz riesgos de gestión'!$AD$8="Alta",'Matriz riesgos de gestión'!$AF$8="Menor"),CONCATENATE("R1C",'Matriz riesgos de gestión'!$T$8),"")</f>
        <v/>
      </c>
      <c r="U16" s="27" t="str">
        <f>IF(AND('Matriz riesgos de gestión'!$AD$9="Alta",'Matriz riesgos de gestión'!$AF$9="Menor"),CONCATENATE("R1C",'Matriz riesgos de gestión'!$T$9),"")</f>
        <v/>
      </c>
      <c r="V16" s="19" t="str">
        <f>IF(AND('Matriz riesgos de gestión'!$AD$4="Alta",'Matriz riesgos de gestión'!$AF$4="Moderado"),CONCATENATE("R1C",'Matriz riesgos de gestión'!$T$4),"")</f>
        <v/>
      </c>
      <c r="W16" s="20" t="str">
        <f>IF(AND('Matriz riesgos de gestión'!$AD$5="Alta",'Matriz riesgos de gestión'!$AF$5="Moderado"),CONCATENATE("R1C",'Matriz riesgos de gestión'!$T$5),"")</f>
        <v/>
      </c>
      <c r="X16" s="20" t="str">
        <f>IF(AND('Matriz riesgos de gestión'!$AD$6="Alta",'Matriz riesgos de gestión'!$AF$6="Moderado"),CONCATENATE("R1C",'Matriz riesgos de gestión'!$T$6),"")</f>
        <v/>
      </c>
      <c r="Y16" s="20" t="str">
        <f>IF(AND('Matriz riesgos de gestión'!$AD$7="Alta",'Matriz riesgos de gestión'!$AF$7="Moderado"),CONCATENATE("R1C",'Matriz riesgos de gestión'!$T$7),"")</f>
        <v/>
      </c>
      <c r="Z16" s="20" t="str">
        <f>IF(AND('Matriz riesgos de gestión'!$AD$8="Alta",'Matriz riesgos de gestión'!$AF$8="Moderado"),CONCATENATE("R1C",'Matriz riesgos de gestión'!$T$8),"")</f>
        <v/>
      </c>
      <c r="AA16" s="21" t="str">
        <f>IF(AND('Matriz riesgos de gestión'!$AD$9="Alta",'Matriz riesgos de gestión'!$AF$9="Moderado"),CONCATENATE("R1C",'Matriz riesgos de gestión'!$T$9),"")</f>
        <v/>
      </c>
      <c r="AB16" s="19" t="str">
        <f>IF(AND('Matriz riesgos de gestión'!$AD$4="Alta",'Matriz riesgos de gestión'!$AF$4="Mayor"),CONCATENATE("R1C",'Matriz riesgos de gestión'!$T$4),"")</f>
        <v/>
      </c>
      <c r="AC16" s="20" t="str">
        <f>IF(AND('Matriz riesgos de gestión'!$AD$5="Alta",'Matriz riesgos de gestión'!$AF$5="Mayor"),CONCATENATE("R1C",'Matriz riesgos de gestión'!$T$5),"")</f>
        <v/>
      </c>
      <c r="AD16" s="20" t="str">
        <f>IF(AND('Matriz riesgos de gestión'!$AD$6="Alta",'Matriz riesgos de gestión'!$AF$6="Mayor"),CONCATENATE("R1C",'Matriz riesgos de gestión'!$T$6),"")</f>
        <v/>
      </c>
      <c r="AE16" s="20" t="str">
        <f>IF(AND('Matriz riesgos de gestión'!$AD$7="Alta",'Matriz riesgos de gestión'!$AF$7="Mayor"),CONCATENATE("R1C",'Matriz riesgos de gestión'!$T$7),"")</f>
        <v/>
      </c>
      <c r="AF16" s="20" t="str">
        <f>IF(AND('Matriz riesgos de gestión'!$AD$8="Alta",'Matriz riesgos de gestión'!$AF$8="Mayor"),CONCATENATE("R1C",'Matriz riesgos de gestión'!$T$8),"")</f>
        <v/>
      </c>
      <c r="AG16" s="21" t="str">
        <f>IF(AND('Matriz riesgos de gestión'!$AD$9="Alta",'Matriz riesgos de gestión'!$AF$9="Mayor"),CONCATENATE("R1C",'Matriz riesgos de gestión'!$T$9),"")</f>
        <v/>
      </c>
      <c r="AH16" s="22" t="str">
        <f>IF(AND('Matriz riesgos de gestión'!$AD$4="Alta",'Matriz riesgos de gestión'!$AF$4="Catastrófico"),CONCATENATE("R1C",'Matriz riesgos de gestión'!$T$4),"")</f>
        <v/>
      </c>
      <c r="AI16" s="23" t="str">
        <f>IF(AND('Matriz riesgos de gestión'!$AD$5="Alta",'Matriz riesgos de gestión'!$AF$5="Catastrófico"),CONCATENATE("R1C",'Matriz riesgos de gestión'!$T$5),"")</f>
        <v/>
      </c>
      <c r="AJ16" s="23" t="str">
        <f>IF(AND('Matriz riesgos de gestión'!$AD$6="Alta",'Matriz riesgos de gestión'!$AF$6="Catastrófico"),CONCATENATE("R1C",'Matriz riesgos de gestión'!$T$6),"")</f>
        <v/>
      </c>
      <c r="AK16" s="23" t="str">
        <f>IF(AND('Matriz riesgos de gestión'!$AD$7="Alta",'Matriz riesgos de gestión'!$AF$7="Catastrófico"),CONCATENATE("R1C",'Matriz riesgos de gestión'!$T$7),"")</f>
        <v/>
      </c>
      <c r="AL16" s="23" t="str">
        <f>IF(AND('Matriz riesgos de gestión'!$AD$8="Alta",'Matriz riesgos de gestión'!$AF$8="Catastrófico"),CONCATENATE("R1C",'Matriz riesgos de gestión'!$T$8),"")</f>
        <v/>
      </c>
      <c r="AM16" s="24" t="str">
        <f>IF(AND('Matriz riesgos de gestión'!$AD$9="Alta",'Matriz riesgos de gestión'!$AF$9="Catastrófico"),CONCATENATE("R1C",'Matriz riesgos de gestión'!$T$9),"")</f>
        <v/>
      </c>
      <c r="AN16" s="115"/>
      <c r="AO16" s="819" t="s">
        <v>6</v>
      </c>
      <c r="AP16" s="801"/>
      <c r="AQ16" s="801"/>
      <c r="AR16" s="801"/>
      <c r="AS16" s="801"/>
      <c r="AT16" s="802"/>
      <c r="AU16" s="115"/>
      <c r="AV16" s="115"/>
      <c r="AW16" s="115"/>
      <c r="AX16" s="115"/>
      <c r="AY16" s="115"/>
      <c r="AZ16" s="115"/>
      <c r="BA16" s="115"/>
      <c r="BB16" s="115"/>
      <c r="BC16" s="115"/>
      <c r="BD16" s="115"/>
      <c r="BE16" s="115"/>
      <c r="BF16" s="115"/>
      <c r="BG16" s="115"/>
      <c r="BH16" s="115"/>
      <c r="BI16" s="115"/>
    </row>
    <row r="17" spans="1:61" ht="15" customHeight="1" x14ac:dyDescent="0.25">
      <c r="A17" s="115"/>
      <c r="B17" s="781"/>
      <c r="C17" s="804"/>
      <c r="D17" s="780"/>
      <c r="E17" s="783"/>
      <c r="F17" s="804"/>
      <c r="G17" s="804"/>
      <c r="H17" s="804"/>
      <c r="I17" s="804"/>
      <c r="J17" s="146" t="str">
        <f>IF(AND('Matriz riesgos de gestión'!$AD$15="Alta",'Matriz riesgos de gestión'!$AF$15="Leve"),CONCATENATE("R2C",'Matriz riesgos de gestión'!$T$15),"")</f>
        <v/>
      </c>
      <c r="K17" s="147" t="str">
        <f>IF(AND('Matriz riesgos de gestión'!$AD$16="Alta",'Matriz riesgos de gestión'!$AF$16="Leve"),CONCATENATE("R2C",'Matriz riesgos de gestión'!$T$16),"")</f>
        <v/>
      </c>
      <c r="L17" s="147" t="str">
        <f>IF(AND('Matriz riesgos de gestión'!$AD$17="Alta",'Matriz riesgos de gestión'!$AF$17="Leve"),CONCATENATE("R2C",'Matriz riesgos de gestión'!$T$17),"")</f>
        <v/>
      </c>
      <c r="M17" s="147" t="str">
        <f>IF(AND('Matriz riesgos de gestión'!$AD$22="Alta",'Matriz riesgos de gestión'!$AF$22="Leve"),CONCATENATE("R2C",'Matriz riesgos de gestión'!$T$22),"")</f>
        <v/>
      </c>
      <c r="N17" s="147" t="str">
        <f>IF(AND('Matriz riesgos de gestión'!$AD$23="Alta",'Matriz riesgos de gestión'!$AF$23="Leve"),CONCATENATE("R2C",'Matriz riesgos de gestión'!$T$23),"")</f>
        <v/>
      </c>
      <c r="O17" s="148" t="str">
        <f>IF(AND('Matriz riesgos de gestión'!$AD$24="Alta",'Matriz riesgos de gestión'!$AF$24="Leve"),CONCATENATE("R2C",'Matriz riesgos de gestión'!$T$24),"")</f>
        <v/>
      </c>
      <c r="P17" s="146" t="str">
        <f>IF(AND('Matriz riesgos de gestión'!$AD$15="Alta",'Matriz riesgos de gestión'!$AF$15="Menor"),CONCATENATE("R2C",'Matriz riesgos de gestión'!$T$15),"")</f>
        <v/>
      </c>
      <c r="Q17" s="147" t="str">
        <f>IF(AND('Matriz riesgos de gestión'!$AD$16="Alta",'Matriz riesgos de gestión'!$AF$16="Menor"),CONCATENATE("R2C",'Matriz riesgos de gestión'!$T$16),"")</f>
        <v/>
      </c>
      <c r="R17" s="147" t="str">
        <f>IF(AND('Matriz riesgos de gestión'!$AD$17="Alta",'Matriz riesgos de gestión'!$AF$17="Menor"),CONCATENATE("R2C",'Matriz riesgos de gestión'!$T$17),"")</f>
        <v/>
      </c>
      <c r="S17" s="147" t="str">
        <f>IF(AND('Matriz riesgos de gestión'!$AD$22="Alta",'Matriz riesgos de gestión'!$AF$22="Menor"),CONCATENATE("R2C",'Matriz riesgos de gestión'!$T$22),"")</f>
        <v/>
      </c>
      <c r="T17" s="147" t="str">
        <f>IF(AND('Matriz riesgos de gestión'!$AD$23="Alta",'Matriz riesgos de gestión'!$AF$23="Menor"),CONCATENATE("R2C",'Matriz riesgos de gestión'!$T$23),"")</f>
        <v/>
      </c>
      <c r="U17" s="148" t="str">
        <f>IF(AND('Matriz riesgos de gestión'!$AD$24="Alta",'Matriz riesgos de gestión'!$AF$24="Menor"),CONCATENATE("R2C",'Matriz riesgos de gestión'!$T$24),"")</f>
        <v/>
      </c>
      <c r="V17" s="134" t="str">
        <f>IF(AND('Matriz riesgos de gestión'!$AD$15="Alta",'Matriz riesgos de gestión'!$AF$15="Moderado"),CONCATENATE("R2C",'Matriz riesgos de gestión'!$T$15),"")</f>
        <v/>
      </c>
      <c r="W17" s="135" t="str">
        <f>IF(AND('Matriz riesgos de gestión'!$AD$16="Alta",'Matriz riesgos de gestión'!$AF$16="Moderado"),CONCATENATE("R2C",'Matriz riesgos de gestión'!$T$16),"")</f>
        <v/>
      </c>
      <c r="X17" s="135" t="str">
        <f>IF(AND('Matriz riesgos de gestión'!$AD$17="Alta",'Matriz riesgos de gestión'!$AF$17="Moderado"),CONCATENATE("R2C",'Matriz riesgos de gestión'!$T$17),"")</f>
        <v/>
      </c>
      <c r="Y17" s="135" t="str">
        <f>IF(AND('Matriz riesgos de gestión'!$AD$22="Alta",'Matriz riesgos de gestión'!$AF$22="Moderado"),CONCATENATE("R2C",'Matriz riesgos de gestión'!$T$22),"")</f>
        <v/>
      </c>
      <c r="Z17" s="135" t="str">
        <f>IF(AND('Matriz riesgos de gestión'!$AD$23="Alta",'Matriz riesgos de gestión'!$AF$23="Moderado"),CONCATENATE("R2C",'Matriz riesgos de gestión'!$T$23),"")</f>
        <v/>
      </c>
      <c r="AA17" s="136" t="str">
        <f>IF(AND('Matriz riesgos de gestión'!$AD$24="Alta",'Matriz riesgos de gestión'!$AF$24="Moderado"),CONCATENATE("R2C",'Matriz riesgos de gestión'!$T$24),"")</f>
        <v/>
      </c>
      <c r="AB17" s="134" t="str">
        <f>IF(AND('Matriz riesgos de gestión'!$AD$15="Alta",'Matriz riesgos de gestión'!$AF$15="Mayor"),CONCATENATE("R2C",'Matriz riesgos de gestión'!$T$15),"")</f>
        <v/>
      </c>
      <c r="AC17" s="135" t="str">
        <f>IF(AND('Matriz riesgos de gestión'!$AD$16="Alta",'Matriz riesgos de gestión'!$AF$16="Mayor"),CONCATENATE("R2C",'Matriz riesgos de gestión'!$T$16),"")</f>
        <v/>
      </c>
      <c r="AD17" s="135" t="str">
        <f>IF(AND('Matriz riesgos de gestión'!$AD$17="Alta",'Matriz riesgos de gestión'!$AF$17="Mayor"),CONCATENATE("R2C",'Matriz riesgos de gestión'!$T$17),"")</f>
        <v/>
      </c>
      <c r="AE17" s="135" t="str">
        <f>IF(AND('Matriz riesgos de gestión'!$AD$22="Alta",'Matriz riesgos de gestión'!$AF$22="Mayor"),CONCATENATE("R2C",'Matriz riesgos de gestión'!$T$22),"")</f>
        <v/>
      </c>
      <c r="AF17" s="135" t="str">
        <f>IF(AND('Matriz riesgos de gestión'!$AD$23="Alta",'Matriz riesgos de gestión'!$AF$23="Mayor"),CONCATENATE("R2C",'Matriz riesgos de gestión'!$T$23),"")</f>
        <v/>
      </c>
      <c r="AG17" s="136" t="str">
        <f>IF(AND('Matriz riesgos de gestión'!$AD$24="Alta",'Matriz riesgos de gestión'!$AF$24="Mayor"),CONCATENATE("R2C",'Matriz riesgos de gestión'!$T$24),"")</f>
        <v/>
      </c>
      <c r="AH17" s="137" t="str">
        <f>IF(AND('Matriz riesgos de gestión'!$AD$15="Alta",'Matriz riesgos de gestión'!$AF$15="Catastrófico"),CONCATENATE("R2C",'Matriz riesgos de gestión'!$T$15),"")</f>
        <v/>
      </c>
      <c r="AI17" s="138" t="str">
        <f>IF(AND('Matriz riesgos de gestión'!$AD$16="Alta",'Matriz riesgos de gestión'!$AF$16="Catastrófico"),CONCATENATE("R2C",'Matriz riesgos de gestión'!$T$16),"")</f>
        <v/>
      </c>
      <c r="AJ17" s="138" t="str">
        <f>IF(AND('Matriz riesgos de gestión'!$AD$17="Alta",'Matriz riesgos de gestión'!$AF$17="Catastrófico"),CONCATENATE("R2C",'Matriz riesgos de gestión'!$T$17),"")</f>
        <v/>
      </c>
      <c r="AK17" s="138" t="str">
        <f>IF(AND('Matriz riesgos de gestión'!$AD$22="Alta",'Matriz riesgos de gestión'!$AF$22="Catastrófico"),CONCATENATE("R2C",'Matriz riesgos de gestión'!$T$22),"")</f>
        <v/>
      </c>
      <c r="AL17" s="138" t="str">
        <f>IF(AND('Matriz riesgos de gestión'!$AD$23="Alta",'Matriz riesgos de gestión'!$AF$23="Catastrófico"),CONCATENATE("R2C",'Matriz riesgos de gestión'!$T$23),"")</f>
        <v/>
      </c>
      <c r="AM17" s="139" t="str">
        <f>IF(AND('Matriz riesgos de gestión'!$AD$24="Alta",'Matriz riesgos de gestión'!$AF$24="Catastrófico"),CONCATENATE("R2C",'Matriz riesgos de gestión'!$T$24),"")</f>
        <v/>
      </c>
      <c r="AN17" s="115"/>
      <c r="AO17" s="803"/>
      <c r="AP17" s="804"/>
      <c r="AQ17" s="804"/>
      <c r="AR17" s="804"/>
      <c r="AS17" s="804"/>
      <c r="AT17" s="805"/>
      <c r="AU17" s="115"/>
      <c r="AV17" s="115"/>
      <c r="AW17" s="115"/>
      <c r="AX17" s="115"/>
      <c r="AY17" s="115"/>
      <c r="AZ17" s="115"/>
      <c r="BA17" s="115"/>
      <c r="BB17" s="115"/>
      <c r="BC17" s="115"/>
      <c r="BD17" s="115"/>
      <c r="BE17" s="115"/>
      <c r="BF17" s="115"/>
      <c r="BG17" s="115"/>
      <c r="BH17" s="115"/>
      <c r="BI17" s="115"/>
    </row>
    <row r="18" spans="1:61" ht="15" customHeight="1" x14ac:dyDescent="0.25">
      <c r="A18" s="115"/>
      <c r="B18" s="781"/>
      <c r="C18" s="804"/>
      <c r="D18" s="780"/>
      <c r="E18" s="783"/>
      <c r="F18" s="804"/>
      <c r="G18" s="804"/>
      <c r="H18" s="804"/>
      <c r="I18" s="804"/>
      <c r="J18" s="146" t="str">
        <f>IF(AND('Matriz riesgos de gestión'!$AD$25="Alta",'Matriz riesgos de gestión'!$AF$25="Leve"),CONCATENATE("R3C",'Matriz riesgos de gestión'!$T$25),"")</f>
        <v/>
      </c>
      <c r="K18" s="147" t="str">
        <f>IF(AND('Matriz riesgos de gestión'!$AD$26="Alta",'Matriz riesgos de gestión'!$AF$26="Leve"),CONCATENATE("R3C",'Matriz riesgos de gestión'!$T$26),"")</f>
        <v/>
      </c>
      <c r="L18" s="147" t="str">
        <f>IF(AND('Matriz riesgos de gestión'!$AD$27="Alta",'Matriz riesgos de gestión'!$AF$27="Leve"),CONCATENATE("R3C",'Matriz riesgos de gestión'!$T$27),"")</f>
        <v/>
      </c>
      <c r="M18" s="147" t="str">
        <f>IF(AND('Matriz riesgos de gestión'!$AD$28="Alta",'Matriz riesgos de gestión'!$AF$28="Leve"),CONCATENATE("R3C",'Matriz riesgos de gestión'!$T$28),"")</f>
        <v/>
      </c>
      <c r="N18" s="147" t="str">
        <f>IF(AND('Matriz riesgos de gestión'!$AD$29="Alta",'Matriz riesgos de gestión'!$AF$29="Leve"),CONCATENATE("R3C",'Matriz riesgos de gestión'!$T$29),"")</f>
        <v/>
      </c>
      <c r="O18" s="148" t="str">
        <f>IF(AND('Matriz riesgos de gestión'!$AD$30="Alta",'Matriz riesgos de gestión'!$AF$30="Leve"),CONCATENATE("R3C",'Matriz riesgos de gestión'!$T$30),"")</f>
        <v/>
      </c>
      <c r="P18" s="146" t="str">
        <f>IF(AND('Matriz riesgos de gestión'!$AD$25="Alta",'Matriz riesgos de gestión'!$AF$25="Menor"),CONCATENATE("R3C",'Matriz riesgos de gestión'!$T$25),"")</f>
        <v/>
      </c>
      <c r="Q18" s="147" t="str">
        <f>IF(AND('Matriz riesgos de gestión'!$AD$26="Alta",'Matriz riesgos de gestión'!$AF$26="Menor"),CONCATENATE("R3C",'Matriz riesgos de gestión'!$T$26),"")</f>
        <v/>
      </c>
      <c r="R18" s="147" t="str">
        <f>IF(AND('Matriz riesgos de gestión'!$AD$27="Alta",'Matriz riesgos de gestión'!$AF$27="Menor"),CONCATENATE("R3C",'Matriz riesgos de gestión'!$T$27),"")</f>
        <v/>
      </c>
      <c r="S18" s="147" t="str">
        <f>IF(AND('Matriz riesgos de gestión'!$AD$28="Alta",'Matriz riesgos de gestión'!$AF$28="Menor"),CONCATENATE("R3C",'Matriz riesgos de gestión'!$T$28),"")</f>
        <v/>
      </c>
      <c r="T18" s="147" t="str">
        <f>IF(AND('Matriz riesgos de gestión'!$AD$29="Alta",'Matriz riesgos de gestión'!$AF$29="Menor"),CONCATENATE("R3C",'Matriz riesgos de gestión'!$T$29),"")</f>
        <v/>
      </c>
      <c r="U18" s="148" t="str">
        <f>IF(AND('Matriz riesgos de gestión'!$AD$30="Alta",'Matriz riesgos de gestión'!$AF$30="Menor"),CONCATENATE("R3C",'Matriz riesgos de gestión'!$T$30),"")</f>
        <v/>
      </c>
      <c r="V18" s="134" t="str">
        <f>IF(AND('Matriz riesgos de gestión'!$AD$25="Alta",'Matriz riesgos de gestión'!$AF$25="Moderado"),CONCATENATE("R3C",'Matriz riesgos de gestión'!$T$25),"")</f>
        <v/>
      </c>
      <c r="W18" s="135" t="str">
        <f>IF(AND('Matriz riesgos de gestión'!$AD$26="Alta",'Matriz riesgos de gestión'!$AF$26="Moderado"),CONCATENATE("R3C",'Matriz riesgos de gestión'!$T$26),"")</f>
        <v/>
      </c>
      <c r="X18" s="135" t="str">
        <f>IF(AND('Matriz riesgos de gestión'!$AD$27="Alta",'Matriz riesgos de gestión'!$AF$27="Moderado"),CONCATENATE("R3C",'Matriz riesgos de gestión'!$T$27),"")</f>
        <v/>
      </c>
      <c r="Y18" s="135" t="str">
        <f>IF(AND('Matriz riesgos de gestión'!$AD$28="Alta",'Matriz riesgos de gestión'!$AF$28="Moderado"),CONCATENATE("R3C",'Matriz riesgos de gestión'!$T$28),"")</f>
        <v/>
      </c>
      <c r="Z18" s="135" t="str">
        <f>IF(AND('Matriz riesgos de gestión'!$AD$29="Alta",'Matriz riesgos de gestión'!$AF$29="Moderado"),CONCATENATE("R3C",'Matriz riesgos de gestión'!$T$29),"")</f>
        <v/>
      </c>
      <c r="AA18" s="136" t="str">
        <f>IF(AND('Matriz riesgos de gestión'!$AD$30="Alta",'Matriz riesgos de gestión'!$AF$30="Moderado"),CONCATENATE("R3C",'Matriz riesgos de gestión'!$T$30),"")</f>
        <v/>
      </c>
      <c r="AB18" s="134" t="str">
        <f>IF(AND('Matriz riesgos de gestión'!$AD$25="Alta",'Matriz riesgos de gestión'!$AF$25="Mayor"),CONCATENATE("R3C",'Matriz riesgos de gestión'!$T$25),"")</f>
        <v/>
      </c>
      <c r="AC18" s="135" t="str">
        <f>IF(AND('Matriz riesgos de gestión'!$AD$26="Alta",'Matriz riesgos de gestión'!$AF$26="Mayor"),CONCATENATE("R3C",'Matriz riesgos de gestión'!$T$26),"")</f>
        <v/>
      </c>
      <c r="AD18" s="135" t="str">
        <f>IF(AND('Matriz riesgos de gestión'!$AD$27="Alta",'Matriz riesgos de gestión'!$AF$27="Mayor"),CONCATENATE("R3C",'Matriz riesgos de gestión'!$T$27),"")</f>
        <v/>
      </c>
      <c r="AE18" s="135" t="str">
        <f>IF(AND('Matriz riesgos de gestión'!$AD$28="Alta",'Matriz riesgos de gestión'!$AF$28="Mayor"),CONCATENATE("R3C",'Matriz riesgos de gestión'!$T$28),"")</f>
        <v/>
      </c>
      <c r="AF18" s="135" t="str">
        <f>IF(AND('Matriz riesgos de gestión'!$AD$29="Alta",'Matriz riesgos de gestión'!$AF$29="Mayor"),CONCATENATE("R3C",'Matriz riesgos de gestión'!$T$29),"")</f>
        <v/>
      </c>
      <c r="AG18" s="136" t="str">
        <f>IF(AND('Matriz riesgos de gestión'!$AD$30="Alta",'Matriz riesgos de gestión'!$AF$30="Mayor"),CONCATENATE("R3C",'Matriz riesgos de gestión'!$T$30),"")</f>
        <v/>
      </c>
      <c r="AH18" s="137" t="str">
        <f>IF(AND('Matriz riesgos de gestión'!$AD$25="Alta",'Matriz riesgos de gestión'!$AF$25="Catastrófico"),CONCATENATE("R3C",'Matriz riesgos de gestión'!$T$25),"")</f>
        <v/>
      </c>
      <c r="AI18" s="138" t="str">
        <f>IF(AND('Matriz riesgos de gestión'!$AD$26="Alta",'Matriz riesgos de gestión'!$AF$26="Catastrófico"),CONCATENATE("R3C",'Matriz riesgos de gestión'!$T$26),"")</f>
        <v/>
      </c>
      <c r="AJ18" s="138" t="str">
        <f>IF(AND('Matriz riesgos de gestión'!$AD$27="Alta",'Matriz riesgos de gestión'!$AF$27="Catastrófico"),CONCATENATE("R3C",'Matriz riesgos de gestión'!$T$27),"")</f>
        <v/>
      </c>
      <c r="AK18" s="138" t="str">
        <f>IF(AND('Matriz riesgos de gestión'!$AD$28="Alta",'Matriz riesgos de gestión'!$AF$28="Catastrófico"),CONCATENATE("R3C",'Matriz riesgos de gestión'!$T$28),"")</f>
        <v/>
      </c>
      <c r="AL18" s="138" t="str">
        <f>IF(AND('Matriz riesgos de gestión'!$AD$29="Alta",'Matriz riesgos de gestión'!$AF$29="Catastrófico"),CONCATENATE("R3C",'Matriz riesgos de gestión'!$T$29),"")</f>
        <v/>
      </c>
      <c r="AM18" s="139" t="str">
        <f>IF(AND('Matriz riesgos de gestión'!$AD$30="Alta",'Matriz riesgos de gestión'!$AF$30="Catastrófico"),CONCATENATE("R3C",'Matriz riesgos de gestión'!$T$30),"")</f>
        <v/>
      </c>
      <c r="AN18" s="115"/>
      <c r="AO18" s="803"/>
      <c r="AP18" s="804"/>
      <c r="AQ18" s="804"/>
      <c r="AR18" s="804"/>
      <c r="AS18" s="804"/>
      <c r="AT18" s="805"/>
      <c r="AU18" s="115"/>
      <c r="AV18" s="115"/>
      <c r="AW18" s="115"/>
      <c r="AX18" s="115"/>
      <c r="AY18" s="115"/>
      <c r="AZ18" s="115"/>
      <c r="BA18" s="115"/>
      <c r="BB18" s="115"/>
      <c r="BC18" s="115"/>
      <c r="BD18" s="115"/>
      <c r="BE18" s="115"/>
      <c r="BF18" s="115"/>
      <c r="BG18" s="115"/>
      <c r="BH18" s="115"/>
      <c r="BI18" s="115"/>
    </row>
    <row r="19" spans="1:61" ht="15" customHeight="1" x14ac:dyDescent="0.25">
      <c r="A19" s="115"/>
      <c r="B19" s="781"/>
      <c r="C19" s="804"/>
      <c r="D19" s="780"/>
      <c r="E19" s="783"/>
      <c r="F19" s="804"/>
      <c r="G19" s="804"/>
      <c r="H19" s="804"/>
      <c r="I19" s="804"/>
      <c r="J19" s="146" t="str">
        <f>IF(AND('Matriz riesgos de gestión'!$AD$31="Alta",'Matriz riesgos de gestión'!$AF$31="Leve"),CONCATENATE("R4C",'Matriz riesgos de gestión'!$T$31),"")</f>
        <v/>
      </c>
      <c r="K19" s="147" t="str">
        <f>IF(AND('Matriz riesgos de gestión'!$AD$32="Alta",'Matriz riesgos de gestión'!$AF$32="Leve"),CONCATENATE("R4C",'Matriz riesgos de gestión'!$T$32),"")</f>
        <v/>
      </c>
      <c r="L19" s="147" t="str">
        <f>IF(AND('Matriz riesgos de gestión'!$AD$33="Alta",'Matriz riesgos de gestión'!$AF$33="Leve"),CONCATENATE("R4C",'Matriz riesgos de gestión'!$T$33),"")</f>
        <v/>
      </c>
      <c r="M19" s="147" t="str">
        <f>IF(AND('Matriz riesgos de gestión'!$AD$34="Alta",'Matriz riesgos de gestión'!$AF$34="Leve"),CONCATENATE("R4C",'Matriz riesgos de gestión'!$T$34),"")</f>
        <v/>
      </c>
      <c r="N19" s="147" t="str">
        <f>IF(AND('Matriz riesgos de gestión'!$AD$35="Alta",'Matriz riesgos de gestión'!$AF$35="Leve"),CONCATENATE("R4C",'Matriz riesgos de gestión'!$T$35),"")</f>
        <v/>
      </c>
      <c r="O19" s="148" t="str">
        <f>IF(AND('Matriz riesgos de gestión'!$AD$36="Alta",'Matriz riesgos de gestión'!$AF$36="Leve"),CONCATENATE("R4C",'Matriz riesgos de gestión'!$T$36),"")</f>
        <v/>
      </c>
      <c r="P19" s="146" t="str">
        <f>IF(AND('Matriz riesgos de gestión'!$AD$31="Alta",'Matriz riesgos de gestión'!$AF$31="Menor"),CONCATENATE("R4C",'Matriz riesgos de gestión'!$T$31),"")</f>
        <v/>
      </c>
      <c r="Q19" s="147" t="str">
        <f>IF(AND('Matriz riesgos de gestión'!$AD$32="Alta",'Matriz riesgos de gestión'!$AF$32="Menor"),CONCATENATE("R4C",'Matriz riesgos de gestión'!$T$32),"")</f>
        <v/>
      </c>
      <c r="R19" s="147" t="str">
        <f>IF(AND('Matriz riesgos de gestión'!$AD$33="Alta",'Matriz riesgos de gestión'!$AF$33="Menor"),CONCATENATE("R4C",'Matriz riesgos de gestión'!$T$33),"")</f>
        <v/>
      </c>
      <c r="S19" s="147" t="str">
        <f>IF(AND('Matriz riesgos de gestión'!$AD$34="Alta",'Matriz riesgos de gestión'!$AF$34="Menor"),CONCATENATE("R4C",'Matriz riesgos de gestión'!$T$34),"")</f>
        <v/>
      </c>
      <c r="T19" s="147" t="str">
        <f>IF(AND('Matriz riesgos de gestión'!$AD$35="Alta",'Matriz riesgos de gestión'!$AF$35="Menor"),CONCATENATE("R4C",'Matriz riesgos de gestión'!$T$35),"")</f>
        <v/>
      </c>
      <c r="U19" s="148" t="str">
        <f>IF(AND('Matriz riesgos de gestión'!$AD$36="Alta",'Matriz riesgos de gestión'!$AF$36="Menor"),CONCATENATE("R4C",'Matriz riesgos de gestión'!$T$36),"")</f>
        <v/>
      </c>
      <c r="V19" s="134" t="str">
        <f>IF(AND('Matriz riesgos de gestión'!$AD$31="Alta",'Matriz riesgos de gestión'!$AF$31="Moderado"),CONCATENATE("R4C",'Matriz riesgos de gestión'!$T$31),"")</f>
        <v/>
      </c>
      <c r="W19" s="135" t="str">
        <f>IF(AND('Matriz riesgos de gestión'!$AD$32="Alta",'Matriz riesgos de gestión'!$AF$32="Moderado"),CONCATENATE("R4C",'Matriz riesgos de gestión'!$T$32),"")</f>
        <v/>
      </c>
      <c r="X19" s="135" t="str">
        <f>IF(AND('Matriz riesgos de gestión'!$AD$33="Alta",'Matriz riesgos de gestión'!$AF$33="Moderado"),CONCATENATE("R4C",'Matriz riesgos de gestión'!$T$33),"")</f>
        <v/>
      </c>
      <c r="Y19" s="135" t="str">
        <f>IF(AND('Matriz riesgos de gestión'!$AD$34="Alta",'Matriz riesgos de gestión'!$AF$34="Moderado"),CONCATENATE("R4C",'Matriz riesgos de gestión'!$T$34),"")</f>
        <v/>
      </c>
      <c r="Z19" s="135" t="str">
        <f>IF(AND('Matriz riesgos de gestión'!$AD$35="Alta",'Matriz riesgos de gestión'!$AF$35="Moderado"),CONCATENATE("R4C",'Matriz riesgos de gestión'!$T$35),"")</f>
        <v/>
      </c>
      <c r="AA19" s="136" t="str">
        <f>IF(AND('Matriz riesgos de gestión'!$AD$36="Alta",'Matriz riesgos de gestión'!$AF$36="Moderado"),CONCATENATE("R4C",'Matriz riesgos de gestión'!$T$36),"")</f>
        <v/>
      </c>
      <c r="AB19" s="134" t="str">
        <f>IF(AND('Matriz riesgos de gestión'!$AD$31="Alta",'Matriz riesgos de gestión'!$AF$31="Mayor"),CONCATENATE("R4C",'Matriz riesgos de gestión'!$T$31),"")</f>
        <v/>
      </c>
      <c r="AC19" s="135" t="str">
        <f>IF(AND('Matriz riesgos de gestión'!$AD$32="Alta",'Matriz riesgos de gestión'!$AF$32="Mayor"),CONCATENATE("R4C",'Matriz riesgos de gestión'!$T$32),"")</f>
        <v/>
      </c>
      <c r="AD19" s="135" t="str">
        <f>IF(AND('Matriz riesgos de gestión'!$AD$33="Alta",'Matriz riesgos de gestión'!$AF$33="Mayor"),CONCATENATE("R4C",'Matriz riesgos de gestión'!$T$33),"")</f>
        <v/>
      </c>
      <c r="AE19" s="135" t="str">
        <f>IF(AND('Matriz riesgos de gestión'!$AD$34="Alta",'Matriz riesgos de gestión'!$AF$34="Mayor"),CONCATENATE("R4C",'Matriz riesgos de gestión'!$T$34),"")</f>
        <v/>
      </c>
      <c r="AF19" s="135" t="str">
        <f>IF(AND('Matriz riesgos de gestión'!$AD$35="Alta",'Matriz riesgos de gestión'!$AF$35="Mayor"),CONCATENATE("R4C",'Matriz riesgos de gestión'!$T$35),"")</f>
        <v/>
      </c>
      <c r="AG19" s="136" t="str">
        <f>IF(AND('Matriz riesgos de gestión'!$AD$36="Alta",'Matriz riesgos de gestión'!$AF$36="Mayor"),CONCATENATE("R4C",'Matriz riesgos de gestión'!$T$36),"")</f>
        <v/>
      </c>
      <c r="AH19" s="137" t="str">
        <f>IF(AND('Matriz riesgos de gestión'!$AD$31="Alta",'Matriz riesgos de gestión'!$AF$31="Catastrófico"),CONCATENATE("R4C",'Matriz riesgos de gestión'!$T$31),"")</f>
        <v/>
      </c>
      <c r="AI19" s="138" t="str">
        <f>IF(AND('Matriz riesgos de gestión'!$AD$32="Alta",'Matriz riesgos de gestión'!$AF$32="Catastrófico"),CONCATENATE("R4C",'Matriz riesgos de gestión'!$T$32),"")</f>
        <v/>
      </c>
      <c r="AJ19" s="138" t="str">
        <f>IF(AND('Matriz riesgos de gestión'!$AD$33="Alta",'Matriz riesgos de gestión'!$AF$33="Catastrófico"),CONCATENATE("R4C",'Matriz riesgos de gestión'!$T$33),"")</f>
        <v/>
      </c>
      <c r="AK19" s="138" t="str">
        <f>IF(AND('Matriz riesgos de gestión'!$AD$34="Alta",'Matriz riesgos de gestión'!$AF$34="Catastrófico"),CONCATENATE("R4C",'Matriz riesgos de gestión'!$T$34),"")</f>
        <v/>
      </c>
      <c r="AL19" s="138" t="str">
        <f>IF(AND('Matriz riesgos de gestión'!$AD$35="Alta",'Matriz riesgos de gestión'!$AF$35="Catastrófico"),CONCATENATE("R4C",'Matriz riesgos de gestión'!$T$35),"")</f>
        <v/>
      </c>
      <c r="AM19" s="139" t="str">
        <f>IF(AND('Matriz riesgos de gestión'!$AD$36="Alta",'Matriz riesgos de gestión'!$AF$36="Catastrófico"),CONCATENATE("R4C",'Matriz riesgos de gestión'!$T$36),"")</f>
        <v/>
      </c>
      <c r="AN19" s="115"/>
      <c r="AO19" s="803"/>
      <c r="AP19" s="804"/>
      <c r="AQ19" s="804"/>
      <c r="AR19" s="804"/>
      <c r="AS19" s="804"/>
      <c r="AT19" s="805"/>
      <c r="AU19" s="115"/>
      <c r="AV19" s="115"/>
      <c r="AW19" s="115"/>
      <c r="AX19" s="115"/>
      <c r="AY19" s="115"/>
      <c r="AZ19" s="115"/>
      <c r="BA19" s="115"/>
      <c r="BB19" s="115"/>
      <c r="BC19" s="115"/>
      <c r="BD19" s="115"/>
      <c r="BE19" s="115"/>
      <c r="BF19" s="115"/>
      <c r="BG19" s="115"/>
      <c r="BH19" s="115"/>
      <c r="BI19" s="115"/>
    </row>
    <row r="20" spans="1:61" ht="15" customHeight="1" x14ac:dyDescent="0.25">
      <c r="A20" s="115"/>
      <c r="B20" s="781"/>
      <c r="C20" s="804"/>
      <c r="D20" s="780"/>
      <c r="E20" s="783"/>
      <c r="F20" s="804"/>
      <c r="G20" s="804"/>
      <c r="H20" s="804"/>
      <c r="I20" s="804"/>
      <c r="J20" s="146" t="str">
        <f>IF(AND('Matriz riesgos de gestión'!$AD$37="Alta",'Matriz riesgos de gestión'!$AF$37="Leve"),CONCATENATE("R5C",'Matriz riesgos de gestión'!$T$37),"")</f>
        <v/>
      </c>
      <c r="K20" s="147" t="str">
        <f>IF(AND('Matriz riesgos de gestión'!$AD$38="Alta",'Matriz riesgos de gestión'!$AF$38="Leve"),CONCATENATE("R5C",'Matriz riesgos de gestión'!$T$38),"")</f>
        <v/>
      </c>
      <c r="L20" s="147" t="str">
        <f>IF(AND('Matriz riesgos de gestión'!$AD$39="Alta",'Matriz riesgos de gestión'!$AF$39="Leve"),CONCATENATE("R5C",'Matriz riesgos de gestión'!$T$39),"")</f>
        <v/>
      </c>
      <c r="M20" s="147" t="str">
        <f>IF(AND('Matriz riesgos de gestión'!$AD$40="Alta",'Matriz riesgos de gestión'!$AF$40="Leve"),CONCATENATE("R5C",'Matriz riesgos de gestión'!$T$40),"")</f>
        <v/>
      </c>
      <c r="N20" s="147" t="str">
        <f>IF(AND('Matriz riesgos de gestión'!$AD$41="Alta",'Matriz riesgos de gestión'!$AF$41="Leve"),CONCATENATE("R5C",'Matriz riesgos de gestión'!$T$41),"")</f>
        <v/>
      </c>
      <c r="O20" s="148" t="str">
        <f>IF(AND('Matriz riesgos de gestión'!$AD$42="Alta",'Matriz riesgos de gestión'!$AF$42="Leve"),CONCATENATE("R5C",'Matriz riesgos de gestión'!$T$42),"")</f>
        <v/>
      </c>
      <c r="P20" s="146" t="str">
        <f>IF(AND('Matriz riesgos de gestión'!$AD$37="Alta",'Matriz riesgos de gestión'!$AF$37="Menor"),CONCATENATE("R5C",'Matriz riesgos de gestión'!$T$37),"")</f>
        <v/>
      </c>
      <c r="Q20" s="147" t="str">
        <f>IF(AND('Matriz riesgos de gestión'!$AD$38="Alta",'Matriz riesgos de gestión'!$AF$38="Menor"),CONCATENATE("R5C",'Matriz riesgos de gestión'!$T$38),"")</f>
        <v/>
      </c>
      <c r="R20" s="147" t="str">
        <f>IF(AND('Matriz riesgos de gestión'!$AD$39="Alta",'Matriz riesgos de gestión'!$AF$39="Menor"),CONCATENATE("R5C",'Matriz riesgos de gestión'!$T$39),"")</f>
        <v/>
      </c>
      <c r="S20" s="147" t="str">
        <f>IF(AND('Matriz riesgos de gestión'!$AD$40="Alta",'Matriz riesgos de gestión'!$AF$40="Menor"),CONCATENATE("R5C",'Matriz riesgos de gestión'!$T$40),"")</f>
        <v/>
      </c>
      <c r="T20" s="147" t="str">
        <f>IF(AND('Matriz riesgos de gestión'!$AD$41="Alta",'Matriz riesgos de gestión'!$AF$41="Menor"),CONCATENATE("R5C",'Matriz riesgos de gestión'!$T$41),"")</f>
        <v/>
      </c>
      <c r="U20" s="148" t="str">
        <f>IF(AND('Matriz riesgos de gestión'!$AD$42="Alta",'Matriz riesgos de gestión'!$AF$42="Menor"),CONCATENATE("R5C",'Matriz riesgos de gestión'!$T$42),"")</f>
        <v/>
      </c>
      <c r="V20" s="134" t="str">
        <f>IF(AND('Matriz riesgos de gestión'!$AD$37="Alta",'Matriz riesgos de gestión'!$AF$37="Moderado"),CONCATENATE("R5C",'Matriz riesgos de gestión'!$T$37),"")</f>
        <v/>
      </c>
      <c r="W20" s="135" t="str">
        <f>IF(AND('Matriz riesgos de gestión'!$AD$38="Alta",'Matriz riesgos de gestión'!$AF$38="Moderado"),CONCATENATE("R5C",'Matriz riesgos de gestión'!$T$38),"")</f>
        <v/>
      </c>
      <c r="X20" s="135" t="str">
        <f>IF(AND('Matriz riesgos de gestión'!$AD$39="Alta",'Matriz riesgos de gestión'!$AF$39="Moderado"),CONCATENATE("R5C",'Matriz riesgos de gestión'!$T$39),"")</f>
        <v/>
      </c>
      <c r="Y20" s="135" t="str">
        <f>IF(AND('Matriz riesgos de gestión'!$AD$40="Alta",'Matriz riesgos de gestión'!$AF$40="Moderado"),CONCATENATE("R5C",'Matriz riesgos de gestión'!$T$40),"")</f>
        <v/>
      </c>
      <c r="Z20" s="135" t="str">
        <f>IF(AND('Matriz riesgos de gestión'!$AD$41="Alta",'Matriz riesgos de gestión'!$AF$41="Moderado"),CONCATENATE("R5C",'Matriz riesgos de gestión'!$T$41),"")</f>
        <v/>
      </c>
      <c r="AA20" s="136" t="str">
        <f>IF(AND('Matriz riesgos de gestión'!$AD$42="Alta",'Matriz riesgos de gestión'!$AF$42="Moderado"),CONCATENATE("R5C",'Matriz riesgos de gestión'!$T$42),"")</f>
        <v/>
      </c>
      <c r="AB20" s="134" t="str">
        <f>IF(AND('Matriz riesgos de gestión'!$AD$37="Alta",'Matriz riesgos de gestión'!$AF$37="Mayor"),CONCATENATE("R5C",'Matriz riesgos de gestión'!$T$37),"")</f>
        <v/>
      </c>
      <c r="AC20" s="135" t="str">
        <f>IF(AND('Matriz riesgos de gestión'!$AD$38="Alta",'Matriz riesgos de gestión'!$AF$38="Mayor"),CONCATENATE("R5C",'Matriz riesgos de gestión'!$T$38),"")</f>
        <v/>
      </c>
      <c r="AD20" s="135" t="str">
        <f>IF(AND('Matriz riesgos de gestión'!$AD$39="Alta",'Matriz riesgos de gestión'!$AF$39="Mayor"),CONCATENATE("R5C",'Matriz riesgos de gestión'!$T$39),"")</f>
        <v/>
      </c>
      <c r="AE20" s="135" t="str">
        <f>IF(AND('Matriz riesgos de gestión'!$AD$40="Alta",'Matriz riesgos de gestión'!$AF$40="Mayor"),CONCATENATE("R5C",'Matriz riesgos de gestión'!$T$40),"")</f>
        <v/>
      </c>
      <c r="AF20" s="135" t="str">
        <f>IF(AND('Matriz riesgos de gestión'!$AD$41="Alta",'Matriz riesgos de gestión'!$AF$41="Mayor"),CONCATENATE("R5C",'Matriz riesgos de gestión'!$T$41),"")</f>
        <v/>
      </c>
      <c r="AG20" s="136" t="str">
        <f>IF(AND('Matriz riesgos de gestión'!$AD$42="Alta",'Matriz riesgos de gestión'!$AF$42="Mayor"),CONCATENATE("R5C",'Matriz riesgos de gestión'!$T$42),"")</f>
        <v/>
      </c>
      <c r="AH20" s="137" t="str">
        <f>IF(AND('Matriz riesgos de gestión'!$AD$37="Alta",'Matriz riesgos de gestión'!$AF$37="Catastrófico"),CONCATENATE("R5C",'Matriz riesgos de gestión'!$T$37),"")</f>
        <v/>
      </c>
      <c r="AI20" s="138" t="str">
        <f>IF(AND('Matriz riesgos de gestión'!$AD$38="Alta",'Matriz riesgos de gestión'!$AF$38="Catastrófico"),CONCATENATE("R5C",'Matriz riesgos de gestión'!$T$38),"")</f>
        <v/>
      </c>
      <c r="AJ20" s="138" t="str">
        <f>IF(AND('Matriz riesgos de gestión'!$AD$39="Alta",'Matriz riesgos de gestión'!$AF$39="Catastrófico"),CONCATENATE("R5C",'Matriz riesgos de gestión'!$T$39),"")</f>
        <v/>
      </c>
      <c r="AK20" s="138" t="str">
        <f>IF(AND('Matriz riesgos de gestión'!$AD$40="Alta",'Matriz riesgos de gestión'!$AF$40="Catastrófico"),CONCATENATE("R5C",'Matriz riesgos de gestión'!$T$40),"")</f>
        <v/>
      </c>
      <c r="AL20" s="138" t="str">
        <f>IF(AND('Matriz riesgos de gestión'!$AD$41="Alta",'Matriz riesgos de gestión'!$AF$41="Catastrófico"),CONCATENATE("R5C",'Matriz riesgos de gestión'!$T$41),"")</f>
        <v/>
      </c>
      <c r="AM20" s="139" t="str">
        <f>IF(AND('Matriz riesgos de gestión'!$AD$42="Alta",'Matriz riesgos de gestión'!$AF$42="Catastrófico"),CONCATENATE("R5C",'Matriz riesgos de gestión'!$T$42),"")</f>
        <v/>
      </c>
      <c r="AN20" s="115"/>
      <c r="AO20" s="803"/>
      <c r="AP20" s="804"/>
      <c r="AQ20" s="804"/>
      <c r="AR20" s="804"/>
      <c r="AS20" s="804"/>
      <c r="AT20" s="805"/>
      <c r="AU20" s="115"/>
      <c r="AV20" s="115"/>
      <c r="AW20" s="115"/>
      <c r="AX20" s="115"/>
      <c r="AY20" s="115"/>
      <c r="AZ20" s="115"/>
      <c r="BA20" s="115"/>
      <c r="BB20" s="115"/>
      <c r="BC20" s="115"/>
      <c r="BD20" s="115"/>
      <c r="BE20" s="115"/>
      <c r="BF20" s="115"/>
      <c r="BG20" s="115"/>
      <c r="BH20" s="115"/>
      <c r="BI20" s="115"/>
    </row>
    <row r="21" spans="1:61" ht="15" customHeight="1" x14ac:dyDescent="0.25">
      <c r="A21" s="115"/>
      <c r="B21" s="781"/>
      <c r="C21" s="804"/>
      <c r="D21" s="780"/>
      <c r="E21" s="783"/>
      <c r="F21" s="804"/>
      <c r="G21" s="804"/>
      <c r="H21" s="804"/>
      <c r="I21" s="804"/>
      <c r="J21" s="146" t="str">
        <f>IF(AND('Matriz riesgos de gestión'!$AD$43="Alta",'Matriz riesgos de gestión'!$AF$43="Leve"),CONCATENATE("R6C",'Matriz riesgos de gestión'!$T$43),"")</f>
        <v/>
      </c>
      <c r="K21" s="147" t="str">
        <f>IF(AND('Matriz riesgos de gestión'!$AD$44="Alta",'Matriz riesgos de gestión'!$AF$44="Leve"),CONCATENATE("R6C",'Matriz riesgos de gestión'!$T$44),"")</f>
        <v/>
      </c>
      <c r="L21" s="147" t="str">
        <f>IF(AND('Matriz riesgos de gestión'!$AD$45="Alta",'Matriz riesgos de gestión'!$AF$45="Leve"),CONCATENATE("R6C",'Matriz riesgos de gestión'!$T$45),"")</f>
        <v/>
      </c>
      <c r="M21" s="147" t="str">
        <f>IF(AND('Matriz riesgos de gestión'!$AD$46="Alta",'Matriz riesgos de gestión'!$AF$46="Leve"),CONCATENATE("R6C",'Matriz riesgos de gestión'!$T$46),"")</f>
        <v/>
      </c>
      <c r="N21" s="147" t="str">
        <f>IF(AND('Matriz riesgos de gestión'!$AD$47="Alta",'Matriz riesgos de gestión'!$AF$47="Leve"),CONCATENATE("R6C",'Matriz riesgos de gestión'!$T$47),"")</f>
        <v/>
      </c>
      <c r="O21" s="148" t="str">
        <f>IF(AND('Matriz riesgos de gestión'!$AD$48="Alta",'Matriz riesgos de gestión'!$AF$48="Leve"),CONCATENATE("R6C",'Matriz riesgos de gestión'!$T$48),"")</f>
        <v/>
      </c>
      <c r="P21" s="146" t="str">
        <f>IF(AND('Matriz riesgos de gestión'!$AD$43="Alta",'Matriz riesgos de gestión'!$AF$43="Menor"),CONCATENATE("R6C",'Matriz riesgos de gestión'!$T$43),"")</f>
        <v/>
      </c>
      <c r="Q21" s="147" t="str">
        <f>IF(AND('Matriz riesgos de gestión'!$AD$44="Alta",'Matriz riesgos de gestión'!$AF$44="Menor"),CONCATENATE("R6C",'Matriz riesgos de gestión'!$T$44),"")</f>
        <v/>
      </c>
      <c r="R21" s="147" t="str">
        <f>IF(AND('Matriz riesgos de gestión'!$AD$45="Alta",'Matriz riesgos de gestión'!$AF$45="Menor"),CONCATENATE("R6C",'Matriz riesgos de gestión'!$T$45),"")</f>
        <v/>
      </c>
      <c r="S21" s="147" t="str">
        <f>IF(AND('Matriz riesgos de gestión'!$AD$46="Alta",'Matriz riesgos de gestión'!$AF$46="Menor"),CONCATENATE("R6C",'Matriz riesgos de gestión'!$T$46),"")</f>
        <v/>
      </c>
      <c r="T21" s="147" t="str">
        <f>IF(AND('Matriz riesgos de gestión'!$AD$47="Alta",'Matriz riesgos de gestión'!$AF$47="Menor"),CONCATENATE("R6C",'Matriz riesgos de gestión'!$T$47),"")</f>
        <v/>
      </c>
      <c r="U21" s="148" t="str">
        <f>IF(AND('Matriz riesgos de gestión'!$AD$48="Alta",'Matriz riesgos de gestión'!$AF$48="Menor"),CONCATENATE("R6C",'Matriz riesgos de gestión'!$T$48),"")</f>
        <v/>
      </c>
      <c r="V21" s="134" t="str">
        <f>IF(AND('Matriz riesgos de gestión'!$AD$43="Alta",'Matriz riesgos de gestión'!$AF$43="Moderado"),CONCATENATE("R6C",'Matriz riesgos de gestión'!$T$43),"")</f>
        <v/>
      </c>
      <c r="W21" s="135" t="str">
        <f>IF(AND('Matriz riesgos de gestión'!$AD$44="Alta",'Matriz riesgos de gestión'!$AF$44="Moderado"),CONCATENATE("R6C",'Matriz riesgos de gestión'!$T$44),"")</f>
        <v/>
      </c>
      <c r="X21" s="135" t="str">
        <f>IF(AND('Matriz riesgos de gestión'!$AD$45="Alta",'Matriz riesgos de gestión'!$AF$45="Moderado"),CONCATENATE("R6C",'Matriz riesgos de gestión'!$T$45),"")</f>
        <v/>
      </c>
      <c r="Y21" s="135" t="str">
        <f>IF(AND('Matriz riesgos de gestión'!$AD$46="Alta",'Matriz riesgos de gestión'!$AF$46="Moderado"),CONCATENATE("R6C",'Matriz riesgos de gestión'!$T$46),"")</f>
        <v/>
      </c>
      <c r="Z21" s="135" t="str">
        <f>IF(AND('Matriz riesgos de gestión'!$AD$47="Alta",'Matriz riesgos de gestión'!$AF$47="Moderado"),CONCATENATE("R6C",'Matriz riesgos de gestión'!$T$47),"")</f>
        <v/>
      </c>
      <c r="AA21" s="136" t="str">
        <f>IF(AND('Matriz riesgos de gestión'!$AD$48="Alta",'Matriz riesgos de gestión'!$AF$48="Moderado"),CONCATENATE("R6C",'Matriz riesgos de gestión'!$T$48),"")</f>
        <v/>
      </c>
      <c r="AB21" s="134" t="str">
        <f>IF(AND('Matriz riesgos de gestión'!$AD$43="Alta",'Matriz riesgos de gestión'!$AF$43="Mayor"),CONCATENATE("R6C",'Matriz riesgos de gestión'!$T$43),"")</f>
        <v/>
      </c>
      <c r="AC21" s="135" t="str">
        <f>IF(AND('Matriz riesgos de gestión'!$AD$44="Alta",'Matriz riesgos de gestión'!$AF$44="Mayor"),CONCATENATE("R6C",'Matriz riesgos de gestión'!$T$44),"")</f>
        <v/>
      </c>
      <c r="AD21" s="135" t="str">
        <f>IF(AND('Matriz riesgos de gestión'!$AD$45="Alta",'Matriz riesgos de gestión'!$AF$45="Mayor"),CONCATENATE("R6C",'Matriz riesgos de gestión'!$T$45),"")</f>
        <v/>
      </c>
      <c r="AE21" s="135" t="str">
        <f>IF(AND('Matriz riesgos de gestión'!$AD$46="Alta",'Matriz riesgos de gestión'!$AF$46="Mayor"),CONCATENATE("R6C",'Matriz riesgos de gestión'!$T$46),"")</f>
        <v/>
      </c>
      <c r="AF21" s="135" t="str">
        <f>IF(AND('Matriz riesgos de gestión'!$AD$47="Alta",'Matriz riesgos de gestión'!$AF$47="Mayor"),CONCATENATE("R6C",'Matriz riesgos de gestión'!$T$47),"")</f>
        <v/>
      </c>
      <c r="AG21" s="136" t="str">
        <f>IF(AND('Matriz riesgos de gestión'!$AD$48="Alta",'Matriz riesgos de gestión'!$AF$48="Mayor"),CONCATENATE("R6C",'Matriz riesgos de gestión'!$T$48),"")</f>
        <v/>
      </c>
      <c r="AH21" s="137" t="str">
        <f>IF(AND('Matriz riesgos de gestión'!$AD$43="Alta",'Matriz riesgos de gestión'!$AF$43="Catastrófico"),CONCATENATE("R6C",'Matriz riesgos de gestión'!$T$43),"")</f>
        <v/>
      </c>
      <c r="AI21" s="138" t="str">
        <f>IF(AND('Matriz riesgos de gestión'!$AD$44="Alta",'Matriz riesgos de gestión'!$AF$44="Catastrófico"),CONCATENATE("R6C",'Matriz riesgos de gestión'!$T$44),"")</f>
        <v/>
      </c>
      <c r="AJ21" s="138" t="str">
        <f>IF(AND('Matriz riesgos de gestión'!$AD$45="Alta",'Matriz riesgos de gestión'!$AF$45="Catastrófico"),CONCATENATE("R6C",'Matriz riesgos de gestión'!$T$45),"")</f>
        <v/>
      </c>
      <c r="AK21" s="138" t="str">
        <f>IF(AND('Matriz riesgos de gestión'!$AD$46="Alta",'Matriz riesgos de gestión'!$AF$46="Catastrófico"),CONCATENATE("R6C",'Matriz riesgos de gestión'!$T$46),"")</f>
        <v/>
      </c>
      <c r="AL21" s="138" t="str">
        <f>IF(AND('Matriz riesgos de gestión'!$AD$47="Alta",'Matriz riesgos de gestión'!$AF$47="Catastrófico"),CONCATENATE("R6C",'Matriz riesgos de gestión'!$T$47),"")</f>
        <v/>
      </c>
      <c r="AM21" s="139" t="str">
        <f>IF(AND('Matriz riesgos de gestión'!$AD$48="Alta",'Matriz riesgos de gestión'!$AF$48="Catastrófico"),CONCATENATE("R6C",'Matriz riesgos de gestión'!$T$48),"")</f>
        <v/>
      </c>
      <c r="AN21" s="115"/>
      <c r="AO21" s="803"/>
      <c r="AP21" s="804"/>
      <c r="AQ21" s="804"/>
      <c r="AR21" s="804"/>
      <c r="AS21" s="804"/>
      <c r="AT21" s="805"/>
      <c r="AU21" s="115"/>
      <c r="AV21" s="115"/>
      <c r="AW21" s="115"/>
      <c r="AX21" s="115"/>
      <c r="AY21" s="115"/>
      <c r="AZ21" s="115"/>
      <c r="BA21" s="115"/>
      <c r="BB21" s="115"/>
      <c r="BC21" s="115"/>
      <c r="BD21" s="115"/>
      <c r="BE21" s="115"/>
      <c r="BF21" s="115"/>
      <c r="BG21" s="115"/>
      <c r="BH21" s="115"/>
      <c r="BI21" s="115"/>
    </row>
    <row r="22" spans="1:61" ht="15" customHeight="1" x14ac:dyDescent="0.25">
      <c r="A22" s="115"/>
      <c r="B22" s="781"/>
      <c r="C22" s="804"/>
      <c r="D22" s="780"/>
      <c r="E22" s="783"/>
      <c r="F22" s="804"/>
      <c r="G22" s="804"/>
      <c r="H22" s="804"/>
      <c r="I22" s="804"/>
      <c r="J22" s="146" t="str">
        <f>IF(AND('Matriz riesgos de gestión'!$AD$49="Alta",'Matriz riesgos de gestión'!$AF$49="Leve"),CONCATENATE("R7C",'Matriz riesgos de gestión'!$T$49),"")</f>
        <v/>
      </c>
      <c r="K22" s="147" t="str">
        <f>IF(AND('Matriz riesgos de gestión'!$AD$50="Alta",'Matriz riesgos de gestión'!$AF$50="Leve"),CONCATENATE("R7C",'Matriz riesgos de gestión'!$T$50),"")</f>
        <v/>
      </c>
      <c r="L22" s="147" t="str">
        <f>IF(AND('Matriz riesgos de gestión'!$AD$51="Alta",'Matriz riesgos de gestión'!$AF$51="Leve"),CONCATENATE("R7C",'Matriz riesgos de gestión'!$T$51),"")</f>
        <v/>
      </c>
      <c r="M22" s="147" t="str">
        <f>IF(AND('Matriz riesgos de gestión'!$AD$52="Alta",'Matriz riesgos de gestión'!$AF$52="Leve"),CONCATENATE("R7C",'Matriz riesgos de gestión'!$T$52),"")</f>
        <v/>
      </c>
      <c r="N22" s="147" t="str">
        <f>IF(AND('Matriz riesgos de gestión'!$AD$53="Alta",'Matriz riesgos de gestión'!$AF$53="Leve"),CONCATENATE("R7C",'Matriz riesgos de gestión'!$T$53),"")</f>
        <v/>
      </c>
      <c r="O22" s="148" t="str">
        <f>IF(AND('Matriz riesgos de gestión'!$AD$54="Alta",'Matriz riesgos de gestión'!$AF$54="Leve"),CONCATENATE("R7C",'Matriz riesgos de gestión'!$T$54),"")</f>
        <v/>
      </c>
      <c r="P22" s="146" t="str">
        <f>IF(AND('Matriz riesgos de gestión'!$AD$49="Alta",'Matriz riesgos de gestión'!$AF$49="Menor"),CONCATENATE("R7C",'Matriz riesgos de gestión'!$T$49),"")</f>
        <v/>
      </c>
      <c r="Q22" s="147" t="str">
        <f>IF(AND('Matriz riesgos de gestión'!$AD$50="Alta",'Matriz riesgos de gestión'!$AF$50="Menor"),CONCATENATE("R7C",'Matriz riesgos de gestión'!$T$50),"")</f>
        <v/>
      </c>
      <c r="R22" s="147" t="str">
        <f>IF(AND('Matriz riesgos de gestión'!$AD$51="Alta",'Matriz riesgos de gestión'!$AF$51="Menor"),CONCATENATE("R7C",'Matriz riesgos de gestión'!$T$51),"")</f>
        <v/>
      </c>
      <c r="S22" s="147" t="str">
        <f>IF(AND('Matriz riesgos de gestión'!$AD$52="Alta",'Matriz riesgos de gestión'!$AF$52="Menor"),CONCATENATE("R7C",'Matriz riesgos de gestión'!$T$52),"")</f>
        <v/>
      </c>
      <c r="T22" s="147" t="str">
        <f>IF(AND('Matriz riesgos de gestión'!$AD$53="Alta",'Matriz riesgos de gestión'!$AF$53="Menor"),CONCATENATE("R7C",'Matriz riesgos de gestión'!$T$53),"")</f>
        <v/>
      </c>
      <c r="U22" s="148" t="str">
        <f>IF(AND('Matriz riesgos de gestión'!$AD$54="Alta",'Matriz riesgos de gestión'!$AF$54="Menor"),CONCATENATE("R7C",'Matriz riesgos de gestión'!$T$54),"")</f>
        <v/>
      </c>
      <c r="V22" s="134" t="str">
        <f>IF(AND('Matriz riesgos de gestión'!$AD$49="Alta",'Matriz riesgos de gestión'!$AF$49="Moderado"),CONCATENATE("R7C",'Matriz riesgos de gestión'!$T$49),"")</f>
        <v/>
      </c>
      <c r="W22" s="135" t="str">
        <f>IF(AND('Matriz riesgos de gestión'!$AD$50="Alta",'Matriz riesgos de gestión'!$AF$50="Moderado"),CONCATENATE("R7C",'Matriz riesgos de gestión'!$T$50),"")</f>
        <v/>
      </c>
      <c r="X22" s="135" t="str">
        <f>IF(AND('Matriz riesgos de gestión'!$AD$51="Alta",'Matriz riesgos de gestión'!$AF$51="Moderado"),CONCATENATE("R7C",'Matriz riesgos de gestión'!$T$51),"")</f>
        <v/>
      </c>
      <c r="Y22" s="135" t="str">
        <f>IF(AND('Matriz riesgos de gestión'!$AD$52="Alta",'Matriz riesgos de gestión'!$AF$52="Moderado"),CONCATENATE("R7C",'Matriz riesgos de gestión'!$T$52),"")</f>
        <v/>
      </c>
      <c r="Z22" s="135" t="str">
        <f>IF(AND('Matriz riesgos de gestión'!$AD$53="Alta",'Matriz riesgos de gestión'!$AF$53="Moderado"),CONCATENATE("R7C",'Matriz riesgos de gestión'!$T$53),"")</f>
        <v/>
      </c>
      <c r="AA22" s="136" t="str">
        <f>IF(AND('Matriz riesgos de gestión'!$AD$54="Alta",'Matriz riesgos de gestión'!$AF$54="Moderado"),CONCATENATE("R7C",'Matriz riesgos de gestión'!$T$54),"")</f>
        <v/>
      </c>
      <c r="AB22" s="134" t="str">
        <f>IF(AND('Matriz riesgos de gestión'!$AD$49="Alta",'Matriz riesgos de gestión'!$AF$49="Mayor"),CONCATENATE("R7C",'Matriz riesgos de gestión'!$T$49),"")</f>
        <v/>
      </c>
      <c r="AC22" s="135" t="str">
        <f>IF(AND('Matriz riesgos de gestión'!$AD$50="Alta",'Matriz riesgos de gestión'!$AF$50="Mayor"),CONCATENATE("R7C",'Matriz riesgos de gestión'!$T$50),"")</f>
        <v/>
      </c>
      <c r="AD22" s="135" t="str">
        <f>IF(AND('Matriz riesgos de gestión'!$AD$51="Alta",'Matriz riesgos de gestión'!$AF$51="Mayor"),CONCATENATE("R7C",'Matriz riesgos de gestión'!$T$51),"")</f>
        <v/>
      </c>
      <c r="AE22" s="135" t="str">
        <f>IF(AND('Matriz riesgos de gestión'!$AD$52="Alta",'Matriz riesgos de gestión'!$AF$52="Mayor"),CONCATENATE("R7C",'Matriz riesgos de gestión'!$T$52),"")</f>
        <v/>
      </c>
      <c r="AF22" s="135" t="str">
        <f>IF(AND('Matriz riesgos de gestión'!$AD$53="Alta",'Matriz riesgos de gestión'!$AF$53="Mayor"),CONCATENATE("R7C",'Matriz riesgos de gestión'!$T$53),"")</f>
        <v/>
      </c>
      <c r="AG22" s="136" t="str">
        <f>IF(AND('Matriz riesgos de gestión'!$AD$54="Alta",'Matriz riesgos de gestión'!$AF$54="Mayor"),CONCATENATE("R7C",'Matriz riesgos de gestión'!$T$54),"")</f>
        <v/>
      </c>
      <c r="AH22" s="137" t="str">
        <f>IF(AND('Matriz riesgos de gestión'!$AD$49="Alta",'Matriz riesgos de gestión'!$AF$49="Catastrófico"),CONCATENATE("R7C",'Matriz riesgos de gestión'!$T$49),"")</f>
        <v/>
      </c>
      <c r="AI22" s="138" t="str">
        <f>IF(AND('Matriz riesgos de gestión'!$AD$50="Alta",'Matriz riesgos de gestión'!$AF$50="Catastrófico"),CONCATENATE("R7C",'Matriz riesgos de gestión'!$T$50),"")</f>
        <v/>
      </c>
      <c r="AJ22" s="138" t="str">
        <f>IF(AND('Matriz riesgos de gestión'!$AD$51="Alta",'Matriz riesgos de gestión'!$AF$51="Catastrófico"),CONCATENATE("R7C",'Matriz riesgos de gestión'!$T$51),"")</f>
        <v/>
      </c>
      <c r="AK22" s="138" t="str">
        <f>IF(AND('Matriz riesgos de gestión'!$AD$52="Alta",'Matriz riesgos de gestión'!$AF$52="Catastrófico"),CONCATENATE("R7C",'Matriz riesgos de gestión'!$T$52),"")</f>
        <v/>
      </c>
      <c r="AL22" s="138" t="str">
        <f>IF(AND('Matriz riesgos de gestión'!$AD$53="Alta",'Matriz riesgos de gestión'!$AF$53="Catastrófico"),CONCATENATE("R7C",'Matriz riesgos de gestión'!$T$53),"")</f>
        <v/>
      </c>
      <c r="AM22" s="139" t="str">
        <f>IF(AND('Matriz riesgos de gestión'!$AD$54="Alta",'Matriz riesgos de gestión'!$AF$54="Catastrófico"),CONCATENATE("R7C",'Matriz riesgos de gestión'!$T$54),"")</f>
        <v/>
      </c>
      <c r="AN22" s="115"/>
      <c r="AO22" s="803"/>
      <c r="AP22" s="804"/>
      <c r="AQ22" s="804"/>
      <c r="AR22" s="804"/>
      <c r="AS22" s="804"/>
      <c r="AT22" s="805"/>
      <c r="AU22" s="115"/>
      <c r="AV22" s="115"/>
      <c r="AW22" s="115"/>
      <c r="AX22" s="115"/>
      <c r="AY22" s="115"/>
      <c r="AZ22" s="115"/>
      <c r="BA22" s="115"/>
      <c r="BB22" s="115"/>
      <c r="BC22" s="115"/>
      <c r="BD22" s="115"/>
      <c r="BE22" s="115"/>
      <c r="BF22" s="115"/>
      <c r="BG22" s="115"/>
      <c r="BH22" s="115"/>
      <c r="BI22" s="115"/>
    </row>
    <row r="23" spans="1:61" ht="15" customHeight="1" x14ac:dyDescent="0.25">
      <c r="A23" s="115"/>
      <c r="B23" s="781"/>
      <c r="C23" s="804"/>
      <c r="D23" s="780"/>
      <c r="E23" s="783"/>
      <c r="F23" s="804"/>
      <c r="G23" s="804"/>
      <c r="H23" s="804"/>
      <c r="I23" s="804"/>
      <c r="J23" s="146" t="str">
        <f>IF(AND('Matriz riesgos de gestión'!$AD$55="Alta",'Matriz riesgos de gestión'!$AF$55="Leve"),CONCATENATE("R8C",'Matriz riesgos de gestión'!$T$55),"")</f>
        <v/>
      </c>
      <c r="K23" s="147" t="str">
        <f>IF(AND('Matriz riesgos de gestión'!$AD$56="Alta",'Matriz riesgos de gestión'!$AF$56="Leve"),CONCATENATE("R8C",'Matriz riesgos de gestión'!$T$56),"")</f>
        <v/>
      </c>
      <c r="L23" s="147" t="str">
        <f>IF(AND('Matriz riesgos de gestión'!$AD$57="Alta",'Matriz riesgos de gestión'!$AF$57="Leve"),CONCATENATE("R8C",'Matriz riesgos de gestión'!$T$57),"")</f>
        <v/>
      </c>
      <c r="M23" s="147" t="str">
        <f>IF(AND('Matriz riesgos de gestión'!$AD$58="Alta",'Matriz riesgos de gestión'!$AF$58="Leve"),CONCATENATE("R8C",'Matriz riesgos de gestión'!$T$58),"")</f>
        <v/>
      </c>
      <c r="N23" s="147" t="str">
        <f>IF(AND('Matriz riesgos de gestión'!$AD$59="Alta",'Matriz riesgos de gestión'!$AF$59="Leve"),CONCATENATE("R8C",'Matriz riesgos de gestión'!$T$59),"")</f>
        <v/>
      </c>
      <c r="O23" s="148" t="str">
        <f>IF(AND('Matriz riesgos de gestión'!$AD$60="Alta",'Matriz riesgos de gestión'!$AF$60="Leve"),CONCATENATE("R8C",'Matriz riesgos de gestión'!$T$60),"")</f>
        <v/>
      </c>
      <c r="P23" s="146" t="str">
        <f>IF(AND('Matriz riesgos de gestión'!$AD$55="Alta",'Matriz riesgos de gestión'!$AF$55="Menor"),CONCATENATE("R8C",'Matriz riesgos de gestión'!$T$55),"")</f>
        <v/>
      </c>
      <c r="Q23" s="147" t="str">
        <f>IF(AND('Matriz riesgos de gestión'!$AD$56="Alta",'Matriz riesgos de gestión'!$AF$56="Menor"),CONCATENATE("R8C",'Matriz riesgos de gestión'!$T$56),"")</f>
        <v/>
      </c>
      <c r="R23" s="147" t="str">
        <f>IF(AND('Matriz riesgos de gestión'!$AD$57="Alta",'Matriz riesgos de gestión'!$AF$57="Menor"),CONCATENATE("R8C",'Matriz riesgos de gestión'!$T$57),"")</f>
        <v/>
      </c>
      <c r="S23" s="147" t="str">
        <f>IF(AND('Matriz riesgos de gestión'!$AD$58="Alta",'Matriz riesgos de gestión'!$AF$58="Menor"),CONCATENATE("R8C",'Matriz riesgos de gestión'!$T$58),"")</f>
        <v/>
      </c>
      <c r="T23" s="147" t="str">
        <f>IF(AND('Matriz riesgos de gestión'!$AD$59="Alta",'Matriz riesgos de gestión'!$AF$59="Menor"),CONCATENATE("R8C",'Matriz riesgos de gestión'!$T$59),"")</f>
        <v/>
      </c>
      <c r="U23" s="148" t="str">
        <f>IF(AND('Matriz riesgos de gestión'!$AD$60="Alta",'Matriz riesgos de gestión'!$AF$60="Menor"),CONCATENATE("R8C",'Matriz riesgos de gestión'!$T$60),"")</f>
        <v/>
      </c>
      <c r="V23" s="134" t="str">
        <f>IF(AND('Matriz riesgos de gestión'!$AD$55="Alta",'Matriz riesgos de gestión'!$AF$55="Moderado"),CONCATENATE("R8C",'Matriz riesgos de gestión'!$T$55),"")</f>
        <v/>
      </c>
      <c r="W23" s="135" t="str">
        <f>IF(AND('Matriz riesgos de gestión'!$AD$56="Alta",'Matriz riesgos de gestión'!$AF$56="Moderado"),CONCATENATE("R8C",'Matriz riesgos de gestión'!$T$56),"")</f>
        <v/>
      </c>
      <c r="X23" s="135" t="str">
        <f>IF(AND('Matriz riesgos de gestión'!$AD$57="Alta",'Matriz riesgos de gestión'!$AF$57="Moderado"),CONCATENATE("R8C",'Matriz riesgos de gestión'!$T$57),"")</f>
        <v/>
      </c>
      <c r="Y23" s="135" t="str">
        <f>IF(AND('Matriz riesgos de gestión'!$AD$58="Alta",'Matriz riesgos de gestión'!$AF$58="Moderado"),CONCATENATE("R8C",'Matriz riesgos de gestión'!$T$58),"")</f>
        <v/>
      </c>
      <c r="Z23" s="135" t="str">
        <f>IF(AND('Matriz riesgos de gestión'!$AD$59="Alta",'Matriz riesgos de gestión'!$AF$59="Moderado"),CONCATENATE("R8C",'Matriz riesgos de gestión'!$T$59),"")</f>
        <v/>
      </c>
      <c r="AA23" s="136" t="str">
        <f>IF(AND('Matriz riesgos de gestión'!$AD$60="Alta",'Matriz riesgos de gestión'!$AF$60="Moderado"),CONCATENATE("R8C",'Matriz riesgos de gestión'!$T$60),"")</f>
        <v/>
      </c>
      <c r="AB23" s="134" t="str">
        <f>IF(AND('Matriz riesgos de gestión'!$AD$55="Alta",'Matriz riesgos de gestión'!$AF$55="Mayor"),CONCATENATE("R8C",'Matriz riesgos de gestión'!$T$55),"")</f>
        <v/>
      </c>
      <c r="AC23" s="135" t="str">
        <f>IF(AND('Matriz riesgos de gestión'!$AD$56="Alta",'Matriz riesgos de gestión'!$AF$56="Mayor"),CONCATENATE("R8C",'Matriz riesgos de gestión'!$T$56),"")</f>
        <v/>
      </c>
      <c r="AD23" s="135" t="str">
        <f>IF(AND('Matriz riesgos de gestión'!$AD$57="Alta",'Matriz riesgos de gestión'!$AF$57="Mayor"),CONCATENATE("R8C",'Matriz riesgos de gestión'!$T$57),"")</f>
        <v/>
      </c>
      <c r="AE23" s="135" t="str">
        <f>IF(AND('Matriz riesgos de gestión'!$AD$58="Alta",'Matriz riesgos de gestión'!$AF$58="Mayor"),CONCATENATE("R8C",'Matriz riesgos de gestión'!$T$58),"")</f>
        <v/>
      </c>
      <c r="AF23" s="135" t="str">
        <f>IF(AND('Matriz riesgos de gestión'!$AD$59="Alta",'Matriz riesgos de gestión'!$AF$59="Mayor"),CONCATENATE("R8C",'Matriz riesgos de gestión'!$T$59),"")</f>
        <v/>
      </c>
      <c r="AG23" s="136" t="str">
        <f>IF(AND('Matriz riesgos de gestión'!$AD$60="Alta",'Matriz riesgos de gestión'!$AF$60="Mayor"),CONCATENATE("R8C",'Matriz riesgos de gestión'!$T$60),"")</f>
        <v/>
      </c>
      <c r="AH23" s="137" t="str">
        <f>IF(AND('Matriz riesgos de gestión'!$AD$55="Alta",'Matriz riesgos de gestión'!$AF$55="Catastrófico"),CONCATENATE("R8C",'Matriz riesgos de gestión'!$T$55),"")</f>
        <v/>
      </c>
      <c r="AI23" s="138" t="str">
        <f>IF(AND('Matriz riesgos de gestión'!$AD$56="Alta",'Matriz riesgos de gestión'!$AF$56="Catastrófico"),CONCATENATE("R8C",'Matriz riesgos de gestión'!$T$56),"")</f>
        <v/>
      </c>
      <c r="AJ23" s="138" t="str">
        <f>IF(AND('Matriz riesgos de gestión'!$AD$57="Alta",'Matriz riesgos de gestión'!$AF$57="Catastrófico"),CONCATENATE("R8C",'Matriz riesgos de gestión'!$T$57),"")</f>
        <v/>
      </c>
      <c r="AK23" s="138" t="str">
        <f>IF(AND('Matriz riesgos de gestión'!$AD$58="Alta",'Matriz riesgos de gestión'!$AF$58="Catastrófico"),CONCATENATE("R8C",'Matriz riesgos de gestión'!$T$58),"")</f>
        <v/>
      </c>
      <c r="AL23" s="138" t="str">
        <f>IF(AND('Matriz riesgos de gestión'!$AD$59="Alta",'Matriz riesgos de gestión'!$AF$59="Catastrófico"),CONCATENATE("R8C",'Matriz riesgos de gestión'!$T$59),"")</f>
        <v/>
      </c>
      <c r="AM23" s="139" t="str">
        <f>IF(AND('Matriz riesgos de gestión'!$AD$60="Alta",'Matriz riesgos de gestión'!$AF$60="Catastrófico"),CONCATENATE("R8C",'Matriz riesgos de gestión'!$T$60),"")</f>
        <v/>
      </c>
      <c r="AN23" s="115"/>
      <c r="AO23" s="803"/>
      <c r="AP23" s="804"/>
      <c r="AQ23" s="804"/>
      <c r="AR23" s="804"/>
      <c r="AS23" s="804"/>
      <c r="AT23" s="805"/>
      <c r="AU23" s="115"/>
      <c r="AV23" s="115"/>
      <c r="AW23" s="115"/>
      <c r="AX23" s="115"/>
      <c r="AY23" s="115"/>
      <c r="AZ23" s="115"/>
      <c r="BA23" s="115"/>
      <c r="BB23" s="115"/>
      <c r="BC23" s="115"/>
      <c r="BD23" s="115"/>
      <c r="BE23" s="115"/>
      <c r="BF23" s="115"/>
      <c r="BG23" s="115"/>
      <c r="BH23" s="115"/>
      <c r="BI23" s="115"/>
    </row>
    <row r="24" spans="1:61" ht="15" customHeight="1" x14ac:dyDescent="0.25">
      <c r="A24" s="115"/>
      <c r="B24" s="781"/>
      <c r="C24" s="804"/>
      <c r="D24" s="780"/>
      <c r="E24" s="783"/>
      <c r="F24" s="804"/>
      <c r="G24" s="804"/>
      <c r="H24" s="804"/>
      <c r="I24" s="804"/>
      <c r="J24" s="146" t="str">
        <f>IF(AND('Matriz riesgos de gestión'!$AD$61="Alta",'Matriz riesgos de gestión'!$AF$61="Leve"),CONCATENATE("R9C",'Matriz riesgos de gestión'!$T$61),"")</f>
        <v/>
      </c>
      <c r="K24" s="147" t="str">
        <f>IF(AND('Matriz riesgos de gestión'!$AD$62="Alta",'Matriz riesgos de gestión'!$AF$62="Leve"),CONCATENATE("R9C",'Matriz riesgos de gestión'!$T$62),"")</f>
        <v/>
      </c>
      <c r="L24" s="147" t="str">
        <f>IF(AND('Matriz riesgos de gestión'!$AD$63="Alta",'Matriz riesgos de gestión'!$AF$63="Leve"),CONCATENATE("R9C",'Matriz riesgos de gestión'!$T$63),"")</f>
        <v/>
      </c>
      <c r="M24" s="147" t="str">
        <f>IF(AND('Matriz riesgos de gestión'!$AD$64="Alta",'Matriz riesgos de gestión'!$AF$64="Leve"),CONCATENATE("R9C",'Matriz riesgos de gestión'!$T$64),"")</f>
        <v/>
      </c>
      <c r="N24" s="147" t="str">
        <f>IF(AND('Matriz riesgos de gestión'!$AD$65="Alta",'Matriz riesgos de gestión'!$AF$65="Leve"),CONCATENATE("R9C",'Matriz riesgos de gestión'!$T$65),"")</f>
        <v/>
      </c>
      <c r="O24" s="148" t="str">
        <f>IF(AND('Matriz riesgos de gestión'!$AD$66="Alta",'Matriz riesgos de gestión'!$AF$66="Leve"),CONCATENATE("R9C",'Matriz riesgos de gestión'!$T$66),"")</f>
        <v/>
      </c>
      <c r="P24" s="146" t="str">
        <f>IF(AND('Matriz riesgos de gestión'!$AD$61="Alta",'Matriz riesgos de gestión'!$AF$61="Menor"),CONCATENATE("R9C",'Matriz riesgos de gestión'!$T$61),"")</f>
        <v/>
      </c>
      <c r="Q24" s="147" t="str">
        <f>IF(AND('Matriz riesgos de gestión'!$AD$62="Alta",'Matriz riesgos de gestión'!$AF$62="Menor"),CONCATENATE("R9C",'Matriz riesgos de gestión'!$T$62),"")</f>
        <v/>
      </c>
      <c r="R24" s="147" t="str">
        <f>IF(AND('Matriz riesgos de gestión'!$AD$63="Alta",'Matriz riesgos de gestión'!$AF$63="Menor"),CONCATENATE("R9C",'Matriz riesgos de gestión'!$T$63),"")</f>
        <v/>
      </c>
      <c r="S24" s="147" t="str">
        <f>IF(AND('Matriz riesgos de gestión'!$AD$64="Alta",'Matriz riesgos de gestión'!$AF$64="Menor"),CONCATENATE("R9C",'Matriz riesgos de gestión'!$T$64),"")</f>
        <v/>
      </c>
      <c r="T24" s="147" t="str">
        <f>IF(AND('Matriz riesgos de gestión'!$AD$65="Alta",'Matriz riesgos de gestión'!$AF$65="Menor"),CONCATENATE("R9C",'Matriz riesgos de gestión'!$T$65),"")</f>
        <v/>
      </c>
      <c r="U24" s="148" t="str">
        <f>IF(AND('Matriz riesgos de gestión'!$AD$66="Alta",'Matriz riesgos de gestión'!$AF$66="Menor"),CONCATENATE("R9C",'Matriz riesgos de gestión'!$T$66),"")</f>
        <v/>
      </c>
      <c r="V24" s="134" t="str">
        <f>IF(AND('Matriz riesgos de gestión'!$AD$61="Alta",'Matriz riesgos de gestión'!$AF$61="Moderado"),CONCATENATE("R9C",'Matriz riesgos de gestión'!$T$61),"")</f>
        <v/>
      </c>
      <c r="W24" s="135" t="str">
        <f>IF(AND('Matriz riesgos de gestión'!$AD$62="Alta",'Matriz riesgos de gestión'!$AF$62="Moderado"),CONCATENATE("R9C",'Matriz riesgos de gestión'!$T$62),"")</f>
        <v/>
      </c>
      <c r="X24" s="135" t="str">
        <f>IF(AND('Matriz riesgos de gestión'!$AD$63="Alta",'Matriz riesgos de gestión'!$AF$63="Moderado"),CONCATENATE("R9C",'Matriz riesgos de gestión'!$T$63),"")</f>
        <v/>
      </c>
      <c r="Y24" s="135" t="str">
        <f>IF(AND('Matriz riesgos de gestión'!$AD$64="Alta",'Matriz riesgos de gestión'!$AF$64="Moderado"),CONCATENATE("R9C",'Matriz riesgos de gestión'!$T$64),"")</f>
        <v/>
      </c>
      <c r="Z24" s="135" t="str">
        <f>IF(AND('Matriz riesgos de gestión'!$AD$65="Alta",'Matriz riesgos de gestión'!$AF$65="Moderado"),CONCATENATE("R9C",'Matriz riesgos de gestión'!$T$65),"")</f>
        <v/>
      </c>
      <c r="AA24" s="136" t="str">
        <f>IF(AND('Matriz riesgos de gestión'!$AD$66="Alta",'Matriz riesgos de gestión'!$AF$66="Moderado"),CONCATENATE("R9C",'Matriz riesgos de gestión'!$T$66),"")</f>
        <v/>
      </c>
      <c r="AB24" s="134" t="str">
        <f>IF(AND('Matriz riesgos de gestión'!$AD$61="Alta",'Matriz riesgos de gestión'!$AF$61="Mayor"),CONCATENATE("R9C",'Matriz riesgos de gestión'!$T$61),"")</f>
        <v/>
      </c>
      <c r="AC24" s="135" t="str">
        <f>IF(AND('Matriz riesgos de gestión'!$AD$62="Alta",'Matriz riesgos de gestión'!$AF$62="Mayor"),CONCATENATE("R9C",'Matriz riesgos de gestión'!$T$62),"")</f>
        <v/>
      </c>
      <c r="AD24" s="135" t="str">
        <f>IF(AND('Matriz riesgos de gestión'!$AD$63="Alta",'Matriz riesgos de gestión'!$AF$63="Mayor"),CONCATENATE("R9C",'Matriz riesgos de gestión'!$T$63),"")</f>
        <v/>
      </c>
      <c r="AE24" s="135" t="str">
        <f>IF(AND('Matriz riesgos de gestión'!$AD$64="Alta",'Matriz riesgos de gestión'!$AF$64="Mayor"),CONCATENATE("R9C",'Matriz riesgos de gestión'!$T$64),"")</f>
        <v/>
      </c>
      <c r="AF24" s="135" t="str">
        <f>IF(AND('Matriz riesgos de gestión'!$AD$65="Alta",'Matriz riesgos de gestión'!$AF$65="Mayor"),CONCATENATE("R9C",'Matriz riesgos de gestión'!$T$65),"")</f>
        <v/>
      </c>
      <c r="AG24" s="136" t="str">
        <f>IF(AND('Matriz riesgos de gestión'!$AD$66="Alta",'Matriz riesgos de gestión'!$AF$66="Mayor"),CONCATENATE("R9C",'Matriz riesgos de gestión'!$T$66),"")</f>
        <v/>
      </c>
      <c r="AH24" s="137" t="str">
        <f>IF(AND('Matriz riesgos de gestión'!$AD$61="Alta",'Matriz riesgos de gestión'!$AF$61="Catastrófico"),CONCATENATE("R9C",'Matriz riesgos de gestión'!$T$61),"")</f>
        <v/>
      </c>
      <c r="AI24" s="138" t="str">
        <f>IF(AND('Matriz riesgos de gestión'!$AD$62="Alta",'Matriz riesgos de gestión'!$AF$62="Catastrófico"),CONCATENATE("R9C",'Matriz riesgos de gestión'!$T$62),"")</f>
        <v/>
      </c>
      <c r="AJ24" s="138" t="str">
        <f>IF(AND('Matriz riesgos de gestión'!$AD$63="Alta",'Matriz riesgos de gestión'!$AF$63="Catastrófico"),CONCATENATE("R9C",'Matriz riesgos de gestión'!$T$63),"")</f>
        <v/>
      </c>
      <c r="AK24" s="138" t="str">
        <f>IF(AND('Matriz riesgos de gestión'!$AD$64="Alta",'Matriz riesgos de gestión'!$AF$64="Catastrófico"),CONCATENATE("R9C",'Matriz riesgos de gestión'!$T$64),"")</f>
        <v/>
      </c>
      <c r="AL24" s="138" t="str">
        <f>IF(AND('Matriz riesgos de gestión'!$AD$65="Alta",'Matriz riesgos de gestión'!$AF$65="Catastrófico"),CONCATENATE("R9C",'Matriz riesgos de gestión'!$T$65),"")</f>
        <v/>
      </c>
      <c r="AM24" s="139" t="str">
        <f>IF(AND('Matriz riesgos de gestión'!$AD$66="Alta",'Matriz riesgos de gestión'!$AF$66="Catastrófico"),CONCATENATE("R9C",'Matriz riesgos de gestión'!$T$66),"")</f>
        <v/>
      </c>
      <c r="AN24" s="115"/>
      <c r="AO24" s="803"/>
      <c r="AP24" s="804"/>
      <c r="AQ24" s="804"/>
      <c r="AR24" s="804"/>
      <c r="AS24" s="804"/>
      <c r="AT24" s="805"/>
      <c r="AU24" s="115"/>
      <c r="AV24" s="115"/>
      <c r="AW24" s="115"/>
      <c r="AX24" s="115"/>
      <c r="AY24" s="115"/>
      <c r="AZ24" s="115"/>
      <c r="BA24" s="115"/>
      <c r="BB24" s="115"/>
      <c r="BC24" s="115"/>
      <c r="BD24" s="115"/>
      <c r="BE24" s="115"/>
      <c r="BF24" s="115"/>
      <c r="BG24" s="115"/>
      <c r="BH24" s="115"/>
      <c r="BI24" s="115"/>
    </row>
    <row r="25" spans="1:61" ht="15.75" customHeight="1" x14ac:dyDescent="0.25">
      <c r="A25" s="115"/>
      <c r="B25" s="781"/>
      <c r="C25" s="804"/>
      <c r="D25" s="780"/>
      <c r="E25" s="790"/>
      <c r="F25" s="791"/>
      <c r="G25" s="791"/>
      <c r="H25" s="791"/>
      <c r="I25" s="791"/>
      <c r="J25" s="149" t="str">
        <f>IF(AND('Matriz riesgos de gestión'!$AD$67="Alta",'Matriz riesgos de gestión'!$AF$67="Leve"),CONCATENATE("R10C",'Matriz riesgos de gestión'!$T$67),"")</f>
        <v/>
      </c>
      <c r="K25" s="150" t="str">
        <f>IF(AND('Matriz riesgos de gestión'!$AD$68="Alta",'Matriz riesgos de gestión'!$AF$68="Leve"),CONCATENATE("R10C",'Matriz riesgos de gestión'!$T$68),"")</f>
        <v/>
      </c>
      <c r="L25" s="150" t="str">
        <f>IF(AND('Matriz riesgos de gestión'!$AD$69="Alta",'Matriz riesgos de gestión'!$AF$69="Leve"),CONCATENATE("R10C",'Matriz riesgos de gestión'!$T$69),"")</f>
        <v/>
      </c>
      <c r="M25" s="150" t="str">
        <f>IF(AND('Matriz riesgos de gestión'!$AD$70="Alta",'Matriz riesgos de gestión'!$AF$70="Leve"),CONCATENATE("R10C",'Matriz riesgos de gestión'!$T$70),"")</f>
        <v/>
      </c>
      <c r="N25" s="150" t="str">
        <f>IF(AND('Matriz riesgos de gestión'!$AD$71="Alta",'Matriz riesgos de gestión'!$AF$71="Leve"),CONCATENATE("R10C",'Matriz riesgos de gestión'!$T$71),"")</f>
        <v/>
      </c>
      <c r="O25" s="151" t="str">
        <f>IF(AND('Matriz riesgos de gestión'!$AD$72="Alta",'Matriz riesgos de gestión'!$AF$72="Leve"),CONCATENATE("R10C",'Matriz riesgos de gestión'!$T$72),"")</f>
        <v/>
      </c>
      <c r="P25" s="149" t="str">
        <f>IF(AND('Matriz riesgos de gestión'!$AD$67="Alta",'Matriz riesgos de gestión'!$AF$67="Menor"),CONCATENATE("R10C",'Matriz riesgos de gestión'!$T$67),"")</f>
        <v/>
      </c>
      <c r="Q25" s="150" t="str">
        <f>IF(AND('Matriz riesgos de gestión'!$AD$68="Alta",'Matriz riesgos de gestión'!$AF$68="Menor"),CONCATENATE("R10C",'Matriz riesgos de gestión'!$T$68),"")</f>
        <v/>
      </c>
      <c r="R25" s="150" t="str">
        <f>IF(AND('Matriz riesgos de gestión'!$AD$69="Alta",'Matriz riesgos de gestión'!$AF$69="Menor"),CONCATENATE("R10C",'Matriz riesgos de gestión'!$T$69),"")</f>
        <v/>
      </c>
      <c r="S25" s="150" t="str">
        <f>IF(AND('Matriz riesgos de gestión'!$AD$70="Alta",'Matriz riesgos de gestión'!$AF$70="Menor"),CONCATENATE("R10C",'Matriz riesgos de gestión'!$T$70),"")</f>
        <v/>
      </c>
      <c r="T25" s="150" t="str">
        <f>IF(AND('Matriz riesgos de gestión'!$AD$71="Alta",'Matriz riesgos de gestión'!$AF$71="Menor"),CONCATENATE("R10C",'Matriz riesgos de gestión'!$T$71),"")</f>
        <v/>
      </c>
      <c r="U25" s="151" t="str">
        <f>IF(AND('Matriz riesgos de gestión'!$AD$72="Alta",'Matriz riesgos de gestión'!$AF$72="Menor"),CONCATENATE("R10C",'Matriz riesgos de gestión'!$T$72),"")</f>
        <v/>
      </c>
      <c r="V25" s="140" t="str">
        <f>IF(AND('Matriz riesgos de gestión'!$AD$67="Alta",'Matriz riesgos de gestión'!$AF$67="Moderado"),CONCATENATE("R10C",'Matriz riesgos de gestión'!$T$67),"")</f>
        <v/>
      </c>
      <c r="W25" s="141" t="str">
        <f>IF(AND('Matriz riesgos de gestión'!$AD$68="Alta",'Matriz riesgos de gestión'!$AF$68="Moderado"),CONCATENATE("R10C",'Matriz riesgos de gestión'!$T$68),"")</f>
        <v/>
      </c>
      <c r="X25" s="141" t="str">
        <f>IF(AND('Matriz riesgos de gestión'!$AD$69="Alta",'Matriz riesgos de gestión'!$AF$69="Moderado"),CONCATENATE("R10C",'Matriz riesgos de gestión'!$T$69),"")</f>
        <v/>
      </c>
      <c r="Y25" s="141" t="str">
        <f>IF(AND('Matriz riesgos de gestión'!$AD$70="Alta",'Matriz riesgos de gestión'!$AF$70="Moderado"),CONCATENATE("R10C",'Matriz riesgos de gestión'!$T$70),"")</f>
        <v/>
      </c>
      <c r="Z25" s="141" t="str">
        <f>IF(AND('Matriz riesgos de gestión'!$AD$71="Alta",'Matriz riesgos de gestión'!$AF$71="Moderado"),CONCATENATE("R10C",'Matriz riesgos de gestión'!$T$71),"")</f>
        <v/>
      </c>
      <c r="AA25" s="142" t="str">
        <f>IF(AND('Matriz riesgos de gestión'!$AD$72="Alta",'Matriz riesgos de gestión'!$AF$72="Moderado"),CONCATENATE("R10C",'Matriz riesgos de gestión'!$T$72),"")</f>
        <v/>
      </c>
      <c r="AB25" s="140" t="str">
        <f>IF(AND('Matriz riesgos de gestión'!$AD$67="Alta",'Matriz riesgos de gestión'!$AF$67="Mayor"),CONCATENATE("R10C",'Matriz riesgos de gestión'!$T$67),"")</f>
        <v/>
      </c>
      <c r="AC25" s="141" t="str">
        <f>IF(AND('Matriz riesgos de gestión'!$AD$68="Alta",'Matriz riesgos de gestión'!$AF$68="Mayor"),CONCATENATE("R10C",'Matriz riesgos de gestión'!$T$68),"")</f>
        <v/>
      </c>
      <c r="AD25" s="141" t="str">
        <f>IF(AND('Matriz riesgos de gestión'!$AD$69="Alta",'Matriz riesgos de gestión'!$AF$69="Mayor"),CONCATENATE("R10C",'Matriz riesgos de gestión'!$T$69),"")</f>
        <v/>
      </c>
      <c r="AE25" s="141" t="str">
        <f>IF(AND('Matriz riesgos de gestión'!$AD$70="Alta",'Matriz riesgos de gestión'!$AF$70="Mayor"),CONCATENATE("R10C",'Matriz riesgos de gestión'!$T$70),"")</f>
        <v/>
      </c>
      <c r="AF25" s="141" t="str">
        <f>IF(AND('Matriz riesgos de gestión'!$AD$71="Alta",'Matriz riesgos de gestión'!$AF$71="Mayor"),CONCATENATE("R10C",'Matriz riesgos de gestión'!$T$71),"")</f>
        <v/>
      </c>
      <c r="AG25" s="142" t="str">
        <f>IF(AND('Matriz riesgos de gestión'!$AD$72="Alta",'Matriz riesgos de gestión'!$AF$72="Mayor"),CONCATENATE("R10C",'Matriz riesgos de gestión'!$T$72),"")</f>
        <v/>
      </c>
      <c r="AH25" s="143" t="str">
        <f>IF(AND('Matriz riesgos de gestión'!$AD$67="Alta",'Matriz riesgos de gestión'!$AF$67="Catastrófico"),CONCATENATE("R10C",'Matriz riesgos de gestión'!$T$67),"")</f>
        <v/>
      </c>
      <c r="AI25" s="144" t="str">
        <f>IF(AND('Matriz riesgos de gestión'!$AD$68="Alta",'Matriz riesgos de gestión'!$AF$68="Catastrófico"),CONCATENATE("R10C",'Matriz riesgos de gestión'!$T$68),"")</f>
        <v/>
      </c>
      <c r="AJ25" s="144" t="str">
        <f>IF(AND('Matriz riesgos de gestión'!$AD$69="Alta",'Matriz riesgos de gestión'!$AF$69="Catastrófico"),CONCATENATE("R10C",'Matriz riesgos de gestión'!$T$69),"")</f>
        <v/>
      </c>
      <c r="AK25" s="144" t="str">
        <f>IF(AND('Matriz riesgos de gestión'!$AD$70="Alta",'Matriz riesgos de gestión'!$AF$70="Catastrófico"),CONCATENATE("R10C",'Matriz riesgos de gestión'!$T$70),"")</f>
        <v/>
      </c>
      <c r="AL25" s="144" t="str">
        <f>IF(AND('Matriz riesgos de gestión'!$AD$71="Alta",'Matriz riesgos de gestión'!$AF$71="Catastrófico"),CONCATENATE("R10C",'Matriz riesgos de gestión'!$T$71),"")</f>
        <v/>
      </c>
      <c r="AM25" s="145" t="str">
        <f>IF(AND('Matriz riesgos de gestión'!$AD$72="Alta",'Matriz riesgos de gestión'!$AF$72="Catastrófico"),CONCATENATE("R10C",'Matriz riesgos de gestión'!$T$72),"")</f>
        <v/>
      </c>
      <c r="AN25" s="115"/>
      <c r="AO25" s="806"/>
      <c r="AP25" s="807"/>
      <c r="AQ25" s="807"/>
      <c r="AR25" s="807"/>
      <c r="AS25" s="807"/>
      <c r="AT25" s="808"/>
      <c r="AU25" s="115"/>
      <c r="AV25" s="115"/>
      <c r="AW25" s="115"/>
      <c r="AX25" s="115"/>
      <c r="AY25" s="115"/>
      <c r="AZ25" s="115"/>
      <c r="BA25" s="115"/>
      <c r="BB25" s="115"/>
      <c r="BC25" s="115"/>
      <c r="BD25" s="115"/>
      <c r="BE25" s="115"/>
      <c r="BF25" s="115"/>
      <c r="BG25" s="115"/>
      <c r="BH25" s="115"/>
      <c r="BI25" s="115"/>
    </row>
    <row r="26" spans="1:61" ht="15" customHeight="1" x14ac:dyDescent="0.25">
      <c r="A26" s="115"/>
      <c r="B26" s="781"/>
      <c r="C26" s="804"/>
      <c r="D26" s="780"/>
      <c r="E26" s="823" t="s">
        <v>7</v>
      </c>
      <c r="F26" s="786"/>
      <c r="G26" s="786"/>
      <c r="H26" s="786"/>
      <c r="I26" s="794"/>
      <c r="J26" s="25" t="str">
        <f>IF(AND('Matriz riesgos de gestión'!$AD$4="Media",'Matriz riesgos de gestión'!$AF$4="Leve"),CONCATENATE("R1C",'Matriz riesgos de gestión'!$T$4),"")</f>
        <v/>
      </c>
      <c r="K26" s="26" t="str">
        <f>IF(AND('Matriz riesgos de gestión'!$AD$5="Media",'Matriz riesgos de gestión'!$AF$5="Leve"),CONCATENATE("R1C",'Matriz riesgos de gestión'!$T$5),"")</f>
        <v/>
      </c>
      <c r="L26" s="26" t="str">
        <f>IF(AND('Matriz riesgos de gestión'!$AD$6="Media",'Matriz riesgos de gestión'!$AF$6="Leve"),CONCATENATE("R1C",'Matriz riesgos de gestión'!$T$6),"")</f>
        <v/>
      </c>
      <c r="M26" s="26" t="str">
        <f>IF(AND('Matriz riesgos de gestión'!$AD$7="Media",'Matriz riesgos de gestión'!$AF$7="Leve"),CONCATENATE("R1C",'Matriz riesgos de gestión'!$T$7),"")</f>
        <v/>
      </c>
      <c r="N26" s="26" t="str">
        <f>IF(AND('Matriz riesgos de gestión'!$AD$8="Media",'Matriz riesgos de gestión'!$AF$8="Leve"),CONCATENATE("R1C",'Matriz riesgos de gestión'!$T$8),"")</f>
        <v/>
      </c>
      <c r="O26" s="27" t="str">
        <f>IF(AND('Matriz riesgos de gestión'!$AD$9="Media",'Matriz riesgos de gestión'!$AF$9="Leve"),CONCATENATE("R1C",'Matriz riesgos de gestión'!$T$9),"")</f>
        <v/>
      </c>
      <c r="P26" s="25" t="str">
        <f>IF(AND('Matriz riesgos de gestión'!$AD$4="Media",'Matriz riesgos de gestión'!$AF$4="Menor"),CONCATENATE("R1C",'Matriz riesgos de gestión'!$T$4),"")</f>
        <v/>
      </c>
      <c r="Q26" s="26" t="str">
        <f>IF(AND('Matriz riesgos de gestión'!$AD$5="Media",'Matriz riesgos de gestión'!$AF$5="Menor"),CONCATENATE("R1C",'Matriz riesgos de gestión'!$T$5),"")</f>
        <v/>
      </c>
      <c r="R26" s="26" t="str">
        <f>IF(AND('Matriz riesgos de gestión'!$AD$6="Media",'Matriz riesgos de gestión'!$AF$6="Menor"),CONCATENATE("R1C",'Matriz riesgos de gestión'!$T$6),"")</f>
        <v/>
      </c>
      <c r="S26" s="26" t="str">
        <f>IF(AND('Matriz riesgos de gestión'!$AD$7="Media",'Matriz riesgos de gestión'!$AF$7="Menor"),CONCATENATE("R1C",'Matriz riesgos de gestión'!$T$7),"")</f>
        <v/>
      </c>
      <c r="T26" s="26" t="str">
        <f>IF(AND('Matriz riesgos de gestión'!$AD$8="Media",'Matriz riesgos de gestión'!$AF$8="Menor"),CONCATENATE("R1C",'Matriz riesgos de gestión'!$T$8),"")</f>
        <v/>
      </c>
      <c r="U26" s="27" t="str">
        <f>IF(AND('Matriz riesgos de gestión'!$AD$9="Media",'Matriz riesgos de gestión'!$AF$9="Menor"),CONCATENATE("R1C",'Matriz riesgos de gestión'!$T$9),"")</f>
        <v/>
      </c>
      <c r="V26" s="25" t="str">
        <f>IF(AND('Matriz riesgos de gestión'!$AD$4="Media",'Matriz riesgos de gestión'!$AF$4="Moderado"),CONCATENATE("R1C",'Matriz riesgos de gestión'!$T$4),"")</f>
        <v/>
      </c>
      <c r="W26" s="26" t="str">
        <f>IF(AND('Matriz riesgos de gestión'!$AD$5="Media",'Matriz riesgos de gestión'!$AF$5="Moderado"),CONCATENATE("R1C",'Matriz riesgos de gestión'!$T$5),"")</f>
        <v/>
      </c>
      <c r="X26" s="26" t="str">
        <f>IF(AND('Matriz riesgos de gestión'!$AD$6="Media",'Matriz riesgos de gestión'!$AF$6="Moderado"),CONCATENATE("R1C",'Matriz riesgos de gestión'!$T$6),"")</f>
        <v/>
      </c>
      <c r="Y26" s="26" t="str">
        <f>IF(AND('Matriz riesgos de gestión'!$AD$7="Media",'Matriz riesgos de gestión'!$AF$7="Moderado"),CONCATENATE("R1C",'Matriz riesgos de gestión'!$T$7),"")</f>
        <v/>
      </c>
      <c r="Z26" s="26" t="str">
        <f>IF(AND('Matriz riesgos de gestión'!$AD$8="Media",'Matriz riesgos de gestión'!$AF$8="Moderado"),CONCATENATE("R1C",'Matriz riesgos de gestión'!$T$8),"")</f>
        <v/>
      </c>
      <c r="AA26" s="27" t="str">
        <f>IF(AND('Matriz riesgos de gestión'!$AD$9="Media",'Matriz riesgos de gestión'!$AF$9="Moderado"),CONCATENATE("R1C",'Matriz riesgos de gestión'!$T$9),"")</f>
        <v/>
      </c>
      <c r="AB26" s="19" t="str">
        <f>IF(AND('Matriz riesgos de gestión'!$AD$4="Media",'Matriz riesgos de gestión'!$AF$4="Mayor"),CONCATENATE("R1C",'Matriz riesgos de gestión'!$T$4),"")</f>
        <v/>
      </c>
      <c r="AC26" s="20" t="str">
        <f>IF(AND('Matriz riesgos de gestión'!$AD$5="Media",'Matriz riesgos de gestión'!$AF$5="Mayor"),CONCATENATE("R1C",'Matriz riesgos de gestión'!$T$5),"")</f>
        <v/>
      </c>
      <c r="AD26" s="20" t="str">
        <f>IF(AND('Matriz riesgos de gestión'!$AD$6="Media",'Matriz riesgos de gestión'!$AF$6="Mayor"),CONCATENATE("R1C",'Matriz riesgos de gestión'!$T$6),"")</f>
        <v/>
      </c>
      <c r="AE26" s="20" t="str">
        <f>IF(AND('Matriz riesgos de gestión'!$AD$7="Media",'Matriz riesgos de gestión'!$AF$7="Mayor"),CONCATENATE("R1C",'Matriz riesgos de gestión'!$T$7),"")</f>
        <v/>
      </c>
      <c r="AF26" s="20" t="str">
        <f>IF(AND('Matriz riesgos de gestión'!$AD$8="Media",'Matriz riesgos de gestión'!$AF$8="Mayor"),CONCATENATE("R1C",'Matriz riesgos de gestión'!$T$8),"")</f>
        <v/>
      </c>
      <c r="AG26" s="21" t="str">
        <f>IF(AND('Matriz riesgos de gestión'!$AD$9="Media",'Matriz riesgos de gestión'!$AF$9="Mayor"),CONCATENATE("R1C",'Matriz riesgos de gestión'!$T$9),"")</f>
        <v/>
      </c>
      <c r="AH26" s="22" t="str">
        <f>IF(AND('Matriz riesgos de gestión'!$AD$4="Media",'Matriz riesgos de gestión'!$AF$4="Catastrófico"),CONCATENATE("R1C",'Matriz riesgos de gestión'!$T$4),"")</f>
        <v/>
      </c>
      <c r="AI26" s="23" t="str">
        <f>IF(AND('Matriz riesgos de gestión'!$AD$5="Media",'Matriz riesgos de gestión'!$AF$5="Catastrófico"),CONCATENATE("R1C",'Matriz riesgos de gestión'!$T$5),"")</f>
        <v/>
      </c>
      <c r="AJ26" s="23" t="str">
        <f>IF(AND('Matriz riesgos de gestión'!$AD$6="Media",'Matriz riesgos de gestión'!$AF$6="Catastrófico"),CONCATENATE("R1C",'Matriz riesgos de gestión'!$T$6),"")</f>
        <v/>
      </c>
      <c r="AK26" s="23" t="str">
        <f>IF(AND('Matriz riesgos de gestión'!$AD$7="Media",'Matriz riesgos de gestión'!$AF$7="Catastrófico"),CONCATENATE("R1C",'Matriz riesgos de gestión'!$T$7),"")</f>
        <v/>
      </c>
      <c r="AL26" s="23" t="str">
        <f>IF(AND('Matriz riesgos de gestión'!$AD$8="Media",'Matriz riesgos de gestión'!$AF$8="Catastrófico"),CONCATENATE("R1C",'Matriz riesgos de gestión'!$T$8),"")</f>
        <v/>
      </c>
      <c r="AM26" s="24" t="str">
        <f>IF(AND('Matriz riesgos de gestión'!$AD$9="Media",'Matriz riesgos de gestión'!$AF$9="Catastrófico"),CONCATENATE("R1C",'Matriz riesgos de gestión'!$T$9),"")</f>
        <v/>
      </c>
      <c r="AN26" s="115"/>
      <c r="AO26" s="820" t="s">
        <v>8</v>
      </c>
      <c r="AP26" s="801"/>
      <c r="AQ26" s="801"/>
      <c r="AR26" s="801"/>
      <c r="AS26" s="801"/>
      <c r="AT26" s="802"/>
      <c r="AU26" s="115"/>
      <c r="AV26" s="115"/>
      <c r="AW26" s="115"/>
      <c r="AX26" s="115"/>
      <c r="AY26" s="115"/>
      <c r="AZ26" s="115"/>
      <c r="BA26" s="115"/>
      <c r="BB26" s="115"/>
      <c r="BC26" s="115"/>
      <c r="BD26" s="115"/>
      <c r="BE26" s="115"/>
      <c r="BF26" s="115"/>
      <c r="BG26" s="115"/>
      <c r="BH26" s="115"/>
      <c r="BI26" s="115"/>
    </row>
    <row r="27" spans="1:61" ht="15" customHeight="1" x14ac:dyDescent="0.25">
      <c r="A27" s="115"/>
      <c r="B27" s="781"/>
      <c r="C27" s="804"/>
      <c r="D27" s="780"/>
      <c r="E27" s="783"/>
      <c r="F27" s="804"/>
      <c r="G27" s="804"/>
      <c r="H27" s="804"/>
      <c r="I27" s="780"/>
      <c r="J27" s="146" t="str">
        <f>IF(AND('Matriz riesgos de gestión'!$AD$15="Media",'Matriz riesgos de gestión'!$AF$15="Leve"),CONCATENATE("R2C",'Matriz riesgos de gestión'!$T$15),"")</f>
        <v/>
      </c>
      <c r="K27" s="147" t="str">
        <f>IF(AND('Matriz riesgos de gestión'!$AD$16="Media",'Matriz riesgos de gestión'!$AF$16="Leve"),CONCATENATE("R2C",'Matriz riesgos de gestión'!$T$16),"")</f>
        <v/>
      </c>
      <c r="L27" s="147" t="str">
        <f>IF(AND('Matriz riesgos de gestión'!$AD$17="Media",'Matriz riesgos de gestión'!$AF$17="Leve"),CONCATENATE("R2C",'Matriz riesgos de gestión'!$T$17),"")</f>
        <v/>
      </c>
      <c r="M27" s="147" t="str">
        <f>IF(AND('Matriz riesgos de gestión'!$AD$22="Media",'Matriz riesgos de gestión'!$AF$22="Leve"),CONCATENATE("R2C",'Matriz riesgos de gestión'!$T$22),"")</f>
        <v/>
      </c>
      <c r="N27" s="147" t="str">
        <f>IF(AND('Matriz riesgos de gestión'!$AD$23="Media",'Matriz riesgos de gestión'!$AF$23="Leve"),CONCATENATE("R2C",'Matriz riesgos de gestión'!$T$23),"")</f>
        <v/>
      </c>
      <c r="O27" s="148" t="str">
        <f>IF(AND('Matriz riesgos de gestión'!$AD$24="Media",'Matriz riesgos de gestión'!$AF$24="Leve"),CONCATENATE("R2C",'Matriz riesgos de gestión'!$T$24),"")</f>
        <v/>
      </c>
      <c r="P27" s="146" t="str">
        <f>IF(AND('Matriz riesgos de gestión'!$AD$15="Media",'Matriz riesgos de gestión'!$AF$15="Menor"),CONCATENATE("R2C",'Matriz riesgos de gestión'!$T$15),"")</f>
        <v/>
      </c>
      <c r="Q27" s="147" t="str">
        <f>IF(AND('Matriz riesgos de gestión'!$AD$16="Media",'Matriz riesgos de gestión'!$AF$16="Menor"),CONCATENATE("R2C",'Matriz riesgos de gestión'!$T$16),"")</f>
        <v/>
      </c>
      <c r="R27" s="147" t="str">
        <f>IF(AND('Matriz riesgos de gestión'!$AD$17="Media",'Matriz riesgos de gestión'!$AF$17="Menor"),CONCATENATE("R2C",'Matriz riesgos de gestión'!$T$17),"")</f>
        <v/>
      </c>
      <c r="S27" s="147" t="str">
        <f>IF(AND('Matriz riesgos de gestión'!$AD$22="Media",'Matriz riesgos de gestión'!$AF$22="Menor"),CONCATENATE("R2C",'Matriz riesgos de gestión'!$T$22),"")</f>
        <v/>
      </c>
      <c r="T27" s="147" t="str">
        <f>IF(AND('Matriz riesgos de gestión'!$AD$23="Media",'Matriz riesgos de gestión'!$AF$23="Menor"),CONCATENATE("R2C",'Matriz riesgos de gestión'!$T$23),"")</f>
        <v/>
      </c>
      <c r="U27" s="148" t="str">
        <f>IF(AND('Matriz riesgos de gestión'!$AD$24="Media",'Matriz riesgos de gestión'!$AF$24="Menor"),CONCATENATE("R2C",'Matriz riesgos de gestión'!$T$24),"")</f>
        <v/>
      </c>
      <c r="V27" s="146" t="str">
        <f>IF(AND('Matriz riesgos de gestión'!$AD$15="Media",'Matriz riesgos de gestión'!$AF$15="Moderado"),CONCATENATE("R2C",'Matriz riesgos de gestión'!$T$15),"")</f>
        <v/>
      </c>
      <c r="W27" s="147" t="str">
        <f>IF(AND('Matriz riesgos de gestión'!$AD$16="Media",'Matriz riesgos de gestión'!$AF$16="Moderado"),CONCATENATE("R2C",'Matriz riesgos de gestión'!$T$16),"")</f>
        <v/>
      </c>
      <c r="X27" s="147" t="str">
        <f>IF(AND('Matriz riesgos de gestión'!$AD$17="Media",'Matriz riesgos de gestión'!$AF$17="Moderado"),CONCATENATE("R2C",'Matriz riesgos de gestión'!$T$17),"")</f>
        <v/>
      </c>
      <c r="Y27" s="147" t="str">
        <f>IF(AND('Matriz riesgos de gestión'!$AD$22="Media",'Matriz riesgos de gestión'!$AF$22="Moderado"),CONCATENATE("R2C",'Matriz riesgos de gestión'!$T$22),"")</f>
        <v/>
      </c>
      <c r="Z27" s="147" t="str">
        <f>IF(AND('Matriz riesgos de gestión'!$AD$23="Media",'Matriz riesgos de gestión'!$AF$23="Moderado"),CONCATENATE("R2C",'Matriz riesgos de gestión'!$T$23),"")</f>
        <v/>
      </c>
      <c r="AA27" s="148" t="str">
        <f>IF(AND('Matriz riesgos de gestión'!$AD$24="Media",'Matriz riesgos de gestión'!$AF$24="Moderado"),CONCATENATE("R2C",'Matriz riesgos de gestión'!$T$24),"")</f>
        <v/>
      </c>
      <c r="AB27" s="134" t="str">
        <f>IF(AND('Matriz riesgos de gestión'!$AD$15="Media",'Matriz riesgos de gestión'!$AF$15="Mayor"),CONCATENATE("R2C",'Matriz riesgos de gestión'!$T$15),"")</f>
        <v/>
      </c>
      <c r="AC27" s="135" t="str">
        <f>IF(AND('Matriz riesgos de gestión'!$AD$16="Media",'Matriz riesgos de gestión'!$AF$16="Mayor"),CONCATENATE("R2C",'Matriz riesgos de gestión'!$T$16),"")</f>
        <v/>
      </c>
      <c r="AD27" s="135" t="str">
        <f>IF(AND('Matriz riesgos de gestión'!$AD$17="Media",'Matriz riesgos de gestión'!$AF$17="Mayor"),CONCATENATE("R2C",'Matriz riesgos de gestión'!$T$17),"")</f>
        <v/>
      </c>
      <c r="AE27" s="135" t="str">
        <f>IF(AND('Matriz riesgos de gestión'!$AD$22="Media",'Matriz riesgos de gestión'!$AF$22="Mayor"),CONCATENATE("R2C",'Matriz riesgos de gestión'!$T$22),"")</f>
        <v/>
      </c>
      <c r="AF27" s="135" t="str">
        <f>IF(AND('Matriz riesgos de gestión'!$AD$23="Media",'Matriz riesgos de gestión'!$AF$23="Mayor"),CONCATENATE("R2C",'Matriz riesgos de gestión'!$T$23),"")</f>
        <v/>
      </c>
      <c r="AG27" s="136" t="str">
        <f>IF(AND('Matriz riesgos de gestión'!$AD$24="Media",'Matriz riesgos de gestión'!$AF$24="Mayor"),CONCATENATE("R2C",'Matriz riesgos de gestión'!$T$24),"")</f>
        <v/>
      </c>
      <c r="AH27" s="137" t="str">
        <f>IF(AND('Matriz riesgos de gestión'!$AD$15="Media",'Matriz riesgos de gestión'!$AF$15="Catastrófico"),CONCATENATE("R2C",'Matriz riesgos de gestión'!$T$15),"")</f>
        <v/>
      </c>
      <c r="AI27" s="138" t="str">
        <f>IF(AND('Matriz riesgos de gestión'!$AD$16="Media",'Matriz riesgos de gestión'!$AF$16="Catastrófico"),CONCATENATE("R2C",'Matriz riesgos de gestión'!$T$16),"")</f>
        <v/>
      </c>
      <c r="AJ27" s="138" t="str">
        <f>IF(AND('Matriz riesgos de gestión'!$AD$17="Media",'Matriz riesgos de gestión'!$AF$17="Catastrófico"),CONCATENATE("R2C",'Matriz riesgos de gestión'!$T$17),"")</f>
        <v/>
      </c>
      <c r="AK27" s="138" t="str">
        <f>IF(AND('Matriz riesgos de gestión'!$AD$22="Media",'Matriz riesgos de gestión'!$AF$22="Catastrófico"),CONCATENATE("R2C",'Matriz riesgos de gestión'!$T$22),"")</f>
        <v/>
      </c>
      <c r="AL27" s="138" t="str">
        <f>IF(AND('Matriz riesgos de gestión'!$AD$23="Media",'Matriz riesgos de gestión'!$AF$23="Catastrófico"),CONCATENATE("R2C",'Matriz riesgos de gestión'!$T$23),"")</f>
        <v/>
      </c>
      <c r="AM27" s="139" t="str">
        <f>IF(AND('Matriz riesgos de gestión'!$AD$24="Media",'Matriz riesgos de gestión'!$AF$24="Catastrófico"),CONCATENATE("R2C",'Matriz riesgos de gestión'!$T$24),"")</f>
        <v/>
      </c>
      <c r="AN27" s="115"/>
      <c r="AO27" s="803"/>
      <c r="AP27" s="804"/>
      <c r="AQ27" s="804"/>
      <c r="AR27" s="804"/>
      <c r="AS27" s="804"/>
      <c r="AT27" s="805"/>
      <c r="AU27" s="115"/>
      <c r="AV27" s="115"/>
      <c r="AW27" s="115"/>
      <c r="AX27" s="115"/>
      <c r="AY27" s="115"/>
      <c r="AZ27" s="115"/>
      <c r="BA27" s="115"/>
      <c r="BB27" s="115"/>
      <c r="BC27" s="115"/>
      <c r="BD27" s="115"/>
      <c r="BE27" s="115"/>
      <c r="BF27" s="115"/>
      <c r="BG27" s="115"/>
      <c r="BH27" s="115"/>
      <c r="BI27" s="115"/>
    </row>
    <row r="28" spans="1:61" ht="15" customHeight="1" x14ac:dyDescent="0.25">
      <c r="A28" s="115"/>
      <c r="B28" s="781"/>
      <c r="C28" s="804"/>
      <c r="D28" s="780"/>
      <c r="E28" s="783"/>
      <c r="F28" s="804"/>
      <c r="G28" s="804"/>
      <c r="H28" s="804"/>
      <c r="I28" s="780"/>
      <c r="J28" s="146" t="str">
        <f>IF(AND('Matriz riesgos de gestión'!$AD$25="Media",'Matriz riesgos de gestión'!$AF$25="Leve"),CONCATENATE("R3C",'Matriz riesgos de gestión'!$T$25),"")</f>
        <v/>
      </c>
      <c r="K28" s="147" t="str">
        <f>IF(AND('Matriz riesgos de gestión'!$AD$26="Media",'Matriz riesgos de gestión'!$AF$26="Leve"),CONCATENATE("R3C",'Matriz riesgos de gestión'!$T$26),"")</f>
        <v/>
      </c>
      <c r="L28" s="147" t="str">
        <f>IF(AND('Matriz riesgos de gestión'!$AD$27="Media",'Matriz riesgos de gestión'!$AF$27="Leve"),CONCATENATE("R3C",'Matriz riesgos de gestión'!$T$27),"")</f>
        <v/>
      </c>
      <c r="M28" s="147" t="str">
        <f>IF(AND('Matriz riesgos de gestión'!$AD$28="Media",'Matriz riesgos de gestión'!$AF$28="Leve"),CONCATENATE("R3C",'Matriz riesgos de gestión'!$T$28),"")</f>
        <v/>
      </c>
      <c r="N28" s="147" t="str">
        <f>IF(AND('Matriz riesgos de gestión'!$AD$29="Media",'Matriz riesgos de gestión'!$AF$29="Leve"),CONCATENATE("R3C",'Matriz riesgos de gestión'!$T$29),"")</f>
        <v/>
      </c>
      <c r="O28" s="148" t="str">
        <f>IF(AND('Matriz riesgos de gestión'!$AD$30="Media",'Matriz riesgos de gestión'!$AF$30="Leve"),CONCATENATE("R3C",'Matriz riesgos de gestión'!$T$30),"")</f>
        <v/>
      </c>
      <c r="P28" s="146" t="str">
        <f>IF(AND('Matriz riesgos de gestión'!$AD$25="Media",'Matriz riesgos de gestión'!$AF$25="Menor"),CONCATENATE("R3C",'Matriz riesgos de gestión'!$T$25),"")</f>
        <v/>
      </c>
      <c r="Q28" s="147" t="str">
        <f>IF(AND('Matriz riesgos de gestión'!$AD$26="Media",'Matriz riesgos de gestión'!$AF$26="Menor"),CONCATENATE("R3C",'Matriz riesgos de gestión'!$T$26),"")</f>
        <v/>
      </c>
      <c r="R28" s="147" t="str">
        <f>IF(AND('Matriz riesgos de gestión'!$AD$27="Media",'Matriz riesgos de gestión'!$AF$27="Menor"),CONCATENATE("R3C",'Matriz riesgos de gestión'!$T$27),"")</f>
        <v/>
      </c>
      <c r="S28" s="147" t="str">
        <f>IF(AND('Matriz riesgos de gestión'!$AD$28="Media",'Matriz riesgos de gestión'!$AF$28="Menor"),CONCATENATE("R3C",'Matriz riesgos de gestión'!$T$28),"")</f>
        <v/>
      </c>
      <c r="T28" s="147" t="str">
        <f>IF(AND('Matriz riesgos de gestión'!$AD$29="Media",'Matriz riesgos de gestión'!$AF$29="Menor"),CONCATENATE("R3C",'Matriz riesgos de gestión'!$T$29),"")</f>
        <v/>
      </c>
      <c r="U28" s="148" t="str">
        <f>IF(AND('Matriz riesgos de gestión'!$AD$30="Media",'Matriz riesgos de gestión'!$AF$30="Menor"),CONCATENATE("R3C",'Matriz riesgos de gestión'!$T$30),"")</f>
        <v/>
      </c>
      <c r="V28" s="146" t="str">
        <f>IF(AND('Matriz riesgos de gestión'!$AD$25="Media",'Matriz riesgos de gestión'!$AF$25="Moderado"),CONCATENATE("R3C",'Matriz riesgos de gestión'!$T$25),"")</f>
        <v/>
      </c>
      <c r="W28" s="147" t="str">
        <f>IF(AND('Matriz riesgos de gestión'!$AD$26="Media",'Matriz riesgos de gestión'!$AF$26="Moderado"),CONCATENATE("R3C",'Matriz riesgos de gestión'!$T$26),"")</f>
        <v/>
      </c>
      <c r="X28" s="147" t="str">
        <f>IF(AND('Matriz riesgos de gestión'!$AD$27="Media",'Matriz riesgos de gestión'!$AF$27="Moderado"),CONCATENATE("R3C",'Matriz riesgos de gestión'!$T$27),"")</f>
        <v/>
      </c>
      <c r="Y28" s="147" t="str">
        <f>IF(AND('Matriz riesgos de gestión'!$AD$28="Media",'Matriz riesgos de gestión'!$AF$28="Moderado"),CONCATENATE("R3C",'Matriz riesgos de gestión'!$T$28),"")</f>
        <v/>
      </c>
      <c r="Z28" s="147" t="str">
        <f>IF(AND('Matriz riesgos de gestión'!$AD$29="Media",'Matriz riesgos de gestión'!$AF$29="Moderado"),CONCATENATE("R3C",'Matriz riesgos de gestión'!$T$29),"")</f>
        <v/>
      </c>
      <c r="AA28" s="148" t="str">
        <f>IF(AND('Matriz riesgos de gestión'!$AD$30="Media",'Matriz riesgos de gestión'!$AF$30="Moderado"),CONCATENATE("R3C",'Matriz riesgos de gestión'!$T$30),"")</f>
        <v/>
      </c>
      <c r="AB28" s="134" t="str">
        <f>IF(AND('Matriz riesgos de gestión'!$AD$25="Media",'Matriz riesgos de gestión'!$AF$25="Mayor"),CONCATENATE("R3C",'Matriz riesgos de gestión'!$T$25),"")</f>
        <v/>
      </c>
      <c r="AC28" s="135" t="str">
        <f>IF(AND('Matriz riesgos de gestión'!$AD$26="Media",'Matriz riesgos de gestión'!$AF$26="Mayor"),CONCATENATE("R3C",'Matriz riesgos de gestión'!$T$26),"")</f>
        <v/>
      </c>
      <c r="AD28" s="135" t="str">
        <f>IF(AND('Matriz riesgos de gestión'!$AD$27="Media",'Matriz riesgos de gestión'!$AF$27="Mayor"),CONCATENATE("R3C",'Matriz riesgos de gestión'!$T$27),"")</f>
        <v/>
      </c>
      <c r="AE28" s="135" t="str">
        <f>IF(AND('Matriz riesgos de gestión'!$AD$28="Media",'Matriz riesgos de gestión'!$AF$28="Mayor"),CONCATENATE("R3C",'Matriz riesgos de gestión'!$T$28),"")</f>
        <v/>
      </c>
      <c r="AF28" s="135" t="str">
        <f>IF(AND('Matriz riesgos de gestión'!$AD$29="Media",'Matriz riesgos de gestión'!$AF$29="Mayor"),CONCATENATE("R3C",'Matriz riesgos de gestión'!$T$29),"")</f>
        <v/>
      </c>
      <c r="AG28" s="136" t="str">
        <f>IF(AND('Matriz riesgos de gestión'!$AD$30="Media",'Matriz riesgos de gestión'!$AF$30="Mayor"),CONCATENATE("R3C",'Matriz riesgos de gestión'!$T$30),"")</f>
        <v/>
      </c>
      <c r="AH28" s="137" t="str">
        <f>IF(AND('Matriz riesgos de gestión'!$AD$25="Media",'Matriz riesgos de gestión'!$AF$25="Catastrófico"),CONCATENATE("R3C",'Matriz riesgos de gestión'!$T$25),"")</f>
        <v/>
      </c>
      <c r="AI28" s="138" t="str">
        <f>IF(AND('Matriz riesgos de gestión'!$AD$26="Media",'Matriz riesgos de gestión'!$AF$26="Catastrófico"),CONCATENATE("R3C",'Matriz riesgos de gestión'!$T$26),"")</f>
        <v/>
      </c>
      <c r="AJ28" s="138" t="str">
        <f>IF(AND('Matriz riesgos de gestión'!$AD$27="Media",'Matriz riesgos de gestión'!$AF$27="Catastrófico"),CONCATENATE("R3C",'Matriz riesgos de gestión'!$T$27),"")</f>
        <v/>
      </c>
      <c r="AK28" s="138" t="str">
        <f>IF(AND('Matriz riesgos de gestión'!$AD$28="Media",'Matriz riesgos de gestión'!$AF$28="Catastrófico"),CONCATENATE("R3C",'Matriz riesgos de gestión'!$T$28),"")</f>
        <v/>
      </c>
      <c r="AL28" s="138" t="str">
        <f>IF(AND('Matriz riesgos de gestión'!$AD$29="Media",'Matriz riesgos de gestión'!$AF$29="Catastrófico"),CONCATENATE("R3C",'Matriz riesgos de gestión'!$T$29),"")</f>
        <v/>
      </c>
      <c r="AM28" s="139" t="str">
        <f>IF(AND('Matriz riesgos de gestión'!$AD$30="Media",'Matriz riesgos de gestión'!$AF$30="Catastrófico"),CONCATENATE("R3C",'Matriz riesgos de gestión'!$T$30),"")</f>
        <v/>
      </c>
      <c r="AN28" s="115"/>
      <c r="AO28" s="803"/>
      <c r="AP28" s="804"/>
      <c r="AQ28" s="804"/>
      <c r="AR28" s="804"/>
      <c r="AS28" s="804"/>
      <c r="AT28" s="805"/>
      <c r="AU28" s="115"/>
      <c r="AV28" s="115"/>
      <c r="AW28" s="115"/>
      <c r="AX28" s="115"/>
      <c r="AY28" s="115"/>
      <c r="AZ28" s="115"/>
      <c r="BA28" s="115"/>
      <c r="BB28" s="115"/>
      <c r="BC28" s="115"/>
      <c r="BD28" s="115"/>
      <c r="BE28" s="115"/>
      <c r="BF28" s="115"/>
      <c r="BG28" s="115"/>
      <c r="BH28" s="115"/>
      <c r="BI28" s="115"/>
    </row>
    <row r="29" spans="1:61" ht="15" customHeight="1" x14ac:dyDescent="0.25">
      <c r="A29" s="115"/>
      <c r="B29" s="781"/>
      <c r="C29" s="804"/>
      <c r="D29" s="780"/>
      <c r="E29" s="783"/>
      <c r="F29" s="804"/>
      <c r="G29" s="804"/>
      <c r="H29" s="804"/>
      <c r="I29" s="780"/>
      <c r="J29" s="146" t="str">
        <f>IF(AND('Matriz riesgos de gestión'!$AD$31="Media",'Matriz riesgos de gestión'!$AF$31="Leve"),CONCATENATE("R4C",'Matriz riesgos de gestión'!$T$31),"")</f>
        <v/>
      </c>
      <c r="K29" s="147" t="str">
        <f>IF(AND('Matriz riesgos de gestión'!$AD$32="Media",'Matriz riesgos de gestión'!$AF$32="Leve"),CONCATENATE("R4C",'Matriz riesgos de gestión'!$T$32),"")</f>
        <v/>
      </c>
      <c r="L29" s="147" t="str">
        <f>IF(AND('Matriz riesgos de gestión'!$AD$33="Media",'Matriz riesgos de gestión'!$AF$33="Leve"),CONCATENATE("R4C",'Matriz riesgos de gestión'!$T$33),"")</f>
        <v/>
      </c>
      <c r="M29" s="147" t="str">
        <f>IF(AND('Matriz riesgos de gestión'!$AD$34="Media",'Matriz riesgos de gestión'!$AF$34="Leve"),CONCATENATE("R4C",'Matriz riesgos de gestión'!$T$34),"")</f>
        <v/>
      </c>
      <c r="N29" s="147" t="str">
        <f>IF(AND('Matriz riesgos de gestión'!$AD$35="Media",'Matriz riesgos de gestión'!$AF$35="Leve"),CONCATENATE("R4C",'Matriz riesgos de gestión'!$T$35),"")</f>
        <v/>
      </c>
      <c r="O29" s="148" t="str">
        <f>IF(AND('Matriz riesgos de gestión'!$AD$36="Media",'Matriz riesgos de gestión'!$AF$36="Leve"),CONCATENATE("R4C",'Matriz riesgos de gestión'!$T$36),"")</f>
        <v/>
      </c>
      <c r="P29" s="146" t="str">
        <f>IF(AND('Matriz riesgos de gestión'!$AD$31="Media",'Matriz riesgos de gestión'!$AF$31="Menor"),CONCATENATE("R4C",'Matriz riesgos de gestión'!$T$31),"")</f>
        <v/>
      </c>
      <c r="Q29" s="147" t="str">
        <f>IF(AND('Matriz riesgos de gestión'!$AD$32="Media",'Matriz riesgos de gestión'!$AF$32="Menor"),CONCATENATE("R4C",'Matriz riesgos de gestión'!$T$32),"")</f>
        <v/>
      </c>
      <c r="R29" s="147" t="str">
        <f>IF(AND('Matriz riesgos de gestión'!$AD$33="Media",'Matriz riesgos de gestión'!$AF$33="Menor"),CONCATENATE("R4C",'Matriz riesgos de gestión'!$T$33),"")</f>
        <v/>
      </c>
      <c r="S29" s="147" t="str">
        <f>IF(AND('Matriz riesgos de gestión'!$AD$34="Media",'Matriz riesgos de gestión'!$AF$34="Menor"),CONCATENATE("R4C",'Matriz riesgos de gestión'!$T$34),"")</f>
        <v/>
      </c>
      <c r="T29" s="147" t="str">
        <f>IF(AND('Matriz riesgos de gestión'!$AD$35="Media",'Matriz riesgos de gestión'!$AF$35="Menor"),CONCATENATE("R4C",'Matriz riesgos de gestión'!$T$35),"")</f>
        <v/>
      </c>
      <c r="U29" s="148" t="str">
        <f>IF(AND('Matriz riesgos de gestión'!$AD$36="Media",'Matriz riesgos de gestión'!$AF$36="Menor"),CONCATENATE("R4C",'Matriz riesgos de gestión'!$T$36),"")</f>
        <v/>
      </c>
      <c r="V29" s="146" t="str">
        <f>IF(AND('Matriz riesgos de gestión'!$AD$31="Media",'Matriz riesgos de gestión'!$AF$31="Moderado"),CONCATENATE("R4C",'Matriz riesgos de gestión'!$T$31),"")</f>
        <v/>
      </c>
      <c r="W29" s="147" t="str">
        <f>IF(AND('Matriz riesgos de gestión'!$AD$32="Media",'Matriz riesgos de gestión'!$AF$32="Moderado"),CONCATENATE("R4C",'Matriz riesgos de gestión'!$T$32),"")</f>
        <v/>
      </c>
      <c r="X29" s="147" t="str">
        <f>IF(AND('Matriz riesgos de gestión'!$AD$33="Media",'Matriz riesgos de gestión'!$AF$33="Moderado"),CONCATENATE("R4C",'Matriz riesgos de gestión'!$T$33),"")</f>
        <v/>
      </c>
      <c r="Y29" s="147" t="str">
        <f>IF(AND('Matriz riesgos de gestión'!$AD$34="Media",'Matriz riesgos de gestión'!$AF$34="Moderado"),CONCATENATE("R4C",'Matriz riesgos de gestión'!$T$34),"")</f>
        <v/>
      </c>
      <c r="Z29" s="147" t="str">
        <f>IF(AND('Matriz riesgos de gestión'!$AD$35="Media",'Matriz riesgos de gestión'!$AF$35="Moderado"),CONCATENATE("R4C",'Matriz riesgos de gestión'!$T$35),"")</f>
        <v/>
      </c>
      <c r="AA29" s="148" t="str">
        <f>IF(AND('Matriz riesgos de gestión'!$AD$36="Media",'Matriz riesgos de gestión'!$AF$36="Moderado"),CONCATENATE("R4C",'Matriz riesgos de gestión'!$T$36),"")</f>
        <v/>
      </c>
      <c r="AB29" s="134" t="str">
        <f>IF(AND('Matriz riesgos de gestión'!$AD$31="Media",'Matriz riesgos de gestión'!$AF$31="Mayor"),CONCATENATE("R4C",'Matriz riesgos de gestión'!$T$31),"")</f>
        <v/>
      </c>
      <c r="AC29" s="135" t="str">
        <f>IF(AND('Matriz riesgos de gestión'!$AD$32="Media",'Matriz riesgos de gestión'!$AF$32="Mayor"),CONCATENATE("R4C",'Matriz riesgos de gestión'!$T$32),"")</f>
        <v/>
      </c>
      <c r="AD29" s="135" t="str">
        <f>IF(AND('Matriz riesgos de gestión'!$AD$33="Media",'Matriz riesgos de gestión'!$AF$33="Mayor"),CONCATENATE("R4C",'Matriz riesgos de gestión'!$T$33),"")</f>
        <v/>
      </c>
      <c r="AE29" s="135" t="str">
        <f>IF(AND('Matriz riesgos de gestión'!$AD$34="Media",'Matriz riesgos de gestión'!$AF$34="Mayor"),CONCATENATE("R4C",'Matriz riesgos de gestión'!$T$34),"")</f>
        <v/>
      </c>
      <c r="AF29" s="135" t="str">
        <f>IF(AND('Matriz riesgos de gestión'!$AD$35="Media",'Matriz riesgos de gestión'!$AF$35="Mayor"),CONCATENATE("R4C",'Matriz riesgos de gestión'!$T$35),"")</f>
        <v/>
      </c>
      <c r="AG29" s="136" t="str">
        <f>IF(AND('Matriz riesgos de gestión'!$AD$36="Media",'Matriz riesgos de gestión'!$AF$36="Mayor"),CONCATENATE("R4C",'Matriz riesgos de gestión'!$T$36),"")</f>
        <v/>
      </c>
      <c r="AH29" s="137" t="str">
        <f>IF(AND('Matriz riesgos de gestión'!$AD$31="Media",'Matriz riesgos de gestión'!$AF$31="Catastrófico"),CONCATENATE("R4C",'Matriz riesgos de gestión'!$T$31),"")</f>
        <v/>
      </c>
      <c r="AI29" s="138" t="str">
        <f>IF(AND('Matriz riesgos de gestión'!$AD$32="Media",'Matriz riesgos de gestión'!$AF$32="Catastrófico"),CONCATENATE("R4C",'Matriz riesgos de gestión'!$T$32),"")</f>
        <v/>
      </c>
      <c r="AJ29" s="138" t="str">
        <f>IF(AND('Matriz riesgos de gestión'!$AD$33="Media",'Matriz riesgos de gestión'!$AF$33="Catastrófico"),CONCATENATE("R4C",'Matriz riesgos de gestión'!$T$33),"")</f>
        <v/>
      </c>
      <c r="AK29" s="138" t="str">
        <f>IF(AND('Matriz riesgos de gestión'!$AD$34="Media",'Matriz riesgos de gestión'!$AF$34="Catastrófico"),CONCATENATE("R4C",'Matriz riesgos de gestión'!$T$34),"")</f>
        <v/>
      </c>
      <c r="AL29" s="138" t="str">
        <f>IF(AND('Matriz riesgos de gestión'!$AD$35="Media",'Matriz riesgos de gestión'!$AF$35="Catastrófico"),CONCATENATE("R4C",'Matriz riesgos de gestión'!$T$35),"")</f>
        <v/>
      </c>
      <c r="AM29" s="139" t="str">
        <f>IF(AND('Matriz riesgos de gestión'!$AD$36="Media",'Matriz riesgos de gestión'!$AF$36="Catastrófico"),CONCATENATE("R4C",'Matriz riesgos de gestión'!$T$36),"")</f>
        <v/>
      </c>
      <c r="AN29" s="115"/>
      <c r="AO29" s="803"/>
      <c r="AP29" s="804"/>
      <c r="AQ29" s="804"/>
      <c r="AR29" s="804"/>
      <c r="AS29" s="804"/>
      <c r="AT29" s="805"/>
      <c r="AU29" s="115"/>
      <c r="AV29" s="115"/>
      <c r="AW29" s="115"/>
      <c r="AX29" s="115"/>
      <c r="AY29" s="115"/>
      <c r="AZ29" s="115"/>
      <c r="BA29" s="115"/>
      <c r="BB29" s="115"/>
      <c r="BC29" s="115"/>
      <c r="BD29" s="115"/>
      <c r="BE29" s="115"/>
      <c r="BF29" s="115"/>
      <c r="BG29" s="115"/>
      <c r="BH29" s="115"/>
      <c r="BI29" s="115"/>
    </row>
    <row r="30" spans="1:61" ht="15" customHeight="1" x14ac:dyDescent="0.25">
      <c r="A30" s="115"/>
      <c r="B30" s="781"/>
      <c r="C30" s="804"/>
      <c r="D30" s="780"/>
      <c r="E30" s="783"/>
      <c r="F30" s="804"/>
      <c r="G30" s="804"/>
      <c r="H30" s="804"/>
      <c r="I30" s="780"/>
      <c r="J30" s="146" t="str">
        <f>IF(AND('Matriz riesgos de gestión'!$AD$37="Media",'Matriz riesgos de gestión'!$AF$37="Leve"),CONCATENATE("R5C",'Matriz riesgos de gestión'!$T$37),"")</f>
        <v/>
      </c>
      <c r="K30" s="147" t="str">
        <f>IF(AND('Matriz riesgos de gestión'!$AD$38="Media",'Matriz riesgos de gestión'!$AF$38="Leve"),CONCATENATE("R5C",'Matriz riesgos de gestión'!$T$38),"")</f>
        <v/>
      </c>
      <c r="L30" s="147" t="str">
        <f>IF(AND('Matriz riesgos de gestión'!$AD$39="Media",'Matriz riesgos de gestión'!$AF$39="Leve"),CONCATENATE("R5C",'Matriz riesgos de gestión'!$T$39),"")</f>
        <v/>
      </c>
      <c r="M30" s="147" t="str">
        <f>IF(AND('Matriz riesgos de gestión'!$AD$40="Media",'Matriz riesgos de gestión'!$AF$40="Leve"),CONCATENATE("R5C",'Matriz riesgos de gestión'!$T$40),"")</f>
        <v/>
      </c>
      <c r="N30" s="147" t="str">
        <f>IF(AND('Matriz riesgos de gestión'!$AD$41="Media",'Matriz riesgos de gestión'!$AF$41="Leve"),CONCATENATE("R5C",'Matriz riesgos de gestión'!$T$41),"")</f>
        <v/>
      </c>
      <c r="O30" s="148" t="str">
        <f>IF(AND('Matriz riesgos de gestión'!$AD$42="Media",'Matriz riesgos de gestión'!$AF$42="Leve"),CONCATENATE("R5C",'Matriz riesgos de gestión'!$T$42),"")</f>
        <v/>
      </c>
      <c r="P30" s="146" t="str">
        <f>IF(AND('Matriz riesgos de gestión'!$AD$37="Media",'Matriz riesgos de gestión'!$AF$37="Menor"),CONCATENATE("R5C",'Matriz riesgos de gestión'!$T$37),"")</f>
        <v/>
      </c>
      <c r="Q30" s="147" t="str">
        <f>IF(AND('Matriz riesgos de gestión'!$AD$38="Media",'Matriz riesgos de gestión'!$AF$38="Menor"),CONCATENATE("R5C",'Matriz riesgos de gestión'!$T$38),"")</f>
        <v/>
      </c>
      <c r="R30" s="147" t="str">
        <f>IF(AND('Matriz riesgos de gestión'!$AD$39="Media",'Matriz riesgos de gestión'!$AF$39="Menor"),CONCATENATE("R5C",'Matriz riesgos de gestión'!$T$39),"")</f>
        <v/>
      </c>
      <c r="S30" s="147" t="str">
        <f>IF(AND('Matriz riesgos de gestión'!$AD$40="Media",'Matriz riesgos de gestión'!$AF$40="Menor"),CONCATENATE("R5C",'Matriz riesgos de gestión'!$T$40),"")</f>
        <v/>
      </c>
      <c r="T30" s="147" t="str">
        <f>IF(AND('Matriz riesgos de gestión'!$AD$41="Media",'Matriz riesgos de gestión'!$AF$41="Menor"),CONCATENATE("R5C",'Matriz riesgos de gestión'!$T$41),"")</f>
        <v/>
      </c>
      <c r="U30" s="148" t="str">
        <f>IF(AND('Matriz riesgos de gestión'!$AD$42="Media",'Matriz riesgos de gestión'!$AF$42="Menor"),CONCATENATE("R5C",'Matriz riesgos de gestión'!$T$42),"")</f>
        <v/>
      </c>
      <c r="V30" s="146" t="str">
        <f>IF(AND('Matriz riesgos de gestión'!$AD$37="Media",'Matriz riesgos de gestión'!$AF$37="Moderado"),CONCATENATE("R5C",'Matriz riesgos de gestión'!$T$37),"")</f>
        <v/>
      </c>
      <c r="W30" s="147" t="str">
        <f>IF(AND('Matriz riesgos de gestión'!$AD$38="Media",'Matriz riesgos de gestión'!$AF$38="Moderado"),CONCATENATE("R5C",'Matriz riesgos de gestión'!$T$38),"")</f>
        <v/>
      </c>
      <c r="X30" s="147" t="str">
        <f>IF(AND('Matriz riesgos de gestión'!$AD$39="Media",'Matriz riesgos de gestión'!$AF$39="Moderado"),CONCATENATE("R5C",'Matriz riesgos de gestión'!$T$39),"")</f>
        <v/>
      </c>
      <c r="Y30" s="147" t="str">
        <f>IF(AND('Matriz riesgos de gestión'!$AD$40="Media",'Matriz riesgos de gestión'!$AF$40="Moderado"),CONCATENATE("R5C",'Matriz riesgos de gestión'!$T$40),"")</f>
        <v/>
      </c>
      <c r="Z30" s="147" t="str">
        <f>IF(AND('Matriz riesgos de gestión'!$AD$41="Media",'Matriz riesgos de gestión'!$AF$41="Moderado"),CONCATENATE("R5C",'Matriz riesgos de gestión'!$T$41),"")</f>
        <v/>
      </c>
      <c r="AA30" s="148" t="str">
        <f>IF(AND('Matriz riesgos de gestión'!$AD$42="Media",'Matriz riesgos de gestión'!$AF$42="Moderado"),CONCATENATE("R5C",'Matriz riesgos de gestión'!$T$42),"")</f>
        <v/>
      </c>
      <c r="AB30" s="134" t="str">
        <f>IF(AND('Matriz riesgos de gestión'!$AD$37="Media",'Matriz riesgos de gestión'!$AF$37="Mayor"),CONCATENATE("R5C",'Matriz riesgos de gestión'!$T$37),"")</f>
        <v/>
      </c>
      <c r="AC30" s="135" t="str">
        <f>IF(AND('Matriz riesgos de gestión'!$AD$38="Media",'Matriz riesgos de gestión'!$AF$38="Mayor"),CONCATENATE("R5C",'Matriz riesgos de gestión'!$T$38),"")</f>
        <v/>
      </c>
      <c r="AD30" s="135" t="str">
        <f>IF(AND('Matriz riesgos de gestión'!$AD$39="Media",'Matriz riesgos de gestión'!$AF$39="Mayor"),CONCATENATE("R5C",'Matriz riesgos de gestión'!$T$39),"")</f>
        <v/>
      </c>
      <c r="AE30" s="135" t="str">
        <f>IF(AND('Matriz riesgos de gestión'!$AD$40="Media",'Matriz riesgos de gestión'!$AF$40="Mayor"),CONCATENATE("R5C",'Matriz riesgos de gestión'!$T$40),"")</f>
        <v/>
      </c>
      <c r="AF30" s="135" t="str">
        <f>IF(AND('Matriz riesgos de gestión'!$AD$41="Media",'Matriz riesgos de gestión'!$AF$41="Mayor"),CONCATENATE("R5C",'Matriz riesgos de gestión'!$T$41),"")</f>
        <v/>
      </c>
      <c r="AG30" s="136" t="str">
        <f>IF(AND('Matriz riesgos de gestión'!$AD$42="Media",'Matriz riesgos de gestión'!$AF$42="Mayor"),CONCATENATE("R5C",'Matriz riesgos de gestión'!$T$42),"")</f>
        <v/>
      </c>
      <c r="AH30" s="137" t="str">
        <f>IF(AND('Matriz riesgos de gestión'!$AD$37="Media",'Matriz riesgos de gestión'!$AF$37="Catastrófico"),CONCATENATE("R5C",'Matriz riesgos de gestión'!$T$37),"")</f>
        <v/>
      </c>
      <c r="AI30" s="138" t="str">
        <f>IF(AND('Matriz riesgos de gestión'!$AD$38="Media",'Matriz riesgos de gestión'!$AF$38="Catastrófico"),CONCATENATE("R5C",'Matriz riesgos de gestión'!$T$38),"")</f>
        <v/>
      </c>
      <c r="AJ30" s="138" t="str">
        <f>IF(AND('Matriz riesgos de gestión'!$AD$39="Media",'Matriz riesgos de gestión'!$AF$39="Catastrófico"),CONCATENATE("R5C",'Matriz riesgos de gestión'!$T$39),"")</f>
        <v/>
      </c>
      <c r="AK30" s="138" t="str">
        <f>IF(AND('Matriz riesgos de gestión'!$AD$40="Media",'Matriz riesgos de gestión'!$AF$40="Catastrófico"),CONCATENATE("R5C",'Matriz riesgos de gestión'!$T$40),"")</f>
        <v/>
      </c>
      <c r="AL30" s="138" t="str">
        <f>IF(AND('Matriz riesgos de gestión'!$AD$41="Media",'Matriz riesgos de gestión'!$AF$41="Catastrófico"),CONCATENATE("R5C",'Matriz riesgos de gestión'!$T$41),"")</f>
        <v/>
      </c>
      <c r="AM30" s="139" t="str">
        <f>IF(AND('Matriz riesgos de gestión'!$AD$42="Media",'Matriz riesgos de gestión'!$AF$42="Catastrófico"),CONCATENATE("R5C",'Matriz riesgos de gestión'!$T$42),"")</f>
        <v/>
      </c>
      <c r="AN30" s="115"/>
      <c r="AO30" s="803"/>
      <c r="AP30" s="804"/>
      <c r="AQ30" s="804"/>
      <c r="AR30" s="804"/>
      <c r="AS30" s="804"/>
      <c r="AT30" s="805"/>
      <c r="AU30" s="115"/>
      <c r="AV30" s="115"/>
      <c r="AW30" s="115"/>
      <c r="AX30" s="115"/>
      <c r="AY30" s="115"/>
      <c r="AZ30" s="115"/>
      <c r="BA30" s="115"/>
      <c r="BB30" s="115"/>
      <c r="BC30" s="115"/>
      <c r="BD30" s="115"/>
      <c r="BE30" s="115"/>
      <c r="BF30" s="115"/>
      <c r="BG30" s="115"/>
      <c r="BH30" s="115"/>
      <c r="BI30" s="115"/>
    </row>
    <row r="31" spans="1:61" ht="15" customHeight="1" x14ac:dyDescent="0.25">
      <c r="A31" s="115"/>
      <c r="B31" s="781"/>
      <c r="C31" s="804"/>
      <c r="D31" s="780"/>
      <c r="E31" s="783"/>
      <c r="F31" s="804"/>
      <c r="G31" s="804"/>
      <c r="H31" s="804"/>
      <c r="I31" s="780"/>
      <c r="J31" s="146" t="str">
        <f>IF(AND('Matriz riesgos de gestión'!$AD$43="Media",'Matriz riesgos de gestión'!$AF$43="Leve"),CONCATENATE("R6C",'Matriz riesgos de gestión'!$T$43),"")</f>
        <v/>
      </c>
      <c r="K31" s="147" t="str">
        <f>IF(AND('Matriz riesgos de gestión'!$AD$44="Media",'Matriz riesgos de gestión'!$AF$44="Leve"),CONCATENATE("R6C",'Matriz riesgos de gestión'!$T$44),"")</f>
        <v/>
      </c>
      <c r="L31" s="147" t="str">
        <f>IF(AND('Matriz riesgos de gestión'!$AD$45="Media",'Matriz riesgos de gestión'!$AF$45="Leve"),CONCATENATE("R6C",'Matriz riesgos de gestión'!$T$45),"")</f>
        <v/>
      </c>
      <c r="M31" s="147" t="str">
        <f>IF(AND('Matriz riesgos de gestión'!$AD$46="Media",'Matriz riesgos de gestión'!$AF$46="Leve"),CONCATENATE("R6C",'Matriz riesgos de gestión'!$T$46),"")</f>
        <v/>
      </c>
      <c r="N31" s="147" t="str">
        <f>IF(AND('Matriz riesgos de gestión'!$AD$47="Media",'Matriz riesgos de gestión'!$AF$47="Leve"),CONCATENATE("R6C",'Matriz riesgos de gestión'!$T$47),"")</f>
        <v/>
      </c>
      <c r="O31" s="148" t="str">
        <f>IF(AND('Matriz riesgos de gestión'!$AD$48="Media",'Matriz riesgos de gestión'!$AF$48="Leve"),CONCATENATE("R6C",'Matriz riesgos de gestión'!$T$48),"")</f>
        <v/>
      </c>
      <c r="P31" s="146" t="str">
        <f>IF(AND('Matriz riesgos de gestión'!$AD$43="Media",'Matriz riesgos de gestión'!$AF$43="Menor"),CONCATENATE("R6C",'Matriz riesgos de gestión'!$T$43),"")</f>
        <v/>
      </c>
      <c r="Q31" s="147" t="str">
        <f>IF(AND('Matriz riesgos de gestión'!$AD$44="Media",'Matriz riesgos de gestión'!$AF$44="Menor"),CONCATENATE("R6C",'Matriz riesgos de gestión'!$T$44),"")</f>
        <v/>
      </c>
      <c r="R31" s="147" t="str">
        <f>IF(AND('Matriz riesgos de gestión'!$AD$45="Media",'Matriz riesgos de gestión'!$AF$45="Menor"),CONCATENATE("R6C",'Matriz riesgos de gestión'!$T$45),"")</f>
        <v/>
      </c>
      <c r="S31" s="147" t="str">
        <f>IF(AND('Matriz riesgos de gestión'!$AD$46="Media",'Matriz riesgos de gestión'!$AF$46="Menor"),CONCATENATE("R6C",'Matriz riesgos de gestión'!$T$46),"")</f>
        <v/>
      </c>
      <c r="T31" s="147" t="str">
        <f>IF(AND('Matriz riesgos de gestión'!$AD$47="Media",'Matriz riesgos de gestión'!$AF$47="Menor"),CONCATENATE("R6C",'Matriz riesgos de gestión'!$T$47),"")</f>
        <v/>
      </c>
      <c r="U31" s="148" t="str">
        <f>IF(AND('Matriz riesgos de gestión'!$AD$48="Media",'Matriz riesgos de gestión'!$AF$48="Menor"),CONCATENATE("R6C",'Matriz riesgos de gestión'!$T$48),"")</f>
        <v/>
      </c>
      <c r="V31" s="146" t="str">
        <f>IF(AND('Matriz riesgos de gestión'!$AD$43="Media",'Matriz riesgos de gestión'!$AF$43="Moderado"),CONCATENATE("R6C",'Matriz riesgos de gestión'!$T$43),"")</f>
        <v>R6C1</v>
      </c>
      <c r="W31" s="147" t="str">
        <f>IF(AND('Matriz riesgos de gestión'!$AD$44="Media",'Matriz riesgos de gestión'!$AF$44="Moderado"),CONCATENATE("R6C",'Matriz riesgos de gestión'!$T$44),"")</f>
        <v/>
      </c>
      <c r="X31" s="147" t="str">
        <f>IF(AND('Matriz riesgos de gestión'!$AD$45="Media",'Matriz riesgos de gestión'!$AF$45="Moderado"),CONCATENATE("R6C",'Matriz riesgos de gestión'!$T$45),"")</f>
        <v/>
      </c>
      <c r="Y31" s="147" t="str">
        <f>IF(AND('Matriz riesgos de gestión'!$AD$46="Media",'Matriz riesgos de gestión'!$AF$46="Moderado"),CONCATENATE("R6C",'Matriz riesgos de gestión'!$T$46),"")</f>
        <v/>
      </c>
      <c r="Z31" s="147" t="str">
        <f>IF(AND('Matriz riesgos de gestión'!$AD$47="Media",'Matriz riesgos de gestión'!$AF$47="Moderado"),CONCATENATE("R6C",'Matriz riesgos de gestión'!$T$47),"")</f>
        <v/>
      </c>
      <c r="AA31" s="148" t="str">
        <f>IF(AND('Matriz riesgos de gestión'!$AD$48="Media",'Matriz riesgos de gestión'!$AF$48="Moderado"),CONCATENATE("R6C",'Matriz riesgos de gestión'!$T$48),"")</f>
        <v/>
      </c>
      <c r="AB31" s="134" t="str">
        <f>IF(AND('Matriz riesgos de gestión'!$AD$43="Media",'Matriz riesgos de gestión'!$AF$43="Mayor"),CONCATENATE("R6C",'Matriz riesgos de gestión'!$T$43),"")</f>
        <v/>
      </c>
      <c r="AC31" s="135" t="str">
        <f>IF(AND('Matriz riesgos de gestión'!$AD$44="Media",'Matriz riesgos de gestión'!$AF$44="Mayor"),CONCATENATE("R6C",'Matriz riesgos de gestión'!$T$44),"")</f>
        <v/>
      </c>
      <c r="AD31" s="135" t="str">
        <f>IF(AND('Matriz riesgos de gestión'!$AD$45="Media",'Matriz riesgos de gestión'!$AF$45="Mayor"),CONCATENATE("R6C",'Matriz riesgos de gestión'!$T$45),"")</f>
        <v/>
      </c>
      <c r="AE31" s="135" t="str">
        <f>IF(AND('Matriz riesgos de gestión'!$AD$46="Media",'Matriz riesgos de gestión'!$AF$46="Mayor"),CONCATENATE("R6C",'Matriz riesgos de gestión'!$T$46),"")</f>
        <v/>
      </c>
      <c r="AF31" s="135" t="str">
        <f>IF(AND('Matriz riesgos de gestión'!$AD$47="Media",'Matriz riesgos de gestión'!$AF$47="Mayor"),CONCATENATE("R6C",'Matriz riesgos de gestión'!$T$47),"")</f>
        <v/>
      </c>
      <c r="AG31" s="136" t="str">
        <f>IF(AND('Matriz riesgos de gestión'!$AD$48="Media",'Matriz riesgos de gestión'!$AF$48="Mayor"),CONCATENATE("R6C",'Matriz riesgos de gestión'!$T$48),"")</f>
        <v/>
      </c>
      <c r="AH31" s="137" t="str">
        <f>IF(AND('Matriz riesgos de gestión'!$AD$43="Media",'Matriz riesgos de gestión'!$AF$43="Catastrófico"),CONCATENATE("R6C",'Matriz riesgos de gestión'!$T$43),"")</f>
        <v/>
      </c>
      <c r="AI31" s="138" t="str">
        <f>IF(AND('Matriz riesgos de gestión'!$AD$44="Media",'Matriz riesgos de gestión'!$AF$44="Catastrófico"),CONCATENATE("R6C",'Matriz riesgos de gestión'!$T$44),"")</f>
        <v/>
      </c>
      <c r="AJ31" s="138" t="str">
        <f>IF(AND('Matriz riesgos de gestión'!$AD$45="Media",'Matriz riesgos de gestión'!$AF$45="Catastrófico"),CONCATENATE("R6C",'Matriz riesgos de gestión'!$T$45),"")</f>
        <v/>
      </c>
      <c r="AK31" s="138" t="str">
        <f>IF(AND('Matriz riesgos de gestión'!$AD$46="Media",'Matriz riesgos de gestión'!$AF$46="Catastrófico"),CONCATENATE("R6C",'Matriz riesgos de gestión'!$T$46),"")</f>
        <v/>
      </c>
      <c r="AL31" s="138" t="str">
        <f>IF(AND('Matriz riesgos de gestión'!$AD$47="Media",'Matriz riesgos de gestión'!$AF$47="Catastrófico"),CONCATENATE("R6C",'Matriz riesgos de gestión'!$T$47),"")</f>
        <v/>
      </c>
      <c r="AM31" s="139" t="str">
        <f>IF(AND('Matriz riesgos de gestión'!$AD$48="Media",'Matriz riesgos de gestión'!$AF$48="Catastrófico"),CONCATENATE("R6C",'Matriz riesgos de gestión'!$T$48),"")</f>
        <v/>
      </c>
      <c r="AN31" s="115"/>
      <c r="AO31" s="803"/>
      <c r="AP31" s="804"/>
      <c r="AQ31" s="804"/>
      <c r="AR31" s="804"/>
      <c r="AS31" s="804"/>
      <c r="AT31" s="805"/>
      <c r="AU31" s="115"/>
      <c r="AV31" s="115"/>
      <c r="AW31" s="115"/>
      <c r="AX31" s="115"/>
      <c r="AY31" s="115"/>
      <c r="AZ31" s="115"/>
      <c r="BA31" s="115"/>
      <c r="BB31" s="115"/>
      <c r="BC31" s="115"/>
      <c r="BD31" s="115"/>
      <c r="BE31" s="115"/>
      <c r="BF31" s="115"/>
      <c r="BG31" s="115"/>
      <c r="BH31" s="115"/>
      <c r="BI31" s="115"/>
    </row>
    <row r="32" spans="1:61" ht="15" customHeight="1" x14ac:dyDescent="0.25">
      <c r="A32" s="115"/>
      <c r="B32" s="781"/>
      <c r="C32" s="804"/>
      <c r="D32" s="780"/>
      <c r="E32" s="783"/>
      <c r="F32" s="804"/>
      <c r="G32" s="804"/>
      <c r="H32" s="804"/>
      <c r="I32" s="780"/>
      <c r="J32" s="146" t="str">
        <f>IF(AND('Matriz riesgos de gestión'!$AD$49="Media",'Matriz riesgos de gestión'!$AF$49="Leve"),CONCATENATE("R7C",'Matriz riesgos de gestión'!$T$49),"")</f>
        <v/>
      </c>
      <c r="K32" s="147" t="str">
        <f>IF(AND('Matriz riesgos de gestión'!$AD$50="Media",'Matriz riesgos de gestión'!$AF$50="Leve"),CONCATENATE("R7C",'Matriz riesgos de gestión'!$T$50),"")</f>
        <v/>
      </c>
      <c r="L32" s="147" t="str">
        <f>IF(AND('Matriz riesgos de gestión'!$AD$51="Media",'Matriz riesgos de gestión'!$AF$51="Leve"),CONCATENATE("R7C",'Matriz riesgos de gestión'!$T$51),"")</f>
        <v/>
      </c>
      <c r="M32" s="147" t="str">
        <f>IF(AND('Matriz riesgos de gestión'!$AD$52="Media",'Matriz riesgos de gestión'!$AF$52="Leve"),CONCATENATE("R7C",'Matriz riesgos de gestión'!$T$52),"")</f>
        <v/>
      </c>
      <c r="N32" s="147" t="str">
        <f>IF(AND('Matriz riesgos de gestión'!$AD$53="Media",'Matriz riesgos de gestión'!$AF$53="Leve"),CONCATENATE("R7C",'Matriz riesgos de gestión'!$T$53),"")</f>
        <v/>
      </c>
      <c r="O32" s="148" t="str">
        <f>IF(AND('Matriz riesgos de gestión'!$AD$54="Media",'Matriz riesgos de gestión'!$AF$54="Leve"),CONCATENATE("R7C",'Matriz riesgos de gestión'!$T$54),"")</f>
        <v/>
      </c>
      <c r="P32" s="146" t="str">
        <f>IF(AND('Matriz riesgos de gestión'!$AD$49="Media",'Matriz riesgos de gestión'!$AF$49="Menor"),CONCATENATE("R7C",'Matriz riesgos de gestión'!$T$49),"")</f>
        <v/>
      </c>
      <c r="Q32" s="147" t="str">
        <f>IF(AND('Matriz riesgos de gestión'!$AD$50="Media",'Matriz riesgos de gestión'!$AF$50="Menor"),CONCATENATE("R7C",'Matriz riesgos de gestión'!$T$50),"")</f>
        <v/>
      </c>
      <c r="R32" s="147" t="str">
        <f>IF(AND('Matriz riesgos de gestión'!$AD$51="Media",'Matriz riesgos de gestión'!$AF$51="Menor"),CONCATENATE("R7C",'Matriz riesgos de gestión'!$T$51),"")</f>
        <v/>
      </c>
      <c r="S32" s="147" t="str">
        <f>IF(AND('Matriz riesgos de gestión'!$AD$52="Media",'Matriz riesgos de gestión'!$AF$52="Menor"),CONCATENATE("R7C",'Matriz riesgos de gestión'!$T$52),"")</f>
        <v/>
      </c>
      <c r="T32" s="147" t="str">
        <f>IF(AND('Matriz riesgos de gestión'!$AD$53="Media",'Matriz riesgos de gestión'!$AF$53="Menor"),CONCATENATE("R7C",'Matriz riesgos de gestión'!$T$53),"")</f>
        <v/>
      </c>
      <c r="U32" s="148" t="str">
        <f>IF(AND('Matriz riesgos de gestión'!$AD$54="Media",'Matriz riesgos de gestión'!$AF$54="Menor"),CONCATENATE("R7C",'Matriz riesgos de gestión'!$T$54),"")</f>
        <v/>
      </c>
      <c r="V32" s="146" t="str">
        <f>IF(AND('Matriz riesgos de gestión'!$AD$49="Media",'Matriz riesgos de gestión'!$AF$49="Moderado"),CONCATENATE("R7C",'Matriz riesgos de gestión'!$T$49),"")</f>
        <v>R7C1</v>
      </c>
      <c r="W32" s="147" t="str">
        <f>IF(AND('Matriz riesgos de gestión'!$AD$50="Media",'Matriz riesgos de gestión'!$AF$50="Moderado"),CONCATENATE("R7C",'Matriz riesgos de gestión'!$T$50),"")</f>
        <v/>
      </c>
      <c r="X32" s="147" t="str">
        <f>IF(AND('Matriz riesgos de gestión'!$AD$51="Media",'Matriz riesgos de gestión'!$AF$51="Moderado"),CONCATENATE("R7C",'Matriz riesgos de gestión'!$T$51),"")</f>
        <v/>
      </c>
      <c r="Y32" s="147" t="str">
        <f>IF(AND('Matriz riesgos de gestión'!$AD$52="Media",'Matriz riesgos de gestión'!$AF$52="Moderado"),CONCATENATE("R7C",'Matriz riesgos de gestión'!$T$52),"")</f>
        <v/>
      </c>
      <c r="Z32" s="147" t="str">
        <f>IF(AND('Matriz riesgos de gestión'!$AD$53="Media",'Matriz riesgos de gestión'!$AF$53="Moderado"),CONCATENATE("R7C",'Matriz riesgos de gestión'!$T$53),"")</f>
        <v/>
      </c>
      <c r="AA32" s="148" t="str">
        <f>IF(AND('Matriz riesgos de gestión'!$AD$54="Media",'Matriz riesgos de gestión'!$AF$54="Moderado"),CONCATENATE("R7C",'Matriz riesgos de gestión'!$T$54),"")</f>
        <v/>
      </c>
      <c r="AB32" s="134" t="str">
        <f>IF(AND('Matriz riesgos de gestión'!$AD$49="Media",'Matriz riesgos de gestión'!$AF$49="Mayor"),CONCATENATE("R7C",'Matriz riesgos de gestión'!$T$49),"")</f>
        <v/>
      </c>
      <c r="AC32" s="135" t="str">
        <f>IF(AND('Matriz riesgos de gestión'!$AD$50="Media",'Matriz riesgos de gestión'!$AF$50="Mayor"),CONCATENATE("R7C",'Matriz riesgos de gestión'!$T$50),"")</f>
        <v/>
      </c>
      <c r="AD32" s="135" t="str">
        <f>IF(AND('Matriz riesgos de gestión'!$AD$51="Media",'Matriz riesgos de gestión'!$AF$51="Mayor"),CONCATENATE("R7C",'Matriz riesgos de gestión'!$T$51),"")</f>
        <v/>
      </c>
      <c r="AE32" s="135" t="str">
        <f>IF(AND('Matriz riesgos de gestión'!$AD$52="Media",'Matriz riesgos de gestión'!$AF$52="Mayor"),CONCATENATE("R7C",'Matriz riesgos de gestión'!$T$52),"")</f>
        <v/>
      </c>
      <c r="AF32" s="135" t="str">
        <f>IF(AND('Matriz riesgos de gestión'!$AD$53="Media",'Matriz riesgos de gestión'!$AF$53="Mayor"),CONCATENATE("R7C",'Matriz riesgos de gestión'!$T$53),"")</f>
        <v/>
      </c>
      <c r="AG32" s="136" t="str">
        <f>IF(AND('Matriz riesgos de gestión'!$AD$54="Media",'Matriz riesgos de gestión'!$AF$54="Mayor"),CONCATENATE("R7C",'Matriz riesgos de gestión'!$T$54),"")</f>
        <v/>
      </c>
      <c r="AH32" s="137" t="str">
        <f>IF(AND('Matriz riesgos de gestión'!$AD$49="Media",'Matriz riesgos de gestión'!$AF$49="Catastrófico"),CONCATENATE("R7C",'Matriz riesgos de gestión'!$T$49),"")</f>
        <v/>
      </c>
      <c r="AI32" s="138" t="str">
        <f>IF(AND('Matriz riesgos de gestión'!$AD$50="Media",'Matriz riesgos de gestión'!$AF$50="Catastrófico"),CONCATENATE("R7C",'Matriz riesgos de gestión'!$T$50),"")</f>
        <v/>
      </c>
      <c r="AJ32" s="138" t="str">
        <f>IF(AND('Matriz riesgos de gestión'!$AD$51="Media",'Matriz riesgos de gestión'!$AF$51="Catastrófico"),CONCATENATE("R7C",'Matriz riesgos de gestión'!$T$51),"")</f>
        <v/>
      </c>
      <c r="AK32" s="138" t="str">
        <f>IF(AND('Matriz riesgos de gestión'!$AD$52="Media",'Matriz riesgos de gestión'!$AF$52="Catastrófico"),CONCATENATE("R7C",'Matriz riesgos de gestión'!$T$52),"")</f>
        <v/>
      </c>
      <c r="AL32" s="138" t="str">
        <f>IF(AND('Matriz riesgos de gestión'!$AD$53="Media",'Matriz riesgos de gestión'!$AF$53="Catastrófico"),CONCATENATE("R7C",'Matriz riesgos de gestión'!$T$53),"")</f>
        <v/>
      </c>
      <c r="AM32" s="139" t="str">
        <f>IF(AND('Matriz riesgos de gestión'!$AD$54="Media",'Matriz riesgos de gestión'!$AF$54="Catastrófico"),CONCATENATE("R7C",'Matriz riesgos de gestión'!$T$54),"")</f>
        <v/>
      </c>
      <c r="AN32" s="115"/>
      <c r="AO32" s="803"/>
      <c r="AP32" s="804"/>
      <c r="AQ32" s="804"/>
      <c r="AR32" s="804"/>
      <c r="AS32" s="804"/>
      <c r="AT32" s="805"/>
      <c r="AU32" s="115"/>
      <c r="AV32" s="115"/>
      <c r="AW32" s="115"/>
      <c r="AX32" s="115"/>
      <c r="AY32" s="115"/>
      <c r="AZ32" s="115"/>
      <c r="BA32" s="115"/>
      <c r="BB32" s="115"/>
      <c r="BC32" s="115"/>
      <c r="BD32" s="115"/>
      <c r="BE32" s="115"/>
      <c r="BF32" s="115"/>
      <c r="BG32" s="115"/>
      <c r="BH32" s="115"/>
      <c r="BI32" s="115"/>
    </row>
    <row r="33" spans="1:61" ht="15" customHeight="1" x14ac:dyDescent="0.25">
      <c r="A33" s="115"/>
      <c r="B33" s="781"/>
      <c r="C33" s="804"/>
      <c r="D33" s="780"/>
      <c r="E33" s="783"/>
      <c r="F33" s="804"/>
      <c r="G33" s="804"/>
      <c r="H33" s="804"/>
      <c r="I33" s="780"/>
      <c r="J33" s="146" t="str">
        <f>IF(AND('Matriz riesgos de gestión'!$AD$55="Media",'Matriz riesgos de gestión'!$AF$55="Leve"),CONCATENATE("R8C",'Matriz riesgos de gestión'!$T$55),"")</f>
        <v/>
      </c>
      <c r="K33" s="147" t="str">
        <f>IF(AND('Matriz riesgos de gestión'!$AD$56="Media",'Matriz riesgos de gestión'!$AF$56="Leve"),CONCATENATE("R8C",'Matriz riesgos de gestión'!$T$56),"")</f>
        <v/>
      </c>
      <c r="L33" s="147" t="str">
        <f>IF(AND('Matriz riesgos de gestión'!$AD$57="Media",'Matriz riesgos de gestión'!$AF$57="Leve"),CONCATENATE("R8C",'Matriz riesgos de gestión'!$T$57),"")</f>
        <v/>
      </c>
      <c r="M33" s="147" t="str">
        <f>IF(AND('Matriz riesgos de gestión'!$AD$58="Media",'Matriz riesgos de gestión'!$AF$58="Leve"),CONCATENATE("R8C",'Matriz riesgos de gestión'!$T$58),"")</f>
        <v/>
      </c>
      <c r="N33" s="147" t="str">
        <f>IF(AND('Matriz riesgos de gestión'!$AD$59="Media",'Matriz riesgos de gestión'!$AF$59="Leve"),CONCATENATE("R8C",'Matriz riesgos de gestión'!$T$59),"")</f>
        <v/>
      </c>
      <c r="O33" s="148" t="str">
        <f>IF(AND('Matriz riesgos de gestión'!$AD$60="Media",'Matriz riesgos de gestión'!$AF$60="Leve"),CONCATENATE("R8C",'Matriz riesgos de gestión'!$T$60),"")</f>
        <v/>
      </c>
      <c r="P33" s="146" t="str">
        <f>IF(AND('Matriz riesgos de gestión'!$AD$55="Media",'Matriz riesgos de gestión'!$AF$55="Menor"),CONCATENATE("R8C",'Matriz riesgos de gestión'!$T$55),"")</f>
        <v/>
      </c>
      <c r="Q33" s="147" t="str">
        <f>IF(AND('Matriz riesgos de gestión'!$AD$56="Media",'Matriz riesgos de gestión'!$AF$56="Menor"),CONCATENATE("R8C",'Matriz riesgos de gestión'!$T$56),"")</f>
        <v/>
      </c>
      <c r="R33" s="147" t="str">
        <f>IF(AND('Matriz riesgos de gestión'!$AD$57="Media",'Matriz riesgos de gestión'!$AF$57="Menor"),CONCATENATE("R8C",'Matriz riesgos de gestión'!$T$57),"")</f>
        <v/>
      </c>
      <c r="S33" s="147" t="str">
        <f>IF(AND('Matriz riesgos de gestión'!$AD$58="Media",'Matriz riesgos de gestión'!$AF$58="Menor"),CONCATENATE("R8C",'Matriz riesgos de gestión'!$T$58),"")</f>
        <v/>
      </c>
      <c r="T33" s="147" t="str">
        <f>IF(AND('Matriz riesgos de gestión'!$AD$59="Media",'Matriz riesgos de gestión'!$AF$59="Menor"),CONCATENATE("R8C",'Matriz riesgos de gestión'!$T$59),"")</f>
        <v/>
      </c>
      <c r="U33" s="148" t="str">
        <f>IF(AND('Matriz riesgos de gestión'!$AD$60="Media",'Matriz riesgos de gestión'!$AF$60="Menor"),CONCATENATE("R8C",'Matriz riesgos de gestión'!$T$60),"")</f>
        <v/>
      </c>
      <c r="V33" s="146" t="str">
        <f>IF(AND('Matriz riesgos de gestión'!$AD$55="Media",'Matriz riesgos de gestión'!$AF$55="Moderado"),CONCATENATE("R8C",'Matriz riesgos de gestión'!$T$55),"")</f>
        <v>R8C1</v>
      </c>
      <c r="W33" s="147" t="str">
        <f>IF(AND('Matriz riesgos de gestión'!$AD$56="Media",'Matriz riesgos de gestión'!$AF$56="Moderado"),CONCATENATE("R8C",'Matriz riesgos de gestión'!$T$56),"")</f>
        <v/>
      </c>
      <c r="X33" s="147" t="str">
        <f>IF(AND('Matriz riesgos de gestión'!$AD$57="Media",'Matriz riesgos de gestión'!$AF$57="Moderado"),CONCATENATE("R8C",'Matriz riesgos de gestión'!$T$57),"")</f>
        <v/>
      </c>
      <c r="Y33" s="147" t="str">
        <f>IF(AND('Matriz riesgos de gestión'!$AD$58="Media",'Matriz riesgos de gestión'!$AF$58="Moderado"),CONCATENATE("R8C",'Matriz riesgos de gestión'!$T$58),"")</f>
        <v/>
      </c>
      <c r="Z33" s="147" t="str">
        <f>IF(AND('Matriz riesgos de gestión'!$AD$59="Media",'Matriz riesgos de gestión'!$AF$59="Moderado"),CONCATENATE("R8C",'Matriz riesgos de gestión'!$T$59),"")</f>
        <v/>
      </c>
      <c r="AA33" s="148" t="str">
        <f>IF(AND('Matriz riesgos de gestión'!$AD$60="Media",'Matriz riesgos de gestión'!$AF$60="Moderado"),CONCATENATE("R8C",'Matriz riesgos de gestión'!$T$60),"")</f>
        <v/>
      </c>
      <c r="AB33" s="134" t="str">
        <f>IF(AND('Matriz riesgos de gestión'!$AD$55="Media",'Matriz riesgos de gestión'!$AF$55="Mayor"),CONCATENATE("R8C",'Matriz riesgos de gestión'!$T$55),"")</f>
        <v/>
      </c>
      <c r="AC33" s="135" t="str">
        <f>IF(AND('Matriz riesgos de gestión'!$AD$56="Media",'Matriz riesgos de gestión'!$AF$56="Mayor"),CONCATENATE("R8C",'Matriz riesgos de gestión'!$T$56),"")</f>
        <v/>
      </c>
      <c r="AD33" s="135" t="str">
        <f>IF(AND('Matriz riesgos de gestión'!$AD$57="Media",'Matriz riesgos de gestión'!$AF$57="Mayor"),CONCATENATE("R8C",'Matriz riesgos de gestión'!$T$57),"")</f>
        <v/>
      </c>
      <c r="AE33" s="135" t="str">
        <f>IF(AND('Matriz riesgos de gestión'!$AD$58="Media",'Matriz riesgos de gestión'!$AF$58="Mayor"),CONCATENATE("R8C",'Matriz riesgos de gestión'!$T$58),"")</f>
        <v/>
      </c>
      <c r="AF33" s="135" t="str">
        <f>IF(AND('Matriz riesgos de gestión'!$AD$59="Media",'Matriz riesgos de gestión'!$AF$59="Mayor"),CONCATENATE("R8C",'Matriz riesgos de gestión'!$T$59),"")</f>
        <v/>
      </c>
      <c r="AG33" s="136" t="str">
        <f>IF(AND('Matriz riesgos de gestión'!$AD$60="Media",'Matriz riesgos de gestión'!$AF$60="Mayor"),CONCATENATE("R8C",'Matriz riesgos de gestión'!$T$60),"")</f>
        <v/>
      </c>
      <c r="AH33" s="137" t="str">
        <f>IF(AND('Matriz riesgos de gestión'!$AD$55="Media",'Matriz riesgos de gestión'!$AF$55="Catastrófico"),CONCATENATE("R8C",'Matriz riesgos de gestión'!$T$55),"")</f>
        <v/>
      </c>
      <c r="AI33" s="138" t="str">
        <f>IF(AND('Matriz riesgos de gestión'!$AD$56="Media",'Matriz riesgos de gestión'!$AF$56="Catastrófico"),CONCATENATE("R8C",'Matriz riesgos de gestión'!$T$56),"")</f>
        <v/>
      </c>
      <c r="AJ33" s="138" t="str">
        <f>IF(AND('Matriz riesgos de gestión'!$AD$57="Media",'Matriz riesgos de gestión'!$AF$57="Catastrófico"),CONCATENATE("R8C",'Matriz riesgos de gestión'!$T$57),"")</f>
        <v/>
      </c>
      <c r="AK33" s="138" t="str">
        <f>IF(AND('Matriz riesgos de gestión'!$AD$58="Media",'Matriz riesgos de gestión'!$AF$58="Catastrófico"),CONCATENATE("R8C",'Matriz riesgos de gestión'!$T$58),"")</f>
        <v/>
      </c>
      <c r="AL33" s="138" t="str">
        <f>IF(AND('Matriz riesgos de gestión'!$AD$59="Media",'Matriz riesgos de gestión'!$AF$59="Catastrófico"),CONCATENATE("R8C",'Matriz riesgos de gestión'!$T$59),"")</f>
        <v/>
      </c>
      <c r="AM33" s="139" t="str">
        <f>IF(AND('Matriz riesgos de gestión'!$AD$60="Media",'Matriz riesgos de gestión'!$AF$60="Catastrófico"),CONCATENATE("R8C",'Matriz riesgos de gestión'!$T$60),"")</f>
        <v/>
      </c>
      <c r="AN33" s="115"/>
      <c r="AO33" s="803"/>
      <c r="AP33" s="804"/>
      <c r="AQ33" s="804"/>
      <c r="AR33" s="804"/>
      <c r="AS33" s="804"/>
      <c r="AT33" s="805"/>
      <c r="AU33" s="115"/>
      <c r="AV33" s="115"/>
      <c r="AW33" s="115"/>
      <c r="AX33" s="115"/>
      <c r="AY33" s="115"/>
      <c r="AZ33" s="115"/>
      <c r="BA33" s="115"/>
      <c r="BB33" s="115"/>
      <c r="BC33" s="115"/>
      <c r="BD33" s="115"/>
      <c r="BE33" s="115"/>
      <c r="BF33" s="115"/>
      <c r="BG33" s="115"/>
      <c r="BH33" s="115"/>
      <c r="BI33" s="115"/>
    </row>
    <row r="34" spans="1:61" ht="15" customHeight="1" x14ac:dyDescent="0.25">
      <c r="A34" s="115"/>
      <c r="B34" s="781"/>
      <c r="C34" s="804"/>
      <c r="D34" s="780"/>
      <c r="E34" s="783"/>
      <c r="F34" s="804"/>
      <c r="G34" s="804"/>
      <c r="H34" s="804"/>
      <c r="I34" s="780"/>
      <c r="J34" s="146" t="str">
        <f>IF(AND('Matriz riesgos de gestión'!$AD$61="Media",'Matriz riesgos de gestión'!$AF$61="Leve"),CONCATENATE("R9C",'Matriz riesgos de gestión'!$T$61),"")</f>
        <v/>
      </c>
      <c r="K34" s="147" t="str">
        <f>IF(AND('Matriz riesgos de gestión'!$AD$62="Media",'Matriz riesgos de gestión'!$AF$62="Leve"),CONCATENATE("R9C",'Matriz riesgos de gestión'!$T$62),"")</f>
        <v/>
      </c>
      <c r="L34" s="147" t="str">
        <f>IF(AND('Matriz riesgos de gestión'!$AD$63="Media",'Matriz riesgos de gestión'!$AF$63="Leve"),CONCATENATE("R9C",'Matriz riesgos de gestión'!$T$63),"")</f>
        <v/>
      </c>
      <c r="M34" s="147" t="str">
        <f>IF(AND('Matriz riesgos de gestión'!$AD$64="Media",'Matriz riesgos de gestión'!$AF$64="Leve"),CONCATENATE("R9C",'Matriz riesgos de gestión'!$T$64),"")</f>
        <v/>
      </c>
      <c r="N34" s="147" t="str">
        <f>IF(AND('Matriz riesgos de gestión'!$AD$65="Media",'Matriz riesgos de gestión'!$AF$65="Leve"),CONCATENATE("R9C",'Matriz riesgos de gestión'!$T$65),"")</f>
        <v/>
      </c>
      <c r="O34" s="148" t="str">
        <f>IF(AND('Matriz riesgos de gestión'!$AD$66="Media",'Matriz riesgos de gestión'!$AF$66="Leve"),CONCATENATE("R9C",'Matriz riesgos de gestión'!$T$66),"")</f>
        <v/>
      </c>
      <c r="P34" s="146" t="str">
        <f>IF(AND('Matriz riesgos de gestión'!$AD$61="Media",'Matriz riesgos de gestión'!$AF$61="Menor"),CONCATENATE("R9C",'Matriz riesgos de gestión'!$T$61),"")</f>
        <v/>
      </c>
      <c r="Q34" s="147" t="str">
        <f>IF(AND('Matriz riesgos de gestión'!$AD$62="Media",'Matriz riesgos de gestión'!$AF$62="Menor"),CONCATENATE("R9C",'Matriz riesgos de gestión'!$T$62),"")</f>
        <v/>
      </c>
      <c r="R34" s="147" t="str">
        <f>IF(AND('Matriz riesgos de gestión'!$AD$63="Media",'Matriz riesgos de gestión'!$AF$63="Menor"),CONCATENATE("R9C",'Matriz riesgos de gestión'!$T$63),"")</f>
        <v/>
      </c>
      <c r="S34" s="147" t="str">
        <f>IF(AND('Matriz riesgos de gestión'!$AD$64="Media",'Matriz riesgos de gestión'!$AF$64="Menor"),CONCATENATE("R9C",'Matriz riesgos de gestión'!$T$64),"")</f>
        <v/>
      </c>
      <c r="T34" s="147" t="str">
        <f>IF(AND('Matriz riesgos de gestión'!$AD$65="Media",'Matriz riesgos de gestión'!$AF$65="Menor"),CONCATENATE("R9C",'Matriz riesgos de gestión'!$T$65),"")</f>
        <v/>
      </c>
      <c r="U34" s="148" t="str">
        <f>IF(AND('Matriz riesgos de gestión'!$AD$66="Media",'Matriz riesgos de gestión'!$AF$66="Menor"),CONCATENATE("R9C",'Matriz riesgos de gestión'!$T$66),"")</f>
        <v/>
      </c>
      <c r="V34" s="146" t="str">
        <f>IF(AND('Matriz riesgos de gestión'!$AD$61="Media",'Matriz riesgos de gestión'!$AF$61="Moderado"),CONCATENATE("R9C",'Matriz riesgos de gestión'!$T$61),"")</f>
        <v/>
      </c>
      <c r="W34" s="147" t="str">
        <f>IF(AND('Matriz riesgos de gestión'!$AD$62="Media",'Matriz riesgos de gestión'!$AF$62="Moderado"),CONCATENATE("R9C",'Matriz riesgos de gestión'!$T$62),"")</f>
        <v/>
      </c>
      <c r="X34" s="147" t="str">
        <f>IF(AND('Matriz riesgos de gestión'!$AD$63="Media",'Matriz riesgos de gestión'!$AF$63="Moderado"),CONCATENATE("R9C",'Matriz riesgos de gestión'!$T$63),"")</f>
        <v/>
      </c>
      <c r="Y34" s="147" t="str">
        <f>IF(AND('Matriz riesgos de gestión'!$AD$64="Media",'Matriz riesgos de gestión'!$AF$64="Moderado"),CONCATENATE("R9C",'Matriz riesgos de gestión'!$T$64),"")</f>
        <v/>
      </c>
      <c r="Z34" s="147" t="str">
        <f>IF(AND('Matriz riesgos de gestión'!$AD$65="Media",'Matriz riesgos de gestión'!$AF$65="Moderado"),CONCATENATE("R9C",'Matriz riesgos de gestión'!$T$65),"")</f>
        <v/>
      </c>
      <c r="AA34" s="148" t="str">
        <f>IF(AND('Matriz riesgos de gestión'!$AD$66="Media",'Matriz riesgos de gestión'!$AF$66="Moderado"),CONCATENATE("R9C",'Matriz riesgos de gestión'!$T$66),"")</f>
        <v/>
      </c>
      <c r="AB34" s="134" t="str">
        <f>IF(AND('Matriz riesgos de gestión'!$AD$61="Media",'Matriz riesgos de gestión'!$AF$61="Mayor"),CONCATENATE("R9C",'Matriz riesgos de gestión'!$T$61),"")</f>
        <v/>
      </c>
      <c r="AC34" s="135" t="str">
        <f>IF(AND('Matriz riesgos de gestión'!$AD$62="Media",'Matriz riesgos de gestión'!$AF$62="Mayor"),CONCATENATE("R9C",'Matriz riesgos de gestión'!$T$62),"")</f>
        <v/>
      </c>
      <c r="AD34" s="135" t="str">
        <f>IF(AND('Matriz riesgos de gestión'!$AD$63="Media",'Matriz riesgos de gestión'!$AF$63="Mayor"),CONCATENATE("R9C",'Matriz riesgos de gestión'!$T$63),"")</f>
        <v/>
      </c>
      <c r="AE34" s="135" t="str">
        <f>IF(AND('Matriz riesgos de gestión'!$AD$64="Media",'Matriz riesgos de gestión'!$AF$64="Mayor"),CONCATENATE("R9C",'Matriz riesgos de gestión'!$T$64),"")</f>
        <v/>
      </c>
      <c r="AF34" s="135" t="str">
        <f>IF(AND('Matriz riesgos de gestión'!$AD$65="Media",'Matriz riesgos de gestión'!$AF$65="Mayor"),CONCATENATE("R9C",'Matriz riesgos de gestión'!$T$65),"")</f>
        <v/>
      </c>
      <c r="AG34" s="136" t="str">
        <f>IF(AND('Matriz riesgos de gestión'!$AD$66="Media",'Matriz riesgos de gestión'!$AF$66="Mayor"),CONCATENATE("R9C",'Matriz riesgos de gestión'!$T$66),"")</f>
        <v/>
      </c>
      <c r="AH34" s="137" t="str">
        <f>IF(AND('Matriz riesgos de gestión'!$AD$61="Media",'Matriz riesgos de gestión'!$AF$61="Catastrófico"),CONCATENATE("R9C",'Matriz riesgos de gestión'!$T$61),"")</f>
        <v/>
      </c>
      <c r="AI34" s="138" t="str">
        <f>IF(AND('Matriz riesgos de gestión'!$AD$62="Media",'Matriz riesgos de gestión'!$AF$62="Catastrófico"),CONCATENATE("R9C",'Matriz riesgos de gestión'!$T$62),"")</f>
        <v/>
      </c>
      <c r="AJ34" s="138" t="str">
        <f>IF(AND('Matriz riesgos de gestión'!$AD$63="Media",'Matriz riesgos de gestión'!$AF$63="Catastrófico"),CONCATENATE("R9C",'Matriz riesgos de gestión'!$T$63),"")</f>
        <v/>
      </c>
      <c r="AK34" s="138" t="str">
        <f>IF(AND('Matriz riesgos de gestión'!$AD$64="Media",'Matriz riesgos de gestión'!$AF$64="Catastrófico"),CONCATENATE("R9C",'Matriz riesgos de gestión'!$T$64),"")</f>
        <v/>
      </c>
      <c r="AL34" s="138" t="str">
        <f>IF(AND('Matriz riesgos de gestión'!$AD$65="Media",'Matriz riesgos de gestión'!$AF$65="Catastrófico"),CONCATENATE("R9C",'Matriz riesgos de gestión'!$T$65),"")</f>
        <v/>
      </c>
      <c r="AM34" s="139" t="str">
        <f>IF(AND('Matriz riesgos de gestión'!$AD$66="Media",'Matriz riesgos de gestión'!$AF$66="Catastrófico"),CONCATENATE("R9C",'Matriz riesgos de gestión'!$T$66),"")</f>
        <v/>
      </c>
      <c r="AN34" s="115"/>
      <c r="AO34" s="803"/>
      <c r="AP34" s="804"/>
      <c r="AQ34" s="804"/>
      <c r="AR34" s="804"/>
      <c r="AS34" s="804"/>
      <c r="AT34" s="805"/>
      <c r="AU34" s="115"/>
      <c r="AV34" s="115"/>
      <c r="AW34" s="115"/>
      <c r="AX34" s="115"/>
      <c r="AY34" s="115"/>
      <c r="AZ34" s="115"/>
      <c r="BA34" s="115"/>
      <c r="BB34" s="115"/>
      <c r="BC34" s="115"/>
      <c r="BD34" s="115"/>
      <c r="BE34" s="115"/>
      <c r="BF34" s="115"/>
      <c r="BG34" s="115"/>
      <c r="BH34" s="115"/>
      <c r="BI34" s="115"/>
    </row>
    <row r="35" spans="1:61" ht="15.75" customHeight="1" x14ac:dyDescent="0.25">
      <c r="A35" s="115"/>
      <c r="B35" s="781"/>
      <c r="C35" s="804"/>
      <c r="D35" s="780"/>
      <c r="E35" s="790"/>
      <c r="F35" s="791"/>
      <c r="G35" s="791"/>
      <c r="H35" s="791"/>
      <c r="I35" s="792"/>
      <c r="J35" s="146" t="str">
        <f>IF(AND('Matriz riesgos de gestión'!$AD$67="Media",'Matriz riesgos de gestión'!$AF$67="Leve"),CONCATENATE("R10C",'Matriz riesgos de gestión'!$T$67),"")</f>
        <v/>
      </c>
      <c r="K35" s="147" t="str">
        <f>IF(AND('Matriz riesgos de gestión'!$AD$68="Media",'Matriz riesgos de gestión'!$AF$68="Leve"),CONCATENATE("R10C",'Matriz riesgos de gestión'!$T$68),"")</f>
        <v/>
      </c>
      <c r="L35" s="147" t="str">
        <f>IF(AND('Matriz riesgos de gestión'!$AD$69="Media",'Matriz riesgos de gestión'!$AF$69="Leve"),CONCATENATE("R10C",'Matriz riesgos de gestión'!$T$69),"")</f>
        <v/>
      </c>
      <c r="M35" s="147" t="str">
        <f>IF(AND('Matriz riesgos de gestión'!$AD$70="Media",'Matriz riesgos de gestión'!$AF$70="Leve"),CONCATENATE("R10C",'Matriz riesgos de gestión'!$T$70),"")</f>
        <v/>
      </c>
      <c r="N35" s="147" t="str">
        <f>IF(AND('Matriz riesgos de gestión'!$AD$71="Media",'Matriz riesgos de gestión'!$AF$71="Leve"),CONCATENATE("R10C",'Matriz riesgos de gestión'!$T$71),"")</f>
        <v/>
      </c>
      <c r="O35" s="148" t="str">
        <f>IF(AND('Matriz riesgos de gestión'!$AD$72="Media",'Matriz riesgos de gestión'!$AF$72="Leve"),CONCATENATE("R10C",'Matriz riesgos de gestión'!$T$72),"")</f>
        <v/>
      </c>
      <c r="P35" s="146" t="str">
        <f>IF(AND('Matriz riesgos de gestión'!$AD$67="Media",'Matriz riesgos de gestión'!$AF$67="Menor"),CONCATENATE("R10C",'Matriz riesgos de gestión'!$T$67),"")</f>
        <v/>
      </c>
      <c r="Q35" s="147" t="str">
        <f>IF(AND('Matriz riesgos de gestión'!$AD$68="Media",'Matriz riesgos de gestión'!$AF$68="Menor"),CONCATENATE("R10C",'Matriz riesgos de gestión'!$T$68),"")</f>
        <v/>
      </c>
      <c r="R35" s="147" t="str">
        <f>IF(AND('Matriz riesgos de gestión'!$AD$69="Media",'Matriz riesgos de gestión'!$AF$69="Menor"),CONCATENATE("R10C",'Matriz riesgos de gestión'!$T$69),"")</f>
        <v/>
      </c>
      <c r="S35" s="147" t="str">
        <f>IF(AND('Matriz riesgos de gestión'!$AD$70="Media",'Matriz riesgos de gestión'!$AF$70="Menor"),CONCATENATE("R10C",'Matriz riesgos de gestión'!$T$70),"")</f>
        <v/>
      </c>
      <c r="T35" s="147" t="str">
        <f>IF(AND('Matriz riesgos de gestión'!$AD$71="Media",'Matriz riesgos de gestión'!$AF$71="Menor"),CONCATENATE("R10C",'Matriz riesgos de gestión'!$T$71),"")</f>
        <v/>
      </c>
      <c r="U35" s="148" t="str">
        <f>IF(AND('Matriz riesgos de gestión'!$AD$72="Media",'Matriz riesgos de gestión'!$AF$72="Menor"),CONCATENATE("R10C",'Matriz riesgos de gestión'!$T$72),"")</f>
        <v/>
      </c>
      <c r="V35" s="146" t="str">
        <f>IF(AND('Matriz riesgos de gestión'!$AD$67="Media",'Matriz riesgos de gestión'!$AF$67="Moderado"),CONCATENATE("R10C",'Matriz riesgos de gestión'!$T$67),"")</f>
        <v/>
      </c>
      <c r="W35" s="147" t="str">
        <f>IF(AND('Matriz riesgos de gestión'!$AD$68="Media",'Matriz riesgos de gestión'!$AF$68="Moderado"),CONCATENATE("R10C",'Matriz riesgos de gestión'!$T$68),"")</f>
        <v/>
      </c>
      <c r="X35" s="147" t="str">
        <f>IF(AND('Matriz riesgos de gestión'!$AD$69="Media",'Matriz riesgos de gestión'!$AF$69="Moderado"),CONCATENATE("R10C",'Matriz riesgos de gestión'!$T$69),"")</f>
        <v/>
      </c>
      <c r="Y35" s="147" t="str">
        <f>IF(AND('Matriz riesgos de gestión'!$AD$70="Media",'Matriz riesgos de gestión'!$AF$70="Moderado"),CONCATENATE("R10C",'Matriz riesgos de gestión'!$T$70),"")</f>
        <v/>
      </c>
      <c r="Z35" s="147" t="str">
        <f>IF(AND('Matriz riesgos de gestión'!$AD$71="Media",'Matriz riesgos de gestión'!$AF$71="Moderado"),CONCATENATE("R10C",'Matriz riesgos de gestión'!$T$71),"")</f>
        <v/>
      </c>
      <c r="AA35" s="148" t="str">
        <f>IF(AND('Matriz riesgos de gestión'!$AD$72="Media",'Matriz riesgos de gestión'!$AF$72="Moderado"),CONCATENATE("R10C",'Matriz riesgos de gestión'!$T$72),"")</f>
        <v/>
      </c>
      <c r="AB35" s="140" t="str">
        <f>IF(AND('Matriz riesgos de gestión'!$AD$67="Media",'Matriz riesgos de gestión'!$AF$67="Mayor"),CONCATENATE("R10C",'Matriz riesgos de gestión'!$T$67),"")</f>
        <v/>
      </c>
      <c r="AC35" s="141" t="str">
        <f>IF(AND('Matriz riesgos de gestión'!$AD$68="Media",'Matriz riesgos de gestión'!$AF$68="Mayor"),CONCATENATE("R10C",'Matriz riesgos de gestión'!$T$68),"")</f>
        <v/>
      </c>
      <c r="AD35" s="141" t="str">
        <f>IF(AND('Matriz riesgos de gestión'!$AD$69="Media",'Matriz riesgos de gestión'!$AF$69="Mayor"),CONCATENATE("R10C",'Matriz riesgos de gestión'!$T$69),"")</f>
        <v/>
      </c>
      <c r="AE35" s="141" t="str">
        <f>IF(AND('Matriz riesgos de gestión'!$AD$70="Media",'Matriz riesgos de gestión'!$AF$70="Mayor"),CONCATENATE("R10C",'Matriz riesgos de gestión'!$T$70),"")</f>
        <v/>
      </c>
      <c r="AF35" s="141" t="str">
        <f>IF(AND('Matriz riesgos de gestión'!$AD$71="Media",'Matriz riesgos de gestión'!$AF$71="Mayor"),CONCATENATE("R10C",'Matriz riesgos de gestión'!$T$71),"")</f>
        <v/>
      </c>
      <c r="AG35" s="142" t="str">
        <f>IF(AND('Matriz riesgos de gestión'!$AD$72="Media",'Matriz riesgos de gestión'!$AF$72="Mayor"),CONCATENATE("R10C",'Matriz riesgos de gestión'!$T$72),"")</f>
        <v/>
      </c>
      <c r="AH35" s="143" t="str">
        <f>IF(AND('Matriz riesgos de gestión'!$AD$67="Media",'Matriz riesgos de gestión'!$AF$67="Catastrófico"),CONCATENATE("R10C",'Matriz riesgos de gestión'!$T$67),"")</f>
        <v/>
      </c>
      <c r="AI35" s="144" t="str">
        <f>IF(AND('Matriz riesgos de gestión'!$AD$68="Media",'Matriz riesgos de gestión'!$AF$68="Catastrófico"),CONCATENATE("R10C",'Matriz riesgos de gestión'!$T$68),"")</f>
        <v/>
      </c>
      <c r="AJ35" s="144" t="str">
        <f>IF(AND('Matriz riesgos de gestión'!$AD$69="Media",'Matriz riesgos de gestión'!$AF$69="Catastrófico"),CONCATENATE("R10C",'Matriz riesgos de gestión'!$T$69),"")</f>
        <v/>
      </c>
      <c r="AK35" s="144" t="str">
        <f>IF(AND('Matriz riesgos de gestión'!$AD$70="Media",'Matriz riesgos de gestión'!$AF$70="Catastrófico"),CONCATENATE("R10C",'Matriz riesgos de gestión'!$T$70),"")</f>
        <v/>
      </c>
      <c r="AL35" s="144" t="str">
        <f>IF(AND('Matriz riesgos de gestión'!$AD$71="Media",'Matriz riesgos de gestión'!$AF$71="Catastrófico"),CONCATENATE("R10C",'Matriz riesgos de gestión'!$T$71),"")</f>
        <v/>
      </c>
      <c r="AM35" s="145" t="str">
        <f>IF(AND('Matriz riesgos de gestión'!$AD$72="Media",'Matriz riesgos de gestión'!$AF$72="Catastrófico"),CONCATENATE("R10C",'Matriz riesgos de gestión'!$T$72),"")</f>
        <v/>
      </c>
      <c r="AN35" s="115"/>
      <c r="AO35" s="806"/>
      <c r="AP35" s="807"/>
      <c r="AQ35" s="807"/>
      <c r="AR35" s="807"/>
      <c r="AS35" s="807"/>
      <c r="AT35" s="808"/>
      <c r="AU35" s="115"/>
      <c r="AV35" s="115"/>
      <c r="AW35" s="115"/>
      <c r="AX35" s="115"/>
      <c r="AY35" s="115"/>
      <c r="AZ35" s="115"/>
      <c r="BA35" s="115"/>
      <c r="BB35" s="115"/>
      <c r="BC35" s="115"/>
      <c r="BD35" s="115"/>
      <c r="BE35" s="115"/>
      <c r="BF35" s="115"/>
      <c r="BG35" s="115"/>
      <c r="BH35" s="115"/>
      <c r="BI35" s="115"/>
    </row>
    <row r="36" spans="1:61" ht="15" customHeight="1" x14ac:dyDescent="0.25">
      <c r="A36" s="115"/>
      <c r="B36" s="781"/>
      <c r="C36" s="804"/>
      <c r="D36" s="780"/>
      <c r="E36" s="823" t="s">
        <v>9</v>
      </c>
      <c r="F36" s="786"/>
      <c r="G36" s="786"/>
      <c r="H36" s="786"/>
      <c r="I36" s="786"/>
      <c r="J36" s="28" t="str">
        <f>IF(AND('Matriz riesgos de gestión'!$AD$4="Baja",'Matriz riesgos de gestión'!$AF$4="Leve"),CONCATENATE("R1C",'Matriz riesgos de gestión'!$T$4),"")</f>
        <v/>
      </c>
      <c r="K36" s="29" t="str">
        <f>IF(AND('Matriz riesgos de gestión'!$AD$5="Baja",'Matriz riesgos de gestión'!$AF$5="Leve"),CONCATENATE("R1C",'Matriz riesgos de gestión'!$T$5),"")</f>
        <v/>
      </c>
      <c r="L36" s="29" t="str">
        <f>IF(AND('Matriz riesgos de gestión'!$AD$6="Baja",'Matriz riesgos de gestión'!$AF$6="Leve"),CONCATENATE("R1C",'Matriz riesgos de gestión'!$T$6),"")</f>
        <v/>
      </c>
      <c r="M36" s="29" t="str">
        <f>IF(AND('Matriz riesgos de gestión'!$AD$7="Baja",'Matriz riesgos de gestión'!$AF$7="Leve"),CONCATENATE("R1C",'Matriz riesgos de gestión'!$T$7),"")</f>
        <v/>
      </c>
      <c r="N36" s="29" t="str">
        <f>IF(AND('Matriz riesgos de gestión'!$AD$8="Baja",'Matriz riesgos de gestión'!$AF$8="Leve"),CONCATENATE("R1C",'Matriz riesgos de gestión'!$T$8),"")</f>
        <v/>
      </c>
      <c r="O36" s="30" t="str">
        <f>IF(AND('Matriz riesgos de gestión'!$AD$9="Baja",'Matriz riesgos de gestión'!$AF$9="Leve"),CONCATENATE("R1C",'Matriz riesgos de gestión'!$T$9),"")</f>
        <v/>
      </c>
      <c r="P36" s="25" t="str">
        <f>IF(AND('Matriz riesgos de gestión'!$AD$4="Baja",'Matriz riesgos de gestión'!$AF$4="Menor"),CONCATENATE("R1C",'Matriz riesgos de gestión'!$T$4),"")</f>
        <v>R1C1</v>
      </c>
      <c r="Q36" s="26" t="str">
        <f>IF(AND('Matriz riesgos de gestión'!$AD$5="Baja",'Matriz riesgos de gestión'!$AF$5="Menor"),CONCATENATE("R1C",'Matriz riesgos de gestión'!$T$5),"")</f>
        <v>R1C1</v>
      </c>
      <c r="R36" s="26" t="str">
        <f>IF(AND('Matriz riesgos de gestión'!$AD$6="Baja",'Matriz riesgos de gestión'!$AF$6="Menor"),CONCATENATE("R1C",'Matriz riesgos de gestión'!$T$6),"")</f>
        <v>R1C1</v>
      </c>
      <c r="S36" s="26" t="str">
        <f>IF(AND('Matriz riesgos de gestión'!$AD$7="Baja",'Matriz riesgos de gestión'!$AF$7="Menor"),CONCATENATE("R1C",'Matriz riesgos de gestión'!$T$7),"")</f>
        <v>R1C1</v>
      </c>
      <c r="T36" s="26" t="str">
        <f>IF(AND('Matriz riesgos de gestión'!$AD$8="Baja",'Matriz riesgos de gestión'!$AF$8="Menor"),CONCATENATE("R1C",'Matriz riesgos de gestión'!$T$8),"")</f>
        <v/>
      </c>
      <c r="U36" s="27" t="str">
        <f>IF(AND('Matriz riesgos de gestión'!$AD$9="Baja",'Matriz riesgos de gestión'!$AF$9="Menor"),CONCATENATE("R1C",'Matriz riesgos de gestión'!$T$9),"")</f>
        <v/>
      </c>
      <c r="V36" s="25" t="str">
        <f>IF(AND('Matriz riesgos de gestión'!$AD$4="Baja",'Matriz riesgos de gestión'!$AF$4="Moderado"),CONCATENATE("R1C",'Matriz riesgos de gestión'!$T$4),"")</f>
        <v/>
      </c>
      <c r="W36" s="26" t="str">
        <f>IF(AND('Matriz riesgos de gestión'!$AD$5="Baja",'Matriz riesgos de gestión'!$AF$5="Moderado"),CONCATENATE("R1C",'Matriz riesgos de gestión'!$T$5),"")</f>
        <v/>
      </c>
      <c r="X36" s="26" t="str">
        <f>IF(AND('Matriz riesgos de gestión'!$AD$6="Baja",'Matriz riesgos de gestión'!$AF$6="Moderado"),CONCATENATE("R1C",'Matriz riesgos de gestión'!$T$6),"")</f>
        <v/>
      </c>
      <c r="Y36" s="26" t="str">
        <f>IF(AND('Matriz riesgos de gestión'!$AD$7="Baja",'Matriz riesgos de gestión'!$AF$7="Moderado"),CONCATENATE("R1C",'Matriz riesgos de gestión'!$T$7),"")</f>
        <v/>
      </c>
      <c r="Z36" s="26" t="str">
        <f>IF(AND('Matriz riesgos de gestión'!$AD$8="Baja",'Matriz riesgos de gestión'!$AF$8="Moderado"),CONCATENATE("R1C",'Matriz riesgos de gestión'!$T$8),"")</f>
        <v/>
      </c>
      <c r="AA36" s="27" t="str">
        <f>IF(AND('Matriz riesgos de gestión'!$AD$9="Baja",'Matriz riesgos de gestión'!$AF$9="Moderado"),CONCATENATE("R1C",'Matriz riesgos de gestión'!$T$9),"")</f>
        <v>R1C1</v>
      </c>
      <c r="AB36" s="19" t="str">
        <f>IF(AND('Matriz riesgos de gestión'!$AD$4="Baja",'Matriz riesgos de gestión'!$AF$4="Mayor"),CONCATENATE("R1C",'Matriz riesgos de gestión'!$T$4),"")</f>
        <v/>
      </c>
      <c r="AC36" s="20" t="str">
        <f>IF(AND('Matriz riesgos de gestión'!$AD$5="Baja",'Matriz riesgos de gestión'!$AF$5="Mayor"),CONCATENATE("R1C",'Matriz riesgos de gestión'!$T$5),"")</f>
        <v/>
      </c>
      <c r="AD36" s="20" t="str">
        <f>IF(AND('Matriz riesgos de gestión'!$AD$6="Baja",'Matriz riesgos de gestión'!$AF$6="Mayor"),CONCATENATE("R1C",'Matriz riesgos de gestión'!$T$6),"")</f>
        <v/>
      </c>
      <c r="AE36" s="20" t="str">
        <f>IF(AND('Matriz riesgos de gestión'!$AD$7="Baja",'Matriz riesgos de gestión'!$AF$7="Mayor"),CONCATENATE("R1C",'Matriz riesgos de gestión'!$T$7),"")</f>
        <v/>
      </c>
      <c r="AF36" s="20" t="str">
        <f>IF(AND('Matriz riesgos de gestión'!$AD$8="Baja",'Matriz riesgos de gestión'!$AF$8="Mayor"),CONCATENATE("R1C",'Matriz riesgos de gestión'!$T$8),"")</f>
        <v/>
      </c>
      <c r="AG36" s="21" t="str">
        <f>IF(AND('Matriz riesgos de gestión'!$AD$9="Baja",'Matriz riesgos de gestión'!$AF$9="Mayor"),CONCATENATE("R1C",'Matriz riesgos de gestión'!$T$9),"")</f>
        <v/>
      </c>
      <c r="AH36" s="22" t="str">
        <f>IF(AND('Matriz riesgos de gestión'!$AD$4="Baja",'Matriz riesgos de gestión'!$AF$4="Catastrófico"),CONCATENATE("R1C",'Matriz riesgos de gestión'!$T$4),"")</f>
        <v/>
      </c>
      <c r="AI36" s="23" t="str">
        <f>IF(AND('Matriz riesgos de gestión'!$AD$5="Baja",'Matriz riesgos de gestión'!$AF$5="Catastrófico"),CONCATENATE("R1C",'Matriz riesgos de gestión'!$T$5),"")</f>
        <v/>
      </c>
      <c r="AJ36" s="23" t="str">
        <f>IF(AND('Matriz riesgos de gestión'!$AD$6="Baja",'Matriz riesgos de gestión'!$AF$6="Catastrófico"),CONCATENATE("R1C",'Matriz riesgos de gestión'!$T$6),"")</f>
        <v/>
      </c>
      <c r="AK36" s="23" t="str">
        <f>IF(AND('Matriz riesgos de gestión'!$AD$7="Baja",'Matriz riesgos de gestión'!$AF$7="Catastrófico"),CONCATENATE("R1C",'Matriz riesgos de gestión'!$T$7),"")</f>
        <v/>
      </c>
      <c r="AL36" s="23" t="str">
        <f>IF(AND('Matriz riesgos de gestión'!$AD$8="Baja",'Matriz riesgos de gestión'!$AF$8="Catastrófico"),CONCATENATE("R1C",'Matriz riesgos de gestión'!$T$8),"")</f>
        <v/>
      </c>
      <c r="AM36" s="24" t="str">
        <f>IF(AND('Matriz riesgos de gestión'!$AD$9="Baja",'Matriz riesgos de gestión'!$AF$9="Catastrófico"),CONCATENATE("R1C",'Matriz riesgos de gestión'!$T$9),"")</f>
        <v/>
      </c>
      <c r="AN36" s="115"/>
      <c r="AO36" s="822" t="s">
        <v>10</v>
      </c>
      <c r="AP36" s="801"/>
      <c r="AQ36" s="801"/>
      <c r="AR36" s="801"/>
      <c r="AS36" s="801"/>
      <c r="AT36" s="802"/>
      <c r="AU36" s="115"/>
      <c r="AV36" s="115"/>
      <c r="AW36" s="115"/>
      <c r="AX36" s="115"/>
      <c r="AY36" s="115"/>
      <c r="AZ36" s="115"/>
      <c r="BA36" s="115"/>
      <c r="BB36" s="115"/>
      <c r="BC36" s="115"/>
      <c r="BD36" s="115"/>
      <c r="BE36" s="115"/>
      <c r="BF36" s="115"/>
      <c r="BG36" s="115"/>
      <c r="BH36" s="115"/>
      <c r="BI36" s="115"/>
    </row>
    <row r="37" spans="1:61" ht="15" customHeight="1" x14ac:dyDescent="0.25">
      <c r="A37" s="115"/>
      <c r="B37" s="781"/>
      <c r="C37" s="804"/>
      <c r="D37" s="780"/>
      <c r="E37" s="783"/>
      <c r="F37" s="804"/>
      <c r="G37" s="804"/>
      <c r="H37" s="804"/>
      <c r="I37" s="804"/>
      <c r="J37" s="152" t="str">
        <f>IF(AND('Matriz riesgos de gestión'!$AD$15="Baja",'Matriz riesgos de gestión'!$AF$15="Leve"),CONCATENATE("R2C",'Matriz riesgos de gestión'!$T$15),"")</f>
        <v/>
      </c>
      <c r="K37" s="153" t="str">
        <f>IF(AND('Matriz riesgos de gestión'!$AD$16="Baja",'Matriz riesgos de gestión'!$AF$16="Leve"),CONCATENATE("R2C",'Matriz riesgos de gestión'!$T$16),"")</f>
        <v/>
      </c>
      <c r="L37" s="153" t="str">
        <f>IF(AND('Matriz riesgos de gestión'!$AD$17="Baja",'Matriz riesgos de gestión'!$AF$17="Leve"),CONCATENATE("R2C",'Matriz riesgos de gestión'!$T$17),"")</f>
        <v/>
      </c>
      <c r="M37" s="153" t="str">
        <f>IF(AND('Matriz riesgos de gestión'!$AD$22="Baja",'Matriz riesgos de gestión'!$AF$22="Leve"),CONCATENATE("R2C",'Matriz riesgos de gestión'!$T$22),"")</f>
        <v/>
      </c>
      <c r="N37" s="153" t="str">
        <f>IF(AND('Matriz riesgos de gestión'!$AD$23="Baja",'Matriz riesgos de gestión'!$AF$23="Leve"),CONCATENATE("R2C",'Matriz riesgos de gestión'!$T$23),"")</f>
        <v/>
      </c>
      <c r="O37" s="154" t="str">
        <f>IF(AND('Matriz riesgos de gestión'!$AD$24="Baja",'Matriz riesgos de gestión'!$AF$24="Leve"),CONCATENATE("R2C",'Matriz riesgos de gestión'!$T$24),"")</f>
        <v/>
      </c>
      <c r="P37" s="146" t="str">
        <f>IF(AND('Matriz riesgos de gestión'!$AD$15="Baja",'Matriz riesgos de gestión'!$AF$15="Menor"),CONCATENATE("R2C",'Matriz riesgos de gestión'!$T$15),"")</f>
        <v/>
      </c>
      <c r="Q37" s="147" t="str">
        <f>IF(AND('Matriz riesgos de gestión'!$AD$16="Baja",'Matriz riesgos de gestión'!$AF$16="Menor"),CONCATENATE("R2C",'Matriz riesgos de gestión'!$T$16),"")</f>
        <v/>
      </c>
      <c r="R37" s="147" t="str">
        <f>IF(AND('Matriz riesgos de gestión'!$AD$17="Baja",'Matriz riesgos de gestión'!$AF$17="Menor"),CONCATENATE("R2C",'Matriz riesgos de gestión'!$T$17),"")</f>
        <v/>
      </c>
      <c r="S37" s="147" t="str">
        <f>IF(AND('Matriz riesgos de gestión'!$AD$22="Baja",'Matriz riesgos de gestión'!$AF$22="Menor"),CONCATENATE("R2C",'Matriz riesgos de gestión'!$T$22),"")</f>
        <v/>
      </c>
      <c r="T37" s="147" t="str">
        <f>IF(AND('Matriz riesgos de gestión'!$AD$23="Baja",'Matriz riesgos de gestión'!$AF$23="Menor"),CONCATENATE("R2C",'Matriz riesgos de gestión'!$T$23),"")</f>
        <v/>
      </c>
      <c r="U37" s="148" t="str">
        <f>IF(AND('Matriz riesgos de gestión'!$AD$24="Baja",'Matriz riesgos de gestión'!$AF$24="Menor"),CONCATENATE("R2C",'Matriz riesgos de gestión'!$T$24),"")</f>
        <v/>
      </c>
      <c r="V37" s="146" t="str">
        <f>IF(AND('Matriz riesgos de gestión'!$AD$15="Baja",'Matriz riesgos de gestión'!$AF$15="Moderado"),CONCATENATE("R2C",'Matriz riesgos de gestión'!$T$15),"")</f>
        <v/>
      </c>
      <c r="W37" s="147" t="str">
        <f>IF(AND('Matriz riesgos de gestión'!$AD$16="Baja",'Matriz riesgos de gestión'!$AF$16="Moderado"),CONCATENATE("R2C",'Matriz riesgos de gestión'!$T$16),"")</f>
        <v>R2C2</v>
      </c>
      <c r="X37" s="147" t="str">
        <f>IF(AND('Matriz riesgos de gestión'!$AD$17="Baja",'Matriz riesgos de gestión'!$AF$17="Moderado"),CONCATENATE("R2C",'Matriz riesgos de gestión'!$T$17),"")</f>
        <v>R2C3</v>
      </c>
      <c r="Y37" s="147" t="str">
        <f>IF(AND('Matriz riesgos de gestión'!$AD$22="Baja",'Matriz riesgos de gestión'!$AF$22="Moderado"),CONCATENATE("R2C",'Matriz riesgos de gestión'!$T$22),"")</f>
        <v/>
      </c>
      <c r="Z37" s="147" t="str">
        <f>IF(AND('Matriz riesgos de gestión'!$AD$23="Baja",'Matriz riesgos de gestión'!$AF$23="Moderado"),CONCATENATE("R2C",'Matriz riesgos de gestión'!$T$23),"")</f>
        <v/>
      </c>
      <c r="AA37" s="148" t="str">
        <f>IF(AND('Matriz riesgos de gestión'!$AD$24="Baja",'Matriz riesgos de gestión'!$AF$24="Moderado"),CONCATENATE("R2C",'Matriz riesgos de gestión'!$T$24),"")</f>
        <v/>
      </c>
      <c r="AB37" s="134" t="str">
        <f>IF(AND('Matriz riesgos de gestión'!$AD$15="Baja",'Matriz riesgos de gestión'!$AF$15="Mayor"),CONCATENATE("R2C",'Matriz riesgos de gestión'!$T$15),"")</f>
        <v>R2C1</v>
      </c>
      <c r="AC37" s="135" t="str">
        <f>IF(AND('Matriz riesgos de gestión'!$AD$16="Baja",'Matriz riesgos de gestión'!$AF$16="Mayor"),CONCATENATE("R2C",'Matriz riesgos de gestión'!$T$16),"")</f>
        <v/>
      </c>
      <c r="AD37" s="135" t="str">
        <f>IF(AND('Matriz riesgos de gestión'!$AD$17="Baja",'Matriz riesgos de gestión'!$AF$17="Mayor"),CONCATENATE("R2C",'Matriz riesgos de gestión'!$T$17),"")</f>
        <v/>
      </c>
      <c r="AE37" s="135" t="str">
        <f>IF(AND('Matriz riesgos de gestión'!$AD$22="Baja",'Matriz riesgos de gestión'!$AF$22="Mayor"),CONCATENATE("R2C",'Matriz riesgos de gestión'!$T$22),"")</f>
        <v/>
      </c>
      <c r="AF37" s="135" t="str">
        <f>IF(AND('Matriz riesgos de gestión'!$AD$23="Baja",'Matriz riesgos de gestión'!$AF$23="Mayor"),CONCATENATE("R2C",'Matriz riesgos de gestión'!$T$23),"")</f>
        <v/>
      </c>
      <c r="AG37" s="136" t="str">
        <f>IF(AND('Matriz riesgos de gestión'!$AD$24="Baja",'Matriz riesgos de gestión'!$AF$24="Mayor"),CONCATENATE("R2C",'Matriz riesgos de gestión'!$T$24),"")</f>
        <v/>
      </c>
      <c r="AH37" s="137" t="str">
        <f>IF(AND('Matriz riesgos de gestión'!$AD$15="Baja",'Matriz riesgos de gestión'!$AF$15="Catastrófico"),CONCATENATE("R2C",'Matriz riesgos de gestión'!$T$15),"")</f>
        <v/>
      </c>
      <c r="AI37" s="138" t="str">
        <f>IF(AND('Matriz riesgos de gestión'!$AD$16="Baja",'Matriz riesgos de gestión'!$AF$16="Catastrófico"),CONCATENATE("R2C",'Matriz riesgos de gestión'!$T$16),"")</f>
        <v/>
      </c>
      <c r="AJ37" s="138" t="str">
        <f>IF(AND('Matriz riesgos de gestión'!$AD$17="Baja",'Matriz riesgos de gestión'!$AF$17="Catastrófico"),CONCATENATE("R2C",'Matriz riesgos de gestión'!$T$17),"")</f>
        <v/>
      </c>
      <c r="AK37" s="138" t="str">
        <f>IF(AND('Matriz riesgos de gestión'!$AD$22="Baja",'Matriz riesgos de gestión'!$AF$22="Catastrófico"),CONCATENATE("R2C",'Matriz riesgos de gestión'!$T$22),"")</f>
        <v/>
      </c>
      <c r="AL37" s="138" t="str">
        <f>IF(AND('Matriz riesgos de gestión'!$AD$23="Baja",'Matriz riesgos de gestión'!$AF$23="Catastrófico"),CONCATENATE("R2C",'Matriz riesgos de gestión'!$T$23),"")</f>
        <v/>
      </c>
      <c r="AM37" s="139" t="str">
        <f>IF(AND('Matriz riesgos de gestión'!$AD$24="Baja",'Matriz riesgos de gestión'!$AF$24="Catastrófico"),CONCATENATE("R2C",'Matriz riesgos de gestión'!$T$24),"")</f>
        <v/>
      </c>
      <c r="AN37" s="115"/>
      <c r="AO37" s="803"/>
      <c r="AP37" s="804"/>
      <c r="AQ37" s="804"/>
      <c r="AR37" s="804"/>
      <c r="AS37" s="804"/>
      <c r="AT37" s="805"/>
      <c r="AU37" s="115"/>
      <c r="AV37" s="115"/>
      <c r="AW37" s="115"/>
      <c r="AX37" s="115"/>
      <c r="AY37" s="115"/>
      <c r="AZ37" s="115"/>
      <c r="BA37" s="115"/>
      <c r="BB37" s="115"/>
      <c r="BC37" s="115"/>
      <c r="BD37" s="115"/>
      <c r="BE37" s="115"/>
      <c r="BF37" s="115"/>
      <c r="BG37" s="115"/>
      <c r="BH37" s="115"/>
      <c r="BI37" s="115"/>
    </row>
    <row r="38" spans="1:61" ht="15" customHeight="1" x14ac:dyDescent="0.25">
      <c r="A38" s="115"/>
      <c r="B38" s="781"/>
      <c r="C38" s="804"/>
      <c r="D38" s="780"/>
      <c r="E38" s="783"/>
      <c r="F38" s="804"/>
      <c r="G38" s="804"/>
      <c r="H38" s="804"/>
      <c r="I38" s="804"/>
      <c r="J38" s="152" t="str">
        <f>IF(AND('Matriz riesgos de gestión'!$AD$25="Baja",'Matriz riesgos de gestión'!$AF$25="Leve"),CONCATENATE("R3C",'Matriz riesgos de gestión'!$T$25),"")</f>
        <v/>
      </c>
      <c r="K38" s="153" t="str">
        <f>IF(AND('Matriz riesgos de gestión'!$AD$26="Baja",'Matriz riesgos de gestión'!$AF$26="Leve"),CONCATENATE("R3C",'Matriz riesgos de gestión'!$T$26),"")</f>
        <v/>
      </c>
      <c r="L38" s="153" t="str">
        <f>IF(AND('Matriz riesgos de gestión'!$AD$27="Baja",'Matriz riesgos de gestión'!$AF$27="Leve"),CONCATENATE("R3C",'Matriz riesgos de gestión'!$T$27),"")</f>
        <v/>
      </c>
      <c r="M38" s="153" t="str">
        <f>IF(AND('Matriz riesgos de gestión'!$AD$28="Baja",'Matriz riesgos de gestión'!$AF$28="Leve"),CONCATENATE("R3C",'Matriz riesgos de gestión'!$T$28),"")</f>
        <v/>
      </c>
      <c r="N38" s="153" t="str">
        <f>IF(AND('Matriz riesgos de gestión'!$AD$29="Baja",'Matriz riesgos de gestión'!$AF$29="Leve"),CONCATENATE("R3C",'Matriz riesgos de gestión'!$T$29),"")</f>
        <v/>
      </c>
      <c r="O38" s="154" t="str">
        <f>IF(AND('Matriz riesgos de gestión'!$AD$30="Baja",'Matriz riesgos de gestión'!$AF$30="Leve"),CONCATENATE("R3C",'Matriz riesgos de gestión'!$T$30),"")</f>
        <v/>
      </c>
      <c r="P38" s="146" t="str">
        <f>IF(AND('Matriz riesgos de gestión'!$AD$25="Baja",'Matriz riesgos de gestión'!$AF$25="Menor"),CONCATENATE("R3C",'Matriz riesgos de gestión'!$T$25),"")</f>
        <v/>
      </c>
      <c r="Q38" s="147" t="str">
        <f>IF(AND('Matriz riesgos de gestión'!$AD$26="Baja",'Matriz riesgos de gestión'!$AF$26="Menor"),CONCATENATE("R3C",'Matriz riesgos de gestión'!$T$26),"")</f>
        <v/>
      </c>
      <c r="R38" s="147" t="str">
        <f>IF(AND('Matriz riesgos de gestión'!$AD$27="Baja",'Matriz riesgos de gestión'!$AF$27="Menor"),CONCATENATE("R3C",'Matriz riesgos de gestión'!$T$27),"")</f>
        <v/>
      </c>
      <c r="S38" s="147" t="str">
        <f>IF(AND('Matriz riesgos de gestión'!$AD$28="Baja",'Matriz riesgos de gestión'!$AF$28="Menor"),CONCATENATE("R3C",'Matriz riesgos de gestión'!$T$28),"")</f>
        <v/>
      </c>
      <c r="T38" s="147" t="str">
        <f>IF(AND('Matriz riesgos de gestión'!$AD$29="Baja",'Matriz riesgos de gestión'!$AF$29="Menor"),CONCATENATE("R3C",'Matriz riesgos de gestión'!$T$29),"")</f>
        <v/>
      </c>
      <c r="U38" s="148" t="str">
        <f>IF(AND('Matriz riesgos de gestión'!$AD$30="Baja",'Matriz riesgos de gestión'!$AF$30="Menor"),CONCATENATE("R3C",'Matriz riesgos de gestión'!$T$30),"")</f>
        <v/>
      </c>
      <c r="V38" s="146" t="str">
        <f>IF(AND('Matriz riesgos de gestión'!$AD$25="Baja",'Matriz riesgos de gestión'!$AF$25="Moderado"),CONCATENATE("R3C",'Matriz riesgos de gestión'!$T$25),"")</f>
        <v>R3C1</v>
      </c>
      <c r="W38" s="147" t="str">
        <f>IF(AND('Matriz riesgos de gestión'!$AD$26="Baja",'Matriz riesgos de gestión'!$AF$26="Moderado"),CONCATENATE("R3C",'Matriz riesgos de gestión'!$T$26),"")</f>
        <v/>
      </c>
      <c r="X38" s="147" t="str">
        <f>IF(AND('Matriz riesgos de gestión'!$AD$27="Baja",'Matriz riesgos de gestión'!$AF$27="Moderado"),CONCATENATE("R3C",'Matriz riesgos de gestión'!$T$27),"")</f>
        <v/>
      </c>
      <c r="Y38" s="147" t="str">
        <f>IF(AND('Matriz riesgos de gestión'!$AD$28="Baja",'Matriz riesgos de gestión'!$AF$28="Moderado"),CONCATENATE("R3C",'Matriz riesgos de gestión'!$T$28),"")</f>
        <v/>
      </c>
      <c r="Z38" s="147" t="str">
        <f>IF(AND('Matriz riesgos de gestión'!$AD$29="Baja",'Matriz riesgos de gestión'!$AF$29="Moderado"),CONCATENATE("R3C",'Matriz riesgos de gestión'!$T$29),"")</f>
        <v/>
      </c>
      <c r="AA38" s="148" t="str">
        <f>IF(AND('Matriz riesgos de gestión'!$AD$30="Baja",'Matriz riesgos de gestión'!$AF$30="Moderado"),CONCATENATE("R3C",'Matriz riesgos de gestión'!$T$30),"")</f>
        <v/>
      </c>
      <c r="AB38" s="134" t="str">
        <f>IF(AND('Matriz riesgos de gestión'!$AD$25="Baja",'Matriz riesgos de gestión'!$AF$25="Mayor"),CONCATENATE("R3C",'Matriz riesgos de gestión'!$T$25),"")</f>
        <v/>
      </c>
      <c r="AC38" s="135" t="str">
        <f>IF(AND('Matriz riesgos de gestión'!$AD$26="Baja",'Matriz riesgos de gestión'!$AF$26="Mayor"),CONCATENATE("R3C",'Matriz riesgos de gestión'!$T$26),"")</f>
        <v>R3C2</v>
      </c>
      <c r="AD38" s="135" t="str">
        <f>IF(AND('Matriz riesgos de gestión'!$AD$27="Baja",'Matriz riesgos de gestión'!$AF$27="Mayor"),CONCATENATE("R3C",'Matriz riesgos de gestión'!$T$27),"")</f>
        <v/>
      </c>
      <c r="AE38" s="135" t="str">
        <f>IF(AND('Matriz riesgos de gestión'!$AD$28="Baja",'Matriz riesgos de gestión'!$AF$28="Mayor"),CONCATENATE("R3C",'Matriz riesgos de gestión'!$T$28),"")</f>
        <v/>
      </c>
      <c r="AF38" s="135" t="str">
        <f>IF(AND('Matriz riesgos de gestión'!$AD$29="Baja",'Matriz riesgos de gestión'!$AF$29="Mayor"),CONCATENATE("R3C",'Matriz riesgos de gestión'!$T$29),"")</f>
        <v/>
      </c>
      <c r="AG38" s="136" t="str">
        <f>IF(AND('Matriz riesgos de gestión'!$AD$30="Baja",'Matriz riesgos de gestión'!$AF$30="Mayor"),CONCATENATE("R3C",'Matriz riesgos de gestión'!$T$30),"")</f>
        <v/>
      </c>
      <c r="AH38" s="137" t="str">
        <f>IF(AND('Matriz riesgos de gestión'!$AD$25="Baja",'Matriz riesgos de gestión'!$AF$25="Catastrófico"),CONCATENATE("R3C",'Matriz riesgos de gestión'!$T$25),"")</f>
        <v/>
      </c>
      <c r="AI38" s="138" t="str">
        <f>IF(AND('Matriz riesgos de gestión'!$AD$26="Baja",'Matriz riesgos de gestión'!$AF$26="Catastrófico"),CONCATENATE("R3C",'Matriz riesgos de gestión'!$T$26),"")</f>
        <v/>
      </c>
      <c r="AJ38" s="138" t="str">
        <f>IF(AND('Matriz riesgos de gestión'!$AD$27="Baja",'Matriz riesgos de gestión'!$AF$27="Catastrófico"),CONCATENATE("R3C",'Matriz riesgos de gestión'!$T$27),"")</f>
        <v/>
      </c>
      <c r="AK38" s="138" t="str">
        <f>IF(AND('Matriz riesgos de gestión'!$AD$28="Baja",'Matriz riesgos de gestión'!$AF$28="Catastrófico"),CONCATENATE("R3C",'Matriz riesgos de gestión'!$T$28),"")</f>
        <v/>
      </c>
      <c r="AL38" s="138" t="str">
        <f>IF(AND('Matriz riesgos de gestión'!$AD$29="Baja",'Matriz riesgos de gestión'!$AF$29="Catastrófico"),CONCATENATE("R3C",'Matriz riesgos de gestión'!$T$29),"")</f>
        <v/>
      </c>
      <c r="AM38" s="139" t="str">
        <f>IF(AND('Matriz riesgos de gestión'!$AD$30="Baja",'Matriz riesgos de gestión'!$AF$30="Catastrófico"),CONCATENATE("R3C",'Matriz riesgos de gestión'!$T$30),"")</f>
        <v/>
      </c>
      <c r="AN38" s="115"/>
      <c r="AO38" s="803"/>
      <c r="AP38" s="804"/>
      <c r="AQ38" s="804"/>
      <c r="AR38" s="804"/>
      <c r="AS38" s="804"/>
      <c r="AT38" s="805"/>
      <c r="AU38" s="115"/>
      <c r="AV38" s="115"/>
      <c r="AW38" s="115"/>
      <c r="AX38" s="115"/>
      <c r="AY38" s="115"/>
      <c r="AZ38" s="115"/>
      <c r="BA38" s="115"/>
      <c r="BB38" s="115"/>
      <c r="BC38" s="115"/>
      <c r="BD38" s="115"/>
      <c r="BE38" s="115"/>
      <c r="BF38" s="115"/>
      <c r="BG38" s="115"/>
      <c r="BH38" s="115"/>
      <c r="BI38" s="115"/>
    </row>
    <row r="39" spans="1:61" ht="15" customHeight="1" x14ac:dyDescent="0.25">
      <c r="A39" s="115"/>
      <c r="B39" s="781"/>
      <c r="C39" s="804"/>
      <c r="D39" s="780"/>
      <c r="E39" s="783"/>
      <c r="F39" s="804"/>
      <c r="G39" s="804"/>
      <c r="H39" s="804"/>
      <c r="I39" s="804"/>
      <c r="J39" s="152" t="str">
        <f>IF(AND('Matriz riesgos de gestión'!$AD$31="Baja",'Matriz riesgos de gestión'!$AF$31="Leve"),CONCATENATE("R4C",'Matriz riesgos de gestión'!$T$31),"")</f>
        <v/>
      </c>
      <c r="K39" s="153" t="str">
        <f>IF(AND('Matriz riesgos de gestión'!$AD$32="Baja",'Matriz riesgos de gestión'!$AF$32="Leve"),CONCATENATE("R4C",'Matriz riesgos de gestión'!$T$32),"")</f>
        <v/>
      </c>
      <c r="L39" s="153" t="str">
        <f>IF(AND('Matriz riesgos de gestión'!$AD$33="Baja",'Matriz riesgos de gestión'!$AF$33="Leve"),CONCATENATE("R4C",'Matriz riesgos de gestión'!$T$33),"")</f>
        <v/>
      </c>
      <c r="M39" s="153" t="str">
        <f>IF(AND('Matriz riesgos de gestión'!$AD$34="Baja",'Matriz riesgos de gestión'!$AF$34="Leve"),CONCATENATE("R4C",'Matriz riesgos de gestión'!$T$34),"")</f>
        <v/>
      </c>
      <c r="N39" s="153" t="str">
        <f>IF(AND('Matriz riesgos de gestión'!$AD$35="Baja",'Matriz riesgos de gestión'!$AF$35="Leve"),CONCATENATE("R4C",'Matriz riesgos de gestión'!$T$35),"")</f>
        <v/>
      </c>
      <c r="O39" s="154" t="str">
        <f>IF(AND('Matriz riesgos de gestión'!$AD$36="Baja",'Matriz riesgos de gestión'!$AF$36="Leve"),CONCATENATE("R4C",'Matriz riesgos de gestión'!$T$36),"")</f>
        <v/>
      </c>
      <c r="P39" s="146" t="str">
        <f>IF(AND('Matriz riesgos de gestión'!$AD$31="Baja",'Matriz riesgos de gestión'!$AF$31="Menor"),CONCATENATE("R4C",'Matriz riesgos de gestión'!$T$31),"")</f>
        <v/>
      </c>
      <c r="Q39" s="147" t="str">
        <f>IF(AND('Matriz riesgos de gestión'!$AD$32="Baja",'Matriz riesgos de gestión'!$AF$32="Menor"),CONCATENATE("R4C",'Matriz riesgos de gestión'!$T$32),"")</f>
        <v/>
      </c>
      <c r="R39" s="147" t="str">
        <f>IF(AND('Matriz riesgos de gestión'!$AD$33="Baja",'Matriz riesgos de gestión'!$AF$33="Menor"),CONCATENATE("R4C",'Matriz riesgos de gestión'!$T$33),"")</f>
        <v/>
      </c>
      <c r="S39" s="147" t="str">
        <f>IF(AND('Matriz riesgos de gestión'!$AD$34="Baja",'Matriz riesgos de gestión'!$AF$34="Menor"),CONCATENATE("R4C",'Matriz riesgos de gestión'!$T$34),"")</f>
        <v/>
      </c>
      <c r="T39" s="147" t="str">
        <f>IF(AND('Matriz riesgos de gestión'!$AD$35="Baja",'Matriz riesgos de gestión'!$AF$35="Menor"),CONCATENATE("R4C",'Matriz riesgos de gestión'!$T$35),"")</f>
        <v/>
      </c>
      <c r="U39" s="148" t="str">
        <f>IF(AND('Matriz riesgos de gestión'!$AD$36="Baja",'Matriz riesgos de gestión'!$AF$36="Menor"),CONCATENATE("R4C",'Matriz riesgos de gestión'!$T$36),"")</f>
        <v/>
      </c>
      <c r="V39" s="146" t="str">
        <f>IF(AND('Matriz riesgos de gestión'!$AD$31="Baja",'Matriz riesgos de gestión'!$AF$31="Moderado"),CONCATENATE("R4C",'Matriz riesgos de gestión'!$T$31),"")</f>
        <v>R4C2</v>
      </c>
      <c r="W39" s="147" t="str">
        <f>IF(AND('Matriz riesgos de gestión'!$AD$32="Baja",'Matriz riesgos de gestión'!$AF$32="Moderado"),CONCATENATE("R4C",'Matriz riesgos de gestión'!$T$32),"")</f>
        <v/>
      </c>
      <c r="X39" s="147" t="str">
        <f>IF(AND('Matriz riesgos de gestión'!$AD$33="Baja",'Matriz riesgos de gestión'!$AF$33="Moderado"),CONCATENATE("R4C",'Matriz riesgos de gestión'!$T$33),"")</f>
        <v/>
      </c>
      <c r="Y39" s="147" t="str">
        <f>IF(AND('Matriz riesgos de gestión'!$AD$34="Baja",'Matriz riesgos de gestión'!$AF$34="Moderado"),CONCATENATE("R4C",'Matriz riesgos de gestión'!$T$34),"")</f>
        <v/>
      </c>
      <c r="Z39" s="147" t="str">
        <f>IF(AND('Matriz riesgos de gestión'!$AD$35="Baja",'Matriz riesgos de gestión'!$AF$35="Moderado"),CONCATENATE("R4C",'Matriz riesgos de gestión'!$T$35),"")</f>
        <v/>
      </c>
      <c r="AA39" s="148" t="str">
        <f>IF(AND('Matriz riesgos de gestión'!$AD$36="Baja",'Matriz riesgos de gestión'!$AF$36="Moderado"),CONCATENATE("R4C",'Matriz riesgos de gestión'!$T$36),"")</f>
        <v/>
      </c>
      <c r="AB39" s="134" t="str">
        <f>IF(AND('Matriz riesgos de gestión'!$AD$31="Baja",'Matriz riesgos de gestión'!$AF$31="Mayor"),CONCATENATE("R4C",'Matriz riesgos de gestión'!$T$31),"")</f>
        <v/>
      </c>
      <c r="AC39" s="135" t="str">
        <f>IF(AND('Matriz riesgos de gestión'!$AD$32="Baja",'Matriz riesgos de gestión'!$AF$32="Mayor"),CONCATENATE("R4C",'Matriz riesgos de gestión'!$T$32),"")</f>
        <v/>
      </c>
      <c r="AD39" s="135" t="str">
        <f>IF(AND('Matriz riesgos de gestión'!$AD$33="Baja",'Matriz riesgos de gestión'!$AF$33="Mayor"),CONCATENATE("R4C",'Matriz riesgos de gestión'!$T$33),"")</f>
        <v/>
      </c>
      <c r="AE39" s="135" t="str">
        <f>IF(AND('Matriz riesgos de gestión'!$AD$34="Baja",'Matriz riesgos de gestión'!$AF$34="Mayor"),CONCATENATE("R4C",'Matriz riesgos de gestión'!$T$34),"")</f>
        <v/>
      </c>
      <c r="AF39" s="135" t="str">
        <f>IF(AND('Matriz riesgos de gestión'!$AD$35="Baja",'Matriz riesgos de gestión'!$AF$35="Mayor"),CONCATENATE("R4C",'Matriz riesgos de gestión'!$T$35),"")</f>
        <v/>
      </c>
      <c r="AG39" s="136" t="str">
        <f>IF(AND('Matriz riesgos de gestión'!$AD$36="Baja",'Matriz riesgos de gestión'!$AF$36="Mayor"),CONCATENATE("R4C",'Matriz riesgos de gestión'!$T$36),"")</f>
        <v/>
      </c>
      <c r="AH39" s="137" t="str">
        <f>IF(AND('Matriz riesgos de gestión'!$AD$31="Baja",'Matriz riesgos de gestión'!$AF$31="Catastrófico"),CONCATENATE("R4C",'Matriz riesgos de gestión'!$T$31),"")</f>
        <v/>
      </c>
      <c r="AI39" s="138" t="str">
        <f>IF(AND('Matriz riesgos de gestión'!$AD$32="Baja",'Matriz riesgos de gestión'!$AF$32="Catastrófico"),CONCATENATE("R4C",'Matriz riesgos de gestión'!$T$32),"")</f>
        <v/>
      </c>
      <c r="AJ39" s="138" t="str">
        <f>IF(AND('Matriz riesgos de gestión'!$AD$33="Baja",'Matriz riesgos de gestión'!$AF$33="Catastrófico"),CONCATENATE("R4C",'Matriz riesgos de gestión'!$T$33),"")</f>
        <v/>
      </c>
      <c r="AK39" s="138" t="str">
        <f>IF(AND('Matriz riesgos de gestión'!$AD$34="Baja",'Matriz riesgos de gestión'!$AF$34="Catastrófico"),CONCATENATE("R4C",'Matriz riesgos de gestión'!$T$34),"")</f>
        <v/>
      </c>
      <c r="AL39" s="138" t="str">
        <f>IF(AND('Matriz riesgos de gestión'!$AD$35="Baja",'Matriz riesgos de gestión'!$AF$35="Catastrófico"),CONCATENATE("R4C",'Matriz riesgos de gestión'!$T$35),"")</f>
        <v/>
      </c>
      <c r="AM39" s="139" t="str">
        <f>IF(AND('Matriz riesgos de gestión'!$AD$36="Baja",'Matriz riesgos de gestión'!$AF$36="Catastrófico"),CONCATENATE("R4C",'Matriz riesgos de gestión'!$T$36),"")</f>
        <v/>
      </c>
      <c r="AN39" s="115"/>
      <c r="AO39" s="803"/>
      <c r="AP39" s="804"/>
      <c r="AQ39" s="804"/>
      <c r="AR39" s="804"/>
      <c r="AS39" s="804"/>
      <c r="AT39" s="805"/>
      <c r="AU39" s="115"/>
      <c r="AV39" s="115"/>
      <c r="AW39" s="115"/>
      <c r="AX39" s="115"/>
      <c r="AY39" s="115"/>
      <c r="AZ39" s="115"/>
      <c r="BA39" s="115"/>
      <c r="BB39" s="115"/>
      <c r="BC39" s="115"/>
      <c r="BD39" s="115"/>
      <c r="BE39" s="115"/>
      <c r="BF39" s="115"/>
      <c r="BG39" s="115"/>
      <c r="BH39" s="115"/>
      <c r="BI39" s="115"/>
    </row>
    <row r="40" spans="1:61" ht="15" customHeight="1" x14ac:dyDescent="0.25">
      <c r="A40" s="115"/>
      <c r="B40" s="781"/>
      <c r="C40" s="804"/>
      <c r="D40" s="780"/>
      <c r="E40" s="783"/>
      <c r="F40" s="804"/>
      <c r="G40" s="804"/>
      <c r="H40" s="804"/>
      <c r="I40" s="804"/>
      <c r="J40" s="152" t="str">
        <f>IF(AND('Matriz riesgos de gestión'!$AD$37="Baja",'Matriz riesgos de gestión'!$AF$37="Leve"),CONCATENATE("R5C",'Matriz riesgos de gestión'!$T$37),"")</f>
        <v/>
      </c>
      <c r="K40" s="153" t="str">
        <f>IF(AND('Matriz riesgos de gestión'!$AD$38="Baja",'Matriz riesgos de gestión'!$AF$38="Leve"),CONCATENATE("R5C",'Matriz riesgos de gestión'!$T$38),"")</f>
        <v/>
      </c>
      <c r="L40" s="153" t="str">
        <f>IF(AND('Matriz riesgos de gestión'!$AD$39="Baja",'Matriz riesgos de gestión'!$AF$39="Leve"),CONCATENATE("R5C",'Matriz riesgos de gestión'!$T$39),"")</f>
        <v/>
      </c>
      <c r="M40" s="153" t="str">
        <f>IF(AND('Matriz riesgos de gestión'!$AD$40="Baja",'Matriz riesgos de gestión'!$AF$40="Leve"),CONCATENATE("R5C",'Matriz riesgos de gestión'!$T$40),"")</f>
        <v/>
      </c>
      <c r="N40" s="153" t="str">
        <f>IF(AND('Matriz riesgos de gestión'!$AD$41="Baja",'Matriz riesgos de gestión'!$AF$41="Leve"),CONCATENATE("R5C",'Matriz riesgos de gestión'!$T$41),"")</f>
        <v/>
      </c>
      <c r="O40" s="154" t="str">
        <f>IF(AND('Matriz riesgos de gestión'!$AD$42="Baja",'Matriz riesgos de gestión'!$AF$42="Leve"),CONCATENATE("R5C",'Matriz riesgos de gestión'!$T$42),"")</f>
        <v/>
      </c>
      <c r="P40" s="146" t="str">
        <f>IF(AND('Matriz riesgos de gestión'!$AD$37="Baja",'Matriz riesgos de gestión'!$AF$37="Menor"),CONCATENATE("R5C",'Matriz riesgos de gestión'!$T$37),"")</f>
        <v/>
      </c>
      <c r="Q40" s="147" t="str">
        <f>IF(AND('Matriz riesgos de gestión'!$AD$38="Baja",'Matriz riesgos de gestión'!$AF$38="Menor"),CONCATENATE("R5C",'Matriz riesgos de gestión'!$T$38),"")</f>
        <v/>
      </c>
      <c r="R40" s="147" t="str">
        <f>IF(AND('Matriz riesgos de gestión'!$AD$39="Baja",'Matriz riesgos de gestión'!$AF$39="Menor"),CONCATENATE("R5C",'Matriz riesgos de gestión'!$T$39),"")</f>
        <v/>
      </c>
      <c r="S40" s="147" t="str">
        <f>IF(AND('Matriz riesgos de gestión'!$AD$40="Baja",'Matriz riesgos de gestión'!$AF$40="Menor"),CONCATENATE("R5C",'Matriz riesgos de gestión'!$T$40),"")</f>
        <v/>
      </c>
      <c r="T40" s="147" t="str">
        <f>IF(AND('Matriz riesgos de gestión'!$AD$41="Baja",'Matriz riesgos de gestión'!$AF$41="Menor"),CONCATENATE("R5C",'Matriz riesgos de gestión'!$T$41),"")</f>
        <v/>
      </c>
      <c r="U40" s="148" t="str">
        <f>IF(AND('Matriz riesgos de gestión'!$AD$42="Baja",'Matriz riesgos de gestión'!$AF$42="Menor"),CONCATENATE("R5C",'Matriz riesgos de gestión'!$T$42),"")</f>
        <v/>
      </c>
      <c r="V40" s="146" t="str">
        <f>IF(AND('Matriz riesgos de gestión'!$AD$37="Baja",'Matriz riesgos de gestión'!$AF$37="Moderado"),CONCATENATE("R5C",'Matriz riesgos de gestión'!$T$37),"")</f>
        <v>R5C1</v>
      </c>
      <c r="W40" s="147" t="str">
        <f>IF(AND('Matriz riesgos de gestión'!$AD$38="Baja",'Matriz riesgos de gestión'!$AF$38="Moderado"),CONCATENATE("R5C",'Matriz riesgos de gestión'!$T$38),"")</f>
        <v>R5C2</v>
      </c>
      <c r="X40" s="147" t="str">
        <f>IF(AND('Matriz riesgos de gestión'!$AD$39="Baja",'Matriz riesgos de gestión'!$AF$39="Moderado"),CONCATENATE("R5C",'Matriz riesgos de gestión'!$T$39),"")</f>
        <v/>
      </c>
      <c r="Y40" s="147" t="str">
        <f>IF(AND('Matriz riesgos de gestión'!$AD$40="Baja",'Matriz riesgos de gestión'!$AF$40="Moderado"),CONCATENATE("R5C",'Matriz riesgos de gestión'!$T$40),"")</f>
        <v/>
      </c>
      <c r="Z40" s="147" t="str">
        <f>IF(AND('Matriz riesgos de gestión'!$AD$41="Baja",'Matriz riesgos de gestión'!$AF$41="Moderado"),CONCATENATE("R5C",'Matriz riesgos de gestión'!$T$41),"")</f>
        <v/>
      </c>
      <c r="AA40" s="148" t="str">
        <f>IF(AND('Matriz riesgos de gestión'!$AD$42="Baja",'Matriz riesgos de gestión'!$AF$42="Moderado"),CONCATENATE("R5C",'Matriz riesgos de gestión'!$T$42),"")</f>
        <v/>
      </c>
      <c r="AB40" s="134" t="str">
        <f>IF(AND('Matriz riesgos de gestión'!$AD$37="Baja",'Matriz riesgos de gestión'!$AF$37="Mayor"),CONCATENATE("R5C",'Matriz riesgos de gestión'!$T$37),"")</f>
        <v/>
      </c>
      <c r="AC40" s="135" t="str">
        <f>IF(AND('Matriz riesgos de gestión'!$AD$38="Baja",'Matriz riesgos de gestión'!$AF$38="Mayor"),CONCATENATE("R5C",'Matriz riesgos de gestión'!$T$38),"")</f>
        <v/>
      </c>
      <c r="AD40" s="135" t="str">
        <f>IF(AND('Matriz riesgos de gestión'!$AD$39="Baja",'Matriz riesgos de gestión'!$AF$39="Mayor"),CONCATENATE("R5C",'Matriz riesgos de gestión'!$T$39),"")</f>
        <v/>
      </c>
      <c r="AE40" s="135" t="str">
        <f>IF(AND('Matriz riesgos de gestión'!$AD$40="Baja",'Matriz riesgos de gestión'!$AF$40="Mayor"),CONCATENATE("R5C",'Matriz riesgos de gestión'!$T$40),"")</f>
        <v/>
      </c>
      <c r="AF40" s="135" t="str">
        <f>IF(AND('Matriz riesgos de gestión'!$AD$41="Baja",'Matriz riesgos de gestión'!$AF$41="Mayor"),CONCATENATE("R5C",'Matriz riesgos de gestión'!$T$41),"")</f>
        <v/>
      </c>
      <c r="AG40" s="136" t="str">
        <f>IF(AND('Matriz riesgos de gestión'!$AD$42="Baja",'Matriz riesgos de gestión'!$AF$42="Mayor"),CONCATENATE("R5C",'Matriz riesgos de gestión'!$T$42),"")</f>
        <v/>
      </c>
      <c r="AH40" s="137" t="str">
        <f>IF(AND('Matriz riesgos de gestión'!$AD$37="Baja",'Matriz riesgos de gestión'!$AF$37="Catastrófico"),CONCATENATE("R5C",'Matriz riesgos de gestión'!$T$37),"")</f>
        <v/>
      </c>
      <c r="AI40" s="138" t="str">
        <f>IF(AND('Matriz riesgos de gestión'!$AD$38="Baja",'Matriz riesgos de gestión'!$AF$38="Catastrófico"),CONCATENATE("R5C",'Matriz riesgos de gestión'!$T$38),"")</f>
        <v/>
      </c>
      <c r="AJ40" s="138" t="str">
        <f>IF(AND('Matriz riesgos de gestión'!$AD$39="Baja",'Matriz riesgos de gestión'!$AF$39="Catastrófico"),CONCATENATE("R5C",'Matriz riesgos de gestión'!$T$39),"")</f>
        <v/>
      </c>
      <c r="AK40" s="138" t="str">
        <f>IF(AND('Matriz riesgos de gestión'!$AD$40="Baja",'Matriz riesgos de gestión'!$AF$40="Catastrófico"),CONCATENATE("R5C",'Matriz riesgos de gestión'!$T$40),"")</f>
        <v/>
      </c>
      <c r="AL40" s="138" t="str">
        <f>IF(AND('Matriz riesgos de gestión'!$AD$41="Baja",'Matriz riesgos de gestión'!$AF$41="Catastrófico"),CONCATENATE("R5C",'Matriz riesgos de gestión'!$T$41),"")</f>
        <v/>
      </c>
      <c r="AM40" s="139" t="str">
        <f>IF(AND('Matriz riesgos de gestión'!$AD$42="Baja",'Matriz riesgos de gestión'!$AF$42="Catastrófico"),CONCATENATE("R5C",'Matriz riesgos de gestión'!$T$42),"")</f>
        <v/>
      </c>
      <c r="AN40" s="115"/>
      <c r="AO40" s="803"/>
      <c r="AP40" s="804"/>
      <c r="AQ40" s="804"/>
      <c r="AR40" s="804"/>
      <c r="AS40" s="804"/>
      <c r="AT40" s="805"/>
      <c r="AU40" s="115"/>
      <c r="AV40" s="115"/>
      <c r="AW40" s="115"/>
      <c r="AX40" s="115"/>
      <c r="AY40" s="115"/>
      <c r="AZ40" s="115"/>
      <c r="BA40" s="115"/>
      <c r="BB40" s="115"/>
      <c r="BC40" s="115"/>
      <c r="BD40" s="115"/>
      <c r="BE40" s="115"/>
      <c r="BF40" s="115"/>
      <c r="BG40" s="115"/>
      <c r="BH40" s="115"/>
      <c r="BI40" s="115"/>
    </row>
    <row r="41" spans="1:61" ht="15" customHeight="1" x14ac:dyDescent="0.25">
      <c r="A41" s="115"/>
      <c r="B41" s="781"/>
      <c r="C41" s="804"/>
      <c r="D41" s="780"/>
      <c r="E41" s="783"/>
      <c r="F41" s="804"/>
      <c r="G41" s="804"/>
      <c r="H41" s="804"/>
      <c r="I41" s="804"/>
      <c r="J41" s="152" t="str">
        <f>IF(AND('Matriz riesgos de gestión'!$AD$43="Baja",'Matriz riesgos de gestión'!$AF$43="Leve"),CONCATENATE("R6C",'Matriz riesgos de gestión'!$T$43),"")</f>
        <v/>
      </c>
      <c r="K41" s="153" t="str">
        <f>IF(AND('Matriz riesgos de gestión'!$AD$44="Baja",'Matriz riesgos de gestión'!$AF$44="Leve"),CONCATENATE("R6C",'Matriz riesgos de gestión'!$T$44),"")</f>
        <v/>
      </c>
      <c r="L41" s="153" t="str">
        <f>IF(AND('Matriz riesgos de gestión'!$AD$45="Baja",'Matriz riesgos de gestión'!$AF$45="Leve"),CONCATENATE("R6C",'Matriz riesgos de gestión'!$T$45),"")</f>
        <v/>
      </c>
      <c r="M41" s="153" t="str">
        <f>IF(AND('Matriz riesgos de gestión'!$AD$46="Baja",'Matriz riesgos de gestión'!$AF$46="Leve"),CONCATENATE("R6C",'Matriz riesgos de gestión'!$T$46),"")</f>
        <v/>
      </c>
      <c r="N41" s="153" t="str">
        <f>IF(AND('Matriz riesgos de gestión'!$AD$47="Baja",'Matriz riesgos de gestión'!$AF$47="Leve"),CONCATENATE("R6C",'Matriz riesgos de gestión'!$T$47),"")</f>
        <v/>
      </c>
      <c r="O41" s="154" t="str">
        <f>IF(AND('Matriz riesgos de gestión'!$AD$48="Baja",'Matriz riesgos de gestión'!$AF$48="Leve"),CONCATENATE("R6C",'Matriz riesgos de gestión'!$T$48),"")</f>
        <v/>
      </c>
      <c r="P41" s="146" t="str">
        <f>IF(AND('Matriz riesgos de gestión'!$AD$43="Baja",'Matriz riesgos de gestión'!$AF$43="Menor"),CONCATENATE("R6C",'Matriz riesgos de gestión'!$T$43),"")</f>
        <v/>
      </c>
      <c r="Q41" s="147" t="str">
        <f>IF(AND('Matriz riesgos de gestión'!$AD$44="Baja",'Matriz riesgos de gestión'!$AF$44="Menor"),CONCATENATE("R6C",'Matriz riesgos de gestión'!$T$44),"")</f>
        <v/>
      </c>
      <c r="R41" s="147" t="str">
        <f>IF(AND('Matriz riesgos de gestión'!$AD$45="Baja",'Matriz riesgos de gestión'!$AF$45="Menor"),CONCATENATE("R6C",'Matriz riesgos de gestión'!$T$45),"")</f>
        <v/>
      </c>
      <c r="S41" s="147" t="str">
        <f>IF(AND('Matriz riesgos de gestión'!$AD$46="Baja",'Matriz riesgos de gestión'!$AF$46="Menor"),CONCATENATE("R6C",'Matriz riesgos de gestión'!$T$46),"")</f>
        <v/>
      </c>
      <c r="T41" s="147" t="str">
        <f>IF(AND('Matriz riesgos de gestión'!$AD$47="Baja",'Matriz riesgos de gestión'!$AF$47="Menor"),CONCATENATE("R6C",'Matriz riesgos de gestión'!$T$47),"")</f>
        <v/>
      </c>
      <c r="U41" s="148" t="str">
        <f>IF(AND('Matriz riesgos de gestión'!$AD$48="Baja",'Matriz riesgos de gestión'!$AF$48="Menor"),CONCATENATE("R6C",'Matriz riesgos de gestión'!$T$48),"")</f>
        <v/>
      </c>
      <c r="V41" s="146" t="str">
        <f>IF(AND('Matriz riesgos de gestión'!$AD$43="Baja",'Matriz riesgos de gestión'!$AF$43="Moderado"),CONCATENATE("R6C",'Matriz riesgos de gestión'!$T$43),"")</f>
        <v/>
      </c>
      <c r="W41" s="147" t="str">
        <f>IF(AND('Matriz riesgos de gestión'!$AD$44="Baja",'Matriz riesgos de gestión'!$AF$44="Moderado"),CONCATENATE("R6C",'Matriz riesgos de gestión'!$T$44),"")</f>
        <v>R6C1</v>
      </c>
      <c r="X41" s="147" t="str">
        <f>IF(AND('Matriz riesgos de gestión'!$AD$45="Baja",'Matriz riesgos de gestión'!$AF$45="Moderado"),CONCATENATE("R6C",'Matriz riesgos de gestión'!$T$45),"")</f>
        <v>R6C2</v>
      </c>
      <c r="Y41" s="147" t="str">
        <f>IF(AND('Matriz riesgos de gestión'!$AD$46="Baja",'Matriz riesgos de gestión'!$AF$46="Moderado"),CONCATENATE("R6C",'Matriz riesgos de gestión'!$T$46),"")</f>
        <v/>
      </c>
      <c r="Z41" s="147" t="str">
        <f>IF(AND('Matriz riesgos de gestión'!$AD$47="Baja",'Matriz riesgos de gestión'!$AF$47="Moderado"),CONCATENATE("R6C",'Matriz riesgos de gestión'!$T$47),"")</f>
        <v/>
      </c>
      <c r="AA41" s="148" t="str">
        <f>IF(AND('Matriz riesgos de gestión'!$AD$48="Baja",'Matriz riesgos de gestión'!$AF$48="Moderado"),CONCATENATE("R6C",'Matriz riesgos de gestión'!$T$48),"")</f>
        <v/>
      </c>
      <c r="AB41" s="134" t="str">
        <f>IF(AND('Matriz riesgos de gestión'!$AD$43="Baja",'Matriz riesgos de gestión'!$AF$43="Mayor"),CONCATENATE("R6C",'Matriz riesgos de gestión'!$T$43),"")</f>
        <v/>
      </c>
      <c r="AC41" s="135" t="str">
        <f>IF(AND('Matriz riesgos de gestión'!$AD$44="Baja",'Matriz riesgos de gestión'!$AF$44="Mayor"),CONCATENATE("R6C",'Matriz riesgos de gestión'!$T$44),"")</f>
        <v/>
      </c>
      <c r="AD41" s="135" t="str">
        <f>IF(AND('Matriz riesgos de gestión'!$AD$45="Baja",'Matriz riesgos de gestión'!$AF$45="Mayor"),CONCATENATE("R6C",'Matriz riesgos de gestión'!$T$45),"")</f>
        <v/>
      </c>
      <c r="AE41" s="135" t="str">
        <f>IF(AND('Matriz riesgos de gestión'!$AD$46="Baja",'Matriz riesgos de gestión'!$AF$46="Mayor"),CONCATENATE("R6C",'Matriz riesgos de gestión'!$T$46),"")</f>
        <v/>
      </c>
      <c r="AF41" s="135" t="str">
        <f>IF(AND('Matriz riesgos de gestión'!$AD$47="Baja",'Matriz riesgos de gestión'!$AF$47="Mayor"),CONCATENATE("R6C",'Matriz riesgos de gestión'!$T$47),"")</f>
        <v/>
      </c>
      <c r="AG41" s="136" t="str">
        <f>IF(AND('Matriz riesgos de gestión'!$AD$48="Baja",'Matriz riesgos de gestión'!$AF$48="Mayor"),CONCATENATE("R6C",'Matriz riesgos de gestión'!$T$48),"")</f>
        <v/>
      </c>
      <c r="AH41" s="137" t="str">
        <f>IF(AND('Matriz riesgos de gestión'!$AD$43="Baja",'Matriz riesgos de gestión'!$AF$43="Catastrófico"),CONCATENATE("R6C",'Matriz riesgos de gestión'!$T$43),"")</f>
        <v/>
      </c>
      <c r="AI41" s="138" t="str">
        <f>IF(AND('Matriz riesgos de gestión'!$AD$44="Baja",'Matriz riesgos de gestión'!$AF$44="Catastrófico"),CONCATENATE("R6C",'Matriz riesgos de gestión'!$T$44),"")</f>
        <v/>
      </c>
      <c r="AJ41" s="138" t="str">
        <f>IF(AND('Matriz riesgos de gestión'!$AD$45="Baja",'Matriz riesgos de gestión'!$AF$45="Catastrófico"),CONCATENATE("R6C",'Matriz riesgos de gestión'!$T$45),"")</f>
        <v/>
      </c>
      <c r="AK41" s="138" t="str">
        <f>IF(AND('Matriz riesgos de gestión'!$AD$46="Baja",'Matriz riesgos de gestión'!$AF$46="Catastrófico"),CONCATENATE("R6C",'Matriz riesgos de gestión'!$T$46),"")</f>
        <v/>
      </c>
      <c r="AL41" s="138" t="str">
        <f>IF(AND('Matriz riesgos de gestión'!$AD$47="Baja",'Matriz riesgos de gestión'!$AF$47="Catastrófico"),CONCATENATE("R6C",'Matriz riesgos de gestión'!$T$47),"")</f>
        <v/>
      </c>
      <c r="AM41" s="139" t="str">
        <f>IF(AND('Matriz riesgos de gestión'!$AD$48="Baja",'Matriz riesgos de gestión'!$AF$48="Catastrófico"),CONCATENATE("R6C",'Matriz riesgos de gestión'!$T$48),"")</f>
        <v/>
      </c>
      <c r="AN41" s="115"/>
      <c r="AO41" s="803"/>
      <c r="AP41" s="804"/>
      <c r="AQ41" s="804"/>
      <c r="AR41" s="804"/>
      <c r="AS41" s="804"/>
      <c r="AT41" s="805"/>
      <c r="AU41" s="115"/>
      <c r="AV41" s="115"/>
      <c r="AW41" s="115"/>
      <c r="AX41" s="115"/>
      <c r="AY41" s="115"/>
      <c r="AZ41" s="115"/>
      <c r="BA41" s="115"/>
      <c r="BB41" s="115"/>
      <c r="BC41" s="115"/>
      <c r="BD41" s="115"/>
      <c r="BE41" s="115"/>
      <c r="BF41" s="115"/>
      <c r="BG41" s="115"/>
      <c r="BH41" s="115"/>
      <c r="BI41" s="115"/>
    </row>
    <row r="42" spans="1:61" ht="15" customHeight="1" x14ac:dyDescent="0.25">
      <c r="A42" s="115"/>
      <c r="B42" s="781"/>
      <c r="C42" s="804"/>
      <c r="D42" s="780"/>
      <c r="E42" s="783"/>
      <c r="F42" s="804"/>
      <c r="G42" s="804"/>
      <c r="H42" s="804"/>
      <c r="I42" s="804"/>
      <c r="J42" s="152" t="str">
        <f>IF(AND('Matriz riesgos de gestión'!$AD$49="Baja",'Matriz riesgos de gestión'!$AF$49="Leve"),CONCATENATE("R7C",'Matriz riesgos de gestión'!$T$49),"")</f>
        <v/>
      </c>
      <c r="K42" s="153" t="str">
        <f>IF(AND('Matriz riesgos de gestión'!$AD$50="Baja",'Matriz riesgos de gestión'!$AF$50="Leve"),CONCATENATE("R7C",'Matriz riesgos de gestión'!$T$50),"")</f>
        <v/>
      </c>
      <c r="L42" s="153" t="str">
        <f>IF(AND('Matriz riesgos de gestión'!$AD$51="Baja",'Matriz riesgos de gestión'!$AF$51="Leve"),CONCATENATE("R7C",'Matriz riesgos de gestión'!$T$51),"")</f>
        <v/>
      </c>
      <c r="M42" s="153" t="str">
        <f>IF(AND('Matriz riesgos de gestión'!$AD$52="Baja",'Matriz riesgos de gestión'!$AF$52="Leve"),CONCATENATE("R7C",'Matriz riesgos de gestión'!$T$52),"")</f>
        <v/>
      </c>
      <c r="N42" s="153" t="str">
        <f>IF(AND('Matriz riesgos de gestión'!$AD$53="Baja",'Matriz riesgos de gestión'!$AF$53="Leve"),CONCATENATE("R7C",'Matriz riesgos de gestión'!$T$53),"")</f>
        <v/>
      </c>
      <c r="O42" s="154" t="str">
        <f>IF(AND('Matriz riesgos de gestión'!$AD$54="Baja",'Matriz riesgos de gestión'!$AF$54="Leve"),CONCATENATE("R7C",'Matriz riesgos de gestión'!$T$54),"")</f>
        <v/>
      </c>
      <c r="P42" s="146" t="str">
        <f>IF(AND('Matriz riesgos de gestión'!$AD$49="Baja",'Matriz riesgos de gestión'!$AF$49="Menor"),CONCATENATE("R7C",'Matriz riesgos de gestión'!$T$49),"")</f>
        <v/>
      </c>
      <c r="Q42" s="147" t="str">
        <f>IF(AND('Matriz riesgos de gestión'!$AD$50="Baja",'Matriz riesgos de gestión'!$AF$50="Menor"),CONCATENATE("R7C",'Matriz riesgos de gestión'!$T$50),"")</f>
        <v/>
      </c>
      <c r="R42" s="147" t="str">
        <f>IF(AND('Matriz riesgos de gestión'!$AD$51="Baja",'Matriz riesgos de gestión'!$AF$51="Menor"),CONCATENATE("R7C",'Matriz riesgos de gestión'!$T$51),"")</f>
        <v/>
      </c>
      <c r="S42" s="147" t="str">
        <f>IF(AND('Matriz riesgos de gestión'!$AD$52="Baja",'Matriz riesgos de gestión'!$AF$52="Menor"),CONCATENATE("R7C",'Matriz riesgos de gestión'!$T$52),"")</f>
        <v/>
      </c>
      <c r="T42" s="147" t="str">
        <f>IF(AND('Matriz riesgos de gestión'!$AD$53="Baja",'Matriz riesgos de gestión'!$AF$53="Menor"),CONCATENATE("R7C",'Matriz riesgos de gestión'!$T$53),"")</f>
        <v/>
      </c>
      <c r="U42" s="148" t="str">
        <f>IF(AND('Matriz riesgos de gestión'!$AD$54="Baja",'Matriz riesgos de gestión'!$AF$54="Menor"),CONCATENATE("R7C",'Matriz riesgos de gestión'!$T$54),"")</f>
        <v/>
      </c>
      <c r="V42" s="146" t="str">
        <f>IF(AND('Matriz riesgos de gestión'!$AD$49="Baja",'Matriz riesgos de gestión'!$AF$49="Moderado"),CONCATENATE("R7C",'Matriz riesgos de gestión'!$T$49),"")</f>
        <v/>
      </c>
      <c r="W42" s="147" t="str">
        <f>IF(AND('Matriz riesgos de gestión'!$AD$50="Baja",'Matriz riesgos de gestión'!$AF$50="Moderado"),CONCATENATE("R7C",'Matriz riesgos de gestión'!$T$50),"")</f>
        <v>R7C1</v>
      </c>
      <c r="X42" s="147" t="str">
        <f>IF(AND('Matriz riesgos de gestión'!$AD$51="Baja",'Matriz riesgos de gestión'!$AF$51="Moderado"),CONCATENATE("R7C",'Matriz riesgos de gestión'!$T$51),"")</f>
        <v/>
      </c>
      <c r="Y42" s="147" t="str">
        <f>IF(AND('Matriz riesgos de gestión'!$AD$52="Baja",'Matriz riesgos de gestión'!$AF$52="Moderado"),CONCATENATE("R7C",'Matriz riesgos de gestión'!$T$52),"")</f>
        <v/>
      </c>
      <c r="Z42" s="147" t="str">
        <f>IF(AND('Matriz riesgos de gestión'!$AD$53="Baja",'Matriz riesgos de gestión'!$AF$53="Moderado"),CONCATENATE("R7C",'Matriz riesgos de gestión'!$T$53),"")</f>
        <v/>
      </c>
      <c r="AA42" s="148" t="str">
        <f>IF(AND('Matriz riesgos de gestión'!$AD$54="Baja",'Matriz riesgos de gestión'!$AF$54="Moderado"),CONCATENATE("R7C",'Matriz riesgos de gestión'!$T$54),"")</f>
        <v/>
      </c>
      <c r="AB42" s="134" t="str">
        <f>IF(AND('Matriz riesgos de gestión'!$AD$49="Baja",'Matriz riesgos de gestión'!$AF$49="Mayor"),CONCATENATE("R7C",'Matriz riesgos de gestión'!$T$49),"")</f>
        <v/>
      </c>
      <c r="AC42" s="135" t="str">
        <f>IF(AND('Matriz riesgos de gestión'!$AD$50="Baja",'Matriz riesgos de gestión'!$AF$50="Mayor"),CONCATENATE("R7C",'Matriz riesgos de gestión'!$T$50),"")</f>
        <v/>
      </c>
      <c r="AD42" s="135" t="str">
        <f>IF(AND('Matriz riesgos de gestión'!$AD$51="Baja",'Matriz riesgos de gestión'!$AF$51="Mayor"),CONCATENATE("R7C",'Matriz riesgos de gestión'!$T$51),"")</f>
        <v/>
      </c>
      <c r="AE42" s="135" t="str">
        <f>IF(AND('Matriz riesgos de gestión'!$AD$52="Baja",'Matriz riesgos de gestión'!$AF$52="Mayor"),CONCATENATE("R7C",'Matriz riesgos de gestión'!$T$52),"")</f>
        <v/>
      </c>
      <c r="AF42" s="135" t="str">
        <f>IF(AND('Matriz riesgos de gestión'!$AD$53="Baja",'Matriz riesgos de gestión'!$AF$53="Mayor"),CONCATENATE("R7C",'Matriz riesgos de gestión'!$T$53),"")</f>
        <v/>
      </c>
      <c r="AG42" s="136" t="str">
        <f>IF(AND('Matriz riesgos de gestión'!$AD$54="Baja",'Matriz riesgos de gestión'!$AF$54="Mayor"),CONCATENATE("R7C",'Matriz riesgos de gestión'!$T$54),"")</f>
        <v/>
      </c>
      <c r="AH42" s="137" t="str">
        <f>IF(AND('Matriz riesgos de gestión'!$AD$49="Baja",'Matriz riesgos de gestión'!$AF$49="Catastrófico"),CONCATENATE("R7C",'Matriz riesgos de gestión'!$T$49),"")</f>
        <v/>
      </c>
      <c r="AI42" s="138" t="str">
        <f>IF(AND('Matriz riesgos de gestión'!$AD$50="Baja",'Matriz riesgos de gestión'!$AF$50="Catastrófico"),CONCATENATE("R7C",'Matriz riesgos de gestión'!$T$50),"")</f>
        <v/>
      </c>
      <c r="AJ42" s="138" t="str">
        <f>IF(AND('Matriz riesgos de gestión'!$AD$51="Baja",'Matriz riesgos de gestión'!$AF$51="Catastrófico"),CONCATENATE("R7C",'Matriz riesgos de gestión'!$T$51),"")</f>
        <v/>
      </c>
      <c r="AK42" s="138" t="str">
        <f>IF(AND('Matriz riesgos de gestión'!$AD$52="Baja",'Matriz riesgos de gestión'!$AF$52="Catastrófico"),CONCATENATE("R7C",'Matriz riesgos de gestión'!$T$52),"")</f>
        <v/>
      </c>
      <c r="AL42" s="138" t="str">
        <f>IF(AND('Matriz riesgos de gestión'!$AD$53="Baja",'Matriz riesgos de gestión'!$AF$53="Catastrófico"),CONCATENATE("R7C",'Matriz riesgos de gestión'!$T$53),"")</f>
        <v/>
      </c>
      <c r="AM42" s="139" t="str">
        <f>IF(AND('Matriz riesgos de gestión'!$AD$54="Baja",'Matriz riesgos de gestión'!$AF$54="Catastrófico"),CONCATENATE("R7C",'Matriz riesgos de gestión'!$T$54),"")</f>
        <v/>
      </c>
      <c r="AN42" s="115"/>
      <c r="AO42" s="803"/>
      <c r="AP42" s="804"/>
      <c r="AQ42" s="804"/>
      <c r="AR42" s="804"/>
      <c r="AS42" s="804"/>
      <c r="AT42" s="805"/>
      <c r="AU42" s="115"/>
      <c r="AV42" s="115"/>
      <c r="AW42" s="115"/>
      <c r="AX42" s="115"/>
      <c r="AY42" s="115"/>
      <c r="AZ42" s="115"/>
      <c r="BA42" s="115"/>
      <c r="BB42" s="115"/>
      <c r="BC42" s="115"/>
      <c r="BD42" s="115"/>
      <c r="BE42" s="115"/>
      <c r="BF42" s="115"/>
      <c r="BG42" s="115"/>
      <c r="BH42" s="115"/>
      <c r="BI42" s="115"/>
    </row>
    <row r="43" spans="1:61" ht="15" customHeight="1" x14ac:dyDescent="0.25">
      <c r="A43" s="115"/>
      <c r="B43" s="781"/>
      <c r="C43" s="804"/>
      <c r="D43" s="780"/>
      <c r="E43" s="783"/>
      <c r="F43" s="804"/>
      <c r="G43" s="804"/>
      <c r="H43" s="804"/>
      <c r="I43" s="804"/>
      <c r="J43" s="152" t="str">
        <f>IF(AND('Matriz riesgos de gestión'!$AD$55="Baja",'Matriz riesgos de gestión'!$AF$55="Leve"),CONCATENATE("R8C",'Matriz riesgos de gestión'!$T$55),"")</f>
        <v/>
      </c>
      <c r="K43" s="153" t="str">
        <f>IF(AND('Matriz riesgos de gestión'!$AD$56="Baja",'Matriz riesgos de gestión'!$AF$56="Leve"),CONCATENATE("R8C",'Matriz riesgos de gestión'!$T$56),"")</f>
        <v/>
      </c>
      <c r="L43" s="153" t="str">
        <f>IF(AND('Matriz riesgos de gestión'!$AD$57="Baja",'Matriz riesgos de gestión'!$AF$57="Leve"),CONCATENATE("R8C",'Matriz riesgos de gestión'!$T$57),"")</f>
        <v/>
      </c>
      <c r="M43" s="153" t="str">
        <f>IF(AND('Matriz riesgos de gestión'!$AD$58="Baja",'Matriz riesgos de gestión'!$AF$58="Leve"),CONCATENATE("R8C",'Matriz riesgos de gestión'!$T$58),"")</f>
        <v/>
      </c>
      <c r="N43" s="153" t="str">
        <f>IF(AND('Matriz riesgos de gestión'!$AD$59="Baja",'Matriz riesgos de gestión'!$AF$59="Leve"),CONCATENATE("R8C",'Matriz riesgos de gestión'!$T$59),"")</f>
        <v/>
      </c>
      <c r="O43" s="154" t="str">
        <f>IF(AND('Matriz riesgos de gestión'!$AD$60="Baja",'Matriz riesgos de gestión'!$AF$60="Leve"),CONCATENATE("R8C",'Matriz riesgos de gestión'!$T$60),"")</f>
        <v/>
      </c>
      <c r="P43" s="146" t="str">
        <f>IF(AND('Matriz riesgos de gestión'!$AD$55="Baja",'Matriz riesgos de gestión'!$AF$55="Menor"),CONCATENATE("R8C",'Matriz riesgos de gestión'!$T$55),"")</f>
        <v/>
      </c>
      <c r="Q43" s="147" t="str">
        <f>IF(AND('Matriz riesgos de gestión'!$AD$56="Baja",'Matriz riesgos de gestión'!$AF$56="Menor"),CONCATENATE("R8C",'Matriz riesgos de gestión'!$T$56),"")</f>
        <v/>
      </c>
      <c r="R43" s="147" t="str">
        <f>IF(AND('Matriz riesgos de gestión'!$AD$57="Baja",'Matriz riesgos de gestión'!$AF$57="Menor"),CONCATENATE("R8C",'Matriz riesgos de gestión'!$T$57),"")</f>
        <v/>
      </c>
      <c r="S43" s="147" t="str">
        <f>IF(AND('Matriz riesgos de gestión'!$AD$58="Baja",'Matriz riesgos de gestión'!$AF$58="Menor"),CONCATENATE("R8C",'Matriz riesgos de gestión'!$T$58),"")</f>
        <v/>
      </c>
      <c r="T43" s="147" t="str">
        <f>IF(AND('Matriz riesgos de gestión'!$AD$59="Baja",'Matriz riesgos de gestión'!$AF$59="Menor"),CONCATENATE("R8C",'Matriz riesgos de gestión'!$T$59),"")</f>
        <v/>
      </c>
      <c r="U43" s="148" t="str">
        <f>IF(AND('Matriz riesgos de gestión'!$AD$60="Baja",'Matriz riesgos de gestión'!$AF$60="Menor"),CONCATENATE("R8C",'Matriz riesgos de gestión'!$T$60),"")</f>
        <v/>
      </c>
      <c r="V43" s="146" t="str">
        <f>IF(AND('Matriz riesgos de gestión'!$AD$55="Baja",'Matriz riesgos de gestión'!$AF$55="Moderado"),CONCATENATE("R8C",'Matriz riesgos de gestión'!$T$55),"")</f>
        <v/>
      </c>
      <c r="W43" s="147" t="str">
        <f>IF(AND('Matriz riesgos de gestión'!$AD$56="Baja",'Matriz riesgos de gestión'!$AF$56="Moderado"),CONCATENATE("R8C",'Matriz riesgos de gestión'!$T$56),"")</f>
        <v>R8C1</v>
      </c>
      <c r="X43" s="147" t="str">
        <f>IF(AND('Matriz riesgos de gestión'!$AD$57="Baja",'Matriz riesgos de gestión'!$AF$57="Moderado"),CONCATENATE("R8C",'Matriz riesgos de gestión'!$T$57),"")</f>
        <v>R8C2</v>
      </c>
      <c r="Y43" s="147" t="str">
        <f>IF(AND('Matriz riesgos de gestión'!$AD$58="Baja",'Matriz riesgos de gestión'!$AF$58="Moderado"),CONCATENATE("R8C",'Matriz riesgos de gestión'!$T$58),"")</f>
        <v/>
      </c>
      <c r="Z43" s="147" t="str">
        <f>IF(AND('Matriz riesgos de gestión'!$AD$59="Baja",'Matriz riesgos de gestión'!$AF$59="Moderado"),CONCATENATE("R8C",'Matriz riesgos de gestión'!$T$59),"")</f>
        <v/>
      </c>
      <c r="AA43" s="148" t="str">
        <f>IF(AND('Matriz riesgos de gestión'!$AD$60="Baja",'Matriz riesgos de gestión'!$AF$60="Moderado"),CONCATENATE("R8C",'Matriz riesgos de gestión'!$T$60),"")</f>
        <v/>
      </c>
      <c r="AB43" s="134" t="str">
        <f>IF(AND('Matriz riesgos de gestión'!$AD$55="Baja",'Matriz riesgos de gestión'!$AF$55="Mayor"),CONCATENATE("R8C",'Matriz riesgos de gestión'!$T$55),"")</f>
        <v/>
      </c>
      <c r="AC43" s="135" t="str">
        <f>IF(AND('Matriz riesgos de gestión'!$AD$56="Baja",'Matriz riesgos de gestión'!$AF$56="Mayor"),CONCATENATE("R8C",'Matriz riesgos de gestión'!$T$56),"")</f>
        <v/>
      </c>
      <c r="AD43" s="135" t="str">
        <f>IF(AND('Matriz riesgos de gestión'!$AD$57="Baja",'Matriz riesgos de gestión'!$AF$57="Mayor"),CONCATENATE("R8C",'Matriz riesgos de gestión'!$T$57),"")</f>
        <v/>
      </c>
      <c r="AE43" s="135" t="str">
        <f>IF(AND('Matriz riesgos de gestión'!$AD$58="Baja",'Matriz riesgos de gestión'!$AF$58="Mayor"),CONCATENATE("R8C",'Matriz riesgos de gestión'!$T$58),"")</f>
        <v/>
      </c>
      <c r="AF43" s="135" t="str">
        <f>IF(AND('Matriz riesgos de gestión'!$AD$59="Baja",'Matriz riesgos de gestión'!$AF$59="Mayor"),CONCATENATE("R8C",'Matriz riesgos de gestión'!$T$59),"")</f>
        <v/>
      </c>
      <c r="AG43" s="136" t="str">
        <f>IF(AND('Matriz riesgos de gestión'!$AD$60="Baja",'Matriz riesgos de gestión'!$AF$60="Mayor"),CONCATENATE("R8C",'Matriz riesgos de gestión'!$T$60),"")</f>
        <v/>
      </c>
      <c r="AH43" s="137" t="str">
        <f>IF(AND('Matriz riesgos de gestión'!$AD$55="Baja",'Matriz riesgos de gestión'!$AF$55="Catastrófico"),CONCATENATE("R8C",'Matriz riesgos de gestión'!$T$55),"")</f>
        <v/>
      </c>
      <c r="AI43" s="138" t="str">
        <f>IF(AND('Matriz riesgos de gestión'!$AD$56="Baja",'Matriz riesgos de gestión'!$AF$56="Catastrófico"),CONCATENATE("R8C",'Matriz riesgos de gestión'!$T$56),"")</f>
        <v/>
      </c>
      <c r="AJ43" s="138" t="str">
        <f>IF(AND('Matriz riesgos de gestión'!$AD$57="Baja",'Matriz riesgos de gestión'!$AF$57="Catastrófico"),CONCATENATE("R8C",'Matriz riesgos de gestión'!$T$57),"")</f>
        <v/>
      </c>
      <c r="AK43" s="138" t="str">
        <f>IF(AND('Matriz riesgos de gestión'!$AD$58="Baja",'Matriz riesgos de gestión'!$AF$58="Catastrófico"),CONCATENATE("R8C",'Matriz riesgos de gestión'!$T$58),"")</f>
        <v/>
      </c>
      <c r="AL43" s="138" t="str">
        <f>IF(AND('Matriz riesgos de gestión'!$AD$59="Baja",'Matriz riesgos de gestión'!$AF$59="Catastrófico"),CONCATENATE("R8C",'Matriz riesgos de gestión'!$T$59),"")</f>
        <v/>
      </c>
      <c r="AM43" s="139" t="str">
        <f>IF(AND('Matriz riesgos de gestión'!$AD$60="Baja",'Matriz riesgos de gestión'!$AF$60="Catastrófico"),CONCATENATE("R8C",'Matriz riesgos de gestión'!$T$60),"")</f>
        <v/>
      </c>
      <c r="AN43" s="115"/>
      <c r="AO43" s="803"/>
      <c r="AP43" s="804"/>
      <c r="AQ43" s="804"/>
      <c r="AR43" s="804"/>
      <c r="AS43" s="804"/>
      <c r="AT43" s="805"/>
      <c r="AU43" s="115"/>
      <c r="AV43" s="115"/>
      <c r="AW43" s="115"/>
      <c r="AX43" s="115"/>
      <c r="AY43" s="115"/>
      <c r="AZ43" s="115"/>
      <c r="BA43" s="115"/>
      <c r="BB43" s="115"/>
      <c r="BC43" s="115"/>
      <c r="BD43" s="115"/>
      <c r="BE43" s="115"/>
      <c r="BF43" s="115"/>
      <c r="BG43" s="115"/>
      <c r="BH43" s="115"/>
      <c r="BI43" s="115"/>
    </row>
    <row r="44" spans="1:61" ht="15" customHeight="1" x14ac:dyDescent="0.25">
      <c r="A44" s="115"/>
      <c r="B44" s="781"/>
      <c r="C44" s="804"/>
      <c r="D44" s="780"/>
      <c r="E44" s="783"/>
      <c r="F44" s="804"/>
      <c r="G44" s="804"/>
      <c r="H44" s="804"/>
      <c r="I44" s="804"/>
      <c r="J44" s="152" t="str">
        <f>IF(AND('Matriz riesgos de gestión'!$AD$61="Baja",'Matriz riesgos de gestión'!$AF$61="Leve"),CONCATENATE("R9C",'Matriz riesgos de gestión'!$T$61),"")</f>
        <v/>
      </c>
      <c r="K44" s="153" t="str">
        <f>IF(AND('Matriz riesgos de gestión'!$AD$62="Baja",'Matriz riesgos de gestión'!$AF$62="Leve"),CONCATENATE("R9C",'Matriz riesgos de gestión'!$T$62),"")</f>
        <v/>
      </c>
      <c r="L44" s="153" t="str">
        <f>IF(AND('Matriz riesgos de gestión'!$AD$63="Baja",'Matriz riesgos de gestión'!$AF$63="Leve"),CONCATENATE("R9C",'Matriz riesgos de gestión'!$T$63),"")</f>
        <v/>
      </c>
      <c r="M44" s="153" t="str">
        <f>IF(AND('Matriz riesgos de gestión'!$AD$64="Baja",'Matriz riesgos de gestión'!$AF$64="Leve"),CONCATENATE("R9C",'Matriz riesgos de gestión'!$T$64),"")</f>
        <v/>
      </c>
      <c r="N44" s="153" t="str">
        <f>IF(AND('Matriz riesgos de gestión'!$AD$65="Baja",'Matriz riesgos de gestión'!$AF$65="Leve"),CONCATENATE("R9C",'Matriz riesgos de gestión'!$T$65),"")</f>
        <v/>
      </c>
      <c r="O44" s="154" t="str">
        <f>IF(AND('Matriz riesgos de gestión'!$AD$66="Baja",'Matriz riesgos de gestión'!$AF$66="Leve"),CONCATENATE("R9C",'Matriz riesgos de gestión'!$T$66),"")</f>
        <v/>
      </c>
      <c r="P44" s="146" t="str">
        <f>IF(AND('Matriz riesgos de gestión'!$AD$61="Baja",'Matriz riesgos de gestión'!$AF$61="Menor"),CONCATENATE("R9C",'Matriz riesgos de gestión'!$T$61),"")</f>
        <v/>
      </c>
      <c r="Q44" s="147" t="str">
        <f>IF(AND('Matriz riesgos de gestión'!$AD$62="Baja",'Matriz riesgos de gestión'!$AF$62="Menor"),CONCATENATE("R9C",'Matriz riesgos de gestión'!$T$62),"")</f>
        <v/>
      </c>
      <c r="R44" s="147" t="str">
        <f>IF(AND('Matriz riesgos de gestión'!$AD$63="Baja",'Matriz riesgos de gestión'!$AF$63="Menor"),CONCATENATE("R9C",'Matriz riesgos de gestión'!$T$63),"")</f>
        <v/>
      </c>
      <c r="S44" s="147" t="str">
        <f>IF(AND('Matriz riesgos de gestión'!$AD$64="Baja",'Matriz riesgos de gestión'!$AF$64="Menor"),CONCATENATE("R9C",'Matriz riesgos de gestión'!$T$64),"")</f>
        <v/>
      </c>
      <c r="T44" s="147" t="str">
        <f>IF(AND('Matriz riesgos de gestión'!$AD$65="Baja",'Matriz riesgos de gestión'!$AF$65="Menor"),CONCATENATE("R9C",'Matriz riesgos de gestión'!$T$65),"")</f>
        <v/>
      </c>
      <c r="U44" s="148" t="str">
        <f>IF(AND('Matriz riesgos de gestión'!$AD$66="Baja",'Matriz riesgos de gestión'!$AF$66="Menor"),CONCATENATE("R9C",'Matriz riesgos de gestión'!$T$66),"")</f>
        <v/>
      </c>
      <c r="V44" s="146" t="str">
        <f>IF(AND('Matriz riesgos de gestión'!$AD$61="Baja",'Matriz riesgos de gestión'!$AF$61="Moderado"),CONCATENATE("R9C",'Matriz riesgos de gestión'!$T$61),"")</f>
        <v>R9C1</v>
      </c>
      <c r="W44" s="147" t="str">
        <f>IF(AND('Matriz riesgos de gestión'!$AD$62="Baja",'Matriz riesgos de gestión'!$AF$62="Moderado"),CONCATENATE("R9C",'Matriz riesgos de gestión'!$T$62),"")</f>
        <v>R9C2</v>
      </c>
      <c r="X44" s="147" t="str">
        <f>IF(AND('Matriz riesgos de gestión'!$AD$63="Baja",'Matriz riesgos de gestión'!$AF$63="Moderado"),CONCATENATE("R9C",'Matriz riesgos de gestión'!$T$63),"")</f>
        <v/>
      </c>
      <c r="Y44" s="147" t="str">
        <f>IF(AND('Matriz riesgos de gestión'!$AD$64="Baja",'Matriz riesgos de gestión'!$AF$64="Moderado"),CONCATENATE("R9C",'Matriz riesgos de gestión'!$T$64),"")</f>
        <v/>
      </c>
      <c r="Z44" s="147" t="str">
        <f>IF(AND('Matriz riesgos de gestión'!$AD$65="Baja",'Matriz riesgos de gestión'!$AF$65="Moderado"),CONCATENATE("R9C",'Matriz riesgos de gestión'!$T$65),"")</f>
        <v/>
      </c>
      <c r="AA44" s="148" t="str">
        <f>IF(AND('Matriz riesgos de gestión'!$AD$66="Baja",'Matriz riesgos de gestión'!$AF$66="Moderado"),CONCATENATE("R9C",'Matriz riesgos de gestión'!$T$66),"")</f>
        <v/>
      </c>
      <c r="AB44" s="134" t="str">
        <f>IF(AND('Matriz riesgos de gestión'!$AD$61="Baja",'Matriz riesgos de gestión'!$AF$61="Mayor"),CONCATENATE("R9C",'Matriz riesgos de gestión'!$T$61),"")</f>
        <v/>
      </c>
      <c r="AC44" s="135" t="str">
        <f>IF(AND('Matriz riesgos de gestión'!$AD$62="Baja",'Matriz riesgos de gestión'!$AF$62="Mayor"),CONCATENATE("R9C",'Matriz riesgos de gestión'!$T$62),"")</f>
        <v/>
      </c>
      <c r="AD44" s="135" t="str">
        <f>IF(AND('Matriz riesgos de gestión'!$AD$63="Baja",'Matriz riesgos de gestión'!$AF$63="Mayor"),CONCATENATE("R9C",'Matriz riesgos de gestión'!$T$63),"")</f>
        <v/>
      </c>
      <c r="AE44" s="135" t="str">
        <f>IF(AND('Matriz riesgos de gestión'!$AD$64="Baja",'Matriz riesgos de gestión'!$AF$64="Mayor"),CONCATENATE("R9C",'Matriz riesgos de gestión'!$T$64),"")</f>
        <v/>
      </c>
      <c r="AF44" s="135" t="str">
        <f>IF(AND('Matriz riesgos de gestión'!$AD$65="Baja",'Matriz riesgos de gestión'!$AF$65="Mayor"),CONCATENATE("R9C",'Matriz riesgos de gestión'!$T$65),"")</f>
        <v/>
      </c>
      <c r="AG44" s="136" t="str">
        <f>IF(AND('Matriz riesgos de gestión'!$AD$66="Baja",'Matriz riesgos de gestión'!$AF$66="Mayor"),CONCATENATE("R9C",'Matriz riesgos de gestión'!$T$66),"")</f>
        <v/>
      </c>
      <c r="AH44" s="137" t="str">
        <f>IF(AND('Matriz riesgos de gestión'!$AD$61="Baja",'Matriz riesgos de gestión'!$AF$61="Catastrófico"),CONCATENATE("R9C",'Matriz riesgos de gestión'!$T$61),"")</f>
        <v/>
      </c>
      <c r="AI44" s="138" t="str">
        <f>IF(AND('Matriz riesgos de gestión'!$AD$62="Baja",'Matriz riesgos de gestión'!$AF$62="Catastrófico"),CONCATENATE("R9C",'Matriz riesgos de gestión'!$T$62),"")</f>
        <v/>
      </c>
      <c r="AJ44" s="138" t="str">
        <f>IF(AND('Matriz riesgos de gestión'!$AD$63="Baja",'Matriz riesgos de gestión'!$AF$63="Catastrófico"),CONCATENATE("R9C",'Matriz riesgos de gestión'!$T$63),"")</f>
        <v/>
      </c>
      <c r="AK44" s="138" t="str">
        <f>IF(AND('Matriz riesgos de gestión'!$AD$64="Baja",'Matriz riesgos de gestión'!$AF$64="Catastrófico"),CONCATENATE("R9C",'Matriz riesgos de gestión'!$T$64),"")</f>
        <v/>
      </c>
      <c r="AL44" s="138" t="str">
        <f>IF(AND('Matriz riesgos de gestión'!$AD$65="Baja",'Matriz riesgos de gestión'!$AF$65="Catastrófico"),CONCATENATE("R9C",'Matriz riesgos de gestión'!$T$65),"")</f>
        <v/>
      </c>
      <c r="AM44" s="139" t="str">
        <f>IF(AND('Matriz riesgos de gestión'!$AD$66="Baja",'Matriz riesgos de gestión'!$AF$66="Catastrófico"),CONCATENATE("R9C",'Matriz riesgos de gestión'!$T$66),"")</f>
        <v/>
      </c>
      <c r="AN44" s="115"/>
      <c r="AO44" s="803"/>
      <c r="AP44" s="804"/>
      <c r="AQ44" s="804"/>
      <c r="AR44" s="804"/>
      <c r="AS44" s="804"/>
      <c r="AT44" s="805"/>
      <c r="AU44" s="115"/>
      <c r="AV44" s="115"/>
      <c r="AW44" s="115"/>
      <c r="AX44" s="115"/>
      <c r="AY44" s="115"/>
      <c r="AZ44" s="115"/>
      <c r="BA44" s="115"/>
      <c r="BB44" s="115"/>
      <c r="BC44" s="115"/>
      <c r="BD44" s="115"/>
      <c r="BE44" s="115"/>
      <c r="BF44" s="115"/>
      <c r="BG44" s="115"/>
      <c r="BH44" s="115"/>
      <c r="BI44" s="115"/>
    </row>
    <row r="45" spans="1:61" ht="15.75" customHeight="1" x14ac:dyDescent="0.25">
      <c r="A45" s="115"/>
      <c r="B45" s="781"/>
      <c r="C45" s="804"/>
      <c r="D45" s="780"/>
      <c r="E45" s="790"/>
      <c r="F45" s="791"/>
      <c r="G45" s="791"/>
      <c r="H45" s="791"/>
      <c r="I45" s="791"/>
      <c r="J45" s="155" t="str">
        <f>IF(AND('Matriz riesgos de gestión'!$AD$67="Baja",'Matriz riesgos de gestión'!$AF$67="Leve"),CONCATENATE("R10C",'Matriz riesgos de gestión'!$T$67),"")</f>
        <v/>
      </c>
      <c r="K45" s="156" t="str">
        <f>IF(AND('Matriz riesgos de gestión'!$AD$68="Baja",'Matriz riesgos de gestión'!$AF$68="Leve"),CONCATENATE("R10C",'Matriz riesgos de gestión'!$T$68),"")</f>
        <v/>
      </c>
      <c r="L45" s="156" t="str">
        <f>IF(AND('Matriz riesgos de gestión'!$AD$69="Baja",'Matriz riesgos de gestión'!$AF$69="Leve"),CONCATENATE("R10C",'Matriz riesgos de gestión'!$T$69),"")</f>
        <v/>
      </c>
      <c r="M45" s="156" t="str">
        <f>IF(AND('Matriz riesgos de gestión'!$AD$70="Baja",'Matriz riesgos de gestión'!$AF$70="Leve"),CONCATENATE("R10C",'Matriz riesgos de gestión'!$T$70),"")</f>
        <v/>
      </c>
      <c r="N45" s="156" t="str">
        <f>IF(AND('Matriz riesgos de gestión'!$AD$71="Baja",'Matriz riesgos de gestión'!$AF$71="Leve"),CONCATENATE("R10C",'Matriz riesgos de gestión'!$T$71),"")</f>
        <v/>
      </c>
      <c r="O45" s="157" t="str">
        <f>IF(AND('Matriz riesgos de gestión'!$AD$72="Baja",'Matriz riesgos de gestión'!$AF$72="Leve"),CONCATENATE("R10C",'Matriz riesgos de gestión'!$T$72),"")</f>
        <v/>
      </c>
      <c r="P45" s="146" t="str">
        <f>IF(AND('Matriz riesgos de gestión'!$AD$67="Baja",'Matriz riesgos de gestión'!$AF$67="Menor"),CONCATENATE("R10C",'Matriz riesgos de gestión'!$T$67),"")</f>
        <v/>
      </c>
      <c r="Q45" s="147" t="str">
        <f>IF(AND('Matriz riesgos de gestión'!$AD$68="Baja",'Matriz riesgos de gestión'!$AF$68="Menor"),CONCATENATE("R10C",'Matriz riesgos de gestión'!$T$68),"")</f>
        <v/>
      </c>
      <c r="R45" s="147" t="str">
        <f>IF(AND('Matriz riesgos de gestión'!$AD$69="Baja",'Matriz riesgos de gestión'!$AF$69="Menor"),CONCATENATE("R10C",'Matriz riesgos de gestión'!$T$69),"")</f>
        <v/>
      </c>
      <c r="S45" s="147" t="str">
        <f>IF(AND('Matriz riesgos de gestión'!$AD$70="Baja",'Matriz riesgos de gestión'!$AF$70="Menor"),CONCATENATE("R10C",'Matriz riesgos de gestión'!$T$70),"")</f>
        <v/>
      </c>
      <c r="T45" s="147" t="str">
        <f>IF(AND('Matriz riesgos de gestión'!$AD$71="Baja",'Matriz riesgos de gestión'!$AF$71="Menor"),CONCATENATE("R10C",'Matriz riesgos de gestión'!$T$71),"")</f>
        <v/>
      </c>
      <c r="U45" s="148" t="str">
        <f>IF(AND('Matriz riesgos de gestión'!$AD$72="Baja",'Matriz riesgos de gestión'!$AF$72="Menor"),CONCATENATE("R10C",'Matriz riesgos de gestión'!$T$72),"")</f>
        <v/>
      </c>
      <c r="V45" s="149" t="str">
        <f>IF(AND('Matriz riesgos de gestión'!$AD$67="Baja",'Matriz riesgos de gestión'!$AF$67="Moderado"),CONCATENATE("R10C",'Matriz riesgos de gestión'!$T$67),"")</f>
        <v/>
      </c>
      <c r="W45" s="150" t="str">
        <f>IF(AND('Matriz riesgos de gestión'!$AD$68="Baja",'Matriz riesgos de gestión'!$AF$68="Moderado"),CONCATENATE("R10C",'Matriz riesgos de gestión'!$T$68),"")</f>
        <v/>
      </c>
      <c r="X45" s="150" t="str">
        <f>IF(AND('Matriz riesgos de gestión'!$AD$69="Baja",'Matriz riesgos de gestión'!$AF$69="Moderado"),CONCATENATE("R10C",'Matriz riesgos de gestión'!$T$69),"")</f>
        <v/>
      </c>
      <c r="Y45" s="150" t="str">
        <f>IF(AND('Matriz riesgos de gestión'!$AD$70="Baja",'Matriz riesgos de gestión'!$AF$70="Moderado"),CONCATENATE("R10C",'Matriz riesgos de gestión'!$T$70),"")</f>
        <v/>
      </c>
      <c r="Z45" s="150" t="str">
        <f>IF(AND('Matriz riesgos de gestión'!$AD$71="Baja",'Matriz riesgos de gestión'!$AF$71="Moderado"),CONCATENATE("R10C",'Matriz riesgos de gestión'!$T$71),"")</f>
        <v/>
      </c>
      <c r="AA45" s="151" t="str">
        <f>IF(AND('Matriz riesgos de gestión'!$AD$72="Baja",'Matriz riesgos de gestión'!$AF$72="Moderado"),CONCATENATE("R10C",'Matriz riesgos de gestión'!$T$72),"")</f>
        <v/>
      </c>
      <c r="AB45" s="140" t="str">
        <f>IF(AND('Matriz riesgos de gestión'!$AD$67="Baja",'Matriz riesgos de gestión'!$AF$67="Mayor"),CONCATENATE("R10C",'Matriz riesgos de gestión'!$T$67),"")</f>
        <v>R10C4</v>
      </c>
      <c r="AC45" s="141" t="str">
        <f>IF(AND('Matriz riesgos de gestión'!$AD$68="Baja",'Matriz riesgos de gestión'!$AF$68="Mayor"),CONCATENATE("R10C",'Matriz riesgos de gestión'!$T$68),"")</f>
        <v/>
      </c>
      <c r="AD45" s="141" t="str">
        <f>IF(AND('Matriz riesgos de gestión'!$AD$69="Baja",'Matriz riesgos de gestión'!$AF$69="Mayor"),CONCATENATE("R10C",'Matriz riesgos de gestión'!$T$69),"")</f>
        <v/>
      </c>
      <c r="AE45" s="141" t="str">
        <f>IF(AND('Matriz riesgos de gestión'!$AD$70="Baja",'Matriz riesgos de gestión'!$AF$70="Mayor"),CONCATENATE("R10C",'Matriz riesgos de gestión'!$T$70),"")</f>
        <v/>
      </c>
      <c r="AF45" s="141" t="str">
        <f>IF(AND('Matriz riesgos de gestión'!$AD$71="Baja",'Matriz riesgos de gestión'!$AF$71="Mayor"),CONCATENATE("R10C",'Matriz riesgos de gestión'!$T$71),"")</f>
        <v/>
      </c>
      <c r="AG45" s="142" t="str">
        <f>IF(AND('Matriz riesgos de gestión'!$AD$72="Baja",'Matriz riesgos de gestión'!$AF$72="Mayor"),CONCATENATE("R10C",'Matriz riesgos de gestión'!$T$72),"")</f>
        <v/>
      </c>
      <c r="AH45" s="143" t="str">
        <f>IF(AND('Matriz riesgos de gestión'!$AD$67="Baja",'Matriz riesgos de gestión'!$AF$67="Catastrófico"),CONCATENATE("R10C",'Matriz riesgos de gestión'!$T$67),"")</f>
        <v/>
      </c>
      <c r="AI45" s="144" t="str">
        <f>IF(AND('Matriz riesgos de gestión'!$AD$68="Baja",'Matriz riesgos de gestión'!$AF$68="Catastrófico"),CONCATENATE("R10C",'Matriz riesgos de gestión'!$T$68),"")</f>
        <v/>
      </c>
      <c r="AJ45" s="144" t="str">
        <f>IF(AND('Matriz riesgos de gestión'!$AD$69="Baja",'Matriz riesgos de gestión'!$AF$69="Catastrófico"),CONCATENATE("R10C",'Matriz riesgos de gestión'!$T$69),"")</f>
        <v/>
      </c>
      <c r="AK45" s="144" t="str">
        <f>IF(AND('Matriz riesgos de gestión'!$AD$70="Baja",'Matriz riesgos de gestión'!$AF$70="Catastrófico"),CONCATENATE("R10C",'Matriz riesgos de gestión'!$T$70),"")</f>
        <v/>
      </c>
      <c r="AL45" s="144" t="str">
        <f>IF(AND('Matriz riesgos de gestión'!$AD$71="Baja",'Matriz riesgos de gestión'!$AF$71="Catastrófico"),CONCATENATE("R10C",'Matriz riesgos de gestión'!$T$71),"")</f>
        <v/>
      </c>
      <c r="AM45" s="145" t="str">
        <f>IF(AND('Matriz riesgos de gestión'!$AD$72="Baja",'Matriz riesgos de gestión'!$AF$72="Catastrófico"),CONCATENATE("R10C",'Matriz riesgos de gestión'!$T$72),"")</f>
        <v/>
      </c>
      <c r="AN45" s="115"/>
      <c r="AO45" s="806"/>
      <c r="AP45" s="807"/>
      <c r="AQ45" s="807"/>
      <c r="AR45" s="807"/>
      <c r="AS45" s="807"/>
      <c r="AT45" s="808"/>
    </row>
    <row r="46" spans="1:61" ht="46.5" customHeight="1" x14ac:dyDescent="0.35">
      <c r="A46" s="115"/>
      <c r="B46" s="781"/>
      <c r="C46" s="804"/>
      <c r="D46" s="780"/>
      <c r="E46" s="823" t="s">
        <v>11</v>
      </c>
      <c r="F46" s="786"/>
      <c r="G46" s="786"/>
      <c r="H46" s="786"/>
      <c r="I46" s="794"/>
      <c r="J46" s="28" t="str">
        <f>IF(AND('Matriz riesgos de gestión'!$AD$4="Muy Baja",'Matriz riesgos de gestión'!$AF$4="Leve"),CONCATENATE("R1C",'Matriz riesgos de gestión'!$T$4),"")</f>
        <v/>
      </c>
      <c r="K46" s="29" t="str">
        <f>IF(AND('Matriz riesgos de gestión'!$AD$5="Muy Baja",'Matriz riesgos de gestión'!$AF$5="Leve"),CONCATENATE("R1C",'Matriz riesgos de gestión'!$T$5),"")</f>
        <v/>
      </c>
      <c r="L46" s="29" t="str">
        <f>IF(AND('Matriz riesgos de gestión'!$AD$6="Muy Baja",'Matriz riesgos de gestión'!$AF$6="Leve"),CONCATENATE("R1C",'Matriz riesgos de gestión'!$T$6),"")</f>
        <v/>
      </c>
      <c r="M46" s="29" t="str">
        <f>IF(AND('Matriz riesgos de gestión'!$AD$7="Muy Baja",'Matriz riesgos de gestión'!$AF$7="Leve"),CONCATENATE("R1C",'Matriz riesgos de gestión'!$T$7),"")</f>
        <v/>
      </c>
      <c r="N46" s="29" t="str">
        <f>IF(AND('Matriz riesgos de gestión'!$AD$8="Muy Baja",'Matriz riesgos de gestión'!$AF$8="Leve"),CONCATENATE("R1C",'Matriz riesgos de gestión'!$T$8),"")</f>
        <v/>
      </c>
      <c r="O46" s="30" t="str">
        <f>IF(AND('Matriz riesgos de gestión'!$AD$9="Muy Baja",'Matriz riesgos de gestión'!$AF$9="Leve"),CONCATENATE("R1C",'Matriz riesgos de gestión'!$T$9),"")</f>
        <v/>
      </c>
      <c r="P46" s="28" t="str">
        <f>IF(AND('Matriz riesgos de gestión'!$AD$4="Muy Baja",'Matriz riesgos de gestión'!$AF$4="Menor"),CONCATENATE("R1C",'Matriz riesgos de gestión'!$T$4),"")</f>
        <v/>
      </c>
      <c r="Q46" s="29" t="str">
        <f>IF(AND('Matriz riesgos de gestión'!$AD$5="Muy Baja",'Matriz riesgos de gestión'!$AF$5="Menor"),CONCATENATE("R1C",'Matriz riesgos de gestión'!$T$5),"")</f>
        <v/>
      </c>
      <c r="R46" s="29" t="str">
        <f>IF(AND('Matriz riesgos de gestión'!$AD$6="Muy Baja",'Matriz riesgos de gestión'!$AF$6="Menor"),CONCATENATE("R1C",'Matriz riesgos de gestión'!$T$6),"")</f>
        <v/>
      </c>
      <c r="S46" s="29" t="str">
        <f>IF(AND('Matriz riesgos de gestión'!$AD$7="Muy Baja",'Matriz riesgos de gestión'!$AF$7="Menor"),CONCATENATE("R1C",'Matriz riesgos de gestión'!$T$7),"")</f>
        <v/>
      </c>
      <c r="T46" s="29" t="str">
        <f>IF(AND('Matriz riesgos de gestión'!$AD$8="Muy Baja",'Matriz riesgos de gestión'!$AF$8="Menor"),CONCATENATE("R1C",'Matriz riesgos de gestión'!$T$8),"")</f>
        <v>R1C1</v>
      </c>
      <c r="U46" s="30" t="str">
        <f>IF(AND('Matriz riesgos de gestión'!$AD$9="Muy Baja",'Matriz riesgos de gestión'!$AF$9="Menor"),CONCATENATE("R1C",'Matriz riesgos de gestión'!$T$9),"")</f>
        <v/>
      </c>
      <c r="V46" s="25" t="str">
        <f>IF(AND('Matriz riesgos de gestión'!$AD$4="Muy Baja",'Matriz riesgos de gestión'!$AF$4="Moderado"),CONCATENATE("R1C",'Matriz riesgos de gestión'!$T$4),"")</f>
        <v/>
      </c>
      <c r="W46" s="31" t="str">
        <f>IF(AND('Matriz riesgos de gestión'!$AD$5="Muy Baja",'Matriz riesgos de gestión'!$AF$5="Moderado"),CONCATENATE("R1C",'Matriz riesgos de gestión'!$T$5),"")</f>
        <v/>
      </c>
      <c r="X46" s="26" t="str">
        <f>IF(AND('Matriz riesgos de gestión'!$AD$6="Muy Baja",'Matriz riesgos de gestión'!$AF$6="Moderado"),CONCATENATE("R1C",'Matriz riesgos de gestión'!$T$6),"")</f>
        <v/>
      </c>
      <c r="Y46" s="26" t="str">
        <f>IF(AND('Matriz riesgos de gestión'!$AD$7="Muy Baja",'Matriz riesgos de gestión'!$AF$7="Moderado"),CONCATENATE("R1C",'Matriz riesgos de gestión'!$T$7),"")</f>
        <v/>
      </c>
      <c r="Z46" s="26" t="str">
        <f>IF(AND('Matriz riesgos de gestión'!$AD$8="Muy Baja",'Matriz riesgos de gestión'!$AF$8="Moderado"),CONCATENATE("R1C",'Matriz riesgos de gestión'!$T$8),"")</f>
        <v/>
      </c>
      <c r="AA46" s="27" t="str">
        <f>IF(AND('Matriz riesgos de gestión'!$AD$9="Muy Baja",'Matriz riesgos de gestión'!$AF$9="Moderado"),CONCATENATE("R1C",'Matriz riesgos de gestión'!$T$9),"")</f>
        <v/>
      </c>
      <c r="AB46" s="19" t="str">
        <f>IF(AND('Matriz riesgos de gestión'!$AD$4="Muy Baja",'Matriz riesgos de gestión'!$AF$4="Mayor"),CONCATENATE("R1C",'Matriz riesgos de gestión'!$T$4),"")</f>
        <v/>
      </c>
      <c r="AC46" s="20" t="str">
        <f>IF(AND('Matriz riesgos de gestión'!$AD$5="Muy Baja",'Matriz riesgos de gestión'!$AF$5="Mayor"),CONCATENATE("R1C",'Matriz riesgos de gestión'!$T$5),"")</f>
        <v/>
      </c>
      <c r="AD46" s="20" t="str">
        <f>IF(AND('Matriz riesgos de gestión'!$AD$6="Muy Baja",'Matriz riesgos de gestión'!$AF$6="Mayor"),CONCATENATE("R1C",'Matriz riesgos de gestión'!$T$6),"")</f>
        <v/>
      </c>
      <c r="AE46" s="20" t="str">
        <f>IF(AND('Matriz riesgos de gestión'!$AD$7="Muy Baja",'Matriz riesgos de gestión'!$AF$7="Mayor"),CONCATENATE("R1C",'Matriz riesgos de gestión'!$T$7),"")</f>
        <v/>
      </c>
      <c r="AF46" s="20" t="str">
        <f>IF(AND('Matriz riesgos de gestión'!$AD$8="Muy Baja",'Matriz riesgos de gestión'!$AF$8="Mayor"),CONCATENATE("R1C",'Matriz riesgos de gestión'!$T$8),"")</f>
        <v/>
      </c>
      <c r="AG46" s="21" t="str">
        <f>IF(AND('Matriz riesgos de gestión'!$AD$9="Muy Baja",'Matriz riesgos de gestión'!$AF$9="Mayor"),CONCATENATE("R1C",'Matriz riesgos de gestión'!$T$9),"")</f>
        <v/>
      </c>
      <c r="AH46" s="22" t="str">
        <f>IF(AND('Matriz riesgos de gestión'!$AD$4="Muy Baja",'Matriz riesgos de gestión'!$AF$4="Catastrófico"),CONCATENATE("R1C",'Matriz riesgos de gestión'!$T$4),"")</f>
        <v/>
      </c>
      <c r="AI46" s="23" t="str">
        <f>IF(AND('Matriz riesgos de gestión'!$AD$5="Muy Baja",'Matriz riesgos de gestión'!$AF$5="Catastrófico"),CONCATENATE("R1C",'Matriz riesgos de gestión'!$T$5),"")</f>
        <v/>
      </c>
      <c r="AJ46" s="23" t="str">
        <f>IF(AND('Matriz riesgos de gestión'!$AD$6="Muy Baja",'Matriz riesgos de gestión'!$AF$6="Catastrófico"),CONCATENATE("R1C",'Matriz riesgos de gestión'!$T$6),"")</f>
        <v/>
      </c>
      <c r="AK46" s="23" t="str">
        <f>IF(AND('Matriz riesgos de gestión'!$AD$7="Muy Baja",'Matriz riesgos de gestión'!$AF$7="Catastrófico"),CONCATENATE("R1C",'Matriz riesgos de gestión'!$T$7),"")</f>
        <v/>
      </c>
      <c r="AL46" s="23" t="str">
        <f>IF(AND('Matriz riesgos de gestión'!$AD$8="Muy Baja",'Matriz riesgos de gestión'!$AF$8="Catastrófico"),CONCATENATE("R1C",'Matriz riesgos de gestión'!$T$8),"")</f>
        <v/>
      </c>
      <c r="AM46" s="24" t="str">
        <f>IF(AND('Matriz riesgos de gestión'!$AD$9="Muy Baja",'Matriz riesgos de gestión'!$AF$9="Catastrófico"),CONCATENATE("R1C",'Matriz riesgos de gestión'!$T$9),"")</f>
        <v/>
      </c>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row>
    <row r="47" spans="1:61" ht="46.5" customHeight="1" x14ac:dyDescent="0.25">
      <c r="A47" s="115"/>
      <c r="B47" s="781"/>
      <c r="C47" s="804"/>
      <c r="D47" s="780"/>
      <c r="E47" s="783"/>
      <c r="F47" s="804"/>
      <c r="G47" s="804"/>
      <c r="H47" s="804"/>
      <c r="I47" s="780"/>
      <c r="J47" s="152" t="str">
        <f>IF(AND('Matriz riesgos de gestión'!$AD$15="Muy Baja",'Matriz riesgos de gestión'!$AF$15="Leve"),CONCATENATE("R2C",'Matriz riesgos de gestión'!$T$15),"")</f>
        <v/>
      </c>
      <c r="K47" s="153" t="str">
        <f>IF(AND('Matriz riesgos de gestión'!$AD$16="Muy Baja",'Matriz riesgos de gestión'!$AF$16="Leve"),CONCATENATE("R2C",'Matriz riesgos de gestión'!$T$16),"")</f>
        <v/>
      </c>
      <c r="L47" s="153" t="str">
        <f>IF(AND('Matriz riesgos de gestión'!$AD$17="Muy Baja",'Matriz riesgos de gestión'!$AF$17="Leve"),CONCATENATE("R2C",'Matriz riesgos de gestión'!$T$17),"")</f>
        <v/>
      </c>
      <c r="M47" s="153" t="str">
        <f>IF(AND('Matriz riesgos de gestión'!$AD$22="Muy Baja",'Matriz riesgos de gestión'!$AF$22="Leve"),CONCATENATE("R2C",'Matriz riesgos de gestión'!$T$22),"")</f>
        <v/>
      </c>
      <c r="N47" s="153" t="str">
        <f>IF(AND('Matriz riesgos de gestión'!$AD$23="Muy Baja",'Matriz riesgos de gestión'!$AF$23="Leve"),CONCATENATE("R2C",'Matriz riesgos de gestión'!$T$23),"")</f>
        <v/>
      </c>
      <c r="O47" s="154" t="str">
        <f>IF(AND('Matriz riesgos de gestión'!$AD$24="Muy Baja",'Matriz riesgos de gestión'!$AF$24="Leve"),CONCATENATE("R2C",'Matriz riesgos de gestión'!$T$24),"")</f>
        <v/>
      </c>
      <c r="P47" s="152" t="str">
        <f>IF(AND('Matriz riesgos de gestión'!$AD$15="Muy Baja",'Matriz riesgos de gestión'!$AF$15="Menor"),CONCATENATE("R2C",'Matriz riesgos de gestión'!$T$15),"")</f>
        <v/>
      </c>
      <c r="Q47" s="153" t="str">
        <f>IF(AND('Matriz riesgos de gestión'!$AD$16="Muy Baja",'Matriz riesgos de gestión'!$AF$16="Menor"),CONCATENATE("R2C",'Matriz riesgos de gestión'!$T$16),"")</f>
        <v/>
      </c>
      <c r="R47" s="153" t="str">
        <f>IF(AND('Matriz riesgos de gestión'!$AD$17="Muy Baja",'Matriz riesgos de gestión'!$AF$17="Menor"),CONCATENATE("R2C",'Matriz riesgos de gestión'!$T$17),"")</f>
        <v/>
      </c>
      <c r="S47" s="153" t="str">
        <f>IF(AND('Matriz riesgos de gestión'!$AD$22="Muy Baja",'Matriz riesgos de gestión'!$AF$22="Menor"),CONCATENATE("R2C",'Matriz riesgos de gestión'!$T$22),"")</f>
        <v/>
      </c>
      <c r="T47" s="153" t="str">
        <f>IF(AND('Matriz riesgos de gestión'!$AD$23="Muy Baja",'Matriz riesgos de gestión'!$AF$23="Menor"),CONCATENATE("R2C",'Matriz riesgos de gestión'!$T$23),"")</f>
        <v/>
      </c>
      <c r="U47" s="154" t="str">
        <f>IF(AND('Matriz riesgos de gestión'!$AD$24="Muy Baja",'Matriz riesgos de gestión'!$AF$24="Menor"),CONCATENATE("R2C",'Matriz riesgos de gestión'!$T$24),"")</f>
        <v/>
      </c>
      <c r="V47" s="146" t="str">
        <f>IF(AND('Matriz riesgos de gestión'!$AD$15="Muy Baja",'Matriz riesgos de gestión'!$AF$15="Moderado"),CONCATENATE("R2C",'Matriz riesgos de gestión'!$T$15),"")</f>
        <v/>
      </c>
      <c r="W47" s="147" t="str">
        <f>IF(AND('Matriz riesgos de gestión'!$AD$16="Muy Baja",'Matriz riesgos de gestión'!$AF$16="Moderado"),CONCATENATE("R2C",'Matriz riesgos de gestión'!$T$16),"")</f>
        <v/>
      </c>
      <c r="X47" s="147" t="str">
        <f>IF(AND('Matriz riesgos de gestión'!$AD$17="Muy Baja",'Matriz riesgos de gestión'!$AF$17="Moderado"),CONCATENATE("R2C",'Matriz riesgos de gestión'!$T$17),"")</f>
        <v/>
      </c>
      <c r="Y47" s="147" t="str">
        <f>IF(AND('Matriz riesgos de gestión'!$AD$22="Muy Baja",'Matriz riesgos de gestión'!$AF$22="Moderado"),CONCATENATE("R2C",'Matriz riesgos de gestión'!$T$22),"")</f>
        <v>R2C1</v>
      </c>
      <c r="Z47" s="147" t="str">
        <f>IF(AND('Matriz riesgos de gestión'!$AD$23="Muy Baja",'Matriz riesgos de gestión'!$AF$23="Moderado"),CONCATENATE("R2C",'Matriz riesgos de gestión'!$T$23),"")</f>
        <v>R2C2</v>
      </c>
      <c r="AA47" s="148" t="str">
        <f>IF(AND('Matriz riesgos de gestión'!$AD$24="Muy Baja",'Matriz riesgos de gestión'!$AF$24="Moderado"),CONCATENATE("R2C",'Matriz riesgos de gestión'!$T$24),"")</f>
        <v>R2C3</v>
      </c>
      <c r="AB47" s="134" t="str">
        <f>IF(AND('Matriz riesgos de gestión'!$AD$15="Muy Baja",'Matriz riesgos de gestión'!$AF$15="Mayor"),CONCATENATE("R2C",'Matriz riesgos de gestión'!$T$15),"")</f>
        <v/>
      </c>
      <c r="AC47" s="135" t="str">
        <f>IF(AND('Matriz riesgos de gestión'!$AD$16="Muy Baja",'Matriz riesgos de gestión'!$AF$16="Mayor"),CONCATENATE("R2C",'Matriz riesgos de gestión'!$T$16),"")</f>
        <v/>
      </c>
      <c r="AD47" s="135" t="str">
        <f>IF(AND('Matriz riesgos de gestión'!$AD$17="Muy Baja",'Matriz riesgos de gestión'!$AF$17="Mayor"),CONCATENATE("R2C",'Matriz riesgos de gestión'!$T$17),"")</f>
        <v/>
      </c>
      <c r="AE47" s="135" t="str">
        <f>IF(AND('Matriz riesgos de gestión'!$AD$22="Muy Baja",'Matriz riesgos de gestión'!$AF$22="Mayor"),CONCATENATE("R2C",'Matriz riesgos de gestión'!$T$22),"")</f>
        <v/>
      </c>
      <c r="AF47" s="135" t="str">
        <f>IF(AND('Matriz riesgos de gestión'!$AD$23="Muy Baja",'Matriz riesgos de gestión'!$AF$23="Mayor"),CONCATENATE("R2C",'Matriz riesgos de gestión'!$T$23),"")</f>
        <v/>
      </c>
      <c r="AG47" s="136" t="str">
        <f>IF(AND('Matriz riesgos de gestión'!$AD$24="Muy Baja",'Matriz riesgos de gestión'!$AF$24="Mayor"),CONCATENATE("R2C",'Matriz riesgos de gestión'!$T$24),"")</f>
        <v/>
      </c>
      <c r="AH47" s="137" t="str">
        <f>IF(AND('Matriz riesgos de gestión'!$AD$15="Muy Baja",'Matriz riesgos de gestión'!$AF$15="Catastrófico"),CONCATENATE("R2C",'Matriz riesgos de gestión'!$T$15),"")</f>
        <v/>
      </c>
      <c r="AI47" s="138" t="str">
        <f>IF(AND('Matriz riesgos de gestión'!$AD$16="Muy Baja",'Matriz riesgos de gestión'!$AF$16="Catastrófico"),CONCATENATE("R2C",'Matriz riesgos de gestión'!$T$16),"")</f>
        <v/>
      </c>
      <c r="AJ47" s="138" t="str">
        <f>IF(AND('Matriz riesgos de gestión'!$AD$17="Muy Baja",'Matriz riesgos de gestión'!$AF$17="Catastrófico"),CONCATENATE("R2C",'Matriz riesgos de gestión'!$T$17),"")</f>
        <v/>
      </c>
      <c r="AK47" s="138" t="str">
        <f>IF(AND('Matriz riesgos de gestión'!$AD$22="Muy Baja",'Matriz riesgos de gestión'!$AF$22="Catastrófico"),CONCATENATE("R2C",'Matriz riesgos de gestión'!$T$22),"")</f>
        <v/>
      </c>
      <c r="AL47" s="138" t="str">
        <f>IF(AND('Matriz riesgos de gestión'!$AD$23="Muy Baja",'Matriz riesgos de gestión'!$AF$23="Catastrófico"),CONCATENATE("R2C",'Matriz riesgos de gestión'!$T$23),"")</f>
        <v/>
      </c>
      <c r="AM47" s="139" t="str">
        <f>IF(AND('Matriz riesgos de gestión'!$AD$24="Muy Baja",'Matriz riesgos de gestión'!$AF$24="Catastrófico"),CONCATENATE("R2C",'Matriz riesgos de gestión'!$T$24),"")</f>
        <v/>
      </c>
      <c r="AN47" s="115"/>
      <c r="AO47" s="115"/>
      <c r="AP47" s="115"/>
      <c r="AQ47" s="115"/>
      <c r="AR47" s="115"/>
      <c r="AS47" s="115"/>
      <c r="AT47" s="115"/>
      <c r="AU47" s="115"/>
      <c r="AV47" s="115"/>
      <c r="AW47" s="115"/>
      <c r="AX47" s="115"/>
      <c r="AY47" s="115"/>
      <c r="AZ47" s="115"/>
      <c r="BA47" s="115"/>
      <c r="BB47" s="115"/>
      <c r="BC47" s="115"/>
      <c r="BD47" s="115"/>
      <c r="BE47" s="115"/>
      <c r="BF47" s="115"/>
      <c r="BG47" s="115"/>
      <c r="BH47" s="115"/>
      <c r="BI47" s="115"/>
    </row>
    <row r="48" spans="1:61" ht="15" customHeight="1" x14ac:dyDescent="0.25">
      <c r="A48" s="115"/>
      <c r="B48" s="781"/>
      <c r="C48" s="804"/>
      <c r="D48" s="780"/>
      <c r="E48" s="783"/>
      <c r="F48" s="804"/>
      <c r="G48" s="804"/>
      <c r="H48" s="804"/>
      <c r="I48" s="780"/>
      <c r="J48" s="152" t="str">
        <f>IF(AND('Matriz riesgos de gestión'!$AD$25="Muy Baja",'Matriz riesgos de gestión'!$AF$25="Leve"),CONCATENATE("R3C",'Matriz riesgos de gestión'!$T$25),"")</f>
        <v/>
      </c>
      <c r="K48" s="153" t="str">
        <f>IF(AND('Matriz riesgos de gestión'!$AD$26="Muy Baja",'Matriz riesgos de gestión'!$AF$26="Leve"),CONCATENATE("R3C",'Matriz riesgos de gestión'!$T$26),"")</f>
        <v/>
      </c>
      <c r="L48" s="153" t="str">
        <f>IF(AND('Matriz riesgos de gestión'!$AD$27="Muy Baja",'Matriz riesgos de gestión'!$AF$27="Leve"),CONCATENATE("R3C",'Matriz riesgos de gestión'!$T$27),"")</f>
        <v/>
      </c>
      <c r="M48" s="153" t="str">
        <f>IF(AND('Matriz riesgos de gestión'!$AD$28="Muy Baja",'Matriz riesgos de gestión'!$AF$28="Leve"),CONCATENATE("R3C",'Matriz riesgos de gestión'!$T$28),"")</f>
        <v/>
      </c>
      <c r="N48" s="153" t="str">
        <f>IF(AND('Matriz riesgos de gestión'!$AD$29="Muy Baja",'Matriz riesgos de gestión'!$AF$29="Leve"),CONCATENATE("R3C",'Matriz riesgos de gestión'!$T$29),"")</f>
        <v/>
      </c>
      <c r="O48" s="154" t="str">
        <f>IF(AND('Matriz riesgos de gestión'!$AD$30="Muy Baja",'Matriz riesgos de gestión'!$AF$30="Leve"),CONCATENATE("R3C",'Matriz riesgos de gestión'!$T$30),"")</f>
        <v/>
      </c>
      <c r="P48" s="152" t="str">
        <f>IF(AND('Matriz riesgos de gestión'!$AD$25="Muy Baja",'Matriz riesgos de gestión'!$AF$25="Menor"),CONCATENATE("R3C",'Matriz riesgos de gestión'!$T$25),"")</f>
        <v/>
      </c>
      <c r="Q48" s="153" t="str">
        <f>IF(AND('Matriz riesgos de gestión'!$AD$26="Muy Baja",'Matriz riesgos de gestión'!$AF$26="Menor"),CONCATENATE("R3C",'Matriz riesgos de gestión'!$T$26),"")</f>
        <v/>
      </c>
      <c r="R48" s="153" t="str">
        <f>IF(AND('Matriz riesgos de gestión'!$AD$27="Muy Baja",'Matriz riesgos de gestión'!$AF$27="Menor"),CONCATENATE("R3C",'Matriz riesgos de gestión'!$T$27),"")</f>
        <v/>
      </c>
      <c r="S48" s="153" t="str">
        <f>IF(AND('Matriz riesgos de gestión'!$AD$28="Muy Baja",'Matriz riesgos de gestión'!$AF$28="Menor"),CONCATENATE("R3C",'Matriz riesgos de gestión'!$T$28),"")</f>
        <v/>
      </c>
      <c r="T48" s="153" t="str">
        <f>IF(AND('Matriz riesgos de gestión'!$AD$29="Muy Baja",'Matriz riesgos de gestión'!$AF$29="Menor"),CONCATENATE("R3C",'Matriz riesgos de gestión'!$T$29),"")</f>
        <v/>
      </c>
      <c r="U48" s="154" t="str">
        <f>IF(AND('Matriz riesgos de gestión'!$AD$30="Muy Baja",'Matriz riesgos de gestión'!$AF$30="Menor"),CONCATENATE("R3C",'Matriz riesgos de gestión'!$T$30),"")</f>
        <v/>
      </c>
      <c r="V48" s="146" t="str">
        <f>IF(AND('Matriz riesgos de gestión'!$AD$25="Muy Baja",'Matriz riesgos de gestión'!$AF$25="Moderado"),CONCATENATE("R3C",'Matriz riesgos de gestión'!$T$25),"")</f>
        <v/>
      </c>
      <c r="W48" s="147" t="str">
        <f>IF(AND('Matriz riesgos de gestión'!$AD$26="Muy Baja",'Matriz riesgos de gestión'!$AF$26="Moderado"),CONCATENATE("R3C",'Matriz riesgos de gestión'!$T$26),"")</f>
        <v/>
      </c>
      <c r="X48" s="147" t="str">
        <f>IF(AND('Matriz riesgos de gestión'!$AD$27="Muy Baja",'Matriz riesgos de gestión'!$AF$27="Moderado"),CONCATENATE("R3C",'Matriz riesgos de gestión'!$T$27),"")</f>
        <v/>
      </c>
      <c r="Y48" s="147" t="str">
        <f>IF(AND('Matriz riesgos de gestión'!$AD$28="Muy Baja",'Matriz riesgos de gestión'!$AF$28="Moderado"),CONCATENATE("R3C",'Matriz riesgos de gestión'!$T$28),"")</f>
        <v/>
      </c>
      <c r="Z48" s="147" t="str">
        <f>IF(AND('Matriz riesgos de gestión'!$AD$29="Muy Baja",'Matriz riesgos de gestión'!$AF$29="Moderado"),CONCATENATE("R3C",'Matriz riesgos de gestión'!$T$29),"")</f>
        <v/>
      </c>
      <c r="AA48" s="148" t="str">
        <f>IF(AND('Matriz riesgos de gestión'!$AD$30="Muy Baja",'Matriz riesgos de gestión'!$AF$30="Moderado"),CONCATENATE("R3C",'Matriz riesgos de gestión'!$T$30),"")</f>
        <v/>
      </c>
      <c r="AB48" s="134" t="str">
        <f>IF(AND('Matriz riesgos de gestión'!$AD$25="Muy Baja",'Matriz riesgos de gestión'!$AF$25="Mayor"),CONCATENATE("R3C",'Matriz riesgos de gestión'!$T$25),"")</f>
        <v/>
      </c>
      <c r="AC48" s="135" t="str">
        <f>IF(AND('Matriz riesgos de gestión'!$AD$26="Muy Baja",'Matriz riesgos de gestión'!$AF$26="Mayor"),CONCATENATE("R3C",'Matriz riesgos de gestión'!$T$26),"")</f>
        <v/>
      </c>
      <c r="AD48" s="135" t="str">
        <f>IF(AND('Matriz riesgos de gestión'!$AD$27="Muy Baja",'Matriz riesgos de gestión'!$AF$27="Mayor"),CONCATENATE("R3C",'Matriz riesgos de gestión'!$T$27),"")</f>
        <v>R3C3</v>
      </c>
      <c r="AE48" s="135" t="str">
        <f>IF(AND('Matriz riesgos de gestión'!$AD$28="Muy Baja",'Matriz riesgos de gestión'!$AF$28="Mayor"),CONCATENATE("R3C",'Matriz riesgos de gestión'!$T$28),"")</f>
        <v>R3C1</v>
      </c>
      <c r="AF48" s="135" t="str">
        <f>IF(AND('Matriz riesgos de gestión'!$AD$29="Muy Baja",'Matriz riesgos de gestión'!$AF$29="Mayor"),CONCATENATE("R3C",'Matriz riesgos de gestión'!$T$29),"")</f>
        <v>R3C2</v>
      </c>
      <c r="AG48" s="136" t="str">
        <f>IF(AND('Matriz riesgos de gestión'!$AD$30="Muy Baja",'Matriz riesgos de gestión'!$AF$30="Mayor"),CONCATENATE("R3C",'Matriz riesgos de gestión'!$T$30),"")</f>
        <v>R3C1</v>
      </c>
      <c r="AH48" s="137" t="str">
        <f>IF(AND('Matriz riesgos de gestión'!$AD$25="Muy Baja",'Matriz riesgos de gestión'!$AF$25="Catastrófico"),CONCATENATE("R3C",'Matriz riesgos de gestión'!$T$25),"")</f>
        <v/>
      </c>
      <c r="AI48" s="138" t="str">
        <f>IF(AND('Matriz riesgos de gestión'!$AD$26="Muy Baja",'Matriz riesgos de gestión'!$AF$26="Catastrófico"),CONCATENATE("R3C",'Matriz riesgos de gestión'!$T$26),"")</f>
        <v/>
      </c>
      <c r="AJ48" s="138" t="str">
        <f>IF(AND('Matriz riesgos de gestión'!$AD$27="Muy Baja",'Matriz riesgos de gestión'!$AF$27="Catastrófico"),CONCATENATE("R3C",'Matriz riesgos de gestión'!$T$27),"")</f>
        <v/>
      </c>
      <c r="AK48" s="138" t="str">
        <f>IF(AND('Matriz riesgos de gestión'!$AD$28="Muy Baja",'Matriz riesgos de gestión'!$AF$28="Catastrófico"),CONCATENATE("R3C",'Matriz riesgos de gestión'!$T$28),"")</f>
        <v/>
      </c>
      <c r="AL48" s="138" t="str">
        <f>IF(AND('Matriz riesgos de gestión'!$AD$29="Muy Baja",'Matriz riesgos de gestión'!$AF$29="Catastrófico"),CONCATENATE("R3C",'Matriz riesgos de gestión'!$T$29),"")</f>
        <v/>
      </c>
      <c r="AM48" s="139" t="str">
        <f>IF(AND('Matriz riesgos de gestión'!$AD$30="Muy Baja",'Matriz riesgos de gestión'!$AF$30="Catastrófico"),CONCATENATE("R3C",'Matriz riesgos de gestión'!$T$30),"")</f>
        <v/>
      </c>
      <c r="AN48" s="115"/>
      <c r="AO48" s="115"/>
      <c r="AP48" s="115"/>
      <c r="AQ48" s="115"/>
      <c r="AR48" s="115"/>
      <c r="AS48" s="115"/>
      <c r="AT48" s="115"/>
      <c r="AU48" s="115"/>
      <c r="AV48" s="115"/>
      <c r="AW48" s="115"/>
      <c r="AX48" s="115"/>
      <c r="AY48" s="115"/>
      <c r="AZ48" s="115"/>
      <c r="BA48" s="115"/>
      <c r="BB48" s="115"/>
      <c r="BC48" s="115"/>
      <c r="BD48" s="115"/>
      <c r="BE48" s="115"/>
      <c r="BF48" s="115"/>
      <c r="BG48" s="115"/>
      <c r="BH48" s="115"/>
      <c r="BI48" s="115"/>
    </row>
    <row r="49" spans="1:61" ht="15" customHeight="1" x14ac:dyDescent="0.25">
      <c r="A49" s="115"/>
      <c r="B49" s="781"/>
      <c r="C49" s="804"/>
      <c r="D49" s="780"/>
      <c r="E49" s="783"/>
      <c r="F49" s="804"/>
      <c r="G49" s="804"/>
      <c r="H49" s="804"/>
      <c r="I49" s="780"/>
      <c r="J49" s="152" t="str">
        <f>IF(AND('Matriz riesgos de gestión'!$AD$31="Muy Baja",'Matriz riesgos de gestión'!$AF$31="Leve"),CONCATENATE("R4C",'Matriz riesgos de gestión'!$T$31),"")</f>
        <v/>
      </c>
      <c r="K49" s="153" t="str">
        <f>IF(AND('Matriz riesgos de gestión'!$AD$32="Muy Baja",'Matriz riesgos de gestión'!$AF$32="Leve"),CONCATENATE("R4C",'Matriz riesgos de gestión'!$T$32),"")</f>
        <v/>
      </c>
      <c r="L49" s="153" t="str">
        <f>IF(AND('Matriz riesgos de gestión'!$AD$33="Muy Baja",'Matriz riesgos de gestión'!$AF$33="Leve"),CONCATENATE("R4C",'Matriz riesgos de gestión'!$T$33),"")</f>
        <v/>
      </c>
      <c r="M49" s="153" t="str">
        <f>IF(AND('Matriz riesgos de gestión'!$AD$34="Muy Baja",'Matriz riesgos de gestión'!$AF$34="Leve"),CONCATENATE("R4C",'Matriz riesgos de gestión'!$T$34),"")</f>
        <v/>
      </c>
      <c r="N49" s="153" t="str">
        <f>IF(AND('Matriz riesgos de gestión'!$AD$35="Muy Baja",'Matriz riesgos de gestión'!$AF$35="Leve"),CONCATENATE("R4C",'Matriz riesgos de gestión'!$T$35),"")</f>
        <v/>
      </c>
      <c r="O49" s="154" t="str">
        <f>IF(AND('Matriz riesgos de gestión'!$AD$36="Muy Baja",'Matriz riesgos de gestión'!$AF$36="Leve"),CONCATENATE("R4C",'Matriz riesgos de gestión'!$T$36),"")</f>
        <v/>
      </c>
      <c r="P49" s="152" t="str">
        <f>IF(AND('Matriz riesgos de gestión'!$AD$31="Muy Baja",'Matriz riesgos de gestión'!$AF$31="Menor"),CONCATENATE("R4C",'Matriz riesgos de gestión'!$T$31),"")</f>
        <v/>
      </c>
      <c r="Q49" s="153" t="str">
        <f>IF(AND('Matriz riesgos de gestión'!$AD$32="Muy Baja",'Matriz riesgos de gestión'!$AF$32="Menor"),CONCATENATE("R4C",'Matriz riesgos de gestión'!$T$32),"")</f>
        <v/>
      </c>
      <c r="R49" s="153" t="str">
        <f>IF(AND('Matriz riesgos de gestión'!$AD$33="Muy Baja",'Matriz riesgos de gestión'!$AF$33="Menor"),CONCATENATE("R4C",'Matriz riesgos de gestión'!$T$33),"")</f>
        <v/>
      </c>
      <c r="S49" s="153" t="str">
        <f>IF(AND('Matriz riesgos de gestión'!$AD$34="Muy Baja",'Matriz riesgos de gestión'!$AF$34="Menor"),CONCATENATE("R4C",'Matriz riesgos de gestión'!$T$34),"")</f>
        <v/>
      </c>
      <c r="T49" s="153" t="str">
        <f>IF(AND('Matriz riesgos de gestión'!$AD$35="Muy Baja",'Matriz riesgos de gestión'!$AF$35="Menor"),CONCATENATE("R4C",'Matriz riesgos de gestión'!$T$35),"")</f>
        <v/>
      </c>
      <c r="U49" s="154" t="str">
        <f>IF(AND('Matriz riesgos de gestión'!$AD$36="Muy Baja",'Matriz riesgos de gestión'!$AF$36="Menor"),CONCATENATE("R4C",'Matriz riesgos de gestión'!$T$36),"")</f>
        <v/>
      </c>
      <c r="V49" s="146" t="str">
        <f>IF(AND('Matriz riesgos de gestión'!$AD$31="Muy Baja",'Matriz riesgos de gestión'!$AF$31="Moderado"),CONCATENATE("R4C",'Matriz riesgos de gestión'!$T$31),"")</f>
        <v/>
      </c>
      <c r="W49" s="147" t="str">
        <f>IF(AND('Matriz riesgos de gestión'!$AD$32="Muy Baja",'Matriz riesgos de gestión'!$AF$32="Moderado"),CONCATENATE("R4C",'Matriz riesgos de gestión'!$T$32),"")</f>
        <v>R4C3</v>
      </c>
      <c r="X49" s="147" t="str">
        <f>IF(AND('Matriz riesgos de gestión'!$AD$33="Muy Baja",'Matriz riesgos de gestión'!$AF$33="Moderado"),CONCATENATE("R4C",'Matriz riesgos de gestión'!$T$33),"")</f>
        <v>R4C1</v>
      </c>
      <c r="Y49" s="147" t="str">
        <f>IF(AND('Matriz riesgos de gestión'!$AD$34="Muy Baja",'Matriz riesgos de gestión'!$AF$34="Moderado"),CONCATENATE("R4C",'Matriz riesgos de gestión'!$T$34),"")</f>
        <v>R4C2</v>
      </c>
      <c r="Z49" s="147" t="str">
        <f>IF(AND('Matriz riesgos de gestión'!$AD$35="Muy Baja",'Matriz riesgos de gestión'!$AF$35="Moderado"),CONCATENATE("R4C",'Matriz riesgos de gestión'!$T$35),"")</f>
        <v>R4C1</v>
      </c>
      <c r="AA49" s="148" t="str">
        <f>IF(AND('Matriz riesgos de gestión'!$AD$36="Muy Baja",'Matriz riesgos de gestión'!$AF$36="Moderado"),CONCATENATE("R4C",'Matriz riesgos de gestión'!$T$36),"")</f>
        <v>R4C2</v>
      </c>
      <c r="AB49" s="134" t="str">
        <f>IF(AND('Matriz riesgos de gestión'!$AD$31="Muy Baja",'Matriz riesgos de gestión'!$AF$31="Mayor"),CONCATENATE("R4C",'Matriz riesgos de gestión'!$T$31),"")</f>
        <v/>
      </c>
      <c r="AC49" s="135" t="str">
        <f>IF(AND('Matriz riesgos de gestión'!$AD$32="Muy Baja",'Matriz riesgos de gestión'!$AF$32="Mayor"),CONCATENATE("R4C",'Matriz riesgos de gestión'!$T$32),"")</f>
        <v/>
      </c>
      <c r="AD49" s="135" t="str">
        <f>IF(AND('Matriz riesgos de gestión'!$AD$33="Muy Baja",'Matriz riesgos de gestión'!$AF$33="Mayor"),CONCATENATE("R4C",'Matriz riesgos de gestión'!$T$33),"")</f>
        <v/>
      </c>
      <c r="AE49" s="135" t="str">
        <f>IF(AND('Matriz riesgos de gestión'!$AD$34="Muy Baja",'Matriz riesgos de gestión'!$AF$34="Mayor"),CONCATENATE("R4C",'Matriz riesgos de gestión'!$T$34),"")</f>
        <v/>
      </c>
      <c r="AF49" s="135" t="str">
        <f>IF(AND('Matriz riesgos de gestión'!$AD$35="Muy Baja",'Matriz riesgos de gestión'!$AF$35="Mayor"),CONCATENATE("R4C",'Matriz riesgos de gestión'!$T$35),"")</f>
        <v/>
      </c>
      <c r="AG49" s="136" t="str">
        <f>IF(AND('Matriz riesgos de gestión'!$AD$36="Muy Baja",'Matriz riesgos de gestión'!$AF$36="Mayor"),CONCATENATE("R4C",'Matriz riesgos de gestión'!$T$36),"")</f>
        <v/>
      </c>
      <c r="AH49" s="137" t="str">
        <f>IF(AND('Matriz riesgos de gestión'!$AD$31="Muy Baja",'Matriz riesgos de gestión'!$AF$31="Catastrófico"),CONCATENATE("R4C",'Matriz riesgos de gestión'!$T$31),"")</f>
        <v/>
      </c>
      <c r="AI49" s="138" t="str">
        <f>IF(AND('Matriz riesgos de gestión'!$AD$32="Muy Baja",'Matriz riesgos de gestión'!$AF$32="Catastrófico"),CONCATENATE("R4C",'Matriz riesgos de gestión'!$T$32),"")</f>
        <v/>
      </c>
      <c r="AJ49" s="138" t="str">
        <f>IF(AND('Matriz riesgos de gestión'!$AD$33="Muy Baja",'Matriz riesgos de gestión'!$AF$33="Catastrófico"),CONCATENATE("R4C",'Matriz riesgos de gestión'!$T$33),"")</f>
        <v/>
      </c>
      <c r="AK49" s="138" t="str">
        <f>IF(AND('Matriz riesgos de gestión'!$AD$34="Muy Baja",'Matriz riesgos de gestión'!$AF$34="Catastrófico"),CONCATENATE("R4C",'Matriz riesgos de gestión'!$T$34),"")</f>
        <v/>
      </c>
      <c r="AL49" s="138" t="str">
        <f>IF(AND('Matriz riesgos de gestión'!$AD$35="Muy Baja",'Matriz riesgos de gestión'!$AF$35="Catastrófico"),CONCATENATE("R4C",'Matriz riesgos de gestión'!$T$35),"")</f>
        <v/>
      </c>
      <c r="AM49" s="139" t="str">
        <f>IF(AND('Matriz riesgos de gestión'!$AD$36="Muy Baja",'Matriz riesgos de gestión'!$AF$36="Catastrófico"),CONCATENATE("R4C",'Matriz riesgos de gestión'!$T$36),"")</f>
        <v/>
      </c>
      <c r="AN49" s="115"/>
      <c r="AO49" s="115"/>
      <c r="AP49" s="115"/>
      <c r="AQ49" s="115"/>
      <c r="AR49" s="115"/>
      <c r="AS49" s="115"/>
      <c r="AT49" s="115"/>
      <c r="AU49" s="115"/>
      <c r="AV49" s="115"/>
      <c r="AW49" s="115"/>
      <c r="AX49" s="115"/>
      <c r="AY49" s="115"/>
      <c r="AZ49" s="115"/>
      <c r="BA49" s="115"/>
      <c r="BB49" s="115"/>
      <c r="BC49" s="115"/>
      <c r="BD49" s="115"/>
      <c r="BE49" s="115"/>
      <c r="BF49" s="115"/>
      <c r="BG49" s="115"/>
      <c r="BH49" s="115"/>
      <c r="BI49" s="115"/>
    </row>
    <row r="50" spans="1:61" ht="15" customHeight="1" x14ac:dyDescent="0.25">
      <c r="A50" s="115"/>
      <c r="B50" s="781"/>
      <c r="C50" s="804"/>
      <c r="D50" s="780"/>
      <c r="E50" s="783"/>
      <c r="F50" s="804"/>
      <c r="G50" s="804"/>
      <c r="H50" s="804"/>
      <c r="I50" s="780"/>
      <c r="J50" s="152" t="str">
        <f>IF(AND('Matriz riesgos de gestión'!$AD$37="Muy Baja",'Matriz riesgos de gestión'!$AF$37="Leve"),CONCATENATE("R5C",'Matriz riesgos de gestión'!$T$37),"")</f>
        <v/>
      </c>
      <c r="K50" s="153" t="str">
        <f>IF(AND('Matriz riesgos de gestión'!$AD$38="Muy Baja",'Matriz riesgos de gestión'!$AF$38="Leve"),CONCATENATE("R5C",'Matriz riesgos de gestión'!$T$38),"")</f>
        <v/>
      </c>
      <c r="L50" s="153" t="str">
        <f>IF(AND('Matriz riesgos de gestión'!$AD$39="Muy Baja",'Matriz riesgos de gestión'!$AF$39="Leve"),CONCATENATE("R5C",'Matriz riesgos de gestión'!$T$39),"")</f>
        <v/>
      </c>
      <c r="M50" s="153" t="str">
        <f>IF(AND('Matriz riesgos de gestión'!$AD$40="Muy Baja",'Matriz riesgos de gestión'!$AF$40="Leve"),CONCATENATE("R5C",'Matriz riesgos de gestión'!$T$40),"")</f>
        <v/>
      </c>
      <c r="N50" s="153" t="str">
        <f>IF(AND('Matriz riesgos de gestión'!$AD$41="Muy Baja",'Matriz riesgos de gestión'!$AF$41="Leve"),CONCATENATE("R5C",'Matriz riesgos de gestión'!$T$41),"")</f>
        <v/>
      </c>
      <c r="O50" s="154" t="str">
        <f>IF(AND('Matriz riesgos de gestión'!$AD$42="Muy Baja",'Matriz riesgos de gestión'!$AF$42="Leve"),CONCATENATE("R5C",'Matriz riesgos de gestión'!$T$42),"")</f>
        <v/>
      </c>
      <c r="P50" s="152" t="str">
        <f>IF(AND('Matriz riesgos de gestión'!$AD$37="Muy Baja",'Matriz riesgos de gestión'!$AF$37="Menor"),CONCATENATE("R5C",'Matriz riesgos de gestión'!$T$37),"")</f>
        <v/>
      </c>
      <c r="Q50" s="153" t="str">
        <f>IF(AND('Matriz riesgos de gestión'!$AD$38="Muy Baja",'Matriz riesgos de gestión'!$AF$38="Menor"),CONCATENATE("R5C",'Matriz riesgos de gestión'!$T$38),"")</f>
        <v/>
      </c>
      <c r="R50" s="153" t="str">
        <f>IF(AND('Matriz riesgos de gestión'!$AD$39="Muy Baja",'Matriz riesgos de gestión'!$AF$39="Menor"),CONCATENATE("R5C",'Matriz riesgos de gestión'!$T$39),"")</f>
        <v/>
      </c>
      <c r="S50" s="153" t="str">
        <f>IF(AND('Matriz riesgos de gestión'!$AD$40="Muy Baja",'Matriz riesgos de gestión'!$AF$40="Menor"),CONCATENATE("R5C",'Matriz riesgos de gestión'!$T$40),"")</f>
        <v/>
      </c>
      <c r="T50" s="153" t="str">
        <f>IF(AND('Matriz riesgos de gestión'!$AD$41="Muy Baja",'Matriz riesgos de gestión'!$AF$41="Menor"),CONCATENATE("R5C",'Matriz riesgos de gestión'!$T$41),"")</f>
        <v/>
      </c>
      <c r="U50" s="154" t="str">
        <f>IF(AND('Matriz riesgos de gestión'!$AD$42="Muy Baja",'Matriz riesgos de gestión'!$AF$42="Menor"),CONCATENATE("R5C",'Matriz riesgos de gestión'!$T$42),"")</f>
        <v/>
      </c>
      <c r="V50" s="146" t="str">
        <f>IF(AND('Matriz riesgos de gestión'!$AD$37="Muy Baja",'Matriz riesgos de gestión'!$AF$37="Moderado"),CONCATENATE("R5C",'Matriz riesgos de gestión'!$T$37),"")</f>
        <v/>
      </c>
      <c r="W50" s="147" t="str">
        <f>IF(AND('Matriz riesgos de gestión'!$AD$38="Muy Baja",'Matriz riesgos de gestión'!$AF$38="Moderado"),CONCATENATE("R5C",'Matriz riesgos de gestión'!$T$38),"")</f>
        <v/>
      </c>
      <c r="X50" s="147" t="str">
        <f>IF(AND('Matriz riesgos de gestión'!$AD$39="Muy Baja",'Matriz riesgos de gestión'!$AF$39="Moderado"),CONCATENATE("R5C",'Matriz riesgos de gestión'!$T$39),"")</f>
        <v>R5C1</v>
      </c>
      <c r="Y50" s="147" t="str">
        <f>IF(AND('Matriz riesgos de gestión'!$AD$40="Muy Baja",'Matriz riesgos de gestión'!$AF$40="Moderado"),CONCATENATE("R5C",'Matriz riesgos de gestión'!$T$40),"")</f>
        <v>R5C2</v>
      </c>
      <c r="Z50" s="147" t="str">
        <f>IF(AND('Matriz riesgos de gestión'!$AD$41="Muy Baja",'Matriz riesgos de gestión'!$AF$41="Moderado"),CONCATENATE("R5C",'Matriz riesgos de gestión'!$T$41),"")</f>
        <v>R5C1</v>
      </c>
      <c r="AA50" s="148" t="str">
        <f>IF(AND('Matriz riesgos de gestión'!$AD$42="Muy Baja",'Matriz riesgos de gestión'!$AF$42="Moderado"),CONCATENATE("R5C",'Matriz riesgos de gestión'!$T$42),"")</f>
        <v>R5C2</v>
      </c>
      <c r="AB50" s="134" t="str">
        <f>IF(AND('Matriz riesgos de gestión'!$AD$37="Muy Baja",'Matriz riesgos de gestión'!$AF$37="Mayor"),CONCATENATE("R5C",'Matriz riesgos de gestión'!$T$37),"")</f>
        <v/>
      </c>
      <c r="AC50" s="135" t="str">
        <f>IF(AND('Matriz riesgos de gestión'!$AD$38="Muy Baja",'Matriz riesgos de gestión'!$AF$38="Mayor"),CONCATENATE("R5C",'Matriz riesgos de gestión'!$T$38),"")</f>
        <v/>
      </c>
      <c r="AD50" s="135" t="str">
        <f>IF(AND('Matriz riesgos de gestión'!$AD$39="Muy Baja",'Matriz riesgos de gestión'!$AF$39="Mayor"),CONCATENATE("R5C",'Matriz riesgos de gestión'!$T$39),"")</f>
        <v/>
      </c>
      <c r="AE50" s="135" t="str">
        <f>IF(AND('Matriz riesgos de gestión'!$AD$40="Muy Baja",'Matriz riesgos de gestión'!$AF$40="Mayor"),CONCATENATE("R5C",'Matriz riesgos de gestión'!$T$40),"")</f>
        <v/>
      </c>
      <c r="AF50" s="135" t="str">
        <f>IF(AND('Matriz riesgos de gestión'!$AD$41="Muy Baja",'Matriz riesgos de gestión'!$AF$41="Mayor"),CONCATENATE("R5C",'Matriz riesgos de gestión'!$T$41),"")</f>
        <v/>
      </c>
      <c r="AG50" s="136" t="str">
        <f>IF(AND('Matriz riesgos de gestión'!$AD$42="Muy Baja",'Matriz riesgos de gestión'!$AF$42="Mayor"),CONCATENATE("R5C",'Matriz riesgos de gestión'!$T$42),"")</f>
        <v/>
      </c>
      <c r="AH50" s="137" t="str">
        <f>IF(AND('Matriz riesgos de gestión'!$AD$37="Muy Baja",'Matriz riesgos de gestión'!$AF$37="Catastrófico"),CONCATENATE("R5C",'Matriz riesgos de gestión'!$T$37),"")</f>
        <v/>
      </c>
      <c r="AI50" s="138" t="str">
        <f>IF(AND('Matriz riesgos de gestión'!$AD$38="Muy Baja",'Matriz riesgos de gestión'!$AF$38="Catastrófico"),CONCATENATE("R5C",'Matriz riesgos de gestión'!$T$38),"")</f>
        <v/>
      </c>
      <c r="AJ50" s="138" t="str">
        <f>IF(AND('Matriz riesgos de gestión'!$AD$39="Muy Baja",'Matriz riesgos de gestión'!$AF$39="Catastrófico"),CONCATENATE("R5C",'Matriz riesgos de gestión'!$T$39),"")</f>
        <v/>
      </c>
      <c r="AK50" s="138" t="str">
        <f>IF(AND('Matriz riesgos de gestión'!$AD$40="Muy Baja",'Matriz riesgos de gestión'!$AF$40="Catastrófico"),CONCATENATE("R5C",'Matriz riesgos de gestión'!$T$40),"")</f>
        <v/>
      </c>
      <c r="AL50" s="138" t="str">
        <f>IF(AND('Matriz riesgos de gestión'!$AD$41="Muy Baja",'Matriz riesgos de gestión'!$AF$41="Catastrófico"),CONCATENATE("R5C",'Matriz riesgos de gestión'!$T$41),"")</f>
        <v/>
      </c>
      <c r="AM50" s="139" t="str">
        <f>IF(AND('Matriz riesgos de gestión'!$AD$42="Muy Baja",'Matriz riesgos de gestión'!$AF$42="Catastrófico"),CONCATENATE("R5C",'Matriz riesgos de gestión'!$T$42),"")</f>
        <v/>
      </c>
      <c r="AN50" s="115"/>
      <c r="AO50" s="115"/>
      <c r="AP50" s="115"/>
      <c r="AQ50" s="115"/>
      <c r="AR50" s="115"/>
      <c r="AS50" s="115"/>
      <c r="AT50" s="115"/>
      <c r="AU50" s="115"/>
      <c r="AV50" s="115"/>
      <c r="AW50" s="115"/>
      <c r="AX50" s="115"/>
      <c r="AY50" s="115"/>
      <c r="AZ50" s="115"/>
      <c r="BA50" s="115"/>
      <c r="BB50" s="115"/>
      <c r="BC50" s="115"/>
      <c r="BD50" s="115"/>
      <c r="BE50" s="115"/>
      <c r="BF50" s="115"/>
      <c r="BG50" s="115"/>
      <c r="BH50" s="115"/>
      <c r="BI50" s="115"/>
    </row>
    <row r="51" spans="1:61" ht="15" customHeight="1" x14ac:dyDescent="0.25">
      <c r="A51" s="115"/>
      <c r="B51" s="781"/>
      <c r="C51" s="804"/>
      <c r="D51" s="780"/>
      <c r="E51" s="783"/>
      <c r="F51" s="804"/>
      <c r="G51" s="804"/>
      <c r="H51" s="804"/>
      <c r="I51" s="780"/>
      <c r="J51" s="152" t="str">
        <f>IF(AND('Matriz riesgos de gestión'!$AD$43="Muy Baja",'Matriz riesgos de gestión'!$AF$43="Leve"),CONCATENATE("R6C",'Matriz riesgos de gestión'!$T$43),"")</f>
        <v/>
      </c>
      <c r="K51" s="153" t="str">
        <f>IF(AND('Matriz riesgos de gestión'!$AD$44="Muy Baja",'Matriz riesgos de gestión'!$AF$44="Leve"),CONCATENATE("R6C",'Matriz riesgos de gestión'!$T$44),"")</f>
        <v/>
      </c>
      <c r="L51" s="153" t="str">
        <f>IF(AND('Matriz riesgos de gestión'!$AD$45="Muy Baja",'Matriz riesgos de gestión'!$AF$45="Leve"),CONCATENATE("R6C",'Matriz riesgos de gestión'!$T$45),"")</f>
        <v/>
      </c>
      <c r="M51" s="153" t="str">
        <f>IF(AND('Matriz riesgos de gestión'!$AD$46="Muy Baja",'Matriz riesgos de gestión'!$AF$46="Leve"),CONCATENATE("R6C",'Matriz riesgos de gestión'!$T$46),"")</f>
        <v/>
      </c>
      <c r="N51" s="153" t="str">
        <f>IF(AND('Matriz riesgos de gestión'!$AD$47="Muy Baja",'Matriz riesgos de gestión'!$AF$47="Leve"),CONCATENATE("R6C",'Matriz riesgos de gestión'!$T$47),"")</f>
        <v/>
      </c>
      <c r="O51" s="154" t="str">
        <f>IF(AND('Matriz riesgos de gestión'!$AD$48="Muy Baja",'Matriz riesgos de gestión'!$AF$48="Leve"),CONCATENATE("R6C",'Matriz riesgos de gestión'!$T$48),"")</f>
        <v/>
      </c>
      <c r="P51" s="152" t="str">
        <f>IF(AND('Matriz riesgos de gestión'!$AD$43="Muy Baja",'Matriz riesgos de gestión'!$AF$43="Menor"),CONCATENATE("R6C",'Matriz riesgos de gestión'!$T$43),"")</f>
        <v/>
      </c>
      <c r="Q51" s="153" t="str">
        <f>IF(AND('Matriz riesgos de gestión'!$AD$44="Muy Baja",'Matriz riesgos de gestión'!$AF$44="Menor"),CONCATENATE("R6C",'Matriz riesgos de gestión'!$T$44),"")</f>
        <v/>
      </c>
      <c r="R51" s="153" t="str">
        <f>IF(AND('Matriz riesgos de gestión'!$AD$45="Muy Baja",'Matriz riesgos de gestión'!$AF$45="Menor"),CONCATENATE("R6C",'Matriz riesgos de gestión'!$T$45),"")</f>
        <v/>
      </c>
      <c r="S51" s="153" t="str">
        <f>IF(AND('Matriz riesgos de gestión'!$AD$46="Muy Baja",'Matriz riesgos de gestión'!$AF$46="Menor"),CONCATENATE("R6C",'Matriz riesgos de gestión'!$T$46),"")</f>
        <v/>
      </c>
      <c r="T51" s="153" t="str">
        <f>IF(AND('Matriz riesgos de gestión'!$AD$47="Muy Baja",'Matriz riesgos de gestión'!$AF$47="Menor"),CONCATENATE("R6C",'Matriz riesgos de gestión'!$T$47),"")</f>
        <v/>
      </c>
      <c r="U51" s="154" t="str">
        <f>IF(AND('Matriz riesgos de gestión'!$AD$48="Muy Baja",'Matriz riesgos de gestión'!$AF$48="Menor"),CONCATENATE("R6C",'Matriz riesgos de gestión'!$T$48),"")</f>
        <v/>
      </c>
      <c r="V51" s="146" t="str">
        <f>IF(AND('Matriz riesgos de gestión'!$AD$43="Muy Baja",'Matriz riesgos de gestión'!$AF$43="Moderado"),CONCATENATE("R6C",'Matriz riesgos de gestión'!$T$43),"")</f>
        <v/>
      </c>
      <c r="W51" s="147" t="str">
        <f>IF(AND('Matriz riesgos de gestión'!$AD$44="Muy Baja",'Matriz riesgos de gestión'!$AF$44="Moderado"),CONCATENATE("R6C",'Matriz riesgos de gestión'!$T$44),"")</f>
        <v/>
      </c>
      <c r="X51" s="147" t="str">
        <f>IF(AND('Matriz riesgos de gestión'!$AD$45="Muy Baja",'Matriz riesgos de gestión'!$AF$45="Moderado"),CONCATENATE("R6C",'Matriz riesgos de gestión'!$T$45),"")</f>
        <v/>
      </c>
      <c r="Y51" s="147" t="str">
        <f>IF(AND('Matriz riesgos de gestión'!$AD$46="Muy Baja",'Matriz riesgos de gestión'!$AF$46="Moderado"),CONCATENATE("R6C",'Matriz riesgos de gestión'!$T$46),"")</f>
        <v>R6C1</v>
      </c>
      <c r="Z51" s="147" t="str">
        <f>IF(AND('Matriz riesgos de gestión'!$AD$47="Muy Baja",'Matriz riesgos de gestión'!$AF$47="Moderado"),CONCATENATE("R6C",'Matriz riesgos de gestión'!$T$47),"")</f>
        <v>R6C2</v>
      </c>
      <c r="AA51" s="148" t="str">
        <f>IF(AND('Matriz riesgos de gestión'!$AD$48="Muy Baja",'Matriz riesgos de gestión'!$AF$48="Moderado"),CONCATENATE("R6C",'Matriz riesgos de gestión'!$T$48),"")</f>
        <v>R6C1</v>
      </c>
      <c r="AB51" s="134" t="str">
        <f>IF(AND('Matriz riesgos de gestión'!$AD$43="Muy Baja",'Matriz riesgos de gestión'!$AF$43="Mayor"),CONCATENATE("R6C",'Matriz riesgos de gestión'!$T$43),"")</f>
        <v/>
      </c>
      <c r="AC51" s="135" t="str">
        <f>IF(AND('Matriz riesgos de gestión'!$AD$44="Muy Baja",'Matriz riesgos de gestión'!$AF$44="Mayor"),CONCATENATE("R6C",'Matriz riesgos de gestión'!$T$44),"")</f>
        <v/>
      </c>
      <c r="AD51" s="135" t="str">
        <f>IF(AND('Matriz riesgos de gestión'!$AD$45="Muy Baja",'Matriz riesgos de gestión'!$AF$45="Mayor"),CONCATENATE("R6C",'Matriz riesgos de gestión'!$T$45),"")</f>
        <v/>
      </c>
      <c r="AE51" s="135" t="str">
        <f>IF(AND('Matriz riesgos de gestión'!$AD$46="Muy Baja",'Matriz riesgos de gestión'!$AF$46="Mayor"),CONCATENATE("R6C",'Matriz riesgos de gestión'!$T$46),"")</f>
        <v/>
      </c>
      <c r="AF51" s="135" t="str">
        <f>IF(AND('Matriz riesgos de gestión'!$AD$47="Muy Baja",'Matriz riesgos de gestión'!$AF$47="Mayor"),CONCATENATE("R6C",'Matriz riesgos de gestión'!$T$47),"")</f>
        <v/>
      </c>
      <c r="AG51" s="136" t="str">
        <f>IF(AND('Matriz riesgos de gestión'!$AD$48="Muy Baja",'Matriz riesgos de gestión'!$AF$48="Mayor"),CONCATENATE("R6C",'Matriz riesgos de gestión'!$T$48),"")</f>
        <v/>
      </c>
      <c r="AH51" s="137" t="str">
        <f>IF(AND('Matriz riesgos de gestión'!$AD$43="Muy Baja",'Matriz riesgos de gestión'!$AF$43="Catastrófico"),CONCATENATE("R6C",'Matriz riesgos de gestión'!$T$43),"")</f>
        <v/>
      </c>
      <c r="AI51" s="138" t="str">
        <f>IF(AND('Matriz riesgos de gestión'!$AD$44="Muy Baja",'Matriz riesgos de gestión'!$AF$44="Catastrófico"),CONCATENATE("R6C",'Matriz riesgos de gestión'!$T$44),"")</f>
        <v/>
      </c>
      <c r="AJ51" s="138" t="str">
        <f>IF(AND('Matriz riesgos de gestión'!$AD$45="Muy Baja",'Matriz riesgos de gestión'!$AF$45="Catastrófico"),CONCATENATE("R6C",'Matriz riesgos de gestión'!$T$45),"")</f>
        <v/>
      </c>
      <c r="AK51" s="138" t="str">
        <f>IF(AND('Matriz riesgos de gestión'!$AD$46="Muy Baja",'Matriz riesgos de gestión'!$AF$46="Catastrófico"),CONCATENATE("R6C",'Matriz riesgos de gestión'!$T$46),"")</f>
        <v/>
      </c>
      <c r="AL51" s="138" t="str">
        <f>IF(AND('Matriz riesgos de gestión'!$AD$47="Muy Baja",'Matriz riesgos de gestión'!$AF$47="Catastrófico"),CONCATENATE("R6C",'Matriz riesgos de gestión'!$T$47),"")</f>
        <v/>
      </c>
      <c r="AM51" s="139" t="str">
        <f>IF(AND('Matriz riesgos de gestión'!$AD$48="Muy Baja",'Matriz riesgos de gestión'!$AF$48="Catastrófico"),CONCATENATE("R6C",'Matriz riesgos de gestión'!$T$48),"")</f>
        <v/>
      </c>
      <c r="AN51" s="115"/>
      <c r="AO51" s="115"/>
      <c r="AP51" s="115"/>
      <c r="AQ51" s="115"/>
      <c r="AR51" s="115"/>
      <c r="AS51" s="115"/>
      <c r="AT51" s="115"/>
      <c r="AU51" s="115"/>
      <c r="AV51" s="115"/>
      <c r="AW51" s="115"/>
      <c r="AX51" s="115"/>
      <c r="AY51" s="115"/>
      <c r="AZ51" s="115"/>
      <c r="BA51" s="115"/>
      <c r="BB51" s="115"/>
      <c r="BC51" s="115"/>
      <c r="BD51" s="115"/>
      <c r="BE51" s="115"/>
      <c r="BF51" s="115"/>
      <c r="BG51" s="115"/>
      <c r="BH51" s="115"/>
      <c r="BI51" s="115"/>
    </row>
    <row r="52" spans="1:61" ht="15" customHeight="1" x14ac:dyDescent="0.25">
      <c r="A52" s="115"/>
      <c r="B52" s="781"/>
      <c r="C52" s="804"/>
      <c r="D52" s="780"/>
      <c r="E52" s="783"/>
      <c r="F52" s="804"/>
      <c r="G52" s="804"/>
      <c r="H52" s="804"/>
      <c r="I52" s="780"/>
      <c r="J52" s="152" t="str">
        <f>IF(AND('Matriz riesgos de gestión'!$AD$49="Muy Baja",'Matriz riesgos de gestión'!$AF$49="Leve"),CONCATENATE("R7C",'Matriz riesgos de gestión'!$T$49),"")</f>
        <v/>
      </c>
      <c r="K52" s="153" t="str">
        <f>IF(AND('Matriz riesgos de gestión'!$AD$50="Muy Baja",'Matriz riesgos de gestión'!$AF$50="Leve"),CONCATENATE("R7C",'Matriz riesgos de gestión'!$T$50),"")</f>
        <v/>
      </c>
      <c r="L52" s="153" t="str">
        <f>IF(AND('Matriz riesgos de gestión'!$AD$51="Muy Baja",'Matriz riesgos de gestión'!$AF$51="Leve"),CONCATENATE("R7C",'Matriz riesgos de gestión'!$T$51),"")</f>
        <v/>
      </c>
      <c r="M52" s="153" t="str">
        <f>IF(AND('Matriz riesgos de gestión'!$AD$52="Muy Baja",'Matriz riesgos de gestión'!$AF$52="Leve"),CONCATENATE("R7C",'Matriz riesgos de gestión'!$T$52),"")</f>
        <v/>
      </c>
      <c r="N52" s="153" t="str">
        <f>IF(AND('Matriz riesgos de gestión'!$AD$53="Muy Baja",'Matriz riesgos de gestión'!$AF$53="Leve"),CONCATENATE("R7C",'Matriz riesgos de gestión'!$T$53),"")</f>
        <v/>
      </c>
      <c r="O52" s="154" t="str">
        <f>IF(AND('Matriz riesgos de gestión'!$AD$54="Muy Baja",'Matriz riesgos de gestión'!$AF$54="Leve"),CONCATENATE("R7C",'Matriz riesgos de gestión'!$T$54),"")</f>
        <v/>
      </c>
      <c r="P52" s="152" t="str">
        <f>IF(AND('Matriz riesgos de gestión'!$AD$49="Muy Baja",'Matriz riesgos de gestión'!$AF$49="Menor"),CONCATENATE("R7C",'Matriz riesgos de gestión'!$T$49),"")</f>
        <v/>
      </c>
      <c r="Q52" s="153" t="str">
        <f>IF(AND('Matriz riesgos de gestión'!$AD$50="Muy Baja",'Matriz riesgos de gestión'!$AF$50="Menor"),CONCATENATE("R7C",'Matriz riesgos de gestión'!$T$50),"")</f>
        <v/>
      </c>
      <c r="R52" s="153" t="str">
        <f>IF(AND('Matriz riesgos de gestión'!$AD$51="Muy Baja",'Matriz riesgos de gestión'!$AF$51="Menor"),CONCATENATE("R7C",'Matriz riesgos de gestión'!$T$51),"")</f>
        <v/>
      </c>
      <c r="S52" s="153" t="str">
        <f>IF(AND('Matriz riesgos de gestión'!$AD$52="Muy Baja",'Matriz riesgos de gestión'!$AF$52="Menor"),CONCATENATE("R7C",'Matriz riesgos de gestión'!$T$52),"")</f>
        <v/>
      </c>
      <c r="T52" s="153" t="str">
        <f>IF(AND('Matriz riesgos de gestión'!$AD$53="Muy Baja",'Matriz riesgos de gestión'!$AF$53="Menor"),CONCATENATE("R7C",'Matriz riesgos de gestión'!$T$53),"")</f>
        <v/>
      </c>
      <c r="U52" s="154" t="str">
        <f>IF(AND('Matriz riesgos de gestión'!$AD$54="Muy Baja",'Matriz riesgos de gestión'!$AF$54="Menor"),CONCATENATE("R7C",'Matriz riesgos de gestión'!$T$54),"")</f>
        <v/>
      </c>
      <c r="V52" s="146" t="str">
        <f>IF(AND('Matriz riesgos de gestión'!$AD$49="Muy Baja",'Matriz riesgos de gestión'!$AF$49="Moderado"),CONCATENATE("R7C",'Matriz riesgos de gestión'!$T$49),"")</f>
        <v/>
      </c>
      <c r="W52" s="147" t="str">
        <f>IF(AND('Matriz riesgos de gestión'!$AD$50="Muy Baja",'Matriz riesgos de gestión'!$AF$50="Moderado"),CONCATENATE("R7C",'Matriz riesgos de gestión'!$T$50),"")</f>
        <v/>
      </c>
      <c r="X52" s="147" t="str">
        <f>IF(AND('Matriz riesgos de gestión'!$AD$51="Muy Baja",'Matriz riesgos de gestión'!$AF$51="Moderado"),CONCATENATE("R7C",'Matriz riesgos de gestión'!$T$51),"")</f>
        <v>R7C1</v>
      </c>
      <c r="Y52" s="147" t="str">
        <f>IF(AND('Matriz riesgos de gestión'!$AD$52="Muy Baja",'Matriz riesgos de gestión'!$AF$52="Moderado"),CONCATENATE("R7C",'Matriz riesgos de gestión'!$T$52),"")</f>
        <v>R7C1</v>
      </c>
      <c r="Z52" s="147" t="str">
        <f>IF(AND('Matriz riesgos de gestión'!$AD$53="Muy Baja",'Matriz riesgos de gestión'!$AF$53="Moderado"),CONCATENATE("R7C",'Matriz riesgos de gestión'!$T$53),"")</f>
        <v>R7C1</v>
      </c>
      <c r="AA52" s="148" t="str">
        <f>IF(AND('Matriz riesgos de gestión'!$AD$54="Muy Baja",'Matriz riesgos de gestión'!$AF$54="Moderado"),CONCATENATE("R7C",'Matriz riesgos de gestión'!$T$54),"")</f>
        <v>R7C1</v>
      </c>
      <c r="AB52" s="134" t="str">
        <f>IF(AND('Matriz riesgos de gestión'!$AD$49="Muy Baja",'Matriz riesgos de gestión'!$AF$49="Mayor"),CONCATENATE("R7C",'Matriz riesgos de gestión'!$T$49),"")</f>
        <v/>
      </c>
      <c r="AC52" s="135" t="str">
        <f>IF(AND('Matriz riesgos de gestión'!$AD$50="Muy Baja",'Matriz riesgos de gestión'!$AF$50="Mayor"),CONCATENATE("R7C",'Matriz riesgos de gestión'!$T$50),"")</f>
        <v/>
      </c>
      <c r="AD52" s="135" t="str">
        <f>IF(AND('Matriz riesgos de gestión'!$AD$51="Muy Baja",'Matriz riesgos de gestión'!$AF$51="Mayor"),CONCATENATE("R7C",'Matriz riesgos de gestión'!$T$51),"")</f>
        <v/>
      </c>
      <c r="AE52" s="135" t="str">
        <f>IF(AND('Matriz riesgos de gestión'!$AD$52="Muy Baja",'Matriz riesgos de gestión'!$AF$52="Mayor"),CONCATENATE("R7C",'Matriz riesgos de gestión'!$T$52),"")</f>
        <v/>
      </c>
      <c r="AF52" s="135" t="str">
        <f>IF(AND('Matriz riesgos de gestión'!$AD$53="Muy Baja",'Matriz riesgos de gestión'!$AF$53="Mayor"),CONCATENATE("R7C",'Matriz riesgos de gestión'!$T$53),"")</f>
        <v/>
      </c>
      <c r="AG52" s="136" t="str">
        <f>IF(AND('Matriz riesgos de gestión'!$AD$54="Muy Baja",'Matriz riesgos de gestión'!$AF$54="Mayor"),CONCATENATE("R7C",'Matriz riesgos de gestión'!$T$54),"")</f>
        <v/>
      </c>
      <c r="AH52" s="137" t="str">
        <f>IF(AND('Matriz riesgos de gestión'!$AD$49="Muy Baja",'Matriz riesgos de gestión'!$AF$49="Catastrófico"),CONCATENATE("R7C",'Matriz riesgos de gestión'!$T$49),"")</f>
        <v/>
      </c>
      <c r="AI52" s="138" t="str">
        <f>IF(AND('Matriz riesgos de gestión'!$AD$50="Muy Baja",'Matriz riesgos de gestión'!$AF$50="Catastrófico"),CONCATENATE("R7C",'Matriz riesgos de gestión'!$T$50),"")</f>
        <v/>
      </c>
      <c r="AJ52" s="138" t="str">
        <f>IF(AND('Matriz riesgos de gestión'!$AD$51="Muy Baja",'Matriz riesgos de gestión'!$AF$51="Catastrófico"),CONCATENATE("R7C",'Matriz riesgos de gestión'!$T$51),"")</f>
        <v/>
      </c>
      <c r="AK52" s="138" t="str">
        <f>IF(AND('Matriz riesgos de gestión'!$AD$52="Muy Baja",'Matriz riesgos de gestión'!$AF$52="Catastrófico"),CONCATENATE("R7C",'Matriz riesgos de gestión'!$T$52),"")</f>
        <v/>
      </c>
      <c r="AL52" s="138" t="str">
        <f>IF(AND('Matriz riesgos de gestión'!$AD$53="Muy Baja",'Matriz riesgos de gestión'!$AF$53="Catastrófico"),CONCATENATE("R7C",'Matriz riesgos de gestión'!$T$53),"")</f>
        <v/>
      </c>
      <c r="AM52" s="139" t="str">
        <f>IF(AND('Matriz riesgos de gestión'!$AD$54="Muy Baja",'Matriz riesgos de gestión'!$AF$54="Catastrófico"),CONCATENATE("R7C",'Matriz riesgos de gestión'!$T$54),"")</f>
        <v/>
      </c>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row>
    <row r="53" spans="1:61" ht="15" customHeight="1" x14ac:dyDescent="0.25">
      <c r="A53" s="115"/>
      <c r="B53" s="781"/>
      <c r="C53" s="804"/>
      <c r="D53" s="780"/>
      <c r="E53" s="783"/>
      <c r="F53" s="804"/>
      <c r="G53" s="804"/>
      <c r="H53" s="804"/>
      <c r="I53" s="780"/>
      <c r="J53" s="152" t="str">
        <f>IF(AND('Matriz riesgos de gestión'!$AD$55="Muy Baja",'Matriz riesgos de gestión'!$AF$55="Leve"),CONCATENATE("R8C",'Matriz riesgos de gestión'!$T$55),"")</f>
        <v/>
      </c>
      <c r="K53" s="153" t="str">
        <f>IF(AND('Matriz riesgos de gestión'!$AD$56="Muy Baja",'Matriz riesgos de gestión'!$AF$56="Leve"),CONCATENATE("R8C",'Matriz riesgos de gestión'!$T$56),"")</f>
        <v/>
      </c>
      <c r="L53" s="153" t="str">
        <f>IF(AND('Matriz riesgos de gestión'!$AD$57="Muy Baja",'Matriz riesgos de gestión'!$AF$57="Leve"),CONCATENATE("R8C",'Matriz riesgos de gestión'!$T$57),"")</f>
        <v/>
      </c>
      <c r="M53" s="153" t="str">
        <f>IF(AND('Matriz riesgos de gestión'!$AD$58="Muy Baja",'Matriz riesgos de gestión'!$AF$58="Leve"),CONCATENATE("R8C",'Matriz riesgos de gestión'!$T$58),"")</f>
        <v/>
      </c>
      <c r="N53" s="153" t="str">
        <f>IF(AND('Matriz riesgos de gestión'!$AD$59="Muy Baja",'Matriz riesgos de gestión'!$AF$59="Leve"),CONCATENATE("R8C",'Matriz riesgos de gestión'!$T$59),"")</f>
        <v/>
      </c>
      <c r="O53" s="154" t="str">
        <f>IF(AND('Matriz riesgos de gestión'!$AD$60="Muy Baja",'Matriz riesgos de gestión'!$AF$60="Leve"),CONCATENATE("R8C",'Matriz riesgos de gestión'!$T$60),"")</f>
        <v/>
      </c>
      <c r="P53" s="152" t="str">
        <f>IF(AND('Matriz riesgos de gestión'!$AD$55="Muy Baja",'Matriz riesgos de gestión'!$AF$55="Menor"),CONCATENATE("R8C",'Matriz riesgos de gestión'!$T$55),"")</f>
        <v/>
      </c>
      <c r="Q53" s="153" t="str">
        <f>IF(AND('Matriz riesgos de gestión'!$AD$56="Muy Baja",'Matriz riesgos de gestión'!$AF$56="Menor"),CONCATENATE("R8C",'Matriz riesgos de gestión'!$T$56),"")</f>
        <v/>
      </c>
      <c r="R53" s="153" t="str">
        <f>IF(AND('Matriz riesgos de gestión'!$AD$57="Muy Baja",'Matriz riesgos de gestión'!$AF$57="Menor"),CONCATENATE("R8C",'Matriz riesgos de gestión'!$T$57),"")</f>
        <v/>
      </c>
      <c r="S53" s="153" t="str">
        <f>IF(AND('Matriz riesgos de gestión'!$AD$58="Muy Baja",'Matriz riesgos de gestión'!$AF$58="Menor"),CONCATENATE("R8C",'Matriz riesgos de gestión'!$T$58),"")</f>
        <v/>
      </c>
      <c r="T53" s="153" t="str">
        <f>IF(AND('Matriz riesgos de gestión'!$AD$59="Muy Baja",'Matriz riesgos de gestión'!$AF$59="Menor"),CONCATENATE("R8C",'Matriz riesgos de gestión'!$T$59),"")</f>
        <v/>
      </c>
      <c r="U53" s="154" t="str">
        <f>IF(AND('Matriz riesgos de gestión'!$AD$60="Muy Baja",'Matriz riesgos de gestión'!$AF$60="Menor"),CONCATENATE("R8C",'Matriz riesgos de gestión'!$T$60),"")</f>
        <v/>
      </c>
      <c r="V53" s="146" t="str">
        <f>IF(AND('Matriz riesgos de gestión'!$AD$55="Muy Baja",'Matriz riesgos de gestión'!$AF$55="Moderado"),CONCATENATE("R8C",'Matriz riesgos de gestión'!$T$55),"")</f>
        <v/>
      </c>
      <c r="W53" s="147" t="str">
        <f>IF(AND('Matriz riesgos de gestión'!$AD$56="Muy Baja",'Matriz riesgos de gestión'!$AF$56="Moderado"),CONCATENATE("R8C",'Matriz riesgos de gestión'!$T$56),"")</f>
        <v/>
      </c>
      <c r="X53" s="147" t="str">
        <f>IF(AND('Matriz riesgos de gestión'!$AD$57="Muy Baja",'Matriz riesgos de gestión'!$AF$57="Moderado"),CONCATENATE("R8C",'Matriz riesgos de gestión'!$T$57),"")</f>
        <v/>
      </c>
      <c r="Y53" s="147" t="str">
        <f>IF(AND('Matriz riesgos de gestión'!$AD$58="Muy Baja",'Matriz riesgos de gestión'!$AF$58="Moderado"),CONCATENATE("R8C",'Matriz riesgos de gestión'!$T$58),"")</f>
        <v>R8C1</v>
      </c>
      <c r="Z53" s="147" t="str">
        <f>IF(AND('Matriz riesgos de gestión'!$AD$59="Muy Baja",'Matriz riesgos de gestión'!$AF$59="Moderado"),CONCATENATE("R8C",'Matriz riesgos de gestión'!$T$59),"")</f>
        <v>R8C2</v>
      </c>
      <c r="AA53" s="148" t="str">
        <f>IF(AND('Matriz riesgos de gestión'!$AD$60="Muy Baja",'Matriz riesgos de gestión'!$AF$60="Moderado"),CONCATENATE("R8C",'Matriz riesgos de gestión'!$T$60),"")</f>
        <v>R8C3</v>
      </c>
      <c r="AB53" s="134" t="str">
        <f>IF(AND('Matriz riesgos de gestión'!$AD$55="Muy Baja",'Matriz riesgos de gestión'!$AF$55="Mayor"),CONCATENATE("R8C",'Matriz riesgos de gestión'!$T$55),"")</f>
        <v/>
      </c>
      <c r="AC53" s="135" t="str">
        <f>IF(AND('Matriz riesgos de gestión'!$AD$56="Muy Baja",'Matriz riesgos de gestión'!$AF$56="Mayor"),CONCATENATE("R8C",'Matriz riesgos de gestión'!$T$56),"")</f>
        <v/>
      </c>
      <c r="AD53" s="135" t="str">
        <f>IF(AND('Matriz riesgos de gestión'!$AD$57="Muy Baja",'Matriz riesgos de gestión'!$AF$57="Mayor"),CONCATENATE("R8C",'Matriz riesgos de gestión'!$T$57),"")</f>
        <v/>
      </c>
      <c r="AE53" s="135" t="str">
        <f>IF(AND('Matriz riesgos de gestión'!$AD$58="Muy Baja",'Matriz riesgos de gestión'!$AF$58="Mayor"),CONCATENATE("R8C",'Matriz riesgos de gestión'!$T$58),"")</f>
        <v/>
      </c>
      <c r="AF53" s="135" t="str">
        <f>IF(AND('Matriz riesgos de gestión'!$AD$59="Muy Baja",'Matriz riesgos de gestión'!$AF$59="Mayor"),CONCATENATE("R8C",'Matriz riesgos de gestión'!$T$59),"")</f>
        <v/>
      </c>
      <c r="AG53" s="136" t="str">
        <f>IF(AND('Matriz riesgos de gestión'!$AD$60="Muy Baja",'Matriz riesgos de gestión'!$AF$60="Mayor"),CONCATENATE("R8C",'Matriz riesgos de gestión'!$T$60),"")</f>
        <v/>
      </c>
      <c r="AH53" s="137" t="str">
        <f>IF(AND('Matriz riesgos de gestión'!$AD$55="Muy Baja",'Matriz riesgos de gestión'!$AF$55="Catastrófico"),CONCATENATE("R8C",'Matriz riesgos de gestión'!$T$55),"")</f>
        <v/>
      </c>
      <c r="AI53" s="138" t="str">
        <f>IF(AND('Matriz riesgos de gestión'!$AD$56="Muy Baja",'Matriz riesgos de gestión'!$AF$56="Catastrófico"),CONCATENATE("R8C",'Matriz riesgos de gestión'!$T$56),"")</f>
        <v/>
      </c>
      <c r="AJ53" s="138" t="str">
        <f>IF(AND('Matriz riesgos de gestión'!$AD$57="Muy Baja",'Matriz riesgos de gestión'!$AF$57="Catastrófico"),CONCATENATE("R8C",'Matriz riesgos de gestión'!$T$57),"")</f>
        <v/>
      </c>
      <c r="AK53" s="138" t="str">
        <f>IF(AND('Matriz riesgos de gestión'!$AD$58="Muy Baja",'Matriz riesgos de gestión'!$AF$58="Catastrófico"),CONCATENATE("R8C",'Matriz riesgos de gestión'!$T$58),"")</f>
        <v/>
      </c>
      <c r="AL53" s="138" t="str">
        <f>IF(AND('Matriz riesgos de gestión'!$AD$59="Muy Baja",'Matriz riesgos de gestión'!$AF$59="Catastrófico"),CONCATENATE("R8C",'Matriz riesgos de gestión'!$T$59),"")</f>
        <v/>
      </c>
      <c r="AM53" s="139" t="str">
        <f>IF(AND('Matriz riesgos de gestión'!$AD$60="Muy Baja",'Matriz riesgos de gestión'!$AF$60="Catastrófico"),CONCATENATE("R8C",'Matriz riesgos de gestión'!$T$60),"")</f>
        <v/>
      </c>
      <c r="AN53" s="115"/>
      <c r="AO53" s="115"/>
      <c r="AP53" s="115"/>
      <c r="AQ53" s="115"/>
      <c r="AR53" s="115"/>
      <c r="AS53" s="115"/>
      <c r="AT53" s="115"/>
      <c r="AU53" s="115"/>
      <c r="AV53" s="115"/>
      <c r="AW53" s="115"/>
      <c r="AX53" s="115"/>
      <c r="AY53" s="115"/>
      <c r="AZ53" s="115"/>
      <c r="BA53" s="115"/>
      <c r="BB53" s="115"/>
      <c r="BC53" s="115"/>
      <c r="BD53" s="115"/>
      <c r="BE53" s="115"/>
      <c r="BF53" s="115"/>
      <c r="BG53" s="115"/>
      <c r="BH53" s="115"/>
      <c r="BI53" s="115"/>
    </row>
    <row r="54" spans="1:61" ht="15" customHeight="1" x14ac:dyDescent="0.25">
      <c r="A54" s="115"/>
      <c r="B54" s="781"/>
      <c r="C54" s="804"/>
      <c r="D54" s="780"/>
      <c r="E54" s="783"/>
      <c r="F54" s="804"/>
      <c r="G54" s="804"/>
      <c r="H54" s="804"/>
      <c r="I54" s="780"/>
      <c r="J54" s="152" t="str">
        <f>IF(AND('Matriz riesgos de gestión'!$AD$61="Muy Baja",'Matriz riesgos de gestión'!$AF$61="Leve"),CONCATENATE("R9C",'Matriz riesgos de gestión'!$T$61),"")</f>
        <v/>
      </c>
      <c r="K54" s="153" t="str">
        <f>IF(AND('Matriz riesgos de gestión'!$AD$62="Muy Baja",'Matriz riesgos de gestión'!$AF$62="Leve"),CONCATENATE("R9C",'Matriz riesgos de gestión'!$T$62),"")</f>
        <v/>
      </c>
      <c r="L54" s="153" t="str">
        <f>IF(AND('Matriz riesgos de gestión'!$AD$63="Muy Baja",'Matriz riesgos de gestión'!$AF$63="Leve"),CONCATENATE("R9C",'Matriz riesgos de gestión'!$T$63),"")</f>
        <v/>
      </c>
      <c r="M54" s="153" t="str">
        <f>IF(AND('Matriz riesgos de gestión'!$AD$64="Muy Baja",'Matriz riesgos de gestión'!$AF$64="Leve"),CONCATENATE("R9C",'Matriz riesgos de gestión'!$T$64),"")</f>
        <v/>
      </c>
      <c r="N54" s="153" t="str">
        <f>IF(AND('Matriz riesgos de gestión'!$AD$65="Muy Baja",'Matriz riesgos de gestión'!$AF$65="Leve"),CONCATENATE("R9C",'Matriz riesgos de gestión'!$T$65),"")</f>
        <v/>
      </c>
      <c r="O54" s="154" t="str">
        <f>IF(AND('Matriz riesgos de gestión'!$AD$66="Muy Baja",'Matriz riesgos de gestión'!$AF$66="Leve"),CONCATENATE("R9C",'Matriz riesgos de gestión'!$T$66),"")</f>
        <v/>
      </c>
      <c r="P54" s="152" t="str">
        <f>IF(AND('Matriz riesgos de gestión'!$AD$61="Muy Baja",'Matriz riesgos de gestión'!$AF$61="Menor"),CONCATENATE("R9C",'Matriz riesgos de gestión'!$T$61),"")</f>
        <v/>
      </c>
      <c r="Q54" s="153" t="str">
        <f>IF(AND('Matriz riesgos de gestión'!$AD$62="Muy Baja",'Matriz riesgos de gestión'!$AF$62="Menor"),CONCATENATE("R9C",'Matriz riesgos de gestión'!$T$62),"")</f>
        <v/>
      </c>
      <c r="R54" s="153" t="str">
        <f>IF(AND('Matriz riesgos de gestión'!$AD$63="Muy Baja",'Matriz riesgos de gestión'!$AF$63="Menor"),CONCATENATE("R9C",'Matriz riesgos de gestión'!$T$63),"")</f>
        <v/>
      </c>
      <c r="S54" s="153" t="str">
        <f>IF(AND('Matriz riesgos de gestión'!$AD$64="Muy Baja",'Matriz riesgos de gestión'!$AF$64="Menor"),CONCATENATE("R9C",'Matriz riesgos de gestión'!$T$64),"")</f>
        <v/>
      </c>
      <c r="T54" s="153" t="str">
        <f>IF(AND('Matriz riesgos de gestión'!$AD$65="Muy Baja",'Matriz riesgos de gestión'!$AF$65="Menor"),CONCATENATE("R9C",'Matriz riesgos de gestión'!$T$65),"")</f>
        <v/>
      </c>
      <c r="U54" s="154" t="str">
        <f>IF(AND('Matriz riesgos de gestión'!$AD$66="Muy Baja",'Matriz riesgos de gestión'!$AF$66="Menor"),CONCATENATE("R9C",'Matriz riesgos de gestión'!$T$66),"")</f>
        <v/>
      </c>
      <c r="V54" s="146" t="str">
        <f>IF(AND('Matriz riesgos de gestión'!$AD$61="Muy Baja",'Matriz riesgos de gestión'!$AF$61="Moderado"),CONCATENATE("R9C",'Matriz riesgos de gestión'!$T$61),"")</f>
        <v/>
      </c>
      <c r="W54" s="147" t="str">
        <f>IF(AND('Matriz riesgos de gestión'!$AD$62="Muy Baja",'Matriz riesgos de gestión'!$AF$62="Moderado"),CONCATENATE("R9C",'Matriz riesgos de gestión'!$T$62),"")</f>
        <v/>
      </c>
      <c r="X54" s="147" t="str">
        <f>IF(AND('Matriz riesgos de gestión'!$AD$63="Muy Baja",'Matriz riesgos de gestión'!$AF$63="Moderado"),CONCATENATE("R9C",'Matriz riesgos de gestión'!$T$63),"")</f>
        <v>R9C3</v>
      </c>
      <c r="Y54" s="147" t="str">
        <f>IF(AND('Matriz riesgos de gestión'!$AD$64="Muy Baja",'Matriz riesgos de gestión'!$AF$64="Moderado"),CONCATENATE("R9C",'Matriz riesgos de gestión'!$T$64),"")</f>
        <v>R9C1</v>
      </c>
      <c r="Z54" s="147" t="str">
        <f>IF(AND('Matriz riesgos de gestión'!$AD$65="Muy Baja",'Matriz riesgos de gestión'!$AF$65="Moderado"),CONCATENATE("R9C",'Matriz riesgos de gestión'!$T$65),"")</f>
        <v>R9C2</v>
      </c>
      <c r="AA54" s="148" t="str">
        <f>IF(AND('Matriz riesgos de gestión'!$AD$66="Muy Baja",'Matriz riesgos de gestión'!$AF$66="Moderado"),CONCATENATE("R9C",'Matriz riesgos de gestión'!$T$66),"")</f>
        <v>R9C3</v>
      </c>
      <c r="AB54" s="134" t="str">
        <f>IF(AND('Matriz riesgos de gestión'!$AD$61="Muy Baja",'Matriz riesgos de gestión'!$AF$61="Mayor"),CONCATENATE("R9C",'Matriz riesgos de gestión'!$T$61),"")</f>
        <v/>
      </c>
      <c r="AC54" s="135" t="str">
        <f>IF(AND('Matriz riesgos de gestión'!$AD$62="Muy Baja",'Matriz riesgos de gestión'!$AF$62="Mayor"),CONCATENATE("R9C",'Matriz riesgos de gestión'!$T$62),"")</f>
        <v/>
      </c>
      <c r="AD54" s="135" t="str">
        <f>IF(AND('Matriz riesgos de gestión'!$AD$63="Muy Baja",'Matriz riesgos de gestión'!$AF$63="Mayor"),CONCATENATE("R9C",'Matriz riesgos de gestión'!$T$63),"")</f>
        <v/>
      </c>
      <c r="AE54" s="135" t="str">
        <f>IF(AND('Matriz riesgos de gestión'!$AD$64="Muy Baja",'Matriz riesgos de gestión'!$AF$64="Mayor"),CONCATENATE("R9C",'Matriz riesgos de gestión'!$T$64),"")</f>
        <v/>
      </c>
      <c r="AF54" s="135" t="str">
        <f>IF(AND('Matriz riesgos de gestión'!$AD$65="Muy Baja",'Matriz riesgos de gestión'!$AF$65="Mayor"),CONCATENATE("R9C",'Matriz riesgos de gestión'!$T$65),"")</f>
        <v/>
      </c>
      <c r="AG54" s="136" t="str">
        <f>IF(AND('Matriz riesgos de gestión'!$AD$66="Muy Baja",'Matriz riesgos de gestión'!$AF$66="Mayor"),CONCATENATE("R9C",'Matriz riesgos de gestión'!$T$66),"")</f>
        <v/>
      </c>
      <c r="AH54" s="137" t="str">
        <f>IF(AND('Matriz riesgos de gestión'!$AD$61="Muy Baja",'Matriz riesgos de gestión'!$AF$61="Catastrófico"),CONCATENATE("R9C",'Matriz riesgos de gestión'!$T$61),"")</f>
        <v/>
      </c>
      <c r="AI54" s="138" t="str">
        <f>IF(AND('Matriz riesgos de gestión'!$AD$62="Muy Baja",'Matriz riesgos de gestión'!$AF$62="Catastrófico"),CONCATENATE("R9C",'Matriz riesgos de gestión'!$T$62),"")</f>
        <v/>
      </c>
      <c r="AJ54" s="138" t="str">
        <f>IF(AND('Matriz riesgos de gestión'!$AD$63="Muy Baja",'Matriz riesgos de gestión'!$AF$63="Catastrófico"),CONCATENATE("R9C",'Matriz riesgos de gestión'!$T$63),"")</f>
        <v/>
      </c>
      <c r="AK54" s="138" t="str">
        <f>IF(AND('Matriz riesgos de gestión'!$AD$64="Muy Baja",'Matriz riesgos de gestión'!$AF$64="Catastrófico"),CONCATENATE("R9C",'Matriz riesgos de gestión'!$T$64),"")</f>
        <v/>
      </c>
      <c r="AL54" s="138" t="str">
        <f>IF(AND('Matriz riesgos de gestión'!$AD$65="Muy Baja",'Matriz riesgos de gestión'!$AF$65="Catastrófico"),CONCATENATE("R9C",'Matriz riesgos de gestión'!$T$65),"")</f>
        <v/>
      </c>
      <c r="AM54" s="139" t="str">
        <f>IF(AND('Matriz riesgos de gestión'!$AD$66="Muy Baja",'Matriz riesgos de gestión'!$AF$66="Catastrófico"),CONCATENATE("R9C",'Matriz riesgos de gestión'!$T$66),"")</f>
        <v/>
      </c>
      <c r="AN54" s="115"/>
      <c r="AO54" s="115"/>
      <c r="AP54" s="115"/>
      <c r="AQ54" s="115"/>
      <c r="AR54" s="115"/>
      <c r="AS54" s="115"/>
      <c r="AT54" s="115"/>
      <c r="AU54" s="115"/>
      <c r="AV54" s="115"/>
      <c r="AW54" s="115"/>
      <c r="AX54" s="115"/>
      <c r="AY54" s="115"/>
      <c r="AZ54" s="115"/>
      <c r="BA54" s="115"/>
      <c r="BB54" s="115"/>
      <c r="BC54" s="115"/>
      <c r="BD54" s="115"/>
      <c r="BE54" s="115"/>
      <c r="BF54" s="115"/>
      <c r="BG54" s="115"/>
      <c r="BH54" s="115"/>
      <c r="BI54" s="115"/>
    </row>
    <row r="55" spans="1:61" ht="15.75" customHeight="1" x14ac:dyDescent="0.25">
      <c r="A55" s="115"/>
      <c r="B55" s="781"/>
      <c r="C55" s="781"/>
      <c r="D55" s="780"/>
      <c r="E55" s="790"/>
      <c r="F55" s="791"/>
      <c r="G55" s="791"/>
      <c r="H55" s="791"/>
      <c r="I55" s="792"/>
      <c r="J55" s="155" t="str">
        <f>IF(AND('Matriz riesgos de gestión'!$AD$67="Muy Baja",'Matriz riesgos de gestión'!$AF$67="Leve"),CONCATENATE("R10C",'Matriz riesgos de gestión'!$T$67),"")</f>
        <v/>
      </c>
      <c r="K55" s="156" t="str">
        <f>IF(AND('Matriz riesgos de gestión'!$AD$68="Muy Baja",'Matriz riesgos de gestión'!$AF$68="Leve"),CONCATENATE("R10C",'Matriz riesgos de gestión'!$T$68),"")</f>
        <v/>
      </c>
      <c r="L55" s="156" t="str">
        <f>IF(AND('Matriz riesgos de gestión'!$AD$69="Muy Baja",'Matriz riesgos de gestión'!$AF$69="Leve"),CONCATENATE("R10C",'Matriz riesgos de gestión'!$T$69),"")</f>
        <v/>
      </c>
      <c r="M55" s="156" t="str">
        <f>IF(AND('Matriz riesgos de gestión'!$AD$70="Muy Baja",'Matriz riesgos de gestión'!$AF$70="Leve"),CONCATENATE("R10C",'Matriz riesgos de gestión'!$T$70),"")</f>
        <v/>
      </c>
      <c r="N55" s="156" t="str">
        <f>IF(AND('Matriz riesgos de gestión'!$AD$71="Muy Baja",'Matriz riesgos de gestión'!$AF$71="Leve"),CONCATENATE("R10C",'Matriz riesgos de gestión'!$T$71),"")</f>
        <v/>
      </c>
      <c r="O55" s="157" t="str">
        <f>IF(AND('Matriz riesgos de gestión'!$AD$72="Muy Baja",'Matriz riesgos de gestión'!$AF$72="Leve"),CONCATENATE("R10C",'Matriz riesgos de gestión'!$T$72),"")</f>
        <v/>
      </c>
      <c r="P55" s="155" t="str">
        <f>IF(AND('Matriz riesgos de gestión'!$AD$67="Muy Baja",'Matriz riesgos de gestión'!$AF$67="Menor"),CONCATENATE("R10C",'Matriz riesgos de gestión'!$T$67),"")</f>
        <v/>
      </c>
      <c r="Q55" s="156" t="str">
        <f>IF(AND('Matriz riesgos de gestión'!$AD$68="Muy Baja",'Matriz riesgos de gestión'!$AF$68="Menor"),CONCATENATE("R10C",'Matriz riesgos de gestión'!$T$68),"")</f>
        <v/>
      </c>
      <c r="R55" s="156" t="str">
        <f>IF(AND('Matriz riesgos de gestión'!$AD$69="Muy Baja",'Matriz riesgos de gestión'!$AF$69="Menor"),CONCATENATE("R10C",'Matriz riesgos de gestión'!$T$69),"")</f>
        <v/>
      </c>
      <c r="S55" s="156" t="str">
        <f>IF(AND('Matriz riesgos de gestión'!$AD$70="Muy Baja",'Matriz riesgos de gestión'!$AF$70="Menor"),CONCATENATE("R10C",'Matriz riesgos de gestión'!$T$70),"")</f>
        <v/>
      </c>
      <c r="T55" s="156" t="str">
        <f>IF(AND('Matriz riesgos de gestión'!$AD$71="Muy Baja",'Matriz riesgos de gestión'!$AF$71="Menor"),CONCATENATE("R10C",'Matriz riesgos de gestión'!$T$71),"")</f>
        <v/>
      </c>
      <c r="U55" s="157" t="str">
        <f>IF(AND('Matriz riesgos de gestión'!$AD$72="Muy Baja",'Matriz riesgos de gestión'!$AF$72="Menor"),CONCATENATE("R10C",'Matriz riesgos de gestión'!$T$72),"")</f>
        <v/>
      </c>
      <c r="V55" s="149" t="str">
        <f>IF(AND('Matriz riesgos de gestión'!$AD$67="Muy Baja",'Matriz riesgos de gestión'!$AF$67="Moderado"),CONCATENATE("R10C",'Matriz riesgos de gestión'!$T$67),"")</f>
        <v/>
      </c>
      <c r="W55" s="150" t="str">
        <f>IF(AND('Matriz riesgos de gestión'!$AD$68="Muy Baja",'Matriz riesgos de gestión'!$AF$68="Moderado"),CONCATENATE("R10C",'Matriz riesgos de gestión'!$T$68),"")</f>
        <v>R10C5</v>
      </c>
      <c r="X55" s="150" t="str">
        <f>IF(AND('Matriz riesgos de gestión'!$AD$69="Muy Baja",'Matriz riesgos de gestión'!$AF$69="Moderado"),CONCATENATE("R10C",'Matriz riesgos de gestión'!$T$69),"")</f>
        <v>R10C1</v>
      </c>
      <c r="Y55" s="150" t="str">
        <f>IF(AND('Matriz riesgos de gestión'!$AD$70="Muy Baja",'Matriz riesgos de gestión'!$AF$70="Moderado"),CONCATENATE("R10C",'Matriz riesgos de gestión'!$T$70),"")</f>
        <v>R10C2</v>
      </c>
      <c r="Z55" s="150" t="str">
        <f>IF(AND('Matriz riesgos de gestión'!$AD$71="Muy Baja",'Matriz riesgos de gestión'!$AF$71="Moderado"),CONCATENATE("R10C",'Matriz riesgos de gestión'!$T$71),"")</f>
        <v>R10C3</v>
      </c>
      <c r="AA55" s="151" t="str">
        <f>IF(AND('Matriz riesgos de gestión'!$AD$72="Muy Baja",'Matriz riesgos de gestión'!$AF$72="Moderado"),CONCATENATE("R10C",'Matriz riesgos de gestión'!$T$72),"")</f>
        <v>R10C1</v>
      </c>
      <c r="AB55" s="140" t="str">
        <f>IF(AND('Matriz riesgos de gestión'!$AD$67="Muy Baja",'Matriz riesgos de gestión'!$AF$67="Mayor"),CONCATENATE("R10C",'Matriz riesgos de gestión'!$T$67),"")</f>
        <v/>
      </c>
      <c r="AC55" s="141" t="str">
        <f>IF(AND('Matriz riesgos de gestión'!$AD$68="Muy Baja",'Matriz riesgos de gestión'!$AF$68="Mayor"),CONCATENATE("R10C",'Matriz riesgos de gestión'!$T$68),"")</f>
        <v/>
      </c>
      <c r="AD55" s="141" t="str">
        <f>IF(AND('Matriz riesgos de gestión'!$AD$69="Muy Baja",'Matriz riesgos de gestión'!$AF$69="Mayor"),CONCATENATE("R10C",'Matriz riesgos de gestión'!$T$69),"")</f>
        <v/>
      </c>
      <c r="AE55" s="141" t="str">
        <f>IF(AND('Matriz riesgos de gestión'!$AD$70="Muy Baja",'Matriz riesgos de gestión'!$AF$70="Mayor"),CONCATENATE("R10C",'Matriz riesgos de gestión'!$T$70),"")</f>
        <v/>
      </c>
      <c r="AF55" s="141" t="str">
        <f>IF(AND('Matriz riesgos de gestión'!$AD$71="Muy Baja",'Matriz riesgos de gestión'!$AF$71="Mayor"),CONCATENATE("R10C",'Matriz riesgos de gestión'!$T$71),"")</f>
        <v/>
      </c>
      <c r="AG55" s="142" t="str">
        <f>IF(AND('Matriz riesgos de gestión'!$AD$72="Muy Baja",'Matriz riesgos de gestión'!$AF$72="Mayor"),CONCATENATE("R10C",'Matriz riesgos de gestión'!$T$72),"")</f>
        <v/>
      </c>
      <c r="AH55" s="143" t="str">
        <f>IF(AND('Matriz riesgos de gestión'!$AD$67="Muy Baja",'Matriz riesgos de gestión'!$AF$67="Catastrófico"),CONCATENATE("R10C",'Matriz riesgos de gestión'!$T$67),"")</f>
        <v/>
      </c>
      <c r="AI55" s="144" t="str">
        <f>IF(AND('Matriz riesgos de gestión'!$AD$68="Muy Baja",'Matriz riesgos de gestión'!$AF$68="Catastrófico"),CONCATENATE("R10C",'Matriz riesgos de gestión'!$T$68),"")</f>
        <v/>
      </c>
      <c r="AJ55" s="144" t="str">
        <f>IF(AND('Matriz riesgos de gestión'!$AD$69="Muy Baja",'Matriz riesgos de gestión'!$AF$69="Catastrófico"),CONCATENATE("R10C",'Matriz riesgos de gestión'!$T$69),"")</f>
        <v/>
      </c>
      <c r="AK55" s="144" t="str">
        <f>IF(AND('Matriz riesgos de gestión'!$AD$70="Muy Baja",'Matriz riesgos de gestión'!$AF$70="Catastrófico"),CONCATENATE("R10C",'Matriz riesgos de gestión'!$T$70),"")</f>
        <v/>
      </c>
      <c r="AL55" s="144" t="str">
        <f>IF(AND('Matriz riesgos de gestión'!$AD$71="Muy Baja",'Matriz riesgos de gestión'!$AF$71="Catastrófico"),CONCATENATE("R10C",'Matriz riesgos de gestión'!$T$71),"")</f>
        <v/>
      </c>
      <c r="AM55" s="145" t="str">
        <f>IF(AND('Matriz riesgos de gestión'!$AD$72="Muy Baja",'Matriz riesgos de gestión'!$AF$72="Catastrófico"),CONCATENATE("R10C",'Matriz riesgos de gestión'!$T$72),"")</f>
        <v/>
      </c>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row>
    <row r="56" spans="1:61" ht="15.75" customHeight="1" x14ac:dyDescent="0.25">
      <c r="A56" s="115"/>
      <c r="B56" s="115"/>
      <c r="C56" s="115"/>
      <c r="D56" s="115"/>
      <c r="E56" s="115"/>
      <c r="F56" s="115"/>
      <c r="G56" s="115"/>
      <c r="H56" s="115"/>
      <c r="I56" s="115"/>
      <c r="J56" s="823" t="s">
        <v>12</v>
      </c>
      <c r="K56" s="786"/>
      <c r="L56" s="786"/>
      <c r="M56" s="786"/>
      <c r="N56" s="786"/>
      <c r="O56" s="794"/>
      <c r="P56" s="823" t="s">
        <v>13</v>
      </c>
      <c r="Q56" s="786"/>
      <c r="R56" s="786"/>
      <c r="S56" s="786"/>
      <c r="T56" s="786"/>
      <c r="U56" s="794"/>
      <c r="V56" s="823" t="s">
        <v>14</v>
      </c>
      <c r="W56" s="786"/>
      <c r="X56" s="786"/>
      <c r="Y56" s="786"/>
      <c r="Z56" s="786"/>
      <c r="AA56" s="794"/>
      <c r="AB56" s="823" t="s">
        <v>15</v>
      </c>
      <c r="AC56" s="786"/>
      <c r="AD56" s="786"/>
      <c r="AE56" s="786"/>
      <c r="AF56" s="786"/>
      <c r="AG56" s="794"/>
      <c r="AH56" s="823" t="s">
        <v>16</v>
      </c>
      <c r="AI56" s="786"/>
      <c r="AJ56" s="786"/>
      <c r="AK56" s="786"/>
      <c r="AL56" s="786"/>
      <c r="AM56" s="794"/>
      <c r="AN56" s="115"/>
      <c r="AO56" s="115"/>
      <c r="AP56" s="115"/>
      <c r="AQ56" s="115"/>
      <c r="AR56" s="115"/>
      <c r="AS56" s="115"/>
      <c r="AT56" s="115"/>
      <c r="AU56" s="115"/>
      <c r="AV56" s="115"/>
      <c r="AW56" s="115"/>
      <c r="AX56" s="115"/>
      <c r="AY56" s="115"/>
      <c r="AZ56" s="115"/>
      <c r="BA56" s="115"/>
      <c r="BB56" s="115"/>
      <c r="BC56" s="115"/>
      <c r="BD56" s="115"/>
      <c r="BE56" s="115"/>
      <c r="BF56" s="115"/>
      <c r="BG56" s="115"/>
      <c r="BH56" s="115"/>
      <c r="BI56" s="115"/>
    </row>
    <row r="57" spans="1:61" ht="15.75" customHeight="1" x14ac:dyDescent="0.25">
      <c r="A57" s="115"/>
      <c r="B57" s="115"/>
      <c r="C57" s="115"/>
      <c r="D57" s="115"/>
      <c r="E57" s="115"/>
      <c r="F57" s="115"/>
      <c r="G57" s="115"/>
      <c r="H57" s="115"/>
      <c r="I57" s="115"/>
      <c r="J57" s="783"/>
      <c r="K57" s="804"/>
      <c r="L57" s="804"/>
      <c r="M57" s="804"/>
      <c r="N57" s="804"/>
      <c r="O57" s="780"/>
      <c r="P57" s="783"/>
      <c r="Q57" s="804"/>
      <c r="R57" s="804"/>
      <c r="S57" s="804"/>
      <c r="T57" s="804"/>
      <c r="U57" s="780"/>
      <c r="V57" s="783"/>
      <c r="W57" s="804"/>
      <c r="X57" s="804"/>
      <c r="Y57" s="804"/>
      <c r="Z57" s="804"/>
      <c r="AA57" s="780"/>
      <c r="AB57" s="783"/>
      <c r="AC57" s="804"/>
      <c r="AD57" s="804"/>
      <c r="AE57" s="804"/>
      <c r="AF57" s="804"/>
      <c r="AG57" s="780"/>
      <c r="AH57" s="783"/>
      <c r="AI57" s="804"/>
      <c r="AJ57" s="804"/>
      <c r="AK57" s="804"/>
      <c r="AL57" s="804"/>
      <c r="AM57" s="780"/>
      <c r="AN57" s="115"/>
      <c r="AO57" s="115"/>
      <c r="AP57" s="115"/>
      <c r="AQ57" s="115"/>
      <c r="AR57" s="115"/>
      <c r="AS57" s="115"/>
      <c r="AT57" s="115"/>
      <c r="AU57" s="115"/>
      <c r="AV57" s="115"/>
      <c r="AW57" s="115"/>
      <c r="AX57" s="115"/>
      <c r="AY57" s="115"/>
      <c r="AZ57" s="115"/>
      <c r="BA57" s="115"/>
      <c r="BB57" s="115"/>
      <c r="BC57" s="115"/>
      <c r="BD57" s="115"/>
      <c r="BE57" s="115"/>
      <c r="BF57" s="115"/>
      <c r="BG57" s="115"/>
      <c r="BH57" s="115"/>
      <c r="BI57" s="115"/>
    </row>
    <row r="58" spans="1:61" ht="15.75" customHeight="1" x14ac:dyDescent="0.25">
      <c r="A58" s="115"/>
      <c r="B58" s="115"/>
      <c r="C58" s="115"/>
      <c r="D58" s="115"/>
      <c r="E58" s="115"/>
      <c r="F58" s="115"/>
      <c r="G58" s="115"/>
      <c r="H58" s="115"/>
      <c r="I58" s="115"/>
      <c r="J58" s="783"/>
      <c r="K58" s="804"/>
      <c r="L58" s="804"/>
      <c r="M58" s="804"/>
      <c r="N58" s="804"/>
      <c r="O58" s="780"/>
      <c r="P58" s="783"/>
      <c r="Q58" s="804"/>
      <c r="R58" s="804"/>
      <c r="S58" s="804"/>
      <c r="T58" s="804"/>
      <c r="U58" s="780"/>
      <c r="V58" s="783"/>
      <c r="W58" s="804"/>
      <c r="X58" s="804"/>
      <c r="Y58" s="804"/>
      <c r="Z58" s="804"/>
      <c r="AA58" s="780"/>
      <c r="AB58" s="783"/>
      <c r="AC58" s="804"/>
      <c r="AD58" s="804"/>
      <c r="AE58" s="804"/>
      <c r="AF58" s="804"/>
      <c r="AG58" s="780"/>
      <c r="AH58" s="783"/>
      <c r="AI58" s="804"/>
      <c r="AJ58" s="804"/>
      <c r="AK58" s="804"/>
      <c r="AL58" s="804"/>
      <c r="AM58" s="780"/>
      <c r="AN58" s="115"/>
      <c r="AO58" s="115"/>
      <c r="AP58" s="115"/>
      <c r="AQ58" s="115"/>
      <c r="AR58" s="115"/>
      <c r="AS58" s="115"/>
      <c r="AT58" s="115"/>
      <c r="AU58" s="115"/>
      <c r="AV58" s="115"/>
      <c r="AW58" s="115"/>
      <c r="AX58" s="115"/>
      <c r="AY58" s="115"/>
      <c r="AZ58" s="115"/>
      <c r="BA58" s="115"/>
      <c r="BB58" s="115"/>
      <c r="BC58" s="115"/>
      <c r="BD58" s="115"/>
      <c r="BE58" s="115"/>
      <c r="BF58" s="115"/>
      <c r="BG58" s="115"/>
      <c r="BH58" s="115"/>
      <c r="BI58" s="115"/>
    </row>
    <row r="59" spans="1:61" ht="15.75" customHeight="1" x14ac:dyDescent="0.25">
      <c r="A59" s="115"/>
      <c r="B59" s="115"/>
      <c r="C59" s="115"/>
      <c r="D59" s="115"/>
      <c r="E59" s="115"/>
      <c r="F59" s="115"/>
      <c r="G59" s="115"/>
      <c r="H59" s="115"/>
      <c r="I59" s="115"/>
      <c r="J59" s="783"/>
      <c r="K59" s="804"/>
      <c r="L59" s="804"/>
      <c r="M59" s="804"/>
      <c r="N59" s="804"/>
      <c r="O59" s="780"/>
      <c r="P59" s="783"/>
      <c r="Q59" s="804"/>
      <c r="R59" s="804"/>
      <c r="S59" s="804"/>
      <c r="T59" s="804"/>
      <c r="U59" s="780"/>
      <c r="V59" s="783"/>
      <c r="W59" s="804"/>
      <c r="X59" s="804"/>
      <c r="Y59" s="804"/>
      <c r="Z59" s="804"/>
      <c r="AA59" s="780"/>
      <c r="AB59" s="783"/>
      <c r="AC59" s="804"/>
      <c r="AD59" s="804"/>
      <c r="AE59" s="804"/>
      <c r="AF59" s="804"/>
      <c r="AG59" s="780"/>
      <c r="AH59" s="783"/>
      <c r="AI59" s="804"/>
      <c r="AJ59" s="804"/>
      <c r="AK59" s="804"/>
      <c r="AL59" s="804"/>
      <c r="AM59" s="780"/>
      <c r="AN59" s="115"/>
      <c r="AO59" s="115"/>
      <c r="AP59" s="115"/>
      <c r="AQ59" s="115"/>
      <c r="AR59" s="115"/>
      <c r="AS59" s="115"/>
      <c r="AT59" s="115"/>
      <c r="AU59" s="115"/>
      <c r="AV59" s="115"/>
      <c r="AW59" s="115"/>
      <c r="AX59" s="115"/>
      <c r="AY59" s="115"/>
      <c r="AZ59" s="115"/>
      <c r="BA59" s="115"/>
      <c r="BB59" s="115"/>
      <c r="BC59" s="115"/>
      <c r="BD59" s="115"/>
      <c r="BE59" s="115"/>
      <c r="BF59" s="115"/>
      <c r="BG59" s="115"/>
      <c r="BH59" s="115"/>
      <c r="BI59" s="115"/>
    </row>
    <row r="60" spans="1:61" ht="15.75" customHeight="1" x14ac:dyDescent="0.25">
      <c r="A60" s="115"/>
      <c r="B60" s="115"/>
      <c r="C60" s="115"/>
      <c r="D60" s="115"/>
      <c r="E60" s="115"/>
      <c r="F60" s="115"/>
      <c r="G60" s="115"/>
      <c r="H60" s="115"/>
      <c r="I60" s="115"/>
      <c r="J60" s="783"/>
      <c r="K60" s="804"/>
      <c r="L60" s="804"/>
      <c r="M60" s="804"/>
      <c r="N60" s="804"/>
      <c r="O60" s="780"/>
      <c r="P60" s="783"/>
      <c r="Q60" s="804"/>
      <c r="R60" s="804"/>
      <c r="S60" s="804"/>
      <c r="T60" s="804"/>
      <c r="U60" s="780"/>
      <c r="V60" s="783"/>
      <c r="W60" s="804"/>
      <c r="X60" s="804"/>
      <c r="Y60" s="804"/>
      <c r="Z60" s="804"/>
      <c r="AA60" s="780"/>
      <c r="AB60" s="783"/>
      <c r="AC60" s="804"/>
      <c r="AD60" s="804"/>
      <c r="AE60" s="804"/>
      <c r="AF60" s="804"/>
      <c r="AG60" s="780"/>
      <c r="AH60" s="783"/>
      <c r="AI60" s="804"/>
      <c r="AJ60" s="804"/>
      <c r="AK60" s="804"/>
      <c r="AL60" s="804"/>
      <c r="AM60" s="780"/>
      <c r="AN60" s="115"/>
      <c r="AO60" s="115"/>
      <c r="AP60" s="115"/>
      <c r="AQ60" s="115"/>
      <c r="AR60" s="115"/>
      <c r="AS60" s="115"/>
      <c r="AT60" s="115"/>
      <c r="AU60" s="115"/>
      <c r="AV60" s="115"/>
      <c r="AW60" s="115"/>
      <c r="AX60" s="115"/>
      <c r="AY60" s="115"/>
      <c r="AZ60" s="115"/>
      <c r="BA60" s="115"/>
      <c r="BB60" s="115"/>
      <c r="BC60" s="115"/>
      <c r="BD60" s="115"/>
      <c r="BE60" s="115"/>
      <c r="BF60" s="115"/>
      <c r="BG60" s="115"/>
      <c r="BH60" s="115"/>
      <c r="BI60" s="115"/>
    </row>
    <row r="61" spans="1:61" ht="15.75" customHeight="1" x14ac:dyDescent="0.25">
      <c r="A61" s="115"/>
      <c r="B61" s="115"/>
      <c r="C61" s="115"/>
      <c r="D61" s="115"/>
      <c r="E61" s="115"/>
      <c r="F61" s="115"/>
      <c r="G61" s="115"/>
      <c r="H61" s="115"/>
      <c r="I61" s="115"/>
      <c r="J61" s="790"/>
      <c r="K61" s="791"/>
      <c r="L61" s="791"/>
      <c r="M61" s="791"/>
      <c r="N61" s="791"/>
      <c r="O61" s="792"/>
      <c r="P61" s="790"/>
      <c r="Q61" s="791"/>
      <c r="R61" s="791"/>
      <c r="S61" s="791"/>
      <c r="T61" s="791"/>
      <c r="U61" s="792"/>
      <c r="V61" s="790"/>
      <c r="W61" s="791"/>
      <c r="X61" s="791"/>
      <c r="Y61" s="791"/>
      <c r="Z61" s="791"/>
      <c r="AA61" s="792"/>
      <c r="AB61" s="790"/>
      <c r="AC61" s="791"/>
      <c r="AD61" s="791"/>
      <c r="AE61" s="791"/>
      <c r="AF61" s="791"/>
      <c r="AG61" s="792"/>
      <c r="AH61" s="790"/>
      <c r="AI61" s="791"/>
      <c r="AJ61" s="791"/>
      <c r="AK61" s="791"/>
      <c r="AL61" s="791"/>
      <c r="AM61" s="792"/>
      <c r="AN61" s="115"/>
      <c r="AO61" s="115"/>
      <c r="AP61" s="115"/>
      <c r="AQ61" s="115"/>
      <c r="AR61" s="115"/>
      <c r="AS61" s="115"/>
      <c r="AT61" s="115"/>
      <c r="AU61" s="115"/>
      <c r="AV61" s="115"/>
      <c r="AW61" s="115"/>
      <c r="AX61" s="115"/>
      <c r="AY61" s="115"/>
      <c r="AZ61" s="115"/>
      <c r="BA61" s="115"/>
      <c r="BB61" s="115"/>
      <c r="BC61" s="115"/>
      <c r="BD61" s="115"/>
      <c r="BE61" s="115"/>
      <c r="BF61" s="115"/>
      <c r="BG61" s="115"/>
      <c r="BH61" s="115"/>
      <c r="BI61" s="115"/>
    </row>
    <row r="62" spans="1:61" ht="15.75" customHeight="1" x14ac:dyDescent="0.25">
      <c r="A62" s="115"/>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c r="BA62" s="115"/>
      <c r="BB62" s="115"/>
      <c r="BC62" s="115"/>
      <c r="BD62" s="115"/>
      <c r="BE62" s="115"/>
      <c r="BF62" s="115"/>
      <c r="BG62" s="115"/>
      <c r="BH62" s="115"/>
    </row>
    <row r="63" spans="1:61" ht="15" customHeight="1" x14ac:dyDescent="0.25">
      <c r="A63" s="115"/>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15"/>
      <c r="AV63" s="115"/>
      <c r="AW63" s="115"/>
      <c r="AX63" s="115"/>
      <c r="AY63" s="115"/>
      <c r="AZ63" s="115"/>
      <c r="BA63" s="115"/>
      <c r="BB63" s="115"/>
      <c r="BC63" s="115"/>
      <c r="BD63" s="115"/>
      <c r="BE63" s="115"/>
      <c r="BF63" s="115"/>
      <c r="BG63" s="115"/>
      <c r="BH63" s="115"/>
    </row>
    <row r="64" spans="1:61" ht="15" customHeight="1" x14ac:dyDescent="0.25">
      <c r="A64" s="115"/>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c r="AH64" s="133"/>
      <c r="AI64" s="133"/>
      <c r="AJ64" s="133"/>
      <c r="AK64" s="133"/>
      <c r="AL64" s="133"/>
      <c r="AM64" s="133"/>
      <c r="AN64" s="133"/>
      <c r="AO64" s="133"/>
      <c r="AP64" s="133"/>
      <c r="AQ64" s="133"/>
      <c r="AR64" s="133"/>
      <c r="AS64" s="133"/>
      <c r="AT64" s="133"/>
      <c r="AU64" s="115"/>
      <c r="AV64" s="115"/>
      <c r="AW64" s="115"/>
      <c r="AX64" s="115"/>
      <c r="AY64" s="115"/>
      <c r="AZ64" s="115"/>
      <c r="BA64" s="115"/>
      <c r="BB64" s="115"/>
      <c r="BC64" s="115"/>
      <c r="BD64" s="115"/>
      <c r="BE64" s="115"/>
      <c r="BF64" s="115"/>
      <c r="BG64" s="115"/>
      <c r="BH64" s="115"/>
    </row>
    <row r="65" spans="1:60" ht="15.75" customHeight="1" x14ac:dyDescent="0.25">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row>
    <row r="66" spans="1:60" ht="15.75" customHeight="1" x14ac:dyDescent="0.25">
      <c r="A66" s="115"/>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c r="BC66" s="115"/>
      <c r="BD66" s="115"/>
      <c r="BE66" s="115"/>
      <c r="BF66" s="115"/>
      <c r="BG66" s="115"/>
      <c r="BH66" s="115"/>
    </row>
    <row r="67" spans="1:60" ht="15.75" customHeight="1" x14ac:dyDescent="0.25">
      <c r="A67" s="115"/>
      <c r="B67" s="115"/>
      <c r="C67" s="115"/>
      <c r="D67" s="115"/>
      <c r="E67" s="115"/>
      <c r="F67" s="115"/>
      <c r="G67" s="115"/>
      <c r="H67" s="115"/>
      <c r="I67" s="115"/>
      <c r="J67" s="115"/>
      <c r="K67" s="115"/>
      <c r="L67" s="115"/>
      <c r="M67" s="115"/>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c r="AN67" s="115"/>
      <c r="AO67" s="115"/>
      <c r="AP67" s="115"/>
      <c r="AQ67" s="115"/>
      <c r="AR67" s="115"/>
      <c r="AS67" s="115"/>
      <c r="AT67" s="115"/>
      <c r="AU67" s="115"/>
      <c r="AV67" s="115"/>
      <c r="AW67" s="115"/>
      <c r="AX67" s="115"/>
      <c r="AY67" s="115"/>
      <c r="AZ67" s="115"/>
      <c r="BA67" s="115"/>
      <c r="BB67" s="115"/>
      <c r="BC67" s="115"/>
      <c r="BD67" s="115"/>
      <c r="BE67" s="115"/>
      <c r="BF67" s="115"/>
      <c r="BG67" s="115"/>
      <c r="BH67" s="115"/>
    </row>
    <row r="68" spans="1:60" ht="15.75" customHeight="1" x14ac:dyDescent="0.25">
      <c r="A68" s="115"/>
      <c r="B68" s="115"/>
      <c r="C68" s="115"/>
      <c r="D68" s="115"/>
      <c r="E68" s="115"/>
      <c r="F68" s="115"/>
      <c r="G68" s="115"/>
      <c r="H68" s="115"/>
      <c r="I68" s="115"/>
      <c r="J68" s="115"/>
      <c r="K68" s="115"/>
      <c r="L68" s="115"/>
      <c r="M68" s="115"/>
      <c r="N68" s="115"/>
      <c r="O68" s="115"/>
      <c r="P68" s="115"/>
      <c r="Q68" s="115"/>
      <c r="R68" s="115"/>
      <c r="S68" s="115"/>
      <c r="T68" s="115"/>
      <c r="U68" s="115"/>
      <c r="V68" s="115"/>
      <c r="W68" s="115"/>
      <c r="X68" s="115"/>
      <c r="Y68" s="115"/>
      <c r="Z68" s="115"/>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c r="BA68" s="115"/>
      <c r="BB68" s="115"/>
      <c r="BC68" s="115"/>
      <c r="BD68" s="115"/>
      <c r="BE68" s="115"/>
      <c r="BF68" s="115"/>
      <c r="BG68" s="115"/>
      <c r="BH68" s="115"/>
    </row>
    <row r="69" spans="1:60" ht="15.75" customHeight="1" x14ac:dyDescent="0.25">
      <c r="A69" s="115"/>
      <c r="B69" s="115"/>
      <c r="C69" s="115"/>
      <c r="D69" s="115"/>
      <c r="E69" s="115"/>
      <c r="F69" s="115"/>
      <c r="G69" s="115"/>
      <c r="H69" s="115"/>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c r="AN69" s="115"/>
      <c r="AO69" s="115"/>
      <c r="AP69" s="115"/>
      <c r="AQ69" s="115"/>
      <c r="AR69" s="115"/>
      <c r="AS69" s="115"/>
      <c r="AT69" s="115"/>
      <c r="AU69" s="115"/>
      <c r="AV69" s="115"/>
      <c r="AW69" s="115"/>
      <c r="AX69" s="115"/>
      <c r="AY69" s="115"/>
      <c r="AZ69" s="115"/>
      <c r="BA69" s="115"/>
      <c r="BB69" s="115"/>
      <c r="BC69" s="115"/>
      <c r="BD69" s="115"/>
      <c r="BE69" s="115"/>
      <c r="BF69" s="115"/>
      <c r="BG69" s="115"/>
      <c r="BH69" s="115"/>
    </row>
    <row r="70" spans="1:60" ht="15.75" customHeight="1" x14ac:dyDescent="0.25">
      <c r="A70" s="115"/>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c r="AI70" s="115"/>
      <c r="AJ70" s="115"/>
      <c r="AK70" s="115"/>
      <c r="AL70" s="115"/>
      <c r="AM70" s="115"/>
      <c r="AN70" s="115"/>
      <c r="AO70" s="115"/>
      <c r="AP70" s="115"/>
      <c r="AQ70" s="115"/>
      <c r="AR70" s="115"/>
      <c r="AS70" s="115"/>
      <c r="AT70" s="115"/>
      <c r="AU70" s="115"/>
      <c r="AV70" s="115"/>
      <c r="AW70" s="115"/>
      <c r="AX70" s="115"/>
      <c r="AY70" s="115"/>
      <c r="AZ70" s="115"/>
      <c r="BA70" s="115"/>
      <c r="BB70" s="115"/>
      <c r="BC70" s="115"/>
      <c r="BD70" s="115"/>
      <c r="BE70" s="115"/>
      <c r="BF70" s="115"/>
      <c r="BG70" s="115"/>
      <c r="BH70" s="115"/>
    </row>
    <row r="71" spans="1:60" ht="15.75" customHeight="1" x14ac:dyDescent="0.25">
      <c r="A71" s="115"/>
      <c r="B71" s="115"/>
      <c r="C71" s="115"/>
      <c r="D71" s="115"/>
      <c r="E71" s="115"/>
      <c r="F71" s="115"/>
      <c r="G71" s="115"/>
      <c r="H71" s="115"/>
      <c r="I71" s="115"/>
      <c r="J71" s="115"/>
      <c r="K71" s="115"/>
      <c r="L71" s="115"/>
      <c r="M71" s="115"/>
      <c r="N71" s="115"/>
      <c r="O71" s="115"/>
      <c r="P71" s="115"/>
      <c r="Q71" s="115"/>
      <c r="R71" s="115"/>
      <c r="S71" s="115"/>
      <c r="T71" s="115"/>
      <c r="U71" s="115"/>
      <c r="V71" s="115"/>
      <c r="W71" s="115"/>
      <c r="X71" s="115"/>
      <c r="Y71" s="115"/>
      <c r="Z71" s="115"/>
      <c r="AA71" s="115"/>
      <c r="AB71" s="115"/>
      <c r="AC71" s="115"/>
      <c r="AD71" s="115"/>
      <c r="AE71" s="115"/>
      <c r="AF71" s="115"/>
      <c r="AG71" s="115"/>
      <c r="AH71" s="115"/>
      <c r="AI71" s="115"/>
      <c r="AJ71" s="115"/>
      <c r="AK71" s="115"/>
      <c r="AL71" s="115"/>
      <c r="AM71" s="115"/>
      <c r="AN71" s="115"/>
      <c r="AO71" s="115"/>
      <c r="AP71" s="115"/>
      <c r="AQ71" s="115"/>
      <c r="AR71" s="115"/>
      <c r="AS71" s="115"/>
      <c r="AT71" s="115"/>
      <c r="AU71" s="115"/>
      <c r="AV71" s="115"/>
      <c r="AW71" s="115"/>
      <c r="AX71" s="115"/>
      <c r="AY71" s="115"/>
      <c r="AZ71" s="115"/>
      <c r="BA71" s="115"/>
      <c r="BB71" s="115"/>
      <c r="BC71" s="115"/>
      <c r="BD71" s="115"/>
      <c r="BE71" s="115"/>
      <c r="BF71" s="115"/>
      <c r="BG71" s="115"/>
      <c r="BH71" s="115"/>
    </row>
    <row r="72" spans="1:60" ht="15.75" customHeight="1" x14ac:dyDescent="0.25">
      <c r="A72" s="115"/>
      <c r="B72" s="115"/>
      <c r="C72" s="115"/>
      <c r="D72" s="115"/>
      <c r="E72" s="115"/>
      <c r="F72" s="115"/>
      <c r="G72" s="115"/>
      <c r="H72" s="115"/>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c r="AN72" s="115"/>
      <c r="AO72" s="115"/>
      <c r="AP72" s="115"/>
      <c r="AQ72" s="115"/>
      <c r="AR72" s="115"/>
      <c r="AS72" s="115"/>
      <c r="AT72" s="115"/>
      <c r="AU72" s="115"/>
      <c r="AV72" s="115"/>
      <c r="AW72" s="115"/>
      <c r="AX72" s="115"/>
      <c r="AY72" s="115"/>
      <c r="AZ72" s="115"/>
      <c r="BA72" s="115"/>
      <c r="BB72" s="115"/>
      <c r="BC72" s="115"/>
      <c r="BD72" s="115"/>
      <c r="BE72" s="115"/>
      <c r="BF72" s="115"/>
      <c r="BG72" s="115"/>
      <c r="BH72" s="115"/>
    </row>
    <row r="73" spans="1:60" ht="15.75" customHeight="1" x14ac:dyDescent="0.25">
      <c r="A73" s="115"/>
      <c r="B73" s="115"/>
      <c r="C73" s="115"/>
      <c r="D73" s="115"/>
      <c r="E73" s="115"/>
      <c r="F73" s="115"/>
      <c r="G73" s="115"/>
      <c r="H73" s="115"/>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c r="AN73" s="115"/>
      <c r="AO73" s="115"/>
      <c r="AP73" s="115"/>
      <c r="AQ73" s="115"/>
      <c r="AR73" s="115"/>
      <c r="AS73" s="115"/>
      <c r="AT73" s="115"/>
      <c r="AU73" s="115"/>
      <c r="AV73" s="115"/>
      <c r="AW73" s="115"/>
      <c r="AX73" s="115"/>
      <c r="AY73" s="115"/>
      <c r="AZ73" s="115"/>
      <c r="BA73" s="115"/>
      <c r="BB73" s="115"/>
      <c r="BC73" s="115"/>
      <c r="BD73" s="115"/>
      <c r="BE73" s="115"/>
      <c r="BF73" s="115"/>
      <c r="BG73" s="115"/>
      <c r="BH73" s="115"/>
    </row>
    <row r="74" spans="1:60" ht="15.75" customHeight="1" x14ac:dyDescent="0.2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c r="AN74" s="115"/>
      <c r="AO74" s="115"/>
      <c r="AP74" s="115"/>
      <c r="AQ74" s="115"/>
      <c r="AR74" s="115"/>
      <c r="AS74" s="115"/>
      <c r="AT74" s="115"/>
      <c r="AU74" s="115"/>
      <c r="AV74" s="115"/>
      <c r="AW74" s="115"/>
      <c r="AX74" s="115"/>
      <c r="AY74" s="115"/>
      <c r="AZ74" s="115"/>
      <c r="BA74" s="115"/>
      <c r="BB74" s="115"/>
      <c r="BC74" s="115"/>
      <c r="BD74" s="115"/>
      <c r="BE74" s="115"/>
      <c r="BF74" s="115"/>
      <c r="BG74" s="115"/>
      <c r="BH74" s="115"/>
    </row>
    <row r="75" spans="1:60" ht="15.75" customHeight="1" x14ac:dyDescent="0.25">
      <c r="A75" s="115"/>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c r="AN75" s="115"/>
      <c r="AO75" s="115"/>
      <c r="AP75" s="115"/>
      <c r="AQ75" s="115"/>
      <c r="AR75" s="115"/>
      <c r="AS75" s="115"/>
      <c r="AT75" s="115"/>
      <c r="AU75" s="115"/>
      <c r="AV75" s="115"/>
      <c r="AW75" s="115"/>
      <c r="AX75" s="115"/>
      <c r="AY75" s="115"/>
      <c r="AZ75" s="115"/>
      <c r="BA75" s="115"/>
      <c r="BB75" s="115"/>
      <c r="BC75" s="115"/>
      <c r="BD75" s="115"/>
      <c r="BE75" s="115"/>
      <c r="BF75" s="115"/>
      <c r="BG75" s="115"/>
      <c r="BH75" s="115"/>
    </row>
    <row r="76" spans="1:60" ht="15.75" customHeight="1" x14ac:dyDescent="0.25">
      <c r="A76" s="115"/>
      <c r="B76" s="115"/>
      <c r="C76" s="115"/>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115"/>
      <c r="AW76" s="115"/>
      <c r="AX76" s="115"/>
      <c r="AY76" s="115"/>
      <c r="AZ76" s="115"/>
      <c r="BA76" s="115"/>
      <c r="BB76" s="115"/>
      <c r="BC76" s="115"/>
      <c r="BD76" s="115"/>
      <c r="BE76" s="115"/>
      <c r="BF76" s="115"/>
      <c r="BG76" s="115"/>
      <c r="BH76" s="115"/>
    </row>
    <row r="77" spans="1:60" ht="15.75" customHeight="1" x14ac:dyDescent="0.25">
      <c r="A77" s="115"/>
      <c r="B77" s="115"/>
      <c r="C77" s="115"/>
      <c r="D77" s="115"/>
      <c r="E77" s="115"/>
      <c r="F77" s="115"/>
      <c r="G77" s="115"/>
      <c r="H77" s="115"/>
      <c r="I77" s="115"/>
      <c r="J77" s="115"/>
      <c r="K77" s="115"/>
      <c r="L77" s="115"/>
      <c r="M77" s="115"/>
      <c r="N77" s="115"/>
      <c r="O77" s="115"/>
      <c r="P77" s="115"/>
      <c r="Q77" s="115"/>
      <c r="R77" s="115"/>
      <c r="S77" s="115"/>
      <c r="T77" s="115"/>
      <c r="U77" s="115"/>
      <c r="V77" s="115"/>
      <c r="W77" s="115"/>
      <c r="X77" s="115"/>
      <c r="Y77" s="115"/>
      <c r="Z77" s="115"/>
      <c r="AA77" s="115"/>
      <c r="AB77" s="115"/>
      <c r="AC77" s="115"/>
      <c r="AD77" s="115"/>
      <c r="AE77" s="115"/>
      <c r="AF77" s="115"/>
      <c r="AG77" s="115"/>
      <c r="AH77" s="115"/>
      <c r="AI77" s="115"/>
      <c r="AJ77" s="115"/>
      <c r="AK77" s="115"/>
      <c r="AL77" s="115"/>
      <c r="AM77" s="115"/>
      <c r="AN77" s="115"/>
      <c r="AO77" s="115"/>
      <c r="AP77" s="115"/>
      <c r="AQ77" s="115"/>
      <c r="AR77" s="115"/>
      <c r="AS77" s="115"/>
      <c r="AT77" s="115"/>
      <c r="AU77" s="115"/>
      <c r="AV77" s="115"/>
      <c r="AW77" s="115"/>
      <c r="AX77" s="115"/>
      <c r="AY77" s="115"/>
      <c r="AZ77" s="115"/>
      <c r="BA77" s="115"/>
      <c r="BB77" s="115"/>
      <c r="BC77" s="115"/>
      <c r="BD77" s="115"/>
      <c r="BE77" s="115"/>
      <c r="BF77" s="115"/>
      <c r="BG77" s="115"/>
      <c r="BH77" s="115"/>
    </row>
    <row r="78" spans="1:60" ht="15.75" customHeight="1" x14ac:dyDescent="0.25">
      <c r="A78" s="115"/>
      <c r="B78" s="115"/>
      <c r="C78" s="115"/>
      <c r="D78" s="115"/>
      <c r="E78" s="115"/>
      <c r="F78" s="115"/>
      <c r="G78" s="115"/>
      <c r="H78" s="115"/>
      <c r="I78" s="115"/>
      <c r="J78" s="115"/>
      <c r="K78" s="115"/>
      <c r="L78" s="115"/>
      <c r="M78" s="115"/>
      <c r="N78" s="115"/>
      <c r="O78" s="115"/>
      <c r="P78" s="115"/>
      <c r="Q78" s="115"/>
      <c r="R78" s="115"/>
      <c r="S78" s="115"/>
      <c r="T78" s="115"/>
      <c r="U78" s="115"/>
      <c r="V78" s="115"/>
      <c r="W78" s="115"/>
      <c r="X78" s="115"/>
      <c r="Y78" s="115"/>
      <c r="Z78" s="115"/>
      <c r="AA78" s="115"/>
      <c r="AB78" s="115"/>
      <c r="AC78" s="115"/>
      <c r="AD78" s="115"/>
      <c r="AE78" s="115"/>
      <c r="AF78" s="115"/>
      <c r="AG78" s="115"/>
      <c r="AH78" s="115"/>
      <c r="AI78" s="115"/>
      <c r="AJ78" s="115"/>
      <c r="AK78" s="115"/>
      <c r="AL78" s="115"/>
      <c r="AM78" s="115"/>
      <c r="AN78" s="115"/>
      <c r="AO78" s="115"/>
      <c r="AP78" s="115"/>
      <c r="AQ78" s="115"/>
      <c r="AR78" s="115"/>
      <c r="AS78" s="115"/>
      <c r="AT78" s="115"/>
      <c r="AU78" s="115"/>
      <c r="AV78" s="115"/>
      <c r="AW78" s="115"/>
      <c r="AX78" s="115"/>
      <c r="AY78" s="115"/>
      <c r="AZ78" s="115"/>
      <c r="BA78" s="115"/>
      <c r="BB78" s="115"/>
      <c r="BC78" s="115"/>
      <c r="BD78" s="115"/>
      <c r="BE78" s="115"/>
      <c r="BF78" s="115"/>
      <c r="BG78" s="115"/>
      <c r="BH78" s="115"/>
    </row>
    <row r="79" spans="1:60" ht="15.75" customHeight="1" x14ac:dyDescent="0.25">
      <c r="A79" s="11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c r="AN79" s="115"/>
      <c r="AO79" s="115"/>
      <c r="AP79" s="115"/>
      <c r="AQ79" s="115"/>
      <c r="AR79" s="115"/>
      <c r="AS79" s="115"/>
      <c r="AT79" s="115"/>
      <c r="AU79" s="115"/>
      <c r="AV79" s="115"/>
      <c r="AW79" s="115"/>
      <c r="AX79" s="115"/>
      <c r="AY79" s="115"/>
      <c r="AZ79" s="115"/>
      <c r="BA79" s="115"/>
      <c r="BB79" s="115"/>
      <c r="BC79" s="115"/>
      <c r="BD79" s="115"/>
      <c r="BE79" s="115"/>
      <c r="BF79" s="115"/>
      <c r="BG79" s="115"/>
      <c r="BH79" s="115"/>
    </row>
    <row r="80" spans="1:60" ht="15.75" customHeight="1" x14ac:dyDescent="0.25">
      <c r="A80" s="11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5"/>
      <c r="AY80" s="115"/>
      <c r="AZ80" s="115"/>
      <c r="BA80" s="115"/>
      <c r="BB80" s="115"/>
      <c r="BC80" s="115"/>
      <c r="BD80" s="115"/>
      <c r="BE80" s="115"/>
      <c r="BF80" s="115"/>
      <c r="BG80" s="115"/>
      <c r="BH80" s="115"/>
    </row>
    <row r="81" spans="1:60" ht="15.75" customHeight="1" x14ac:dyDescent="0.25">
      <c r="A81" s="1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c r="BD81" s="115"/>
      <c r="BE81" s="115"/>
      <c r="BF81" s="115"/>
      <c r="BG81" s="115"/>
      <c r="BH81" s="115"/>
    </row>
    <row r="82" spans="1:60" ht="15.75" customHeight="1" x14ac:dyDescent="0.25">
      <c r="A82" s="1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c r="BD82" s="115"/>
      <c r="BE82" s="115"/>
      <c r="BF82" s="115"/>
      <c r="BG82" s="115"/>
      <c r="BH82" s="115"/>
    </row>
    <row r="83" spans="1:60" ht="15.75" customHeight="1" x14ac:dyDescent="0.25">
      <c r="A83" s="11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c r="AV83" s="115"/>
      <c r="AW83" s="115"/>
      <c r="AX83" s="115"/>
      <c r="AY83" s="115"/>
      <c r="AZ83" s="115"/>
      <c r="BA83" s="115"/>
      <c r="BB83" s="115"/>
      <c r="BC83" s="115"/>
      <c r="BD83" s="115"/>
      <c r="BE83" s="115"/>
      <c r="BF83" s="115"/>
      <c r="BG83" s="115"/>
      <c r="BH83" s="115"/>
    </row>
    <row r="84" spans="1:60" ht="15.75" customHeight="1" x14ac:dyDescent="0.2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row>
    <row r="85" spans="1:60" ht="15.75" customHeight="1" x14ac:dyDescent="0.25">
      <c r="A85" s="11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c r="BG85" s="115"/>
      <c r="BH85" s="115"/>
    </row>
    <row r="86" spans="1:60" ht="15.75" customHeight="1" x14ac:dyDescent="0.25">
      <c r="A86" s="11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c r="BG86" s="115"/>
      <c r="BH86" s="115"/>
    </row>
    <row r="87" spans="1:60" ht="15.75" customHeight="1" x14ac:dyDescent="0.25">
      <c r="A87" s="11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c r="BG87" s="115"/>
      <c r="BH87" s="115"/>
    </row>
    <row r="88" spans="1:60" ht="15.75" customHeight="1" x14ac:dyDescent="0.25">
      <c r="A88" s="11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c r="AN88" s="115"/>
      <c r="AO88" s="115"/>
      <c r="AP88" s="115"/>
      <c r="AQ88" s="115"/>
      <c r="AR88" s="115"/>
      <c r="AS88" s="115"/>
      <c r="AT88" s="115"/>
      <c r="AU88" s="115"/>
      <c r="AV88" s="115"/>
      <c r="AW88" s="115"/>
      <c r="AX88" s="115"/>
      <c r="AY88" s="115"/>
      <c r="AZ88" s="115"/>
      <c r="BA88" s="115"/>
      <c r="BB88" s="115"/>
      <c r="BC88" s="115"/>
      <c r="BD88" s="115"/>
      <c r="BE88" s="115"/>
      <c r="BF88" s="115"/>
      <c r="BG88" s="115"/>
      <c r="BH88" s="115"/>
    </row>
    <row r="89" spans="1:60" ht="15.75" customHeight="1" x14ac:dyDescent="0.25">
      <c r="A89" s="11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c r="AN89" s="115"/>
      <c r="AO89" s="115"/>
      <c r="AP89" s="115"/>
      <c r="AQ89" s="115"/>
      <c r="AR89" s="115"/>
      <c r="AS89" s="115"/>
      <c r="AT89" s="115"/>
      <c r="AU89" s="115"/>
      <c r="AV89" s="115"/>
      <c r="AW89" s="115"/>
      <c r="AX89" s="115"/>
      <c r="AY89" s="115"/>
      <c r="AZ89" s="115"/>
      <c r="BA89" s="115"/>
      <c r="BB89" s="115"/>
      <c r="BC89" s="115"/>
      <c r="BD89" s="115"/>
      <c r="BE89" s="115"/>
      <c r="BF89" s="115"/>
      <c r="BG89" s="115"/>
      <c r="BH89" s="115"/>
    </row>
    <row r="90" spans="1:60" ht="15.75" customHeight="1" x14ac:dyDescent="0.25">
      <c r="A90" s="11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c r="AP90" s="115"/>
      <c r="AQ90" s="115"/>
      <c r="AR90" s="115"/>
      <c r="AS90" s="115"/>
      <c r="AT90" s="115"/>
      <c r="AU90" s="115"/>
      <c r="AV90" s="115"/>
      <c r="AW90" s="115"/>
      <c r="AX90" s="115"/>
      <c r="AY90" s="115"/>
      <c r="AZ90" s="115"/>
      <c r="BA90" s="115"/>
      <c r="BB90" s="115"/>
      <c r="BC90" s="115"/>
      <c r="BD90" s="115"/>
      <c r="BE90" s="115"/>
      <c r="BF90" s="115"/>
      <c r="BG90" s="115"/>
      <c r="BH90" s="115"/>
    </row>
    <row r="91" spans="1:60" ht="15.75" customHeight="1" x14ac:dyDescent="0.2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c r="AP91" s="115"/>
      <c r="AQ91" s="115"/>
      <c r="AR91" s="115"/>
      <c r="AS91" s="115"/>
      <c r="AT91" s="115"/>
      <c r="AU91" s="115"/>
      <c r="AV91" s="115"/>
      <c r="AW91" s="115"/>
      <c r="AX91" s="115"/>
      <c r="AY91" s="115"/>
      <c r="AZ91" s="115"/>
      <c r="BA91" s="115"/>
      <c r="BB91" s="115"/>
      <c r="BC91" s="115"/>
      <c r="BD91" s="115"/>
      <c r="BE91" s="115"/>
      <c r="BF91" s="115"/>
      <c r="BG91" s="115"/>
      <c r="BH91" s="115"/>
    </row>
    <row r="92" spans="1:60" ht="15.75" customHeight="1" x14ac:dyDescent="0.2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5"/>
      <c r="BF92" s="115"/>
      <c r="BG92" s="115"/>
      <c r="BH92" s="115"/>
    </row>
    <row r="93" spans="1:60" ht="15.75" customHeight="1" x14ac:dyDescent="0.25">
      <c r="A93" s="11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115"/>
      <c r="AQ93" s="115"/>
      <c r="AR93" s="115"/>
      <c r="AS93" s="115"/>
      <c r="AT93" s="115"/>
      <c r="AU93" s="115"/>
      <c r="AV93" s="115"/>
      <c r="AW93" s="115"/>
      <c r="AX93" s="115"/>
      <c r="AY93" s="115"/>
      <c r="AZ93" s="115"/>
      <c r="BA93" s="115"/>
      <c r="BB93" s="115"/>
      <c r="BC93" s="115"/>
      <c r="BD93" s="115"/>
      <c r="BE93" s="115"/>
      <c r="BF93" s="115"/>
      <c r="BG93" s="115"/>
      <c r="BH93" s="115"/>
    </row>
    <row r="94" spans="1:60" ht="15.75" customHeight="1" x14ac:dyDescent="0.2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c r="BG94" s="115"/>
      <c r="BH94" s="115"/>
    </row>
    <row r="95" spans="1:60" ht="15.75" customHeight="1" x14ac:dyDescent="0.25">
      <c r="A95" s="115"/>
      <c r="B95" s="115"/>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c r="BG95" s="115"/>
      <c r="BH95" s="115"/>
    </row>
    <row r="96" spans="1:60" ht="15.75" customHeight="1" x14ac:dyDescent="0.25">
      <c r="A96" s="115"/>
      <c r="B96" s="115"/>
      <c r="C96" s="115"/>
      <c r="D96" s="115"/>
      <c r="E96" s="115"/>
      <c r="F96" s="115"/>
      <c r="G96" s="115"/>
      <c r="H96" s="115"/>
      <c r="I96" s="115"/>
      <c r="J96" s="115"/>
      <c r="K96" s="115"/>
      <c r="L96" s="115"/>
      <c r="M96" s="115"/>
      <c r="N96" s="115"/>
      <c r="O96" s="115"/>
      <c r="P96" s="115"/>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c r="AN96" s="115"/>
      <c r="AO96" s="115"/>
      <c r="AP96" s="115"/>
      <c r="AQ96" s="115"/>
      <c r="AR96" s="115"/>
      <c r="AS96" s="115"/>
      <c r="AT96" s="115"/>
      <c r="AU96" s="115"/>
      <c r="AV96" s="115"/>
      <c r="AW96" s="115"/>
      <c r="AX96" s="115"/>
      <c r="AY96" s="115"/>
      <c r="AZ96" s="115"/>
      <c r="BA96" s="115"/>
      <c r="BB96" s="115"/>
      <c r="BC96" s="115"/>
      <c r="BD96" s="115"/>
      <c r="BE96" s="115"/>
      <c r="BF96" s="115"/>
      <c r="BG96" s="115"/>
      <c r="BH96" s="115"/>
    </row>
    <row r="97" spans="1:60" ht="15.75" customHeight="1" x14ac:dyDescent="0.25">
      <c r="A97" s="115"/>
      <c r="B97" s="115"/>
      <c r="C97" s="115"/>
      <c r="D97" s="115"/>
      <c r="E97" s="115"/>
      <c r="F97" s="115"/>
      <c r="G97" s="115"/>
      <c r="H97" s="115"/>
      <c r="I97" s="115"/>
      <c r="J97" s="115"/>
      <c r="K97" s="115"/>
      <c r="L97" s="115"/>
      <c r="M97" s="115"/>
      <c r="N97" s="115"/>
      <c r="O97" s="115"/>
      <c r="P97" s="115"/>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c r="AN97" s="115"/>
      <c r="AO97" s="115"/>
      <c r="AP97" s="115"/>
      <c r="AQ97" s="115"/>
      <c r="AR97" s="115"/>
      <c r="AS97" s="115"/>
      <c r="AT97" s="115"/>
      <c r="AU97" s="115"/>
      <c r="AV97" s="115"/>
      <c r="AW97" s="115"/>
      <c r="AX97" s="115"/>
      <c r="AY97" s="115"/>
      <c r="AZ97" s="115"/>
      <c r="BA97" s="115"/>
      <c r="BB97" s="115"/>
      <c r="BC97" s="115"/>
      <c r="BD97" s="115"/>
      <c r="BE97" s="115"/>
      <c r="BF97" s="115"/>
      <c r="BG97" s="115"/>
      <c r="BH97" s="115"/>
    </row>
    <row r="98" spans="1:60" ht="15.75" customHeight="1" x14ac:dyDescent="0.25">
      <c r="A98" s="115"/>
      <c r="B98" s="115"/>
      <c r="C98" s="115"/>
      <c r="D98" s="115"/>
      <c r="E98" s="115"/>
      <c r="F98" s="115"/>
      <c r="G98" s="115"/>
      <c r="H98" s="115"/>
      <c r="I98" s="115"/>
      <c r="J98" s="115"/>
      <c r="K98" s="115"/>
      <c r="L98" s="115"/>
      <c r="M98" s="115"/>
      <c r="N98" s="115"/>
      <c r="O98" s="115"/>
      <c r="P98" s="115"/>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c r="AN98" s="115"/>
      <c r="AO98" s="115"/>
      <c r="AP98" s="115"/>
      <c r="AQ98" s="115"/>
      <c r="AR98" s="115"/>
      <c r="AS98" s="115"/>
      <c r="AT98" s="115"/>
      <c r="AU98" s="115"/>
      <c r="AV98" s="115"/>
      <c r="AW98" s="115"/>
      <c r="AX98" s="115"/>
      <c r="AY98" s="115"/>
      <c r="AZ98" s="115"/>
      <c r="BA98" s="115"/>
      <c r="BB98" s="115"/>
      <c r="BC98" s="115"/>
      <c r="BD98" s="115"/>
      <c r="BE98" s="115"/>
      <c r="BF98" s="115"/>
      <c r="BG98" s="115"/>
      <c r="BH98" s="115"/>
    </row>
    <row r="99" spans="1:60" ht="15.75" customHeight="1" x14ac:dyDescent="0.25">
      <c r="A99" s="115"/>
      <c r="B99" s="115"/>
      <c r="C99" s="115"/>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c r="BF99" s="115"/>
      <c r="BG99" s="115"/>
      <c r="BH99" s="115"/>
    </row>
    <row r="100" spans="1:60" ht="15.75" customHeight="1" x14ac:dyDescent="0.25">
      <c r="A100" s="115"/>
      <c r="B100" s="115"/>
      <c r="C100" s="115"/>
      <c r="D100" s="115"/>
      <c r="E100" s="115"/>
      <c r="F100" s="115"/>
      <c r="G100" s="115"/>
      <c r="H100" s="115"/>
      <c r="I100" s="115"/>
      <c r="J100" s="115"/>
      <c r="K100" s="115"/>
      <c r="L100" s="115"/>
      <c r="M100" s="115"/>
      <c r="N100" s="115"/>
      <c r="O100" s="115"/>
      <c r="P100" s="115"/>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c r="AN100" s="115"/>
      <c r="AO100" s="115"/>
      <c r="AP100" s="115"/>
      <c r="AQ100" s="115"/>
      <c r="AR100" s="115"/>
      <c r="AS100" s="115"/>
      <c r="AT100" s="115"/>
      <c r="AU100" s="115"/>
      <c r="AV100" s="115"/>
      <c r="AW100" s="115"/>
      <c r="AX100" s="115"/>
      <c r="AY100" s="115"/>
      <c r="AZ100" s="115"/>
      <c r="BA100" s="115"/>
      <c r="BB100" s="115"/>
      <c r="BC100" s="115"/>
      <c r="BD100" s="115"/>
      <c r="BE100" s="115"/>
      <c r="BF100" s="115"/>
      <c r="BG100" s="115"/>
      <c r="BH100" s="115"/>
    </row>
    <row r="101" spans="1:60" ht="15.75" customHeight="1" x14ac:dyDescent="0.25">
      <c r="A101" s="115"/>
      <c r="B101" s="115"/>
      <c r="C101" s="115"/>
      <c r="D101" s="115"/>
      <c r="E101" s="115"/>
      <c r="F101" s="115"/>
      <c r="G101" s="115"/>
      <c r="H101" s="115"/>
      <c r="I101" s="115"/>
      <c r="J101" s="115"/>
      <c r="K101" s="115"/>
      <c r="L101" s="115"/>
      <c r="M101" s="115"/>
      <c r="N101" s="115"/>
      <c r="O101" s="115"/>
      <c r="P101" s="115"/>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c r="AN101" s="115"/>
      <c r="AO101" s="115"/>
      <c r="AP101" s="115"/>
      <c r="AQ101" s="115"/>
      <c r="AR101" s="115"/>
      <c r="AS101" s="115"/>
      <c r="AT101" s="115"/>
      <c r="AU101" s="115"/>
      <c r="AV101" s="115"/>
      <c r="AW101" s="115"/>
      <c r="AX101" s="115"/>
      <c r="AY101" s="115"/>
      <c r="AZ101" s="115"/>
      <c r="BA101" s="115"/>
      <c r="BB101" s="115"/>
      <c r="BC101" s="115"/>
      <c r="BD101" s="115"/>
      <c r="BE101" s="115"/>
      <c r="BF101" s="115"/>
      <c r="BG101" s="115"/>
      <c r="BH101" s="115"/>
    </row>
    <row r="102" spans="1:60" ht="15.75" customHeight="1" x14ac:dyDescent="0.25">
      <c r="A102" s="1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c r="BG102" s="115"/>
      <c r="BH102" s="115"/>
    </row>
    <row r="103" spans="1:60" ht="15.75" customHeight="1" x14ac:dyDescent="0.25">
      <c r="A103" s="115"/>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5"/>
      <c r="AT103" s="115"/>
      <c r="AU103" s="115"/>
      <c r="AV103" s="115"/>
      <c r="AW103" s="115"/>
      <c r="AX103" s="115"/>
      <c r="AY103" s="115"/>
      <c r="AZ103" s="115"/>
      <c r="BA103" s="115"/>
      <c r="BB103" s="115"/>
      <c r="BC103" s="115"/>
      <c r="BD103" s="115"/>
      <c r="BE103" s="115"/>
      <c r="BF103" s="115"/>
      <c r="BG103" s="115"/>
      <c r="BH103" s="115"/>
    </row>
    <row r="104" spans="1:60" ht="15.75" customHeight="1" x14ac:dyDescent="0.25">
      <c r="A104" s="115"/>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c r="BG104" s="115"/>
      <c r="BH104" s="115"/>
    </row>
    <row r="105" spans="1:60" ht="15.75" customHeight="1" x14ac:dyDescent="0.25">
      <c r="A105" s="115"/>
      <c r="B105" s="115"/>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15"/>
      <c r="BF105" s="115"/>
      <c r="BG105" s="115"/>
      <c r="BH105" s="115"/>
    </row>
    <row r="106" spans="1:60" ht="15.75" customHeight="1" x14ac:dyDescent="0.25">
      <c r="A106" s="115"/>
      <c r="B106" s="115"/>
      <c r="C106" s="115"/>
      <c r="D106" s="115"/>
      <c r="E106" s="115"/>
      <c r="F106" s="115"/>
      <c r="G106" s="115"/>
      <c r="H106" s="115"/>
      <c r="I106" s="115"/>
      <c r="J106" s="115"/>
      <c r="K106" s="115"/>
      <c r="L106" s="115"/>
      <c r="M106" s="115"/>
      <c r="N106" s="115"/>
      <c r="O106" s="115"/>
      <c r="P106" s="115"/>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5"/>
      <c r="AT106" s="115"/>
      <c r="AU106" s="115"/>
      <c r="AV106" s="115"/>
      <c r="AW106" s="115"/>
      <c r="AX106" s="115"/>
      <c r="AY106" s="115"/>
      <c r="AZ106" s="115"/>
      <c r="BA106" s="115"/>
      <c r="BB106" s="115"/>
      <c r="BC106" s="115"/>
      <c r="BD106" s="115"/>
      <c r="BE106" s="115"/>
      <c r="BF106" s="115"/>
      <c r="BG106" s="115"/>
      <c r="BH106" s="115"/>
    </row>
    <row r="107" spans="1:60" ht="15.75" customHeight="1" x14ac:dyDescent="0.25">
      <c r="A107" s="115"/>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115"/>
    </row>
    <row r="108" spans="1:60" ht="15.75" customHeight="1" x14ac:dyDescent="0.25">
      <c r="A108" s="11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c r="AN108" s="115"/>
      <c r="AO108" s="115"/>
      <c r="AP108" s="115"/>
      <c r="AQ108" s="115"/>
      <c r="AR108" s="115"/>
      <c r="AS108" s="115"/>
      <c r="AT108" s="115"/>
      <c r="AU108" s="115"/>
      <c r="AV108" s="115"/>
      <c r="AW108" s="115"/>
      <c r="AX108" s="115"/>
      <c r="AY108" s="115"/>
      <c r="AZ108" s="115"/>
      <c r="BA108" s="115"/>
      <c r="BB108" s="115"/>
      <c r="BC108" s="115"/>
      <c r="BD108" s="115"/>
      <c r="BE108" s="115"/>
      <c r="BF108" s="115"/>
      <c r="BG108" s="115"/>
      <c r="BH108" s="115"/>
    </row>
    <row r="109" spans="1:60" ht="15.75" customHeight="1" x14ac:dyDescent="0.25">
      <c r="A109" s="115"/>
      <c r="B109" s="115"/>
      <c r="C109" s="115"/>
      <c r="D109" s="115"/>
      <c r="E109" s="115"/>
      <c r="F109" s="115"/>
      <c r="G109" s="115"/>
      <c r="H109" s="115"/>
      <c r="I109" s="115"/>
      <c r="J109" s="115"/>
      <c r="K109" s="115"/>
      <c r="L109" s="115"/>
      <c r="M109" s="115"/>
      <c r="N109" s="115"/>
      <c r="O109" s="115"/>
      <c r="P109" s="115"/>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c r="AN109" s="115"/>
      <c r="AO109" s="115"/>
      <c r="AP109" s="115"/>
      <c r="AQ109" s="115"/>
      <c r="AR109" s="115"/>
      <c r="AS109" s="115"/>
      <c r="AT109" s="115"/>
      <c r="AU109" s="115"/>
      <c r="AV109" s="115"/>
      <c r="AW109" s="115"/>
      <c r="AX109" s="115"/>
      <c r="AY109" s="115"/>
      <c r="AZ109" s="115"/>
      <c r="BA109" s="115"/>
      <c r="BB109" s="115"/>
      <c r="BC109" s="115"/>
      <c r="BD109" s="115"/>
      <c r="BE109" s="115"/>
      <c r="BF109" s="115"/>
      <c r="BG109" s="115"/>
      <c r="BH109" s="115"/>
    </row>
    <row r="110" spans="1:60" ht="15.75" customHeight="1" x14ac:dyDescent="0.25">
      <c r="A110" s="115"/>
      <c r="B110" s="115"/>
      <c r="C110" s="115"/>
      <c r="D110" s="115"/>
      <c r="E110" s="115"/>
      <c r="F110" s="115"/>
      <c r="G110" s="115"/>
      <c r="H110" s="115"/>
      <c r="I110" s="115"/>
      <c r="J110" s="115"/>
      <c r="K110" s="115"/>
      <c r="L110" s="115"/>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115"/>
      <c r="BH110" s="115"/>
    </row>
    <row r="111" spans="1:60" ht="15.75" customHeight="1" x14ac:dyDescent="0.25">
      <c r="A111" s="115"/>
      <c r="B111" s="115"/>
      <c r="C111" s="115"/>
      <c r="D111" s="115"/>
      <c r="E111" s="115"/>
      <c r="F111" s="115"/>
      <c r="G111" s="115"/>
      <c r="H111" s="115"/>
      <c r="I111" s="115"/>
      <c r="J111" s="115"/>
      <c r="K111" s="115"/>
      <c r="L111" s="115"/>
      <c r="M111" s="115"/>
      <c r="N111" s="115"/>
      <c r="O111" s="115"/>
      <c r="P111" s="115"/>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c r="AN111" s="115"/>
      <c r="AO111" s="115"/>
      <c r="AP111" s="115"/>
      <c r="AQ111" s="115"/>
      <c r="AR111" s="115"/>
      <c r="AS111" s="115"/>
      <c r="AT111" s="115"/>
      <c r="AU111" s="115"/>
      <c r="AV111" s="115"/>
      <c r="AW111" s="115"/>
      <c r="AX111" s="115"/>
      <c r="AY111" s="115"/>
      <c r="AZ111" s="115"/>
      <c r="BA111" s="115"/>
      <c r="BB111" s="115"/>
      <c r="BC111" s="115"/>
      <c r="BD111" s="115"/>
      <c r="BE111" s="115"/>
      <c r="BF111" s="115"/>
      <c r="BG111" s="115"/>
      <c r="BH111" s="115"/>
    </row>
    <row r="112" spans="1:60" ht="15.75" customHeight="1" x14ac:dyDescent="0.25">
      <c r="A112" s="115"/>
      <c r="B112" s="115"/>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15"/>
      <c r="BF112" s="115"/>
      <c r="BG112" s="115"/>
      <c r="BH112" s="115"/>
    </row>
    <row r="113" spans="1:60" ht="15.75" customHeight="1" x14ac:dyDescent="0.25">
      <c r="A113" s="115"/>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c r="AN113" s="115"/>
      <c r="AO113" s="115"/>
      <c r="AP113" s="115"/>
      <c r="AQ113" s="115"/>
      <c r="AR113" s="115"/>
      <c r="AS113" s="115"/>
      <c r="AT113" s="115"/>
      <c r="AU113" s="115"/>
      <c r="AV113" s="115"/>
      <c r="AW113" s="115"/>
      <c r="AX113" s="115"/>
      <c r="AY113" s="115"/>
      <c r="AZ113" s="115"/>
      <c r="BA113" s="115"/>
      <c r="BB113" s="115"/>
      <c r="BC113" s="115"/>
      <c r="BD113" s="115"/>
      <c r="BE113" s="115"/>
      <c r="BF113" s="115"/>
      <c r="BG113" s="115"/>
      <c r="BH113" s="115"/>
    </row>
    <row r="114" spans="1:60" ht="15.75" customHeight="1" x14ac:dyDescent="0.25">
      <c r="A114" s="115"/>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15"/>
      <c r="AY114" s="115"/>
      <c r="AZ114" s="115"/>
      <c r="BA114" s="115"/>
      <c r="BB114" s="115"/>
      <c r="BC114" s="115"/>
      <c r="BD114" s="115"/>
      <c r="BE114" s="115"/>
      <c r="BF114" s="115"/>
      <c r="BG114" s="115"/>
      <c r="BH114" s="115"/>
    </row>
    <row r="115" spans="1:60" ht="15.75" customHeight="1" x14ac:dyDescent="0.25">
      <c r="A115" s="115"/>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c r="AN115" s="115"/>
      <c r="AO115" s="115"/>
      <c r="AP115" s="115"/>
      <c r="AQ115" s="115"/>
      <c r="AR115" s="115"/>
      <c r="AS115" s="115"/>
      <c r="AT115" s="115"/>
      <c r="AU115" s="115"/>
      <c r="AV115" s="115"/>
      <c r="AW115" s="115"/>
      <c r="AX115" s="115"/>
      <c r="AY115" s="115"/>
      <c r="AZ115" s="115"/>
      <c r="BA115" s="115"/>
      <c r="BB115" s="115"/>
      <c r="BC115" s="115"/>
      <c r="BD115" s="115"/>
      <c r="BE115" s="115"/>
      <c r="BF115" s="115"/>
      <c r="BG115" s="115"/>
      <c r="BH115" s="115"/>
    </row>
    <row r="116" spans="1:60" ht="15.75" customHeight="1" x14ac:dyDescent="0.25">
      <c r="A116" s="115"/>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5"/>
      <c r="BF116" s="115"/>
      <c r="BG116" s="115"/>
      <c r="BH116" s="115"/>
    </row>
    <row r="117" spans="1:60" ht="15.75" customHeight="1" x14ac:dyDescent="0.25">
      <c r="A117" s="115"/>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c r="AN117" s="115"/>
      <c r="AO117" s="115"/>
      <c r="AP117" s="115"/>
      <c r="AQ117" s="115"/>
      <c r="AR117" s="115"/>
      <c r="AS117" s="115"/>
      <c r="AT117" s="115"/>
      <c r="AU117" s="115"/>
      <c r="AV117" s="115"/>
      <c r="AW117" s="115"/>
      <c r="AX117" s="115"/>
      <c r="AY117" s="115"/>
      <c r="AZ117" s="115"/>
      <c r="BA117" s="115"/>
      <c r="BB117" s="115"/>
      <c r="BC117" s="115"/>
      <c r="BD117" s="115"/>
      <c r="BE117" s="115"/>
      <c r="BF117" s="115"/>
      <c r="BG117" s="115"/>
      <c r="BH117" s="115"/>
    </row>
    <row r="118" spans="1:60" ht="15.75" customHeight="1" x14ac:dyDescent="0.25">
      <c r="A118" s="115"/>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c r="BG118" s="115"/>
      <c r="BH118" s="115"/>
    </row>
    <row r="119" spans="1:60" ht="15.75" customHeight="1" x14ac:dyDescent="0.25">
      <c r="A119" s="115"/>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15"/>
      <c r="BF119" s="115"/>
      <c r="BG119" s="115"/>
      <c r="BH119" s="115"/>
    </row>
    <row r="120" spans="1:60" ht="15.75" customHeight="1" x14ac:dyDescent="0.25">
      <c r="A120" s="115"/>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W120" s="115"/>
      <c r="AX120" s="115"/>
      <c r="AY120" s="115"/>
      <c r="AZ120" s="115"/>
      <c r="BA120" s="115"/>
      <c r="BB120" s="115"/>
      <c r="BC120" s="115"/>
      <c r="BD120" s="115"/>
      <c r="BE120" s="115"/>
      <c r="BF120" s="115"/>
      <c r="BG120" s="115"/>
      <c r="BH120" s="115"/>
    </row>
    <row r="121" spans="1:60" ht="15.75" customHeight="1" x14ac:dyDescent="0.25">
      <c r="A121" s="11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W121" s="115"/>
      <c r="AX121" s="115"/>
      <c r="AY121" s="115"/>
      <c r="AZ121" s="115"/>
      <c r="BA121" s="115"/>
      <c r="BB121" s="115"/>
      <c r="BC121" s="115"/>
      <c r="BD121" s="115"/>
      <c r="BE121" s="115"/>
      <c r="BF121" s="115"/>
      <c r="BG121" s="115"/>
      <c r="BH121" s="115"/>
    </row>
    <row r="122" spans="1:60" ht="15.75" customHeight="1" x14ac:dyDescent="0.25">
      <c r="A122" s="115"/>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115"/>
      <c r="BF122" s="115"/>
      <c r="BG122" s="115"/>
      <c r="BH122" s="115"/>
    </row>
    <row r="123" spans="1:60" ht="15.75" customHeight="1" x14ac:dyDescent="0.25">
      <c r="A123" s="115"/>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c r="AN123" s="115"/>
      <c r="AO123" s="115"/>
      <c r="AP123" s="115"/>
      <c r="AQ123" s="115"/>
      <c r="AR123" s="115"/>
      <c r="AS123" s="115"/>
      <c r="AT123" s="115"/>
      <c r="AU123" s="115"/>
      <c r="AV123" s="115"/>
      <c r="AW123" s="115"/>
      <c r="AX123" s="115"/>
      <c r="AY123" s="115"/>
      <c r="AZ123" s="115"/>
      <c r="BA123" s="115"/>
      <c r="BB123" s="115"/>
      <c r="BC123" s="115"/>
      <c r="BD123" s="115"/>
      <c r="BE123" s="115"/>
      <c r="BF123" s="115"/>
      <c r="BG123" s="115"/>
      <c r="BH123" s="115"/>
    </row>
    <row r="124" spans="1:60" ht="15.75" customHeight="1" x14ac:dyDescent="0.25">
      <c r="A124" s="115"/>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115"/>
      <c r="BH124" s="115"/>
    </row>
    <row r="125" spans="1:60" ht="15.75" customHeight="1" x14ac:dyDescent="0.25">
      <c r="A125" s="115"/>
      <c r="B125" s="115"/>
      <c r="C125" s="115"/>
      <c r="D125" s="115"/>
      <c r="E125" s="115"/>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row>
    <row r="126" spans="1:60" ht="15.75" customHeight="1" x14ac:dyDescent="0.25">
      <c r="A126" s="11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5"/>
      <c r="BF126" s="115"/>
      <c r="BG126" s="115"/>
      <c r="BH126" s="115"/>
    </row>
    <row r="127" spans="1:60" ht="15.75" customHeight="1" x14ac:dyDescent="0.25">
      <c r="A127" s="115"/>
      <c r="B127" s="115"/>
      <c r="C127" s="115"/>
      <c r="D127" s="115"/>
      <c r="E127" s="115"/>
      <c r="F127" s="115"/>
      <c r="G127" s="115"/>
      <c r="H127" s="115"/>
      <c r="I127" s="115"/>
      <c r="J127" s="115"/>
      <c r="K127" s="115"/>
      <c r="L127" s="115"/>
      <c r="M127" s="115"/>
      <c r="N127" s="115"/>
      <c r="O127" s="115"/>
      <c r="P127" s="115"/>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c r="AN127" s="115"/>
      <c r="AO127" s="115"/>
      <c r="AP127" s="115"/>
      <c r="AQ127" s="115"/>
      <c r="AR127" s="115"/>
      <c r="AS127" s="115"/>
      <c r="AT127" s="115"/>
      <c r="AU127" s="115"/>
      <c r="AV127" s="115"/>
      <c r="AW127" s="115"/>
      <c r="AX127" s="115"/>
      <c r="AY127" s="115"/>
      <c r="AZ127" s="115"/>
      <c r="BA127" s="115"/>
      <c r="BB127" s="115"/>
      <c r="BC127" s="115"/>
      <c r="BD127" s="115"/>
      <c r="BE127" s="115"/>
      <c r="BF127" s="115"/>
      <c r="BG127" s="115"/>
      <c r="BH127" s="115"/>
    </row>
    <row r="128" spans="1:60" ht="15.75" customHeight="1" x14ac:dyDescent="0.25">
      <c r="A128" s="115"/>
      <c r="B128" s="115"/>
      <c r="C128" s="115"/>
      <c r="D128" s="115"/>
      <c r="E128" s="115"/>
      <c r="F128" s="115"/>
      <c r="G128" s="115"/>
      <c r="H128" s="115"/>
      <c r="I128" s="115"/>
      <c r="J128" s="115"/>
      <c r="K128" s="115"/>
      <c r="L128" s="115"/>
      <c r="M128" s="115"/>
      <c r="N128" s="115"/>
      <c r="O128" s="115"/>
      <c r="P128" s="115"/>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c r="AN128" s="115"/>
      <c r="AO128" s="115"/>
      <c r="AP128" s="115"/>
      <c r="AQ128" s="115"/>
      <c r="AR128" s="115"/>
      <c r="AS128" s="115"/>
      <c r="AT128" s="115"/>
      <c r="AU128" s="115"/>
      <c r="AV128" s="115"/>
      <c r="AW128" s="115"/>
      <c r="AX128" s="115"/>
      <c r="AY128" s="115"/>
      <c r="AZ128" s="115"/>
      <c r="BA128" s="115"/>
      <c r="BB128" s="115"/>
      <c r="BC128" s="115"/>
      <c r="BD128" s="115"/>
      <c r="BE128" s="115"/>
      <c r="BF128" s="115"/>
      <c r="BG128" s="115"/>
      <c r="BH128" s="115"/>
    </row>
    <row r="129" spans="1:60" ht="15.75" customHeight="1" x14ac:dyDescent="0.25">
      <c r="A129" s="11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c r="BG129" s="115"/>
      <c r="BH129" s="115"/>
    </row>
    <row r="130" spans="1:60" ht="15.75" customHeight="1" x14ac:dyDescent="0.25">
      <c r="A130" s="115"/>
      <c r="B130" s="115"/>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15"/>
      <c r="BF130" s="115"/>
      <c r="BG130" s="115"/>
      <c r="BH130" s="115"/>
    </row>
    <row r="131" spans="1:60" ht="15.75" customHeight="1" x14ac:dyDescent="0.25">
      <c r="A131" s="115"/>
      <c r="B131" s="115"/>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c r="AN131" s="115"/>
      <c r="AO131" s="115"/>
      <c r="AP131" s="115"/>
      <c r="AQ131" s="115"/>
      <c r="AR131" s="115"/>
      <c r="AS131" s="115"/>
      <c r="AT131" s="115"/>
      <c r="AU131" s="115"/>
      <c r="AV131" s="115"/>
      <c r="AW131" s="115"/>
      <c r="AX131" s="115"/>
      <c r="AY131" s="115"/>
      <c r="AZ131" s="115"/>
      <c r="BA131" s="115"/>
      <c r="BB131" s="115"/>
      <c r="BC131" s="115"/>
      <c r="BD131" s="115"/>
      <c r="BE131" s="115"/>
      <c r="BF131" s="115"/>
      <c r="BG131" s="115"/>
      <c r="BH131" s="115"/>
    </row>
    <row r="132" spans="1:60" ht="15.75" customHeight="1" x14ac:dyDescent="0.25">
      <c r="A132" s="11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row>
    <row r="133" spans="1:60" ht="15.75" customHeight="1" x14ac:dyDescent="0.25">
      <c r="A133" s="11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c r="AN133" s="115"/>
      <c r="AO133" s="115"/>
      <c r="AP133" s="115"/>
      <c r="AQ133" s="115"/>
      <c r="AR133" s="115"/>
      <c r="AS133" s="115"/>
      <c r="AT133" s="115"/>
      <c r="AU133" s="115"/>
      <c r="AV133" s="115"/>
      <c r="AW133" s="115"/>
      <c r="AX133" s="115"/>
      <c r="AY133" s="115"/>
      <c r="AZ133" s="115"/>
      <c r="BA133" s="115"/>
      <c r="BB133" s="115"/>
      <c r="BC133" s="115"/>
      <c r="BD133" s="115"/>
      <c r="BE133" s="115"/>
      <c r="BF133" s="115"/>
      <c r="BG133" s="115"/>
      <c r="BH133" s="115"/>
    </row>
    <row r="134" spans="1:60" ht="15.75" customHeight="1" x14ac:dyDescent="0.25">
      <c r="A134" s="115"/>
      <c r="B134" s="115"/>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c r="BF134" s="115"/>
      <c r="BG134" s="115"/>
      <c r="BH134" s="115"/>
    </row>
    <row r="135" spans="1:60" ht="15.75" customHeight="1" x14ac:dyDescent="0.25">
      <c r="A135" s="115"/>
      <c r="B135" s="115"/>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115"/>
      <c r="BH135" s="115"/>
    </row>
    <row r="136" spans="1:60" ht="15.75" customHeight="1" x14ac:dyDescent="0.25">
      <c r="A136" s="115"/>
      <c r="B136" s="115"/>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c r="AN136" s="115"/>
      <c r="AO136" s="115"/>
      <c r="AP136" s="115"/>
      <c r="AQ136" s="115"/>
      <c r="AR136" s="115"/>
      <c r="AS136" s="115"/>
      <c r="AT136" s="115"/>
      <c r="AU136" s="115"/>
      <c r="AV136" s="115"/>
      <c r="AW136" s="115"/>
      <c r="AX136" s="115"/>
      <c r="AY136" s="115"/>
      <c r="AZ136" s="115"/>
      <c r="BA136" s="115"/>
      <c r="BB136" s="115"/>
      <c r="BC136" s="115"/>
      <c r="BD136" s="115"/>
      <c r="BE136" s="115"/>
      <c r="BF136" s="115"/>
      <c r="BG136" s="115"/>
      <c r="BH136" s="115"/>
    </row>
    <row r="137" spans="1:60" ht="15.75" customHeight="1" x14ac:dyDescent="0.25">
      <c r="A137" s="115"/>
      <c r="B137" s="115"/>
      <c r="C137" s="115"/>
      <c r="D137" s="115"/>
      <c r="E137" s="115"/>
      <c r="F137" s="115"/>
      <c r="G137" s="115"/>
      <c r="H137" s="115"/>
      <c r="I137" s="115"/>
      <c r="J137" s="115"/>
      <c r="K137" s="115"/>
      <c r="L137" s="115"/>
      <c r="M137" s="115"/>
      <c r="N137" s="115"/>
      <c r="O137" s="115"/>
      <c r="P137" s="115"/>
      <c r="Q137" s="115"/>
      <c r="R137" s="115"/>
      <c r="S137" s="115"/>
      <c r="T137" s="115"/>
      <c r="U137" s="115"/>
      <c r="V137" s="115"/>
      <c r="W137" s="115"/>
      <c r="X137" s="115"/>
      <c r="Y137" s="115"/>
      <c r="Z137" s="115"/>
      <c r="AA137" s="115"/>
      <c r="AB137" s="115"/>
      <c r="AC137" s="115"/>
      <c r="AD137" s="115"/>
      <c r="AE137" s="115"/>
      <c r="AF137" s="115"/>
      <c r="AG137" s="115"/>
      <c r="AH137" s="115"/>
      <c r="AI137" s="115"/>
      <c r="AJ137" s="115"/>
      <c r="AK137" s="115"/>
      <c r="AL137" s="115"/>
      <c r="AM137" s="115"/>
      <c r="AN137" s="115"/>
      <c r="AO137" s="115"/>
      <c r="AP137" s="115"/>
      <c r="AQ137" s="115"/>
      <c r="AR137" s="115"/>
      <c r="AS137" s="115"/>
      <c r="AT137" s="115"/>
      <c r="AU137" s="115"/>
      <c r="AV137" s="115"/>
      <c r="AW137" s="115"/>
      <c r="AX137" s="115"/>
      <c r="AY137" s="115"/>
      <c r="AZ137" s="115"/>
      <c r="BA137" s="115"/>
      <c r="BB137" s="115"/>
      <c r="BC137" s="115"/>
      <c r="BD137" s="115"/>
      <c r="BE137" s="115"/>
      <c r="BF137" s="115"/>
      <c r="BG137" s="115"/>
      <c r="BH137" s="115"/>
    </row>
    <row r="138" spans="1:60" ht="15.75" customHeight="1" x14ac:dyDescent="0.25">
      <c r="A138" s="115"/>
      <c r="B138" s="115"/>
      <c r="C138" s="115"/>
      <c r="D138" s="115"/>
      <c r="E138" s="115"/>
      <c r="F138" s="115"/>
      <c r="G138" s="115"/>
      <c r="H138" s="115"/>
      <c r="I138" s="115"/>
      <c r="J138" s="115"/>
      <c r="K138" s="115"/>
      <c r="L138" s="115"/>
      <c r="M138" s="115"/>
      <c r="N138" s="115"/>
      <c r="O138" s="115"/>
      <c r="P138" s="115"/>
      <c r="Q138" s="115"/>
      <c r="R138" s="115"/>
      <c r="S138" s="115"/>
      <c r="T138" s="115"/>
      <c r="U138" s="115"/>
      <c r="V138" s="115"/>
      <c r="W138" s="115"/>
      <c r="X138" s="115"/>
      <c r="Y138" s="115"/>
      <c r="Z138" s="115"/>
      <c r="AA138" s="115"/>
      <c r="AB138" s="115"/>
      <c r="AC138" s="115"/>
      <c r="AD138" s="115"/>
      <c r="AE138" s="115"/>
      <c r="AF138" s="115"/>
      <c r="AG138" s="115"/>
      <c r="AH138" s="115"/>
      <c r="AI138" s="115"/>
      <c r="AJ138" s="115"/>
      <c r="AK138" s="115"/>
      <c r="AL138" s="115"/>
      <c r="AM138" s="115"/>
      <c r="AN138" s="115"/>
      <c r="AO138" s="115"/>
      <c r="AP138" s="115"/>
      <c r="AQ138" s="115"/>
      <c r="AR138" s="115"/>
      <c r="AS138" s="115"/>
      <c r="AT138" s="115"/>
      <c r="AU138" s="115"/>
      <c r="AV138" s="115"/>
      <c r="AW138" s="115"/>
      <c r="AX138" s="115"/>
      <c r="AY138" s="115"/>
      <c r="AZ138" s="115"/>
      <c r="BA138" s="115"/>
      <c r="BB138" s="115"/>
      <c r="BC138" s="115"/>
      <c r="BD138" s="115"/>
      <c r="BE138" s="115"/>
      <c r="BF138" s="115"/>
      <c r="BG138" s="115"/>
      <c r="BH138" s="115"/>
    </row>
    <row r="139" spans="1:60" ht="15.75" customHeight="1" x14ac:dyDescent="0.25">
      <c r="A139" s="115"/>
      <c r="B139" s="115"/>
      <c r="C139" s="115"/>
      <c r="D139" s="115"/>
      <c r="E139" s="115"/>
      <c r="F139" s="115"/>
      <c r="G139" s="115"/>
      <c r="H139" s="115"/>
      <c r="I139" s="115"/>
      <c r="J139" s="115"/>
      <c r="K139" s="115"/>
      <c r="L139" s="115"/>
      <c r="M139" s="115"/>
      <c r="N139" s="115"/>
      <c r="O139" s="115"/>
      <c r="P139" s="115"/>
      <c r="Q139" s="115"/>
      <c r="R139" s="115"/>
      <c r="S139" s="115"/>
      <c r="T139" s="115"/>
      <c r="U139" s="115"/>
      <c r="V139" s="115"/>
      <c r="W139" s="115"/>
      <c r="X139" s="115"/>
      <c r="Y139" s="115"/>
      <c r="Z139" s="115"/>
      <c r="AA139" s="115"/>
      <c r="AB139" s="115"/>
      <c r="AC139" s="115"/>
      <c r="AD139" s="115"/>
      <c r="AE139" s="115"/>
      <c r="AF139" s="115"/>
      <c r="AG139" s="115"/>
      <c r="AH139" s="115"/>
      <c r="AI139" s="115"/>
      <c r="AJ139" s="115"/>
      <c r="AK139" s="115"/>
      <c r="AL139" s="115"/>
      <c r="AM139" s="115"/>
      <c r="AN139" s="115"/>
      <c r="AO139" s="115"/>
      <c r="AP139" s="115"/>
      <c r="AQ139" s="115"/>
      <c r="AR139" s="115"/>
      <c r="AS139" s="115"/>
      <c r="AT139" s="115"/>
      <c r="AU139" s="115"/>
      <c r="AV139" s="115"/>
      <c r="AW139" s="115"/>
      <c r="AX139" s="115"/>
      <c r="AY139" s="115"/>
      <c r="AZ139" s="115"/>
      <c r="BA139" s="115"/>
      <c r="BB139" s="115"/>
      <c r="BC139" s="115"/>
      <c r="BD139" s="115"/>
      <c r="BE139" s="115"/>
      <c r="BF139" s="115"/>
      <c r="BG139" s="115"/>
      <c r="BH139" s="115"/>
    </row>
    <row r="140" spans="1:60" ht="15.75" customHeight="1" x14ac:dyDescent="0.25">
      <c r="A140" s="115"/>
      <c r="B140" s="115"/>
      <c r="C140" s="115"/>
      <c r="D140" s="115"/>
      <c r="E140" s="115"/>
      <c r="F140" s="115"/>
      <c r="G140" s="115"/>
      <c r="H140" s="115"/>
      <c r="I140" s="115"/>
      <c r="J140" s="115"/>
      <c r="K140" s="115"/>
      <c r="L140" s="115"/>
      <c r="M140" s="115"/>
      <c r="N140" s="115"/>
      <c r="O140" s="115"/>
      <c r="P140" s="115"/>
      <c r="Q140" s="115"/>
      <c r="R140" s="115"/>
      <c r="S140" s="115"/>
      <c r="T140" s="115"/>
      <c r="U140" s="115"/>
      <c r="V140" s="115"/>
      <c r="W140" s="115"/>
      <c r="X140" s="115"/>
      <c r="Y140" s="115"/>
      <c r="Z140" s="115"/>
      <c r="AA140" s="115"/>
      <c r="AB140" s="115"/>
      <c r="AC140" s="115"/>
      <c r="AD140" s="115"/>
      <c r="AE140" s="115"/>
      <c r="AF140" s="115"/>
      <c r="AG140" s="115"/>
      <c r="AH140" s="115"/>
      <c r="AI140" s="115"/>
      <c r="AJ140" s="115"/>
      <c r="AK140" s="115"/>
      <c r="AL140" s="115"/>
      <c r="AM140" s="115"/>
      <c r="AN140" s="115"/>
      <c r="AO140" s="115"/>
      <c r="AP140" s="115"/>
      <c r="AQ140" s="115"/>
      <c r="AR140" s="115"/>
      <c r="AS140" s="115"/>
      <c r="AT140" s="115"/>
      <c r="AU140" s="115"/>
      <c r="AV140" s="115"/>
      <c r="AW140" s="115"/>
      <c r="AX140" s="115"/>
      <c r="AY140" s="115"/>
      <c r="AZ140" s="115"/>
      <c r="BA140" s="115"/>
      <c r="BB140" s="115"/>
      <c r="BC140" s="115"/>
      <c r="BD140" s="115"/>
      <c r="BE140" s="115"/>
      <c r="BF140" s="115"/>
      <c r="BG140" s="115"/>
      <c r="BH140" s="115"/>
    </row>
    <row r="141" spans="1:60" ht="15.75" customHeight="1" x14ac:dyDescent="0.25">
      <c r="A141" s="115"/>
      <c r="B141" s="115"/>
      <c r="C141" s="115"/>
      <c r="D141" s="115"/>
      <c r="E141" s="115"/>
      <c r="F141" s="115"/>
      <c r="G141" s="115"/>
      <c r="H141" s="115"/>
      <c r="I141" s="115"/>
      <c r="J141" s="115"/>
      <c r="K141" s="115"/>
      <c r="L141" s="115"/>
      <c r="M141" s="115"/>
      <c r="N141" s="115"/>
      <c r="O141" s="115"/>
      <c r="P141" s="115"/>
      <c r="Q141" s="115"/>
      <c r="R141" s="115"/>
      <c r="S141" s="115"/>
      <c r="T141" s="115"/>
      <c r="U141" s="115"/>
      <c r="V141" s="115"/>
      <c r="W141" s="115"/>
      <c r="X141" s="115"/>
      <c r="Y141" s="115"/>
      <c r="Z141" s="115"/>
      <c r="AA141" s="115"/>
      <c r="AB141" s="115"/>
      <c r="AC141" s="115"/>
      <c r="AD141" s="115"/>
      <c r="AE141" s="115"/>
      <c r="AF141" s="115"/>
      <c r="AG141" s="115"/>
      <c r="AH141" s="115"/>
      <c r="AI141" s="115"/>
      <c r="AJ141" s="115"/>
      <c r="AK141" s="115"/>
      <c r="AL141" s="115"/>
      <c r="AM141" s="115"/>
      <c r="AN141" s="115"/>
      <c r="AO141" s="115"/>
      <c r="AP141" s="115"/>
      <c r="AQ141" s="115"/>
      <c r="AR141" s="115"/>
      <c r="AS141" s="115"/>
      <c r="AT141" s="115"/>
      <c r="AU141" s="115"/>
      <c r="AV141" s="115"/>
      <c r="AW141" s="115"/>
      <c r="AX141" s="115"/>
      <c r="AY141" s="115"/>
      <c r="AZ141" s="115"/>
      <c r="BA141" s="115"/>
      <c r="BB141" s="115"/>
      <c r="BC141" s="115"/>
      <c r="BD141" s="115"/>
      <c r="BE141" s="115"/>
      <c r="BF141" s="115"/>
      <c r="BG141" s="115"/>
      <c r="BH141" s="115"/>
    </row>
    <row r="142" spans="1:60" ht="15.75" customHeight="1" x14ac:dyDescent="0.25">
      <c r="A142" s="115"/>
      <c r="B142" s="115"/>
      <c r="C142" s="115"/>
      <c r="D142" s="115"/>
      <c r="E142" s="115"/>
      <c r="F142" s="115"/>
      <c r="G142" s="115"/>
      <c r="H142" s="115"/>
      <c r="I142" s="115"/>
      <c r="J142" s="115"/>
      <c r="K142" s="115"/>
      <c r="L142" s="115"/>
      <c r="M142" s="115"/>
      <c r="N142" s="115"/>
      <c r="O142" s="115"/>
      <c r="P142" s="115"/>
      <c r="Q142" s="115"/>
      <c r="R142" s="115"/>
      <c r="S142" s="115"/>
      <c r="T142" s="115"/>
      <c r="U142" s="115"/>
      <c r="V142" s="115"/>
      <c r="W142" s="115"/>
      <c r="X142" s="115"/>
      <c r="Y142" s="115"/>
      <c r="Z142" s="115"/>
      <c r="AA142" s="115"/>
      <c r="AB142" s="115"/>
      <c r="AC142" s="115"/>
      <c r="AD142" s="115"/>
      <c r="AE142" s="115"/>
      <c r="AF142" s="115"/>
      <c r="AG142" s="115"/>
      <c r="AH142" s="115"/>
      <c r="AI142" s="115"/>
      <c r="AJ142" s="115"/>
      <c r="AK142" s="115"/>
      <c r="AL142" s="115"/>
      <c r="AM142" s="115"/>
      <c r="AN142" s="115"/>
      <c r="AO142" s="115"/>
      <c r="AP142" s="115"/>
      <c r="AQ142" s="115"/>
      <c r="AR142" s="115"/>
      <c r="AS142" s="115"/>
      <c r="AT142" s="115"/>
      <c r="AU142" s="115"/>
      <c r="AV142" s="115"/>
      <c r="AW142" s="115"/>
      <c r="AX142" s="115"/>
      <c r="AY142" s="115"/>
      <c r="AZ142" s="115"/>
      <c r="BA142" s="115"/>
      <c r="BB142" s="115"/>
      <c r="BC142" s="115"/>
      <c r="BD142" s="115"/>
      <c r="BE142" s="115"/>
      <c r="BF142" s="115"/>
      <c r="BG142" s="115"/>
      <c r="BH142" s="115"/>
    </row>
    <row r="143" spans="1:60" ht="15.75" customHeight="1" x14ac:dyDescent="0.25">
      <c r="A143" s="115"/>
      <c r="B143" s="115"/>
      <c r="C143" s="115"/>
      <c r="D143" s="115"/>
      <c r="E143" s="115"/>
      <c r="F143" s="115"/>
      <c r="G143" s="115"/>
      <c r="H143" s="115"/>
      <c r="I143" s="115"/>
      <c r="J143" s="115"/>
      <c r="K143" s="115"/>
      <c r="L143" s="115"/>
      <c r="M143" s="115"/>
      <c r="N143" s="115"/>
      <c r="O143" s="115"/>
      <c r="P143" s="115"/>
      <c r="Q143" s="115"/>
      <c r="R143" s="115"/>
      <c r="S143" s="115"/>
      <c r="T143" s="115"/>
      <c r="U143" s="115"/>
      <c r="V143" s="115"/>
      <c r="W143" s="115"/>
      <c r="X143" s="115"/>
      <c r="Y143" s="115"/>
      <c r="Z143" s="115"/>
      <c r="AA143" s="115"/>
      <c r="AB143" s="115"/>
      <c r="AC143" s="115"/>
      <c r="AD143" s="115"/>
      <c r="AE143" s="115"/>
      <c r="AF143" s="115"/>
      <c r="AG143" s="115"/>
      <c r="AH143" s="115"/>
      <c r="AI143" s="115"/>
      <c r="AJ143" s="115"/>
      <c r="AK143" s="115"/>
      <c r="AL143" s="115"/>
      <c r="AM143" s="115"/>
      <c r="AN143" s="115"/>
      <c r="AO143" s="115"/>
      <c r="AP143" s="115"/>
      <c r="AQ143" s="115"/>
      <c r="AR143" s="115"/>
      <c r="AS143" s="115"/>
      <c r="AT143" s="115"/>
      <c r="AU143" s="115"/>
      <c r="AV143" s="115"/>
      <c r="AW143" s="115"/>
      <c r="AX143" s="115"/>
      <c r="AY143" s="115"/>
      <c r="AZ143" s="115"/>
      <c r="BA143" s="115"/>
      <c r="BB143" s="115"/>
      <c r="BC143" s="115"/>
      <c r="BD143" s="115"/>
      <c r="BE143" s="115"/>
      <c r="BF143" s="115"/>
      <c r="BG143" s="115"/>
      <c r="BH143" s="115"/>
    </row>
    <row r="144" spans="1:60" ht="15.75" customHeight="1" x14ac:dyDescent="0.25">
      <c r="A144" s="115"/>
      <c r="B144" s="115"/>
      <c r="C144" s="115"/>
      <c r="D144" s="115"/>
      <c r="E144" s="115"/>
      <c r="F144" s="115"/>
      <c r="G144" s="115"/>
      <c r="H144" s="115"/>
      <c r="I144" s="115"/>
      <c r="J144" s="115"/>
      <c r="K144" s="115"/>
      <c r="L144" s="115"/>
      <c r="M144" s="115"/>
      <c r="N144" s="115"/>
      <c r="O144" s="115"/>
      <c r="P144" s="115"/>
      <c r="Q144" s="115"/>
      <c r="R144" s="115"/>
      <c r="S144" s="115"/>
      <c r="T144" s="115"/>
      <c r="U144" s="115"/>
      <c r="V144" s="115"/>
      <c r="W144" s="115"/>
      <c r="X144" s="115"/>
      <c r="Y144" s="115"/>
      <c r="Z144" s="115"/>
      <c r="AA144" s="115"/>
      <c r="AB144" s="115"/>
      <c r="AC144" s="115"/>
      <c r="AD144" s="115"/>
      <c r="AE144" s="115"/>
      <c r="AF144" s="115"/>
      <c r="AG144" s="115"/>
      <c r="AH144" s="115"/>
      <c r="AI144" s="115"/>
      <c r="AJ144" s="115"/>
      <c r="AK144" s="115"/>
      <c r="AL144" s="115"/>
      <c r="AM144" s="115"/>
      <c r="AN144" s="115"/>
      <c r="AO144" s="115"/>
      <c r="AP144" s="115"/>
      <c r="AQ144" s="115"/>
      <c r="AR144" s="115"/>
      <c r="AS144" s="115"/>
      <c r="AT144" s="115"/>
      <c r="AU144" s="115"/>
      <c r="AV144" s="115"/>
      <c r="AW144" s="115"/>
      <c r="AX144" s="115"/>
      <c r="AY144" s="115"/>
      <c r="AZ144" s="115"/>
      <c r="BA144" s="115"/>
      <c r="BB144" s="115"/>
      <c r="BC144" s="115"/>
      <c r="BD144" s="115"/>
      <c r="BE144" s="115"/>
      <c r="BF144" s="115"/>
      <c r="BG144" s="115"/>
      <c r="BH144" s="115"/>
    </row>
    <row r="145" spans="1:60" ht="15.75" customHeight="1" x14ac:dyDescent="0.25">
      <c r="A145" s="115"/>
      <c r="B145" s="115"/>
      <c r="C145" s="115"/>
      <c r="D145" s="115"/>
      <c r="E145" s="115"/>
      <c r="F145" s="115"/>
      <c r="G145" s="115"/>
      <c r="H145" s="115"/>
      <c r="I145" s="115"/>
      <c r="J145" s="115"/>
      <c r="K145" s="115"/>
      <c r="L145" s="115"/>
      <c r="M145" s="115"/>
      <c r="N145" s="115"/>
      <c r="O145" s="115"/>
      <c r="P145" s="115"/>
      <c r="Q145" s="115"/>
      <c r="R145" s="115"/>
      <c r="S145" s="115"/>
      <c r="T145" s="115"/>
      <c r="U145" s="115"/>
      <c r="V145" s="115"/>
      <c r="W145" s="115"/>
      <c r="X145" s="115"/>
      <c r="Y145" s="115"/>
      <c r="Z145" s="115"/>
      <c r="AA145" s="115"/>
      <c r="AB145" s="115"/>
      <c r="AC145" s="115"/>
      <c r="AD145" s="115"/>
      <c r="AE145" s="115"/>
      <c r="AF145" s="115"/>
      <c r="AG145" s="115"/>
      <c r="AH145" s="115"/>
      <c r="AI145" s="115"/>
      <c r="AJ145" s="115"/>
      <c r="AK145" s="115"/>
      <c r="AL145" s="115"/>
      <c r="AM145" s="115"/>
      <c r="AN145" s="115"/>
      <c r="AO145" s="115"/>
      <c r="AP145" s="115"/>
      <c r="AQ145" s="115"/>
      <c r="AR145" s="115"/>
      <c r="AS145" s="115"/>
      <c r="AT145" s="115"/>
      <c r="AU145" s="115"/>
      <c r="AV145" s="115"/>
      <c r="AW145" s="115"/>
      <c r="AX145" s="115"/>
      <c r="AY145" s="115"/>
      <c r="AZ145" s="115"/>
      <c r="BA145" s="115"/>
      <c r="BB145" s="115"/>
      <c r="BC145" s="115"/>
      <c r="BD145" s="115"/>
      <c r="BE145" s="115"/>
      <c r="BF145" s="115"/>
      <c r="BG145" s="115"/>
      <c r="BH145" s="115"/>
    </row>
    <row r="146" spans="1:60" ht="15.75" customHeight="1" x14ac:dyDescent="0.25">
      <c r="A146" s="115"/>
      <c r="B146" s="115"/>
      <c r="C146" s="115"/>
      <c r="D146" s="115"/>
      <c r="E146" s="115"/>
      <c r="F146" s="115"/>
      <c r="G146" s="115"/>
      <c r="H146" s="115"/>
      <c r="I146" s="115"/>
      <c r="J146" s="115"/>
      <c r="K146" s="115"/>
      <c r="L146" s="115"/>
      <c r="M146" s="115"/>
      <c r="N146" s="115"/>
      <c r="O146" s="115"/>
      <c r="P146" s="115"/>
      <c r="Q146" s="115"/>
      <c r="R146" s="115"/>
      <c r="S146" s="115"/>
      <c r="T146" s="115"/>
      <c r="U146" s="115"/>
      <c r="V146" s="115"/>
      <c r="W146" s="115"/>
      <c r="X146" s="115"/>
      <c r="Y146" s="115"/>
      <c r="Z146" s="115"/>
      <c r="AA146" s="115"/>
      <c r="AB146" s="115"/>
      <c r="AC146" s="115"/>
      <c r="AD146" s="115"/>
      <c r="AE146" s="115"/>
      <c r="AF146" s="115"/>
      <c r="AG146" s="115"/>
      <c r="AH146" s="115"/>
      <c r="AI146" s="115"/>
      <c r="AJ146" s="115"/>
      <c r="AK146" s="115"/>
      <c r="AL146" s="115"/>
      <c r="AM146" s="115"/>
      <c r="AN146" s="115"/>
      <c r="AO146" s="115"/>
      <c r="AP146" s="115"/>
      <c r="AQ146" s="115"/>
      <c r="AR146" s="115"/>
      <c r="AS146" s="115"/>
      <c r="AT146" s="115"/>
      <c r="AU146" s="115"/>
      <c r="AV146" s="115"/>
      <c r="AW146" s="115"/>
      <c r="AX146" s="115"/>
      <c r="AY146" s="115"/>
      <c r="AZ146" s="115"/>
      <c r="BA146" s="115"/>
      <c r="BB146" s="115"/>
      <c r="BC146" s="115"/>
      <c r="BD146" s="115"/>
      <c r="BE146" s="115"/>
      <c r="BF146" s="115"/>
      <c r="BG146" s="115"/>
      <c r="BH146" s="115"/>
    </row>
    <row r="147" spans="1:60" ht="15.75" customHeight="1" x14ac:dyDescent="0.25">
      <c r="A147" s="115"/>
      <c r="B147" s="115"/>
      <c r="C147" s="115"/>
      <c r="D147" s="115"/>
      <c r="E147" s="115"/>
      <c r="F147" s="115"/>
      <c r="G147" s="115"/>
      <c r="H147" s="115"/>
      <c r="I147" s="115"/>
      <c r="J147" s="115"/>
      <c r="K147" s="115"/>
      <c r="L147" s="115"/>
      <c r="M147" s="115"/>
      <c r="N147" s="115"/>
      <c r="O147" s="115"/>
      <c r="P147" s="115"/>
      <c r="Q147" s="115"/>
      <c r="R147" s="115"/>
      <c r="S147" s="115"/>
      <c r="T147" s="115"/>
      <c r="U147" s="115"/>
      <c r="V147" s="115"/>
      <c r="W147" s="115"/>
      <c r="X147" s="115"/>
      <c r="Y147" s="115"/>
      <c r="Z147" s="115"/>
      <c r="AA147" s="115"/>
      <c r="AB147" s="115"/>
      <c r="AC147" s="115"/>
      <c r="AD147" s="115"/>
      <c r="AE147" s="115"/>
      <c r="AF147" s="115"/>
      <c r="AG147" s="115"/>
      <c r="AH147" s="115"/>
      <c r="AI147" s="115"/>
      <c r="AJ147" s="115"/>
      <c r="AK147" s="115"/>
      <c r="AL147" s="115"/>
      <c r="AM147" s="115"/>
      <c r="AN147" s="115"/>
      <c r="AO147" s="115"/>
      <c r="AP147" s="115"/>
      <c r="AQ147" s="115"/>
      <c r="AR147" s="115"/>
      <c r="AS147" s="115"/>
      <c r="AT147" s="115"/>
      <c r="AU147" s="115"/>
      <c r="AV147" s="115"/>
      <c r="AW147" s="115"/>
      <c r="AX147" s="115"/>
      <c r="AY147" s="115"/>
      <c r="AZ147" s="115"/>
      <c r="BA147" s="115"/>
      <c r="BB147" s="115"/>
      <c r="BC147" s="115"/>
      <c r="BD147" s="115"/>
      <c r="BE147" s="115"/>
      <c r="BF147" s="115"/>
      <c r="BG147" s="115"/>
      <c r="BH147" s="115"/>
    </row>
    <row r="148" spans="1:60" ht="15.75" customHeight="1" x14ac:dyDescent="0.25">
      <c r="A148" s="115"/>
      <c r="B148" s="115"/>
      <c r="C148" s="115"/>
      <c r="D148" s="115"/>
      <c r="E148" s="115"/>
      <c r="F148" s="115"/>
      <c r="G148" s="115"/>
      <c r="H148" s="115"/>
      <c r="I148" s="115"/>
      <c r="J148" s="115"/>
      <c r="K148" s="115"/>
      <c r="L148" s="115"/>
      <c r="M148" s="115"/>
      <c r="N148" s="115"/>
      <c r="O148" s="115"/>
      <c r="P148" s="115"/>
      <c r="Q148" s="115"/>
      <c r="R148" s="115"/>
      <c r="S148" s="115"/>
      <c r="T148" s="115"/>
      <c r="U148" s="115"/>
      <c r="V148" s="115"/>
      <c r="W148" s="115"/>
      <c r="X148" s="115"/>
      <c r="Y148" s="115"/>
      <c r="Z148" s="115"/>
      <c r="AA148" s="115"/>
      <c r="AB148" s="115"/>
      <c r="AC148" s="115"/>
      <c r="AD148" s="115"/>
      <c r="AE148" s="115"/>
      <c r="AF148" s="115"/>
      <c r="AG148" s="115"/>
      <c r="AH148" s="115"/>
      <c r="AI148" s="115"/>
      <c r="AJ148" s="115"/>
      <c r="AK148" s="115"/>
      <c r="AL148" s="115"/>
      <c r="AM148" s="115"/>
      <c r="AN148" s="115"/>
      <c r="AO148" s="115"/>
      <c r="AP148" s="115"/>
      <c r="AQ148" s="115"/>
      <c r="AR148" s="115"/>
      <c r="AS148" s="115"/>
      <c r="AT148" s="115"/>
      <c r="AU148" s="115"/>
      <c r="AV148" s="115"/>
      <c r="AW148" s="115"/>
      <c r="AX148" s="115"/>
      <c r="AY148" s="115"/>
      <c r="AZ148" s="115"/>
      <c r="BA148" s="115"/>
      <c r="BB148" s="115"/>
      <c r="BC148" s="115"/>
      <c r="BD148" s="115"/>
      <c r="BE148" s="115"/>
      <c r="BF148" s="115"/>
      <c r="BG148" s="115"/>
      <c r="BH148" s="115"/>
    </row>
    <row r="149" spans="1:60" ht="15.75" customHeight="1" x14ac:dyDescent="0.25">
      <c r="A149" s="115"/>
      <c r="B149" s="115"/>
      <c r="C149" s="115"/>
      <c r="D149" s="115"/>
      <c r="E149" s="115"/>
      <c r="F149" s="115"/>
      <c r="G149" s="115"/>
      <c r="H149" s="115"/>
      <c r="I149" s="115"/>
      <c r="J149" s="115"/>
      <c r="K149" s="115"/>
      <c r="L149" s="115"/>
      <c r="M149" s="115"/>
      <c r="N149" s="115"/>
      <c r="O149" s="115"/>
      <c r="P149" s="115"/>
      <c r="Q149" s="115"/>
      <c r="R149" s="115"/>
      <c r="S149" s="115"/>
      <c r="T149" s="115"/>
      <c r="U149" s="115"/>
      <c r="V149" s="115"/>
      <c r="W149" s="115"/>
      <c r="X149" s="115"/>
      <c r="Y149" s="115"/>
      <c r="Z149" s="115"/>
      <c r="AA149" s="115"/>
      <c r="AB149" s="115"/>
      <c r="AC149" s="115"/>
      <c r="AD149" s="115"/>
      <c r="AE149" s="115"/>
      <c r="AF149" s="115"/>
      <c r="AG149" s="115"/>
      <c r="AH149" s="115"/>
      <c r="AI149" s="115"/>
      <c r="AJ149" s="115"/>
      <c r="AK149" s="115"/>
      <c r="AL149" s="115"/>
      <c r="AM149" s="115"/>
      <c r="AN149" s="115"/>
      <c r="AO149" s="115"/>
      <c r="AP149" s="115"/>
      <c r="AQ149" s="115"/>
      <c r="AR149" s="115"/>
      <c r="AS149" s="115"/>
      <c r="AT149" s="115"/>
      <c r="AU149" s="115"/>
      <c r="AV149" s="115"/>
      <c r="AW149" s="115"/>
      <c r="AX149" s="115"/>
      <c r="AY149" s="115"/>
      <c r="AZ149" s="115"/>
      <c r="BA149" s="115"/>
      <c r="BB149" s="115"/>
      <c r="BC149" s="115"/>
      <c r="BD149" s="115"/>
      <c r="BE149" s="115"/>
      <c r="BF149" s="115"/>
      <c r="BG149" s="115"/>
      <c r="BH149" s="115"/>
    </row>
    <row r="150" spans="1:60" ht="15.75" customHeight="1" x14ac:dyDescent="0.25">
      <c r="A150" s="115"/>
      <c r="B150" s="115"/>
      <c r="C150" s="115"/>
      <c r="D150" s="115"/>
      <c r="E150" s="115"/>
      <c r="F150" s="115"/>
      <c r="G150" s="115"/>
      <c r="H150" s="115"/>
      <c r="I150" s="115"/>
      <c r="J150" s="115"/>
      <c r="K150" s="115"/>
      <c r="L150" s="115"/>
      <c r="M150" s="115"/>
      <c r="N150" s="115"/>
      <c r="O150" s="115"/>
      <c r="P150" s="115"/>
      <c r="Q150" s="115"/>
      <c r="R150" s="115"/>
      <c r="S150" s="115"/>
      <c r="T150" s="115"/>
      <c r="U150" s="115"/>
      <c r="V150" s="115"/>
      <c r="W150" s="115"/>
      <c r="X150" s="115"/>
      <c r="Y150" s="115"/>
      <c r="Z150" s="115"/>
      <c r="AA150" s="115"/>
      <c r="AB150" s="115"/>
      <c r="AC150" s="115"/>
      <c r="AD150" s="115"/>
      <c r="AE150" s="115"/>
      <c r="AF150" s="115"/>
      <c r="AG150" s="115"/>
      <c r="AH150" s="115"/>
      <c r="AI150" s="115"/>
      <c r="AJ150" s="115"/>
      <c r="AK150" s="115"/>
      <c r="AL150" s="115"/>
      <c r="AM150" s="115"/>
      <c r="AN150" s="115"/>
      <c r="AO150" s="115"/>
      <c r="AP150" s="115"/>
      <c r="AQ150" s="115"/>
      <c r="AR150" s="115"/>
      <c r="AS150" s="115"/>
      <c r="AT150" s="115"/>
      <c r="AU150" s="115"/>
      <c r="AV150" s="115"/>
      <c r="AW150" s="115"/>
      <c r="AX150" s="115"/>
      <c r="AY150" s="115"/>
      <c r="AZ150" s="115"/>
      <c r="BA150" s="115"/>
      <c r="BB150" s="115"/>
      <c r="BC150" s="115"/>
      <c r="BD150" s="115"/>
      <c r="BE150" s="115"/>
      <c r="BF150" s="115"/>
      <c r="BG150" s="115"/>
      <c r="BH150" s="115"/>
    </row>
    <row r="151" spans="1:60" ht="15.75" customHeight="1" x14ac:dyDescent="0.25">
      <c r="A151" s="115"/>
      <c r="B151" s="115"/>
      <c r="C151" s="115"/>
      <c r="D151" s="115"/>
      <c r="E151" s="115"/>
      <c r="F151" s="115"/>
      <c r="G151" s="115"/>
      <c r="H151" s="115"/>
      <c r="I151" s="115"/>
      <c r="J151" s="115"/>
      <c r="K151" s="115"/>
      <c r="L151" s="115"/>
      <c r="M151" s="115"/>
      <c r="N151" s="115"/>
      <c r="O151" s="115"/>
      <c r="P151" s="115"/>
      <c r="Q151" s="115"/>
      <c r="R151" s="115"/>
      <c r="S151" s="115"/>
      <c r="T151" s="115"/>
      <c r="U151" s="115"/>
      <c r="V151" s="115"/>
      <c r="W151" s="115"/>
      <c r="X151" s="115"/>
      <c r="Y151" s="115"/>
      <c r="Z151" s="115"/>
      <c r="AA151" s="115"/>
      <c r="AB151" s="115"/>
      <c r="AC151" s="115"/>
      <c r="AD151" s="115"/>
      <c r="AE151" s="115"/>
      <c r="AF151" s="115"/>
      <c r="AG151" s="115"/>
      <c r="AH151" s="115"/>
      <c r="AI151" s="115"/>
      <c r="AJ151" s="115"/>
      <c r="AK151" s="115"/>
      <c r="AL151" s="115"/>
      <c r="AM151" s="115"/>
      <c r="AN151" s="115"/>
      <c r="AO151" s="115"/>
      <c r="AP151" s="115"/>
      <c r="AQ151" s="115"/>
      <c r="AR151" s="115"/>
      <c r="AS151" s="115"/>
      <c r="AT151" s="115"/>
      <c r="AU151" s="115"/>
      <c r="AV151" s="115"/>
      <c r="AW151" s="115"/>
      <c r="AX151" s="115"/>
      <c r="AY151" s="115"/>
      <c r="AZ151" s="115"/>
      <c r="BA151" s="115"/>
      <c r="BB151" s="115"/>
      <c r="BC151" s="115"/>
      <c r="BD151" s="115"/>
      <c r="BE151" s="115"/>
      <c r="BF151" s="115"/>
      <c r="BG151" s="115"/>
      <c r="BH151" s="115"/>
    </row>
    <row r="152" spans="1:60" ht="15.75" customHeight="1" x14ac:dyDescent="0.25">
      <c r="A152" s="115"/>
      <c r="B152" s="115"/>
      <c r="C152" s="115"/>
      <c r="D152" s="115"/>
      <c r="E152" s="115"/>
      <c r="F152" s="115"/>
      <c r="G152" s="115"/>
      <c r="H152" s="115"/>
      <c r="I152" s="115"/>
      <c r="J152" s="115"/>
      <c r="K152" s="115"/>
      <c r="L152" s="115"/>
      <c r="M152" s="115"/>
      <c r="N152" s="115"/>
      <c r="O152" s="115"/>
      <c r="P152" s="115"/>
      <c r="Q152" s="115"/>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15"/>
      <c r="AQ152" s="115"/>
      <c r="AR152" s="115"/>
      <c r="AS152" s="115"/>
      <c r="AT152" s="115"/>
      <c r="AU152" s="115"/>
      <c r="AV152" s="115"/>
      <c r="AW152" s="115"/>
      <c r="AX152" s="115"/>
      <c r="AY152" s="115"/>
      <c r="AZ152" s="115"/>
      <c r="BA152" s="115"/>
      <c r="BB152" s="115"/>
      <c r="BC152" s="115"/>
      <c r="BD152" s="115"/>
      <c r="BE152" s="115"/>
      <c r="BF152" s="115"/>
      <c r="BG152" s="115"/>
      <c r="BH152" s="115"/>
    </row>
    <row r="153" spans="1:60" ht="15.75" customHeight="1" x14ac:dyDescent="0.25">
      <c r="A153" s="115"/>
      <c r="B153" s="115"/>
      <c r="C153" s="115"/>
      <c r="D153" s="115"/>
      <c r="E153" s="115"/>
      <c r="F153" s="115"/>
      <c r="G153" s="115"/>
      <c r="H153" s="115"/>
      <c r="I153" s="115"/>
      <c r="J153" s="115"/>
      <c r="K153" s="115"/>
      <c r="L153" s="115"/>
      <c r="M153" s="115"/>
      <c r="N153" s="115"/>
      <c r="O153" s="115"/>
      <c r="P153" s="115"/>
      <c r="Q153" s="115"/>
      <c r="R153" s="115"/>
      <c r="S153" s="115"/>
      <c r="T153" s="115"/>
      <c r="U153" s="115"/>
      <c r="V153" s="115"/>
      <c r="W153" s="115"/>
      <c r="X153" s="115"/>
      <c r="Y153" s="115"/>
      <c r="Z153" s="115"/>
      <c r="AA153" s="115"/>
      <c r="AB153" s="115"/>
      <c r="AC153" s="115"/>
      <c r="AD153" s="115"/>
      <c r="AE153" s="115"/>
      <c r="AF153" s="115"/>
      <c r="AG153" s="115"/>
      <c r="AH153" s="115"/>
      <c r="AI153" s="115"/>
      <c r="AJ153" s="115"/>
      <c r="AK153" s="115"/>
      <c r="AL153" s="115"/>
      <c r="AM153" s="115"/>
      <c r="AN153" s="115"/>
      <c r="AO153" s="115"/>
      <c r="AP153" s="115"/>
      <c r="AQ153" s="115"/>
      <c r="AR153" s="115"/>
      <c r="AS153" s="115"/>
      <c r="AT153" s="115"/>
      <c r="AU153" s="115"/>
      <c r="AV153" s="115"/>
      <c r="AW153" s="115"/>
      <c r="AX153" s="115"/>
      <c r="AY153" s="115"/>
      <c r="AZ153" s="115"/>
      <c r="BA153" s="115"/>
      <c r="BB153" s="115"/>
      <c r="BC153" s="115"/>
      <c r="BD153" s="115"/>
      <c r="BE153" s="115"/>
      <c r="BF153" s="115"/>
      <c r="BG153" s="115"/>
      <c r="BH153" s="115"/>
    </row>
    <row r="154" spans="1:60" ht="15.75" customHeight="1" x14ac:dyDescent="0.25">
      <c r="A154" s="115"/>
      <c r="B154" s="115"/>
      <c r="C154" s="115"/>
      <c r="D154" s="115"/>
      <c r="E154" s="115"/>
      <c r="F154" s="115"/>
      <c r="G154" s="115"/>
      <c r="H154" s="115"/>
      <c r="I154" s="115"/>
      <c r="J154" s="115"/>
      <c r="K154" s="115"/>
      <c r="L154" s="115"/>
      <c r="M154" s="115"/>
      <c r="N154" s="115"/>
      <c r="O154" s="115"/>
      <c r="P154" s="115"/>
      <c r="Q154" s="115"/>
      <c r="R154" s="115"/>
      <c r="S154" s="115"/>
      <c r="T154" s="115"/>
      <c r="U154" s="115"/>
      <c r="V154" s="115"/>
      <c r="W154" s="115"/>
      <c r="X154" s="115"/>
      <c r="Y154" s="115"/>
      <c r="Z154" s="115"/>
      <c r="AA154" s="115"/>
      <c r="AB154" s="115"/>
      <c r="AC154" s="115"/>
      <c r="AD154" s="115"/>
      <c r="AE154" s="115"/>
      <c r="AF154" s="115"/>
      <c r="AG154" s="115"/>
      <c r="AH154" s="115"/>
      <c r="AI154" s="115"/>
      <c r="AJ154" s="115"/>
      <c r="AK154" s="115"/>
      <c r="AL154" s="115"/>
      <c r="AM154" s="115"/>
      <c r="AN154" s="115"/>
      <c r="AO154" s="115"/>
      <c r="AP154" s="115"/>
      <c r="AQ154" s="115"/>
      <c r="AR154" s="115"/>
      <c r="AS154" s="115"/>
      <c r="AT154" s="115"/>
      <c r="AU154" s="115"/>
      <c r="AV154" s="115"/>
      <c r="AW154" s="115"/>
      <c r="AX154" s="115"/>
      <c r="AY154" s="115"/>
      <c r="AZ154" s="115"/>
      <c r="BA154" s="115"/>
      <c r="BB154" s="115"/>
      <c r="BC154" s="115"/>
      <c r="BD154" s="115"/>
      <c r="BE154" s="115"/>
      <c r="BF154" s="115"/>
      <c r="BG154" s="115"/>
      <c r="BH154" s="115"/>
    </row>
    <row r="155" spans="1:60" ht="15.75" customHeight="1" x14ac:dyDescent="0.25">
      <c r="A155" s="115"/>
      <c r="B155" s="115"/>
      <c r="C155" s="115"/>
      <c r="D155" s="115"/>
      <c r="E155" s="115"/>
      <c r="F155" s="115"/>
      <c r="G155" s="115"/>
      <c r="H155" s="115"/>
      <c r="I155" s="115"/>
      <c r="J155" s="115"/>
      <c r="K155" s="115"/>
      <c r="L155" s="115"/>
      <c r="M155" s="115"/>
      <c r="N155" s="115"/>
      <c r="O155" s="115"/>
      <c r="P155" s="115"/>
      <c r="Q155" s="115"/>
      <c r="R155" s="115"/>
      <c r="S155" s="115"/>
      <c r="T155" s="115"/>
      <c r="U155" s="115"/>
      <c r="V155" s="115"/>
      <c r="W155" s="115"/>
      <c r="X155" s="115"/>
      <c r="Y155" s="115"/>
      <c r="Z155" s="115"/>
      <c r="AA155" s="115"/>
      <c r="AB155" s="115"/>
      <c r="AC155" s="115"/>
      <c r="AD155" s="115"/>
      <c r="AE155" s="115"/>
      <c r="AF155" s="115"/>
      <c r="AG155" s="115"/>
      <c r="AH155" s="115"/>
      <c r="AI155" s="115"/>
      <c r="AJ155" s="115"/>
      <c r="AK155" s="115"/>
      <c r="AL155" s="115"/>
      <c r="AM155" s="115"/>
      <c r="AN155" s="115"/>
      <c r="AO155" s="115"/>
      <c r="AP155" s="115"/>
      <c r="AQ155" s="115"/>
      <c r="AR155" s="115"/>
      <c r="AS155" s="115"/>
      <c r="AT155" s="115"/>
      <c r="AU155" s="115"/>
      <c r="AV155" s="115"/>
      <c r="AW155" s="115"/>
      <c r="AX155" s="115"/>
      <c r="AY155" s="115"/>
      <c r="AZ155" s="115"/>
      <c r="BA155" s="115"/>
      <c r="BB155" s="115"/>
      <c r="BC155" s="115"/>
      <c r="BD155" s="115"/>
      <c r="BE155" s="115"/>
      <c r="BF155" s="115"/>
      <c r="BG155" s="115"/>
      <c r="BH155" s="115"/>
    </row>
    <row r="156" spans="1:60" ht="15.75" customHeight="1" x14ac:dyDescent="0.25">
      <c r="A156" s="115"/>
      <c r="B156" s="115"/>
      <c r="C156" s="115"/>
      <c r="D156" s="115"/>
      <c r="E156" s="115"/>
      <c r="F156" s="115"/>
      <c r="G156" s="115"/>
      <c r="H156" s="115"/>
      <c r="I156" s="115"/>
      <c r="J156" s="115"/>
      <c r="K156" s="115"/>
      <c r="L156" s="115"/>
      <c r="M156" s="115"/>
      <c r="N156" s="115"/>
      <c r="O156" s="115"/>
      <c r="P156" s="115"/>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115"/>
      <c r="BA156" s="115"/>
      <c r="BB156" s="115"/>
      <c r="BC156" s="115"/>
      <c r="BD156" s="115"/>
      <c r="BE156" s="115"/>
      <c r="BF156" s="115"/>
      <c r="BG156" s="115"/>
      <c r="BH156" s="115"/>
    </row>
    <row r="157" spans="1:60" ht="15.75" customHeight="1" x14ac:dyDescent="0.25">
      <c r="A157" s="115"/>
      <c r="B157" s="115"/>
      <c r="C157" s="115"/>
      <c r="D157" s="115"/>
      <c r="E157" s="115"/>
      <c r="F157" s="115"/>
      <c r="G157" s="115"/>
      <c r="H157" s="115"/>
      <c r="I157" s="115"/>
      <c r="J157" s="115"/>
      <c r="K157" s="115"/>
      <c r="L157" s="115"/>
      <c r="M157" s="115"/>
      <c r="N157" s="115"/>
      <c r="O157" s="115"/>
      <c r="P157" s="115"/>
      <c r="Q157" s="115"/>
      <c r="R157" s="115"/>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c r="AN157" s="115"/>
      <c r="AO157" s="115"/>
      <c r="AP157" s="115"/>
      <c r="AQ157" s="115"/>
      <c r="AR157" s="115"/>
      <c r="AS157" s="115"/>
      <c r="AT157" s="115"/>
      <c r="AU157" s="115"/>
      <c r="AV157" s="115"/>
      <c r="AW157" s="115"/>
      <c r="AX157" s="115"/>
      <c r="AY157" s="115"/>
      <c r="AZ157" s="115"/>
      <c r="BA157" s="115"/>
      <c r="BB157" s="115"/>
      <c r="BC157" s="115"/>
      <c r="BD157" s="115"/>
      <c r="BE157" s="115"/>
      <c r="BF157" s="115"/>
      <c r="BG157" s="115"/>
      <c r="BH157" s="115"/>
    </row>
    <row r="158" spans="1:60" ht="15.75" customHeight="1" x14ac:dyDescent="0.25">
      <c r="A158" s="115"/>
      <c r="B158" s="115"/>
      <c r="C158" s="115"/>
      <c r="D158" s="115"/>
      <c r="E158" s="115"/>
      <c r="F158" s="115"/>
      <c r="G158" s="115"/>
      <c r="H158" s="115"/>
      <c r="I158" s="115"/>
      <c r="J158" s="115"/>
      <c r="K158" s="115"/>
      <c r="L158" s="115"/>
      <c r="M158" s="115"/>
      <c r="N158" s="115"/>
      <c r="O158" s="115"/>
      <c r="P158" s="115"/>
      <c r="Q158" s="115"/>
      <c r="R158" s="115"/>
      <c r="S158" s="115"/>
      <c r="T158" s="115"/>
      <c r="U158" s="115"/>
      <c r="V158" s="115"/>
      <c r="W158" s="115"/>
      <c r="X158" s="115"/>
      <c r="Y158" s="115"/>
      <c r="Z158" s="115"/>
      <c r="AA158" s="115"/>
      <c r="AB158" s="115"/>
      <c r="AC158" s="115"/>
      <c r="AD158" s="115"/>
      <c r="AE158" s="115"/>
      <c r="AF158" s="115"/>
      <c r="AG158" s="115"/>
      <c r="AH158" s="115"/>
      <c r="AI158" s="115"/>
      <c r="AJ158" s="115"/>
      <c r="AK158" s="115"/>
      <c r="AL158" s="115"/>
      <c r="AM158" s="115"/>
      <c r="AN158" s="115"/>
      <c r="AO158" s="115"/>
      <c r="AP158" s="115"/>
      <c r="AQ158" s="115"/>
      <c r="AR158" s="115"/>
      <c r="AS158" s="115"/>
      <c r="AT158" s="115"/>
      <c r="AU158" s="115"/>
      <c r="AV158" s="115"/>
      <c r="AW158" s="115"/>
      <c r="AX158" s="115"/>
      <c r="AY158" s="115"/>
      <c r="AZ158" s="115"/>
      <c r="BA158" s="115"/>
      <c r="BB158" s="115"/>
      <c r="BC158" s="115"/>
      <c r="BD158" s="115"/>
      <c r="BE158" s="115"/>
      <c r="BF158" s="115"/>
      <c r="BG158" s="115"/>
      <c r="BH158" s="115"/>
    </row>
    <row r="159" spans="1:60" ht="15.75" customHeight="1" x14ac:dyDescent="0.25">
      <c r="A159" s="115"/>
      <c r="B159" s="115"/>
      <c r="C159" s="115"/>
      <c r="D159" s="115"/>
      <c r="E159" s="115"/>
      <c r="F159" s="115"/>
      <c r="G159" s="115"/>
      <c r="H159" s="115"/>
      <c r="I159" s="115"/>
      <c r="J159" s="115"/>
      <c r="K159" s="115"/>
      <c r="L159" s="115"/>
      <c r="M159" s="115"/>
      <c r="N159" s="115"/>
      <c r="O159" s="115"/>
      <c r="P159" s="115"/>
      <c r="Q159" s="115"/>
      <c r="R159" s="115"/>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c r="AN159" s="115"/>
      <c r="AO159" s="115"/>
      <c r="AP159" s="115"/>
      <c r="AQ159" s="115"/>
      <c r="AR159" s="115"/>
      <c r="AS159" s="115"/>
      <c r="AT159" s="115"/>
      <c r="AU159" s="115"/>
      <c r="AV159" s="115"/>
      <c r="AW159" s="115"/>
      <c r="AX159" s="115"/>
      <c r="AY159" s="115"/>
      <c r="AZ159" s="115"/>
      <c r="BA159" s="115"/>
      <c r="BB159" s="115"/>
      <c r="BC159" s="115"/>
      <c r="BD159" s="115"/>
      <c r="BE159" s="115"/>
      <c r="BF159" s="115"/>
      <c r="BG159" s="115"/>
      <c r="BH159" s="115"/>
    </row>
    <row r="160" spans="1:60" ht="15.75" customHeight="1" x14ac:dyDescent="0.25">
      <c r="A160" s="115"/>
      <c r="B160" s="115"/>
      <c r="C160" s="115"/>
      <c r="D160" s="115"/>
      <c r="E160" s="115"/>
      <c r="F160" s="115"/>
      <c r="G160" s="115"/>
      <c r="H160" s="115"/>
      <c r="I160" s="115"/>
      <c r="J160" s="115"/>
      <c r="K160" s="115"/>
      <c r="L160" s="115"/>
      <c r="M160" s="115"/>
      <c r="N160" s="115"/>
      <c r="O160" s="115"/>
      <c r="P160" s="115"/>
      <c r="Q160" s="115"/>
      <c r="R160" s="115"/>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c r="AN160" s="115"/>
      <c r="AO160" s="115"/>
      <c r="AP160" s="115"/>
      <c r="AQ160" s="115"/>
      <c r="AR160" s="115"/>
      <c r="AS160" s="115"/>
      <c r="AT160" s="115"/>
      <c r="AU160" s="115"/>
      <c r="AV160" s="115"/>
      <c r="AW160" s="115"/>
      <c r="AX160" s="115"/>
      <c r="AY160" s="115"/>
      <c r="AZ160" s="115"/>
      <c r="BA160" s="115"/>
      <c r="BB160" s="115"/>
      <c r="BC160" s="115"/>
      <c r="BD160" s="115"/>
      <c r="BE160" s="115"/>
      <c r="BF160" s="115"/>
      <c r="BG160" s="115"/>
      <c r="BH160" s="115"/>
    </row>
    <row r="161" spans="1:60" ht="15.75" customHeight="1" x14ac:dyDescent="0.25">
      <c r="A161" s="115"/>
      <c r="B161" s="115"/>
      <c r="C161" s="115"/>
      <c r="D161" s="115"/>
      <c r="E161" s="115"/>
      <c r="F161" s="115"/>
      <c r="G161" s="115"/>
      <c r="H161" s="115"/>
      <c r="I161" s="115"/>
      <c r="J161" s="115"/>
      <c r="K161" s="115"/>
      <c r="L161" s="115"/>
      <c r="M161" s="115"/>
      <c r="N161" s="115"/>
      <c r="O161" s="115"/>
      <c r="P161" s="115"/>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15"/>
      <c r="AQ161" s="115"/>
      <c r="AR161" s="115"/>
      <c r="AS161" s="115"/>
      <c r="AT161" s="115"/>
      <c r="AU161" s="115"/>
      <c r="AV161" s="115"/>
      <c r="AW161" s="115"/>
      <c r="AX161" s="115"/>
      <c r="AY161" s="115"/>
      <c r="AZ161" s="115"/>
      <c r="BA161" s="115"/>
      <c r="BB161" s="115"/>
      <c r="BC161" s="115"/>
      <c r="BD161" s="115"/>
      <c r="BE161" s="115"/>
      <c r="BF161" s="115"/>
      <c r="BG161" s="115"/>
      <c r="BH161" s="115"/>
    </row>
    <row r="162" spans="1:60" ht="15.75" customHeight="1" x14ac:dyDescent="0.25">
      <c r="A162" s="115"/>
      <c r="B162" s="115"/>
      <c r="C162" s="115"/>
      <c r="D162" s="115"/>
      <c r="E162" s="115"/>
      <c r="F162" s="115"/>
      <c r="G162" s="115"/>
      <c r="H162" s="115"/>
      <c r="I162" s="115"/>
      <c r="J162" s="115"/>
      <c r="K162" s="115"/>
      <c r="L162" s="115"/>
      <c r="M162" s="115"/>
      <c r="N162" s="115"/>
      <c r="O162" s="115"/>
      <c r="P162" s="115"/>
      <c r="Q162" s="115"/>
      <c r="R162" s="115"/>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c r="AN162" s="115"/>
      <c r="AO162" s="115"/>
      <c r="AP162" s="115"/>
      <c r="AQ162" s="115"/>
      <c r="AR162" s="115"/>
      <c r="AS162" s="115"/>
      <c r="AT162" s="115"/>
      <c r="AU162" s="115"/>
      <c r="AV162" s="115"/>
      <c r="AW162" s="115"/>
      <c r="AX162" s="115"/>
      <c r="AY162" s="115"/>
      <c r="AZ162" s="115"/>
      <c r="BA162" s="115"/>
      <c r="BB162" s="115"/>
      <c r="BC162" s="115"/>
      <c r="BD162" s="115"/>
      <c r="BE162" s="115"/>
      <c r="BF162" s="115"/>
      <c r="BG162" s="115"/>
      <c r="BH162" s="115"/>
    </row>
    <row r="163" spans="1:60" ht="15.75" customHeight="1" x14ac:dyDescent="0.25">
      <c r="A163" s="115"/>
      <c r="B163" s="115"/>
      <c r="C163" s="115"/>
      <c r="D163" s="115"/>
      <c r="E163" s="115"/>
      <c r="F163" s="115"/>
      <c r="G163" s="115"/>
      <c r="H163" s="115"/>
      <c r="I163" s="115"/>
      <c r="J163" s="115"/>
      <c r="K163" s="115"/>
      <c r="L163" s="115"/>
      <c r="M163" s="115"/>
      <c r="N163" s="115"/>
      <c r="O163" s="115"/>
      <c r="P163" s="115"/>
      <c r="Q163" s="115"/>
      <c r="R163" s="115"/>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115"/>
      <c r="BA163" s="115"/>
      <c r="BB163" s="115"/>
      <c r="BC163" s="115"/>
      <c r="BD163" s="115"/>
      <c r="BE163" s="115"/>
      <c r="BF163" s="115"/>
      <c r="BG163" s="115"/>
      <c r="BH163" s="115"/>
    </row>
    <row r="164" spans="1:60" ht="15.75" customHeight="1" x14ac:dyDescent="0.25">
      <c r="A164" s="115"/>
      <c r="B164" s="115"/>
      <c r="C164" s="115"/>
      <c r="D164" s="115"/>
      <c r="E164" s="115"/>
      <c r="F164" s="115"/>
      <c r="G164" s="115"/>
      <c r="H164" s="115"/>
      <c r="I164" s="115"/>
      <c r="J164" s="115"/>
      <c r="K164" s="115"/>
      <c r="L164" s="115"/>
      <c r="M164" s="115"/>
      <c r="N164" s="115"/>
      <c r="O164" s="115"/>
      <c r="P164" s="115"/>
      <c r="Q164" s="115"/>
      <c r="R164" s="115"/>
      <c r="S164" s="115"/>
      <c r="T164" s="115"/>
      <c r="U164" s="115"/>
      <c r="V164" s="115"/>
      <c r="W164" s="115"/>
      <c r="X164" s="115"/>
      <c r="Y164" s="115"/>
      <c r="Z164" s="115"/>
      <c r="AA164" s="115"/>
      <c r="AB164" s="115"/>
      <c r="AC164" s="115"/>
      <c r="AD164" s="115"/>
      <c r="AE164" s="115"/>
      <c r="AF164" s="115"/>
      <c r="AG164" s="115"/>
      <c r="AH164" s="115"/>
      <c r="AI164" s="115"/>
      <c r="AJ164" s="115"/>
      <c r="AK164" s="115"/>
      <c r="AL164" s="115"/>
      <c r="AM164" s="115"/>
      <c r="AN164" s="115"/>
      <c r="AO164" s="115"/>
      <c r="AP164" s="115"/>
      <c r="AQ164" s="115"/>
      <c r="AR164" s="115"/>
      <c r="AS164" s="115"/>
      <c r="AT164" s="115"/>
      <c r="AU164" s="115"/>
      <c r="AV164" s="115"/>
      <c r="AW164" s="115"/>
      <c r="AX164" s="115"/>
      <c r="AY164" s="115"/>
      <c r="AZ164" s="115"/>
      <c r="BA164" s="115"/>
      <c r="BB164" s="115"/>
      <c r="BC164" s="115"/>
      <c r="BD164" s="115"/>
      <c r="BE164" s="115"/>
      <c r="BF164" s="115"/>
      <c r="BG164" s="115"/>
      <c r="BH164" s="115"/>
    </row>
    <row r="165" spans="1:60" ht="15.75" customHeight="1" x14ac:dyDescent="0.25">
      <c r="A165" s="115"/>
      <c r="B165" s="115"/>
      <c r="C165" s="115"/>
      <c r="D165" s="115"/>
      <c r="E165" s="115"/>
      <c r="F165" s="115"/>
      <c r="G165" s="115"/>
      <c r="H165" s="115"/>
      <c r="I165" s="115"/>
      <c r="J165" s="115"/>
      <c r="K165" s="115"/>
      <c r="L165" s="115"/>
      <c r="M165" s="115"/>
      <c r="N165" s="115"/>
      <c r="O165" s="115"/>
      <c r="P165" s="115"/>
      <c r="Q165" s="115"/>
      <c r="R165" s="115"/>
      <c r="S165" s="115"/>
      <c r="T165" s="115"/>
      <c r="U165" s="115"/>
      <c r="V165" s="115"/>
      <c r="W165" s="115"/>
      <c r="X165" s="115"/>
      <c r="Y165" s="115"/>
      <c r="Z165" s="115"/>
      <c r="AA165" s="115"/>
      <c r="AB165" s="115"/>
      <c r="AC165" s="115"/>
      <c r="AD165" s="115"/>
      <c r="AE165" s="115"/>
      <c r="AF165" s="115"/>
      <c r="AG165" s="115"/>
      <c r="AH165" s="115"/>
      <c r="AI165" s="115"/>
      <c r="AJ165" s="115"/>
      <c r="AK165" s="115"/>
      <c r="AL165" s="115"/>
      <c r="AM165" s="115"/>
      <c r="AN165" s="115"/>
      <c r="AO165" s="115"/>
      <c r="AP165" s="115"/>
      <c r="AQ165" s="115"/>
      <c r="AR165" s="115"/>
      <c r="AS165" s="115"/>
      <c r="AT165" s="115"/>
      <c r="AU165" s="115"/>
      <c r="AV165" s="115"/>
      <c r="AW165" s="115"/>
      <c r="AX165" s="115"/>
      <c r="AY165" s="115"/>
      <c r="AZ165" s="115"/>
      <c r="BA165" s="115"/>
      <c r="BB165" s="115"/>
      <c r="BC165" s="115"/>
      <c r="BD165" s="115"/>
      <c r="BE165" s="115"/>
      <c r="BF165" s="115"/>
      <c r="BG165" s="115"/>
      <c r="BH165" s="115"/>
    </row>
    <row r="166" spans="1:60" ht="15.75" customHeight="1" x14ac:dyDescent="0.25">
      <c r="A166" s="115"/>
      <c r="B166" s="115"/>
      <c r="C166" s="115"/>
      <c r="D166" s="115"/>
      <c r="E166" s="115"/>
      <c r="F166" s="115"/>
      <c r="G166" s="115"/>
      <c r="H166" s="115"/>
      <c r="I166" s="115"/>
      <c r="J166" s="115"/>
      <c r="K166" s="115"/>
      <c r="L166" s="115"/>
      <c r="M166" s="115"/>
      <c r="N166" s="115"/>
      <c r="O166" s="115"/>
      <c r="P166" s="115"/>
      <c r="Q166" s="115"/>
      <c r="R166" s="115"/>
      <c r="S166" s="115"/>
      <c r="T166" s="115"/>
      <c r="U166" s="115"/>
      <c r="V166" s="115"/>
      <c r="W166" s="115"/>
      <c r="X166" s="115"/>
      <c r="Y166" s="115"/>
      <c r="Z166" s="115"/>
      <c r="AA166" s="115"/>
      <c r="AB166" s="115"/>
      <c r="AC166" s="115"/>
      <c r="AD166" s="115"/>
      <c r="AE166" s="115"/>
      <c r="AF166" s="115"/>
      <c r="AG166" s="115"/>
      <c r="AH166" s="115"/>
      <c r="AI166" s="115"/>
      <c r="AJ166" s="115"/>
      <c r="AK166" s="115"/>
      <c r="AL166" s="115"/>
      <c r="AM166" s="115"/>
      <c r="AN166" s="115"/>
      <c r="AO166" s="115"/>
      <c r="AP166" s="115"/>
      <c r="AQ166" s="115"/>
      <c r="AR166" s="115"/>
      <c r="AS166" s="115"/>
      <c r="AT166" s="115"/>
      <c r="AU166" s="115"/>
      <c r="AV166" s="115"/>
      <c r="AW166" s="115"/>
      <c r="AX166" s="115"/>
      <c r="AY166" s="115"/>
      <c r="AZ166" s="115"/>
      <c r="BA166" s="115"/>
      <c r="BB166" s="115"/>
      <c r="BC166" s="115"/>
      <c r="BD166" s="115"/>
      <c r="BE166" s="115"/>
      <c r="BF166" s="115"/>
      <c r="BG166" s="115"/>
      <c r="BH166" s="115"/>
    </row>
    <row r="167" spans="1:60" ht="15.75" customHeight="1" x14ac:dyDescent="0.25">
      <c r="A167" s="115"/>
      <c r="B167" s="115"/>
      <c r="C167" s="115"/>
      <c r="D167" s="115"/>
      <c r="E167" s="115"/>
      <c r="F167" s="115"/>
      <c r="G167" s="115"/>
      <c r="H167" s="115"/>
      <c r="I167" s="115"/>
      <c r="J167" s="115"/>
      <c r="K167" s="115"/>
      <c r="L167" s="115"/>
      <c r="M167" s="115"/>
      <c r="N167" s="115"/>
      <c r="O167" s="115"/>
      <c r="P167" s="115"/>
      <c r="Q167" s="115"/>
      <c r="R167" s="115"/>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c r="AN167" s="115"/>
      <c r="AO167" s="115"/>
      <c r="AP167" s="115"/>
      <c r="AQ167" s="115"/>
      <c r="AR167" s="115"/>
      <c r="AS167" s="115"/>
      <c r="AT167" s="115"/>
      <c r="AU167" s="115"/>
      <c r="AV167" s="115"/>
      <c r="AW167" s="115"/>
      <c r="AX167" s="115"/>
      <c r="AY167" s="115"/>
      <c r="AZ167" s="115"/>
      <c r="BA167" s="115"/>
      <c r="BB167" s="115"/>
      <c r="BC167" s="115"/>
      <c r="BD167" s="115"/>
      <c r="BE167" s="115"/>
      <c r="BF167" s="115"/>
      <c r="BG167" s="115"/>
      <c r="BH167" s="115"/>
    </row>
    <row r="168" spans="1:60" ht="15.75" customHeight="1" x14ac:dyDescent="0.25">
      <c r="A168" s="115"/>
      <c r="B168" s="115"/>
      <c r="C168" s="115"/>
      <c r="D168" s="115"/>
      <c r="E168" s="115"/>
      <c r="F168" s="115"/>
      <c r="G168" s="115"/>
      <c r="H168" s="115"/>
      <c r="I168" s="115"/>
      <c r="J168" s="115"/>
      <c r="K168" s="115"/>
      <c r="L168" s="115"/>
      <c r="M168" s="115"/>
      <c r="N168" s="115"/>
      <c r="O168" s="115"/>
      <c r="P168" s="115"/>
      <c r="Q168" s="115"/>
      <c r="R168" s="115"/>
      <c r="S168" s="115"/>
      <c r="T168" s="115"/>
      <c r="U168" s="115"/>
      <c r="V168" s="115"/>
      <c r="W168" s="115"/>
      <c r="X168" s="115"/>
      <c r="Y168" s="115"/>
      <c r="Z168" s="115"/>
      <c r="AA168" s="115"/>
      <c r="AB168" s="115"/>
      <c r="AC168" s="115"/>
      <c r="AD168" s="115"/>
      <c r="AE168" s="115"/>
      <c r="AF168" s="115"/>
      <c r="AG168" s="115"/>
      <c r="AH168" s="115"/>
      <c r="AI168" s="115"/>
      <c r="AJ168" s="115"/>
      <c r="AK168" s="115"/>
      <c r="AL168" s="115"/>
      <c r="AM168" s="115"/>
      <c r="AN168" s="115"/>
      <c r="AO168" s="115"/>
      <c r="AP168" s="115"/>
      <c r="AQ168" s="115"/>
      <c r="AR168" s="115"/>
      <c r="AS168" s="115"/>
      <c r="AT168" s="115"/>
      <c r="AU168" s="115"/>
      <c r="AV168" s="115"/>
      <c r="AW168" s="115"/>
      <c r="AX168" s="115"/>
      <c r="AY168" s="115"/>
      <c r="AZ168" s="115"/>
      <c r="BA168" s="115"/>
      <c r="BB168" s="115"/>
      <c r="BC168" s="115"/>
      <c r="BD168" s="115"/>
      <c r="BE168" s="115"/>
      <c r="BF168" s="115"/>
      <c r="BG168" s="115"/>
      <c r="BH168" s="115"/>
    </row>
    <row r="169" spans="1:60" ht="15.75" customHeight="1" x14ac:dyDescent="0.25">
      <c r="A169" s="115"/>
      <c r="B169" s="115"/>
      <c r="C169" s="115"/>
      <c r="D169" s="115"/>
      <c r="E169" s="115"/>
      <c r="F169" s="115"/>
      <c r="G169" s="115"/>
      <c r="H169" s="115"/>
      <c r="I169" s="115"/>
      <c r="J169" s="115"/>
      <c r="K169" s="115"/>
      <c r="L169" s="115"/>
      <c r="M169" s="115"/>
      <c r="N169" s="115"/>
      <c r="O169" s="115"/>
      <c r="P169" s="115"/>
      <c r="Q169" s="115"/>
      <c r="R169" s="115"/>
      <c r="S169" s="115"/>
      <c r="T169" s="115"/>
      <c r="U169" s="115"/>
      <c r="V169" s="115"/>
      <c r="W169" s="115"/>
      <c r="X169" s="115"/>
      <c r="Y169" s="115"/>
      <c r="Z169" s="115"/>
      <c r="AA169" s="115"/>
      <c r="AB169" s="115"/>
      <c r="AC169" s="115"/>
      <c r="AD169" s="115"/>
      <c r="AE169" s="115"/>
      <c r="AF169" s="115"/>
      <c r="AG169" s="115"/>
      <c r="AH169" s="115"/>
      <c r="AI169" s="115"/>
      <c r="AJ169" s="115"/>
      <c r="AK169" s="115"/>
      <c r="AL169" s="115"/>
      <c r="AM169" s="115"/>
      <c r="AN169" s="115"/>
      <c r="AO169" s="115"/>
      <c r="AP169" s="115"/>
      <c r="AQ169" s="115"/>
      <c r="AR169" s="115"/>
      <c r="AS169" s="115"/>
      <c r="AT169" s="115"/>
      <c r="AU169" s="115"/>
      <c r="AV169" s="115"/>
      <c r="AW169" s="115"/>
      <c r="AX169" s="115"/>
      <c r="AY169" s="115"/>
      <c r="AZ169" s="115"/>
      <c r="BA169" s="115"/>
      <c r="BB169" s="115"/>
      <c r="BC169" s="115"/>
      <c r="BD169" s="115"/>
      <c r="BE169" s="115"/>
      <c r="BF169" s="115"/>
      <c r="BG169" s="115"/>
      <c r="BH169" s="115"/>
    </row>
    <row r="170" spans="1:60" ht="15.75" customHeight="1" x14ac:dyDescent="0.25">
      <c r="A170" s="115"/>
      <c r="B170" s="115"/>
      <c r="C170" s="115"/>
      <c r="D170" s="115"/>
      <c r="E170" s="115"/>
      <c r="F170" s="115"/>
      <c r="G170" s="115"/>
      <c r="H170" s="115"/>
      <c r="I170" s="115"/>
      <c r="J170" s="115"/>
      <c r="K170" s="115"/>
      <c r="L170" s="115"/>
      <c r="M170" s="115"/>
      <c r="N170" s="115"/>
      <c r="O170" s="115"/>
      <c r="P170" s="115"/>
      <c r="Q170" s="115"/>
      <c r="R170" s="115"/>
      <c r="S170" s="115"/>
      <c r="T170" s="115"/>
      <c r="U170" s="115"/>
      <c r="V170" s="115"/>
      <c r="W170" s="115"/>
      <c r="X170" s="115"/>
      <c r="Y170" s="115"/>
      <c r="Z170" s="115"/>
      <c r="AA170" s="115"/>
      <c r="AB170" s="115"/>
      <c r="AC170" s="115"/>
      <c r="AD170" s="115"/>
      <c r="AE170" s="115"/>
      <c r="AF170" s="115"/>
      <c r="AG170" s="115"/>
      <c r="AH170" s="115"/>
      <c r="AI170" s="115"/>
      <c r="AJ170" s="115"/>
      <c r="AK170" s="115"/>
      <c r="AL170" s="115"/>
      <c r="AM170" s="115"/>
      <c r="AN170" s="115"/>
      <c r="AO170" s="115"/>
      <c r="AP170" s="115"/>
      <c r="AQ170" s="115"/>
      <c r="AR170" s="115"/>
      <c r="AS170" s="115"/>
      <c r="AT170" s="115"/>
      <c r="AU170" s="115"/>
      <c r="AV170" s="115"/>
      <c r="AW170" s="115"/>
      <c r="AX170" s="115"/>
      <c r="AY170" s="115"/>
      <c r="AZ170" s="115"/>
      <c r="BA170" s="115"/>
      <c r="BB170" s="115"/>
      <c r="BC170" s="115"/>
      <c r="BD170" s="115"/>
      <c r="BE170" s="115"/>
      <c r="BF170" s="115"/>
      <c r="BG170" s="115"/>
      <c r="BH170" s="115"/>
    </row>
    <row r="171" spans="1:60" ht="15.75" customHeight="1" x14ac:dyDescent="0.25">
      <c r="A171" s="115"/>
      <c r="B171" s="115"/>
      <c r="C171" s="115"/>
      <c r="D171" s="115"/>
      <c r="E171" s="115"/>
      <c r="F171" s="115"/>
      <c r="G171" s="115"/>
      <c r="H171" s="115"/>
      <c r="I171" s="115"/>
      <c r="J171" s="115"/>
      <c r="K171" s="115"/>
      <c r="L171" s="115"/>
      <c r="M171" s="115"/>
      <c r="N171" s="115"/>
      <c r="O171" s="115"/>
      <c r="P171" s="115"/>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c r="AN171" s="115"/>
      <c r="AO171" s="115"/>
      <c r="AP171" s="115"/>
      <c r="AQ171" s="115"/>
      <c r="AR171" s="115"/>
      <c r="AS171" s="115"/>
      <c r="AT171" s="115"/>
      <c r="AU171" s="115"/>
      <c r="AV171" s="115"/>
      <c r="AW171" s="115"/>
      <c r="AX171" s="115"/>
      <c r="AY171" s="115"/>
      <c r="AZ171" s="115"/>
      <c r="BA171" s="115"/>
      <c r="BB171" s="115"/>
      <c r="BC171" s="115"/>
      <c r="BD171" s="115"/>
      <c r="BE171" s="115"/>
      <c r="BF171" s="115"/>
      <c r="BG171" s="115"/>
      <c r="BH171" s="115"/>
    </row>
    <row r="172" spans="1:60" ht="15.75" customHeight="1" x14ac:dyDescent="0.25">
      <c r="A172" s="115"/>
      <c r="B172" s="115"/>
      <c r="C172" s="115"/>
      <c r="D172" s="115"/>
      <c r="E172" s="115"/>
      <c r="F172" s="115"/>
      <c r="G172" s="115"/>
      <c r="H172" s="115"/>
      <c r="I172" s="115"/>
      <c r="J172" s="115"/>
      <c r="K172" s="115"/>
      <c r="L172" s="115"/>
      <c r="M172" s="115"/>
      <c r="N172" s="115"/>
      <c r="O172" s="115"/>
      <c r="P172" s="115"/>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c r="AN172" s="115"/>
      <c r="AO172" s="115"/>
      <c r="AP172" s="115"/>
      <c r="AQ172" s="115"/>
      <c r="AR172" s="115"/>
      <c r="AS172" s="115"/>
      <c r="AT172" s="115"/>
      <c r="AU172" s="115"/>
      <c r="AV172" s="115"/>
      <c r="AW172" s="115"/>
      <c r="AX172" s="115"/>
      <c r="AY172" s="115"/>
      <c r="AZ172" s="115"/>
      <c r="BA172" s="115"/>
      <c r="BB172" s="115"/>
      <c r="BC172" s="115"/>
      <c r="BD172" s="115"/>
      <c r="BE172" s="115"/>
      <c r="BF172" s="115"/>
      <c r="BG172" s="115"/>
      <c r="BH172" s="115"/>
    </row>
    <row r="173" spans="1:60" ht="15.75" customHeight="1" x14ac:dyDescent="0.25">
      <c r="A173" s="115"/>
      <c r="B173" s="115"/>
      <c r="C173" s="115"/>
      <c r="D173" s="115"/>
      <c r="E173" s="115"/>
      <c r="F173" s="115"/>
      <c r="G173" s="115"/>
      <c r="H173" s="115"/>
      <c r="I173" s="115"/>
      <c r="J173" s="115"/>
      <c r="K173" s="115"/>
      <c r="L173" s="115"/>
      <c r="M173" s="115"/>
      <c r="N173" s="115"/>
      <c r="O173" s="115"/>
      <c r="P173" s="115"/>
      <c r="Q173" s="115"/>
      <c r="R173" s="115"/>
      <c r="S173" s="115"/>
      <c r="T173" s="115"/>
      <c r="U173" s="115"/>
      <c r="V173" s="115"/>
      <c r="W173" s="115"/>
      <c r="X173" s="115"/>
      <c r="Y173" s="115"/>
      <c r="Z173" s="115"/>
      <c r="AA173" s="115"/>
      <c r="AB173" s="115"/>
      <c r="AC173" s="115"/>
      <c r="AD173" s="115"/>
      <c r="AE173" s="115"/>
      <c r="AF173" s="115"/>
      <c r="AG173" s="115"/>
      <c r="AH173" s="115"/>
      <c r="AI173" s="115"/>
      <c r="AJ173" s="115"/>
      <c r="AK173" s="115"/>
      <c r="AL173" s="115"/>
      <c r="AM173" s="115"/>
      <c r="AN173" s="115"/>
      <c r="AO173" s="115"/>
      <c r="AP173" s="115"/>
      <c r="AQ173" s="115"/>
      <c r="AR173" s="115"/>
      <c r="AS173" s="115"/>
      <c r="AT173" s="115"/>
      <c r="AU173" s="115"/>
      <c r="AV173" s="115"/>
      <c r="AW173" s="115"/>
      <c r="AX173" s="115"/>
      <c r="AY173" s="115"/>
      <c r="AZ173" s="115"/>
      <c r="BA173" s="115"/>
      <c r="BB173" s="115"/>
      <c r="BC173" s="115"/>
      <c r="BD173" s="115"/>
      <c r="BE173" s="115"/>
      <c r="BF173" s="115"/>
      <c r="BG173" s="115"/>
      <c r="BH173" s="115"/>
    </row>
    <row r="174" spans="1:60" ht="15.75" customHeight="1" x14ac:dyDescent="0.25">
      <c r="A174" s="115"/>
      <c r="B174" s="115"/>
      <c r="C174" s="115"/>
      <c r="D174" s="115"/>
      <c r="E174" s="115"/>
      <c r="F174" s="115"/>
      <c r="G174" s="115"/>
      <c r="H174" s="115"/>
      <c r="I174" s="115"/>
      <c r="J174" s="115"/>
      <c r="K174" s="115"/>
      <c r="L174" s="115"/>
      <c r="M174" s="115"/>
      <c r="N174" s="115"/>
      <c r="O174" s="115"/>
      <c r="P174" s="115"/>
      <c r="Q174" s="115"/>
      <c r="R174" s="115"/>
      <c r="S174" s="115"/>
      <c r="T174" s="115"/>
      <c r="U174" s="115"/>
      <c r="V174" s="115"/>
      <c r="W174" s="115"/>
      <c r="X174" s="115"/>
      <c r="Y174" s="115"/>
      <c r="Z174" s="115"/>
      <c r="AA174" s="115"/>
      <c r="AB174" s="115"/>
      <c r="AC174" s="115"/>
      <c r="AD174" s="115"/>
      <c r="AE174" s="115"/>
      <c r="AF174" s="115"/>
      <c r="AG174" s="115"/>
      <c r="AH174" s="115"/>
      <c r="AI174" s="115"/>
      <c r="AJ174" s="115"/>
      <c r="AK174" s="115"/>
      <c r="AL174" s="115"/>
      <c r="AM174" s="115"/>
      <c r="AN174" s="115"/>
      <c r="AO174" s="115"/>
      <c r="AP174" s="115"/>
      <c r="AQ174" s="115"/>
      <c r="AR174" s="115"/>
      <c r="AS174" s="115"/>
      <c r="AT174" s="115"/>
      <c r="AU174" s="115"/>
      <c r="AV174" s="115"/>
      <c r="AW174" s="115"/>
      <c r="AX174" s="115"/>
      <c r="AY174" s="115"/>
      <c r="AZ174" s="115"/>
      <c r="BA174" s="115"/>
      <c r="BB174" s="115"/>
      <c r="BC174" s="115"/>
      <c r="BD174" s="115"/>
      <c r="BE174" s="115"/>
      <c r="BF174" s="115"/>
      <c r="BG174" s="115"/>
      <c r="BH174" s="115"/>
    </row>
    <row r="175" spans="1:60" ht="15.75" customHeight="1" x14ac:dyDescent="0.25">
      <c r="A175" s="115"/>
      <c r="B175" s="115"/>
      <c r="C175" s="115"/>
      <c r="D175" s="115"/>
      <c r="E175" s="115"/>
      <c r="F175" s="115"/>
      <c r="G175" s="115"/>
      <c r="H175" s="115"/>
      <c r="I175" s="115"/>
      <c r="J175" s="115"/>
      <c r="K175" s="115"/>
      <c r="L175" s="115"/>
      <c r="M175" s="115"/>
      <c r="N175" s="115"/>
      <c r="O175" s="115"/>
      <c r="P175" s="115"/>
      <c r="Q175" s="115"/>
      <c r="R175" s="115"/>
      <c r="S175" s="115"/>
      <c r="T175" s="115"/>
      <c r="U175" s="115"/>
      <c r="V175" s="115"/>
      <c r="W175" s="115"/>
      <c r="X175" s="115"/>
      <c r="Y175" s="115"/>
      <c r="Z175" s="115"/>
      <c r="AA175" s="115"/>
      <c r="AB175" s="115"/>
      <c r="AC175" s="115"/>
      <c r="AD175" s="115"/>
      <c r="AE175" s="115"/>
      <c r="AF175" s="115"/>
      <c r="AG175" s="115"/>
      <c r="AH175" s="115"/>
      <c r="AI175" s="115"/>
      <c r="AJ175" s="115"/>
      <c r="AK175" s="115"/>
      <c r="AL175" s="115"/>
      <c r="AM175" s="115"/>
      <c r="AN175" s="115"/>
      <c r="AO175" s="115"/>
      <c r="AP175" s="115"/>
      <c r="AQ175" s="115"/>
      <c r="AR175" s="115"/>
      <c r="AS175" s="115"/>
      <c r="AT175" s="115"/>
      <c r="AU175" s="115"/>
      <c r="AV175" s="115"/>
      <c r="AW175" s="115"/>
      <c r="AX175" s="115"/>
      <c r="AY175" s="115"/>
      <c r="AZ175" s="115"/>
      <c r="BA175" s="115"/>
      <c r="BB175" s="115"/>
      <c r="BC175" s="115"/>
      <c r="BD175" s="115"/>
      <c r="BE175" s="115"/>
      <c r="BF175" s="115"/>
      <c r="BG175" s="115"/>
      <c r="BH175" s="115"/>
    </row>
    <row r="176" spans="1:60" ht="15.75" customHeight="1" x14ac:dyDescent="0.25">
      <c r="A176" s="115"/>
      <c r="B176" s="115"/>
      <c r="C176" s="115"/>
      <c r="D176" s="115"/>
      <c r="E176" s="115"/>
      <c r="F176" s="115"/>
      <c r="G176" s="115"/>
      <c r="H176" s="115"/>
      <c r="I176" s="115"/>
      <c r="J176" s="115"/>
      <c r="K176" s="115"/>
      <c r="L176" s="115"/>
      <c r="M176" s="115"/>
      <c r="N176" s="115"/>
      <c r="O176" s="115"/>
      <c r="P176" s="115"/>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5"/>
      <c r="AM176" s="115"/>
      <c r="AN176" s="115"/>
      <c r="AO176" s="115"/>
      <c r="AP176" s="115"/>
      <c r="AQ176" s="115"/>
      <c r="AR176" s="115"/>
      <c r="AS176" s="115"/>
      <c r="AT176" s="115"/>
      <c r="AU176" s="115"/>
      <c r="AV176" s="115"/>
      <c r="AW176" s="115"/>
      <c r="AX176" s="115"/>
      <c r="AY176" s="115"/>
      <c r="AZ176" s="115"/>
      <c r="BA176" s="115"/>
      <c r="BB176" s="115"/>
      <c r="BC176" s="115"/>
      <c r="BD176" s="115"/>
      <c r="BE176" s="115"/>
      <c r="BF176" s="115"/>
      <c r="BG176" s="115"/>
      <c r="BH176" s="115"/>
    </row>
    <row r="177" spans="1:60" ht="15.75" customHeight="1" x14ac:dyDescent="0.25">
      <c r="A177" s="115"/>
      <c r="B177" s="115"/>
      <c r="C177" s="115"/>
      <c r="D177" s="115"/>
      <c r="E177" s="115"/>
      <c r="F177" s="115"/>
      <c r="G177" s="115"/>
      <c r="H177" s="115"/>
      <c r="I177" s="115"/>
      <c r="J177" s="115"/>
      <c r="K177" s="115"/>
      <c r="L177" s="115"/>
      <c r="M177" s="115"/>
      <c r="N177" s="115"/>
      <c r="O177" s="115"/>
      <c r="P177" s="115"/>
      <c r="Q177" s="115"/>
      <c r="R177" s="115"/>
      <c r="S177" s="115"/>
      <c r="T177" s="115"/>
      <c r="U177" s="115"/>
      <c r="V177" s="115"/>
      <c r="W177" s="115"/>
      <c r="X177" s="115"/>
      <c r="Y177" s="115"/>
      <c r="Z177" s="115"/>
      <c r="AA177" s="115"/>
      <c r="AB177" s="115"/>
      <c r="AC177" s="115"/>
      <c r="AD177" s="115"/>
      <c r="AE177" s="115"/>
      <c r="AF177" s="115"/>
      <c r="AG177" s="115"/>
      <c r="AH177" s="115"/>
      <c r="AI177" s="115"/>
      <c r="AJ177" s="115"/>
      <c r="AK177" s="115"/>
      <c r="AL177" s="115"/>
      <c r="AM177" s="115"/>
      <c r="AN177" s="115"/>
      <c r="AO177" s="115"/>
      <c r="AP177" s="115"/>
      <c r="AQ177" s="115"/>
      <c r="AR177" s="115"/>
      <c r="AS177" s="115"/>
      <c r="AT177" s="115"/>
      <c r="AU177" s="115"/>
      <c r="AV177" s="115"/>
      <c r="AW177" s="115"/>
      <c r="AX177" s="115"/>
      <c r="AY177" s="115"/>
      <c r="AZ177" s="115"/>
      <c r="BA177" s="115"/>
      <c r="BB177" s="115"/>
      <c r="BC177" s="115"/>
      <c r="BD177" s="115"/>
      <c r="BE177" s="115"/>
      <c r="BF177" s="115"/>
      <c r="BG177" s="115"/>
      <c r="BH177" s="115"/>
    </row>
    <row r="178" spans="1:60" ht="15.75" customHeight="1" x14ac:dyDescent="0.25">
      <c r="A178" s="115"/>
      <c r="B178" s="115"/>
      <c r="C178" s="115"/>
      <c r="D178" s="115"/>
      <c r="E178" s="115"/>
      <c r="F178" s="115"/>
      <c r="G178" s="115"/>
      <c r="H178" s="115"/>
      <c r="I178" s="115"/>
      <c r="J178" s="115"/>
      <c r="K178" s="115"/>
      <c r="L178" s="115"/>
      <c r="M178" s="115"/>
      <c r="N178" s="115"/>
      <c r="O178" s="115"/>
      <c r="P178" s="115"/>
      <c r="Q178" s="115"/>
      <c r="R178" s="115"/>
      <c r="S178" s="115"/>
      <c r="T178" s="115"/>
      <c r="U178" s="115"/>
      <c r="V178" s="115"/>
      <c r="W178" s="115"/>
      <c r="X178" s="115"/>
      <c r="Y178" s="115"/>
      <c r="Z178" s="115"/>
      <c r="AA178" s="115"/>
      <c r="AB178" s="115"/>
      <c r="AC178" s="115"/>
      <c r="AD178" s="115"/>
      <c r="AE178" s="115"/>
      <c r="AF178" s="115"/>
      <c r="AG178" s="115"/>
      <c r="AH178" s="115"/>
      <c r="AI178" s="115"/>
      <c r="AJ178" s="115"/>
      <c r="AK178" s="115"/>
      <c r="AL178" s="115"/>
      <c r="AM178" s="115"/>
      <c r="AN178" s="115"/>
      <c r="AO178" s="115"/>
      <c r="AP178" s="115"/>
      <c r="AQ178" s="115"/>
      <c r="AR178" s="115"/>
      <c r="AS178" s="115"/>
      <c r="AT178" s="115"/>
      <c r="AU178" s="115"/>
      <c r="AV178" s="115"/>
      <c r="AW178" s="115"/>
      <c r="AX178" s="115"/>
      <c r="AY178" s="115"/>
      <c r="AZ178" s="115"/>
      <c r="BA178" s="115"/>
      <c r="BB178" s="115"/>
      <c r="BC178" s="115"/>
      <c r="BD178" s="115"/>
      <c r="BE178" s="115"/>
      <c r="BF178" s="115"/>
      <c r="BG178" s="115"/>
      <c r="BH178" s="115"/>
    </row>
    <row r="179" spans="1:60" ht="15.75" customHeight="1" x14ac:dyDescent="0.25">
      <c r="A179" s="115"/>
      <c r="B179" s="115"/>
      <c r="C179" s="115"/>
      <c r="D179" s="115"/>
      <c r="E179" s="115"/>
      <c r="F179" s="115"/>
      <c r="G179" s="115"/>
      <c r="H179" s="115"/>
      <c r="I179" s="115"/>
      <c r="J179" s="115"/>
      <c r="K179" s="115"/>
      <c r="L179" s="115"/>
      <c r="M179" s="115"/>
      <c r="N179" s="115"/>
      <c r="O179" s="115"/>
      <c r="P179" s="115"/>
      <c r="Q179" s="115"/>
      <c r="R179" s="115"/>
      <c r="S179" s="115"/>
      <c r="T179" s="115"/>
      <c r="U179" s="115"/>
      <c r="V179" s="115"/>
      <c r="W179" s="115"/>
      <c r="X179" s="115"/>
      <c r="Y179" s="115"/>
      <c r="Z179" s="115"/>
      <c r="AA179" s="115"/>
      <c r="AB179" s="115"/>
      <c r="AC179" s="115"/>
      <c r="AD179" s="115"/>
      <c r="AE179" s="115"/>
      <c r="AF179" s="115"/>
      <c r="AG179" s="115"/>
      <c r="AH179" s="115"/>
      <c r="AI179" s="115"/>
      <c r="AJ179" s="115"/>
      <c r="AK179" s="115"/>
      <c r="AL179" s="115"/>
      <c r="AM179" s="115"/>
      <c r="AN179" s="115"/>
      <c r="AO179" s="115"/>
      <c r="AP179" s="115"/>
      <c r="AQ179" s="115"/>
      <c r="AR179" s="115"/>
      <c r="AS179" s="115"/>
      <c r="AT179" s="115"/>
      <c r="AU179" s="115"/>
      <c r="AV179" s="115"/>
      <c r="AW179" s="115"/>
      <c r="AX179" s="115"/>
      <c r="AY179" s="115"/>
      <c r="AZ179" s="115"/>
      <c r="BA179" s="115"/>
      <c r="BB179" s="115"/>
      <c r="BC179" s="115"/>
      <c r="BD179" s="115"/>
      <c r="BE179" s="115"/>
      <c r="BF179" s="115"/>
      <c r="BG179" s="115"/>
      <c r="BH179" s="115"/>
    </row>
    <row r="180" spans="1:60" ht="15.75" customHeight="1" x14ac:dyDescent="0.25">
      <c r="A180" s="115"/>
      <c r="B180" s="115"/>
      <c r="C180" s="115"/>
      <c r="D180" s="115"/>
      <c r="E180" s="115"/>
      <c r="F180" s="115"/>
      <c r="G180" s="115"/>
      <c r="H180" s="115"/>
      <c r="I180" s="115"/>
      <c r="J180" s="115"/>
      <c r="K180" s="115"/>
      <c r="L180" s="115"/>
      <c r="M180" s="115"/>
      <c r="N180" s="115"/>
      <c r="O180" s="115"/>
      <c r="P180" s="115"/>
      <c r="Q180" s="115"/>
      <c r="R180" s="115"/>
      <c r="S180" s="115"/>
      <c r="T180" s="115"/>
      <c r="U180" s="115"/>
      <c r="V180" s="115"/>
      <c r="W180" s="115"/>
      <c r="X180" s="115"/>
      <c r="Y180" s="115"/>
      <c r="Z180" s="115"/>
      <c r="AA180" s="115"/>
      <c r="AB180" s="115"/>
      <c r="AC180" s="115"/>
      <c r="AD180" s="115"/>
      <c r="AE180" s="115"/>
      <c r="AF180" s="115"/>
      <c r="AG180" s="115"/>
      <c r="AH180" s="115"/>
      <c r="AI180" s="115"/>
      <c r="AJ180" s="115"/>
      <c r="AK180" s="115"/>
      <c r="AL180" s="115"/>
      <c r="AM180" s="115"/>
      <c r="AN180" s="115"/>
      <c r="AO180" s="115"/>
      <c r="AP180" s="115"/>
      <c r="AQ180" s="115"/>
      <c r="AR180" s="115"/>
      <c r="AS180" s="115"/>
      <c r="AT180" s="115"/>
      <c r="AU180" s="115"/>
      <c r="AV180" s="115"/>
      <c r="AW180" s="115"/>
      <c r="AX180" s="115"/>
      <c r="AY180" s="115"/>
      <c r="AZ180" s="115"/>
      <c r="BA180" s="115"/>
      <c r="BB180" s="115"/>
      <c r="BC180" s="115"/>
      <c r="BD180" s="115"/>
      <c r="BE180" s="115"/>
      <c r="BF180" s="115"/>
      <c r="BG180" s="115"/>
      <c r="BH180" s="115"/>
    </row>
    <row r="181" spans="1:60" ht="15.75" customHeight="1" x14ac:dyDescent="0.25">
      <c r="A181" s="115"/>
      <c r="B181" s="115"/>
      <c r="C181" s="115"/>
      <c r="D181" s="115"/>
      <c r="E181" s="115"/>
      <c r="F181" s="115"/>
      <c r="G181" s="115"/>
      <c r="H181" s="115"/>
      <c r="I181" s="115"/>
      <c r="J181" s="115"/>
      <c r="K181" s="115"/>
      <c r="L181" s="115"/>
      <c r="M181" s="115"/>
      <c r="N181" s="115"/>
      <c r="O181" s="115"/>
      <c r="P181" s="115"/>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c r="AN181" s="115"/>
      <c r="AO181" s="115"/>
      <c r="AP181" s="115"/>
      <c r="AQ181" s="115"/>
      <c r="AR181" s="115"/>
      <c r="AS181" s="115"/>
      <c r="AT181" s="115"/>
      <c r="AU181" s="115"/>
      <c r="AV181" s="115"/>
      <c r="AW181" s="115"/>
      <c r="AX181" s="115"/>
      <c r="AY181" s="115"/>
      <c r="AZ181" s="115"/>
      <c r="BA181" s="115"/>
      <c r="BB181" s="115"/>
      <c r="BC181" s="115"/>
      <c r="BD181" s="115"/>
      <c r="BE181" s="115"/>
      <c r="BF181" s="115"/>
      <c r="BG181" s="115"/>
      <c r="BH181" s="115"/>
    </row>
    <row r="182" spans="1:60" ht="15.75" customHeight="1" x14ac:dyDescent="0.25">
      <c r="A182" s="115"/>
      <c r="B182" s="115"/>
      <c r="C182" s="115"/>
      <c r="D182" s="115"/>
      <c r="E182" s="115"/>
      <c r="F182" s="115"/>
      <c r="G182" s="115"/>
      <c r="H182" s="115"/>
      <c r="I182" s="115"/>
      <c r="J182" s="115"/>
      <c r="K182" s="115"/>
      <c r="L182" s="115"/>
      <c r="M182" s="115"/>
      <c r="N182" s="115"/>
      <c r="O182" s="115"/>
      <c r="P182" s="115"/>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5"/>
      <c r="AM182" s="115"/>
      <c r="AN182" s="115"/>
      <c r="AO182" s="115"/>
      <c r="AP182" s="115"/>
      <c r="AQ182" s="115"/>
      <c r="AR182" s="115"/>
      <c r="AS182" s="115"/>
      <c r="AT182" s="115"/>
      <c r="AU182" s="115"/>
      <c r="AV182" s="115"/>
      <c r="AW182" s="115"/>
      <c r="AX182" s="115"/>
      <c r="AY182" s="115"/>
      <c r="AZ182" s="115"/>
      <c r="BA182" s="115"/>
      <c r="BB182" s="115"/>
      <c r="BC182" s="115"/>
      <c r="BD182" s="115"/>
      <c r="BE182" s="115"/>
      <c r="BF182" s="115"/>
      <c r="BG182" s="115"/>
      <c r="BH182" s="115"/>
    </row>
    <row r="183" spans="1:60" ht="15.75" customHeight="1" x14ac:dyDescent="0.25">
      <c r="A183" s="115"/>
      <c r="B183" s="115"/>
      <c r="C183" s="115"/>
      <c r="D183" s="115"/>
      <c r="E183" s="115"/>
      <c r="F183" s="115"/>
      <c r="G183" s="115"/>
      <c r="H183" s="115"/>
      <c r="I183" s="115"/>
      <c r="J183" s="115"/>
      <c r="K183" s="115"/>
      <c r="L183" s="115"/>
      <c r="M183" s="115"/>
      <c r="N183" s="115"/>
      <c r="O183" s="115"/>
      <c r="P183" s="115"/>
      <c r="Q183" s="115"/>
      <c r="R183" s="115"/>
      <c r="S183" s="115"/>
      <c r="T183" s="115"/>
      <c r="U183" s="115"/>
      <c r="V183" s="115"/>
      <c r="W183" s="115"/>
      <c r="X183" s="115"/>
      <c r="Y183" s="115"/>
      <c r="Z183" s="115"/>
      <c r="AA183" s="115"/>
      <c r="AB183" s="115"/>
      <c r="AC183" s="115"/>
      <c r="AD183" s="115"/>
      <c r="AE183" s="115"/>
      <c r="AF183" s="115"/>
      <c r="AG183" s="115"/>
      <c r="AH183" s="115"/>
      <c r="AI183" s="115"/>
      <c r="AJ183" s="115"/>
      <c r="AK183" s="115"/>
      <c r="AL183" s="115"/>
      <c r="AM183" s="115"/>
      <c r="AN183" s="115"/>
      <c r="AO183" s="115"/>
      <c r="AP183" s="115"/>
      <c r="AQ183" s="115"/>
      <c r="AR183" s="115"/>
      <c r="AS183" s="115"/>
      <c r="AT183" s="115"/>
      <c r="AU183" s="115"/>
      <c r="AV183" s="115"/>
      <c r="AW183" s="115"/>
      <c r="AX183" s="115"/>
      <c r="AY183" s="115"/>
      <c r="AZ183" s="115"/>
      <c r="BA183" s="115"/>
      <c r="BB183" s="115"/>
      <c r="BC183" s="115"/>
      <c r="BD183" s="115"/>
      <c r="BE183" s="115"/>
      <c r="BF183" s="115"/>
      <c r="BG183" s="115"/>
      <c r="BH183" s="115"/>
    </row>
    <row r="184" spans="1:60" ht="15.75" customHeight="1" x14ac:dyDescent="0.25">
      <c r="A184" s="115"/>
      <c r="B184" s="115"/>
      <c r="C184" s="115"/>
      <c r="D184" s="115"/>
      <c r="E184" s="115"/>
      <c r="F184" s="115"/>
      <c r="G184" s="115"/>
      <c r="H184" s="115"/>
      <c r="I184" s="115"/>
      <c r="J184" s="115"/>
      <c r="K184" s="115"/>
      <c r="L184" s="115"/>
      <c r="M184" s="115"/>
      <c r="N184" s="115"/>
      <c r="O184" s="115"/>
      <c r="P184" s="115"/>
      <c r="Q184" s="115"/>
      <c r="R184" s="115"/>
      <c r="S184" s="115"/>
      <c r="T184" s="115"/>
      <c r="U184" s="115"/>
      <c r="V184" s="115"/>
      <c r="W184" s="115"/>
      <c r="X184" s="115"/>
      <c r="Y184" s="115"/>
      <c r="Z184" s="115"/>
      <c r="AA184" s="115"/>
      <c r="AB184" s="115"/>
      <c r="AC184" s="115"/>
      <c r="AD184" s="115"/>
      <c r="AE184" s="115"/>
      <c r="AF184" s="115"/>
      <c r="AG184" s="115"/>
      <c r="AH184" s="115"/>
      <c r="AI184" s="115"/>
      <c r="AJ184" s="115"/>
      <c r="AK184" s="115"/>
      <c r="AL184" s="115"/>
      <c r="AM184" s="115"/>
      <c r="AN184" s="115"/>
      <c r="AO184" s="115"/>
      <c r="AP184" s="115"/>
      <c r="AQ184" s="115"/>
      <c r="AR184" s="115"/>
      <c r="AS184" s="115"/>
      <c r="AT184" s="115"/>
      <c r="AU184" s="115"/>
      <c r="AV184" s="115"/>
      <c r="AW184" s="115"/>
      <c r="AX184" s="115"/>
      <c r="AY184" s="115"/>
      <c r="AZ184" s="115"/>
      <c r="BA184" s="115"/>
      <c r="BB184" s="115"/>
      <c r="BC184" s="115"/>
      <c r="BD184" s="115"/>
      <c r="BE184" s="115"/>
      <c r="BF184" s="115"/>
      <c r="BG184" s="115"/>
      <c r="BH184" s="115"/>
    </row>
    <row r="185" spans="1:60" ht="15.75" customHeight="1" x14ac:dyDescent="0.25">
      <c r="A185" s="115"/>
      <c r="B185" s="115"/>
      <c r="C185" s="115"/>
      <c r="D185" s="115"/>
      <c r="E185" s="115"/>
      <c r="F185" s="115"/>
      <c r="G185" s="115"/>
      <c r="H185" s="115"/>
      <c r="I185" s="115"/>
      <c r="J185" s="115"/>
      <c r="K185" s="115"/>
      <c r="L185" s="115"/>
      <c r="M185" s="115"/>
      <c r="N185" s="115"/>
      <c r="O185" s="115"/>
      <c r="P185" s="115"/>
      <c r="Q185" s="115"/>
      <c r="R185" s="115"/>
      <c r="S185" s="115"/>
      <c r="T185" s="115"/>
      <c r="U185" s="115"/>
      <c r="V185" s="115"/>
      <c r="W185" s="115"/>
      <c r="X185" s="115"/>
      <c r="Y185" s="115"/>
      <c r="Z185" s="115"/>
      <c r="AA185" s="115"/>
      <c r="AB185" s="115"/>
      <c r="AC185" s="115"/>
      <c r="AD185" s="115"/>
      <c r="AE185" s="115"/>
      <c r="AF185" s="115"/>
      <c r="AG185" s="115"/>
      <c r="AH185" s="115"/>
      <c r="AI185" s="115"/>
      <c r="AJ185" s="115"/>
      <c r="AK185" s="115"/>
      <c r="AL185" s="115"/>
      <c r="AM185" s="115"/>
      <c r="AN185" s="115"/>
      <c r="AO185" s="115"/>
      <c r="AP185" s="115"/>
      <c r="AQ185" s="115"/>
      <c r="AR185" s="115"/>
      <c r="AS185" s="115"/>
      <c r="AT185" s="115"/>
      <c r="AU185" s="115"/>
      <c r="AV185" s="115"/>
      <c r="AW185" s="115"/>
      <c r="AX185" s="115"/>
      <c r="AY185" s="115"/>
      <c r="AZ185" s="115"/>
      <c r="BA185" s="115"/>
      <c r="BB185" s="115"/>
      <c r="BC185" s="115"/>
      <c r="BD185" s="115"/>
      <c r="BE185" s="115"/>
      <c r="BF185" s="115"/>
      <c r="BG185" s="115"/>
      <c r="BH185" s="115"/>
    </row>
    <row r="186" spans="1:60" ht="15.75" customHeight="1" x14ac:dyDescent="0.25">
      <c r="A186" s="115"/>
      <c r="B186" s="115"/>
      <c r="C186" s="115"/>
      <c r="D186" s="115"/>
      <c r="E186" s="115"/>
      <c r="F186" s="115"/>
      <c r="G186" s="115"/>
      <c r="H186" s="115"/>
      <c r="I186" s="115"/>
      <c r="J186" s="115"/>
      <c r="K186" s="115"/>
      <c r="L186" s="115"/>
      <c r="M186" s="115"/>
      <c r="N186" s="115"/>
      <c r="O186" s="115"/>
      <c r="P186" s="115"/>
      <c r="Q186" s="115"/>
      <c r="R186" s="115"/>
      <c r="S186" s="115"/>
      <c r="T186" s="115"/>
      <c r="U186" s="115"/>
      <c r="V186" s="115"/>
      <c r="W186" s="115"/>
      <c r="X186" s="115"/>
      <c r="Y186" s="115"/>
      <c r="Z186" s="115"/>
      <c r="AA186" s="115"/>
      <c r="AB186" s="115"/>
      <c r="AC186" s="115"/>
      <c r="AD186" s="115"/>
      <c r="AE186" s="115"/>
      <c r="AF186" s="115"/>
      <c r="AG186" s="115"/>
      <c r="AH186" s="115"/>
      <c r="AI186" s="115"/>
      <c r="AJ186" s="115"/>
      <c r="AK186" s="115"/>
      <c r="AL186" s="115"/>
      <c r="AM186" s="115"/>
      <c r="AN186" s="115"/>
      <c r="AO186" s="115"/>
      <c r="AP186" s="115"/>
      <c r="AQ186" s="115"/>
      <c r="AR186" s="115"/>
      <c r="AS186" s="115"/>
      <c r="AT186" s="115"/>
      <c r="AU186" s="115"/>
      <c r="AV186" s="115"/>
      <c r="AW186" s="115"/>
      <c r="AX186" s="115"/>
      <c r="AY186" s="115"/>
      <c r="AZ186" s="115"/>
      <c r="BA186" s="115"/>
      <c r="BB186" s="115"/>
      <c r="BC186" s="115"/>
      <c r="BD186" s="115"/>
      <c r="BE186" s="115"/>
      <c r="BF186" s="115"/>
      <c r="BG186" s="115"/>
      <c r="BH186" s="115"/>
    </row>
    <row r="187" spans="1:60" ht="15.75" customHeight="1" x14ac:dyDescent="0.25">
      <c r="A187" s="115"/>
      <c r="B187" s="115"/>
      <c r="C187" s="115"/>
      <c r="D187" s="115"/>
      <c r="E187" s="115"/>
      <c r="F187" s="115"/>
      <c r="G187" s="115"/>
      <c r="H187" s="115"/>
      <c r="I187" s="115"/>
      <c r="J187" s="115"/>
      <c r="K187" s="115"/>
      <c r="L187" s="115"/>
      <c r="M187" s="115"/>
      <c r="N187" s="115"/>
      <c r="O187" s="115"/>
      <c r="P187" s="115"/>
      <c r="Q187" s="115"/>
      <c r="R187" s="115"/>
      <c r="S187" s="115"/>
      <c r="T187" s="115"/>
      <c r="U187" s="115"/>
      <c r="V187" s="115"/>
      <c r="W187" s="115"/>
      <c r="X187" s="115"/>
      <c r="Y187" s="115"/>
      <c r="Z187" s="115"/>
      <c r="AA187" s="115"/>
      <c r="AB187" s="115"/>
      <c r="AC187" s="115"/>
      <c r="AD187" s="115"/>
      <c r="AE187" s="115"/>
      <c r="AF187" s="115"/>
      <c r="AG187" s="115"/>
      <c r="AH187" s="115"/>
      <c r="AI187" s="115"/>
      <c r="AJ187" s="115"/>
      <c r="AK187" s="115"/>
      <c r="AL187" s="115"/>
      <c r="AM187" s="115"/>
      <c r="AN187" s="115"/>
      <c r="AO187" s="115"/>
      <c r="AP187" s="115"/>
      <c r="AQ187" s="115"/>
      <c r="AR187" s="115"/>
      <c r="AS187" s="115"/>
      <c r="AT187" s="115"/>
      <c r="AU187" s="115"/>
      <c r="AV187" s="115"/>
      <c r="AW187" s="115"/>
      <c r="AX187" s="115"/>
      <c r="AY187" s="115"/>
      <c r="AZ187" s="115"/>
      <c r="BA187" s="115"/>
      <c r="BB187" s="115"/>
      <c r="BC187" s="115"/>
      <c r="BD187" s="115"/>
      <c r="BE187" s="115"/>
      <c r="BF187" s="115"/>
      <c r="BG187" s="115"/>
      <c r="BH187" s="115"/>
    </row>
    <row r="188" spans="1:60" ht="15.75" customHeight="1" x14ac:dyDescent="0.25">
      <c r="A188" s="115"/>
      <c r="B188" s="115"/>
      <c r="C188" s="115"/>
      <c r="D188" s="115"/>
      <c r="E188" s="115"/>
      <c r="F188" s="115"/>
      <c r="G188" s="115"/>
      <c r="H188" s="115"/>
      <c r="I188" s="115"/>
      <c r="J188" s="115"/>
      <c r="K188" s="115"/>
      <c r="L188" s="115"/>
      <c r="M188" s="115"/>
      <c r="N188" s="115"/>
      <c r="O188" s="115"/>
      <c r="P188" s="115"/>
      <c r="Q188" s="115"/>
      <c r="R188" s="115"/>
      <c r="S188" s="115"/>
      <c r="T188" s="115"/>
      <c r="U188" s="115"/>
      <c r="V188" s="115"/>
      <c r="W188" s="115"/>
      <c r="X188" s="115"/>
      <c r="Y188" s="115"/>
      <c r="Z188" s="115"/>
      <c r="AA188" s="115"/>
      <c r="AB188" s="115"/>
      <c r="AC188" s="115"/>
      <c r="AD188" s="115"/>
      <c r="AE188" s="115"/>
      <c r="AF188" s="115"/>
      <c r="AG188" s="115"/>
      <c r="AH188" s="115"/>
      <c r="AI188" s="115"/>
      <c r="AJ188" s="115"/>
      <c r="AK188" s="115"/>
      <c r="AL188" s="115"/>
      <c r="AM188" s="115"/>
      <c r="AN188" s="115"/>
      <c r="AO188" s="115"/>
      <c r="AP188" s="115"/>
      <c r="AQ188" s="115"/>
      <c r="AR188" s="115"/>
      <c r="AS188" s="115"/>
      <c r="AT188" s="115"/>
      <c r="AU188" s="115"/>
      <c r="AV188" s="115"/>
      <c r="AW188" s="115"/>
      <c r="AX188" s="115"/>
      <c r="AY188" s="115"/>
      <c r="AZ188" s="115"/>
      <c r="BA188" s="115"/>
      <c r="BB188" s="115"/>
      <c r="BC188" s="115"/>
      <c r="BD188" s="115"/>
      <c r="BE188" s="115"/>
      <c r="BF188" s="115"/>
      <c r="BG188" s="115"/>
      <c r="BH188" s="115"/>
    </row>
    <row r="189" spans="1:60" ht="15.75" customHeight="1" x14ac:dyDescent="0.25">
      <c r="A189" s="115"/>
      <c r="B189" s="115"/>
      <c r="C189" s="115"/>
      <c r="D189" s="115"/>
      <c r="E189" s="115"/>
      <c r="F189" s="115"/>
      <c r="G189" s="115"/>
      <c r="H189" s="115"/>
      <c r="I189" s="115"/>
      <c r="J189" s="115"/>
      <c r="K189" s="115"/>
      <c r="L189" s="115"/>
      <c r="M189" s="115"/>
      <c r="N189" s="115"/>
      <c r="O189" s="115"/>
      <c r="P189" s="115"/>
      <c r="Q189" s="115"/>
      <c r="R189" s="115"/>
      <c r="S189" s="115"/>
      <c r="T189" s="115"/>
      <c r="U189" s="115"/>
      <c r="V189" s="115"/>
      <c r="W189" s="115"/>
      <c r="X189" s="115"/>
      <c r="Y189" s="115"/>
      <c r="Z189" s="115"/>
      <c r="AA189" s="115"/>
      <c r="AB189" s="115"/>
      <c r="AC189" s="115"/>
      <c r="AD189" s="115"/>
      <c r="AE189" s="115"/>
      <c r="AF189" s="115"/>
      <c r="AG189" s="115"/>
      <c r="AH189" s="115"/>
      <c r="AI189" s="115"/>
      <c r="AJ189" s="115"/>
      <c r="AK189" s="115"/>
      <c r="AL189" s="115"/>
      <c r="AM189" s="115"/>
      <c r="AN189" s="115"/>
      <c r="AO189" s="115"/>
      <c r="AP189" s="115"/>
      <c r="AQ189" s="115"/>
      <c r="AR189" s="115"/>
      <c r="AS189" s="115"/>
      <c r="AT189" s="115"/>
      <c r="AU189" s="115"/>
      <c r="AV189" s="115"/>
      <c r="AW189" s="115"/>
      <c r="AX189" s="115"/>
      <c r="AY189" s="115"/>
      <c r="AZ189" s="115"/>
      <c r="BA189" s="115"/>
      <c r="BB189" s="115"/>
      <c r="BC189" s="115"/>
      <c r="BD189" s="115"/>
      <c r="BE189" s="115"/>
      <c r="BF189" s="115"/>
      <c r="BG189" s="115"/>
      <c r="BH189" s="115"/>
    </row>
    <row r="190" spans="1:60" ht="15.75" customHeight="1" x14ac:dyDescent="0.25">
      <c r="A190" s="115"/>
      <c r="B190" s="115"/>
      <c r="C190" s="115"/>
      <c r="D190" s="115"/>
      <c r="E190" s="115"/>
      <c r="F190" s="115"/>
      <c r="G190" s="115"/>
      <c r="H190" s="115"/>
      <c r="I190" s="115"/>
      <c r="J190" s="115"/>
      <c r="K190" s="115"/>
      <c r="L190" s="115"/>
      <c r="M190" s="115"/>
      <c r="N190" s="115"/>
      <c r="O190" s="115"/>
      <c r="P190" s="115"/>
      <c r="Q190" s="115"/>
      <c r="R190" s="115"/>
      <c r="S190" s="115"/>
      <c r="T190" s="115"/>
      <c r="U190" s="115"/>
      <c r="V190" s="115"/>
      <c r="W190" s="115"/>
      <c r="X190" s="115"/>
      <c r="Y190" s="115"/>
      <c r="Z190" s="115"/>
      <c r="AA190" s="115"/>
      <c r="AB190" s="115"/>
      <c r="AC190" s="115"/>
      <c r="AD190" s="115"/>
      <c r="AE190" s="115"/>
      <c r="AF190" s="115"/>
      <c r="AG190" s="115"/>
      <c r="AH190" s="115"/>
      <c r="AI190" s="115"/>
      <c r="AJ190" s="115"/>
      <c r="AK190" s="115"/>
      <c r="AL190" s="115"/>
      <c r="AM190" s="115"/>
      <c r="AN190" s="115"/>
      <c r="AO190" s="115"/>
      <c r="AP190" s="115"/>
      <c r="AQ190" s="115"/>
      <c r="AR190" s="115"/>
      <c r="AS190" s="115"/>
      <c r="AT190" s="115"/>
      <c r="AU190" s="115"/>
      <c r="AV190" s="115"/>
      <c r="AW190" s="115"/>
      <c r="AX190" s="115"/>
      <c r="AY190" s="115"/>
      <c r="AZ190" s="115"/>
      <c r="BA190" s="115"/>
      <c r="BB190" s="115"/>
      <c r="BC190" s="115"/>
      <c r="BD190" s="115"/>
      <c r="BE190" s="115"/>
      <c r="BF190" s="115"/>
      <c r="BG190" s="115"/>
      <c r="BH190" s="115"/>
    </row>
    <row r="191" spans="1:60" ht="15.75" customHeight="1" x14ac:dyDescent="0.25">
      <c r="A191" s="115"/>
      <c r="J191" s="115"/>
      <c r="K191" s="115"/>
      <c r="L191" s="115"/>
      <c r="M191" s="115"/>
      <c r="N191" s="115"/>
      <c r="O191" s="115"/>
      <c r="P191" s="115"/>
      <c r="Q191" s="115"/>
      <c r="R191" s="115"/>
      <c r="S191" s="115"/>
      <c r="T191" s="115"/>
      <c r="U191" s="115"/>
      <c r="V191" s="115"/>
      <c r="W191" s="115"/>
      <c r="X191" s="115"/>
      <c r="Y191" s="115"/>
      <c r="Z191" s="115"/>
      <c r="AA191" s="115"/>
      <c r="AB191" s="115"/>
      <c r="AC191" s="115"/>
      <c r="AD191" s="115"/>
      <c r="AE191" s="115"/>
      <c r="AF191" s="115"/>
      <c r="AG191" s="115"/>
      <c r="AH191" s="115"/>
      <c r="AI191" s="115"/>
      <c r="AJ191" s="115"/>
      <c r="AK191" s="115"/>
      <c r="AL191" s="115"/>
      <c r="AM191" s="115"/>
      <c r="AN191" s="115"/>
      <c r="AO191" s="115"/>
      <c r="AP191" s="115"/>
      <c r="AQ191" s="115"/>
      <c r="AR191" s="115"/>
      <c r="AS191" s="115"/>
      <c r="AT191" s="115"/>
      <c r="AU191" s="115"/>
      <c r="AV191" s="115"/>
      <c r="AW191" s="115"/>
      <c r="AX191" s="115"/>
      <c r="AY191" s="115"/>
      <c r="AZ191" s="115"/>
      <c r="BA191" s="115"/>
      <c r="BB191" s="115"/>
      <c r="BC191" s="115"/>
      <c r="BD191" s="115"/>
      <c r="BE191" s="115"/>
      <c r="BF191" s="115"/>
      <c r="BG191" s="115"/>
      <c r="BH191" s="115"/>
    </row>
    <row r="192" spans="1:60" ht="15.75" customHeight="1" x14ac:dyDescent="0.25">
      <c r="A192" s="115"/>
      <c r="J192" s="115"/>
      <c r="K192" s="115"/>
      <c r="L192" s="115"/>
      <c r="M192" s="115"/>
      <c r="N192" s="115"/>
      <c r="O192" s="115"/>
      <c r="P192" s="115"/>
      <c r="Q192" s="115"/>
      <c r="R192" s="115"/>
      <c r="S192" s="115"/>
      <c r="T192" s="115"/>
      <c r="U192" s="115"/>
      <c r="V192" s="115"/>
      <c r="W192" s="115"/>
      <c r="X192" s="115"/>
      <c r="Y192" s="115"/>
      <c r="Z192" s="115"/>
      <c r="AA192" s="115"/>
      <c r="AB192" s="115"/>
      <c r="AC192" s="115"/>
      <c r="AD192" s="115"/>
      <c r="AE192" s="115"/>
      <c r="AF192" s="115"/>
      <c r="AG192" s="115"/>
      <c r="AH192" s="115"/>
      <c r="AI192" s="115"/>
      <c r="AJ192" s="115"/>
      <c r="AK192" s="115"/>
      <c r="AL192" s="115"/>
      <c r="AM192" s="115"/>
      <c r="AN192" s="115"/>
      <c r="AO192" s="115"/>
      <c r="AP192" s="115"/>
      <c r="AQ192" s="115"/>
      <c r="AR192" s="115"/>
      <c r="AS192" s="115"/>
      <c r="AT192" s="115"/>
      <c r="AU192" s="115"/>
      <c r="AV192" s="115"/>
      <c r="AW192" s="115"/>
      <c r="AX192" s="115"/>
      <c r="AY192" s="115"/>
      <c r="AZ192" s="115"/>
      <c r="BA192" s="115"/>
      <c r="BB192" s="115"/>
      <c r="BC192" s="115"/>
      <c r="BD192" s="115"/>
      <c r="BE192" s="115"/>
      <c r="BF192" s="115"/>
      <c r="BG192" s="115"/>
      <c r="BH192" s="115"/>
    </row>
    <row r="193" spans="1:60" ht="15.75" customHeight="1" x14ac:dyDescent="0.25">
      <c r="A193" s="115"/>
      <c r="J193" s="115"/>
      <c r="K193" s="115"/>
      <c r="L193" s="115"/>
      <c r="M193" s="115"/>
      <c r="N193" s="115"/>
      <c r="O193" s="115"/>
      <c r="P193" s="115"/>
      <c r="Q193" s="115"/>
      <c r="R193" s="115"/>
      <c r="S193" s="115"/>
      <c r="T193" s="115"/>
      <c r="U193" s="115"/>
      <c r="V193" s="115"/>
      <c r="W193" s="115"/>
      <c r="X193" s="115"/>
      <c r="Y193" s="115"/>
      <c r="Z193" s="115"/>
      <c r="AA193" s="115"/>
      <c r="AB193" s="115"/>
      <c r="AC193" s="115"/>
      <c r="AD193" s="115"/>
      <c r="AE193" s="115"/>
      <c r="AF193" s="115"/>
      <c r="AG193" s="115"/>
      <c r="AH193" s="115"/>
      <c r="AI193" s="115"/>
      <c r="AJ193" s="115"/>
      <c r="AK193" s="115"/>
      <c r="AL193" s="115"/>
      <c r="AM193" s="115"/>
      <c r="AN193" s="115"/>
      <c r="AO193" s="115"/>
      <c r="AP193" s="115"/>
      <c r="AQ193" s="115"/>
      <c r="AR193" s="115"/>
      <c r="AS193" s="115"/>
      <c r="AT193" s="115"/>
      <c r="AU193" s="115"/>
      <c r="AV193" s="115"/>
      <c r="AW193" s="115"/>
      <c r="AX193" s="115"/>
      <c r="AY193" s="115"/>
      <c r="AZ193" s="115"/>
      <c r="BA193" s="115"/>
      <c r="BB193" s="115"/>
      <c r="BC193" s="115"/>
      <c r="BD193" s="115"/>
      <c r="BE193" s="115"/>
      <c r="BF193" s="115"/>
      <c r="BG193" s="115"/>
      <c r="BH193" s="115"/>
    </row>
    <row r="194" spans="1:60" ht="15.75" customHeight="1" x14ac:dyDescent="0.25">
      <c r="A194" s="115"/>
      <c r="J194" s="115"/>
      <c r="K194" s="115"/>
      <c r="L194" s="115"/>
      <c r="M194" s="115"/>
      <c r="N194" s="115"/>
      <c r="O194" s="115"/>
      <c r="P194" s="115"/>
      <c r="Q194" s="115"/>
      <c r="R194" s="115"/>
      <c r="S194" s="115"/>
      <c r="T194" s="115"/>
      <c r="U194" s="115"/>
      <c r="V194" s="115"/>
      <c r="W194" s="115"/>
      <c r="X194" s="115"/>
      <c r="Y194" s="115"/>
      <c r="Z194" s="115"/>
      <c r="AA194" s="115"/>
      <c r="AB194" s="115"/>
      <c r="AC194" s="115"/>
      <c r="AD194" s="115"/>
      <c r="AE194" s="115"/>
      <c r="AF194" s="115"/>
      <c r="AG194" s="115"/>
      <c r="AH194" s="115"/>
      <c r="AI194" s="115"/>
      <c r="AJ194" s="115"/>
      <c r="AK194" s="115"/>
      <c r="AL194" s="115"/>
      <c r="AM194" s="115"/>
      <c r="AN194" s="115"/>
      <c r="AO194" s="115"/>
      <c r="AP194" s="115"/>
      <c r="AQ194" s="115"/>
      <c r="AR194" s="115"/>
      <c r="AS194" s="115"/>
      <c r="AT194" s="115"/>
      <c r="AU194" s="115"/>
      <c r="AV194" s="115"/>
      <c r="AW194" s="115"/>
      <c r="AX194" s="115"/>
      <c r="AY194" s="115"/>
      <c r="AZ194" s="115"/>
      <c r="BA194" s="115"/>
      <c r="BB194" s="115"/>
      <c r="BC194" s="115"/>
      <c r="BD194" s="115"/>
      <c r="BE194" s="115"/>
      <c r="BF194" s="115"/>
      <c r="BG194" s="115"/>
      <c r="BH194" s="115"/>
    </row>
    <row r="195" spans="1:60" ht="15.75" customHeight="1" x14ac:dyDescent="0.25">
      <c r="A195" s="115"/>
      <c r="J195" s="115"/>
      <c r="K195" s="115"/>
      <c r="L195" s="115"/>
      <c r="M195" s="115"/>
      <c r="N195" s="115"/>
      <c r="O195" s="115"/>
      <c r="P195" s="115"/>
      <c r="Q195" s="115"/>
      <c r="R195" s="115"/>
      <c r="S195" s="115"/>
      <c r="T195" s="115"/>
      <c r="U195" s="115"/>
      <c r="V195" s="115"/>
      <c r="W195" s="115"/>
      <c r="X195" s="115"/>
      <c r="Y195" s="115"/>
      <c r="Z195" s="115"/>
      <c r="AA195" s="115"/>
      <c r="AB195" s="115"/>
      <c r="AC195" s="115"/>
      <c r="AD195" s="115"/>
      <c r="AE195" s="115"/>
      <c r="AF195" s="115"/>
      <c r="AG195" s="115"/>
      <c r="AH195" s="115"/>
      <c r="AI195" s="115"/>
      <c r="AJ195" s="115"/>
      <c r="AK195" s="115"/>
      <c r="AL195" s="115"/>
      <c r="AM195" s="115"/>
      <c r="AN195" s="115"/>
      <c r="AO195" s="115"/>
      <c r="AP195" s="115"/>
      <c r="AQ195" s="115"/>
      <c r="AR195" s="115"/>
      <c r="AS195" s="115"/>
      <c r="AT195" s="115"/>
      <c r="AU195" s="115"/>
      <c r="AV195" s="115"/>
      <c r="AW195" s="115"/>
      <c r="AX195" s="115"/>
      <c r="AY195" s="115"/>
      <c r="AZ195" s="115"/>
      <c r="BA195" s="115"/>
      <c r="BB195" s="115"/>
      <c r="BC195" s="115"/>
      <c r="BD195" s="115"/>
      <c r="BE195" s="115"/>
      <c r="BF195" s="115"/>
      <c r="BG195" s="115"/>
      <c r="BH195" s="115"/>
    </row>
    <row r="196" spans="1:60" ht="15.75" customHeight="1" x14ac:dyDescent="0.25">
      <c r="A196" s="115"/>
      <c r="J196" s="115"/>
      <c r="K196" s="115"/>
      <c r="L196" s="115"/>
      <c r="M196" s="115"/>
      <c r="N196" s="115"/>
      <c r="O196" s="115"/>
      <c r="P196" s="115"/>
      <c r="Q196" s="115"/>
      <c r="R196" s="115"/>
      <c r="S196" s="115"/>
      <c r="T196" s="115"/>
      <c r="U196" s="115"/>
      <c r="V196" s="115"/>
      <c r="W196" s="115"/>
      <c r="X196" s="115"/>
      <c r="Y196" s="115"/>
      <c r="Z196" s="115"/>
      <c r="AA196" s="115"/>
      <c r="AB196" s="115"/>
      <c r="AC196" s="115"/>
      <c r="AD196" s="115"/>
      <c r="AE196" s="115"/>
      <c r="AF196" s="115"/>
      <c r="AG196" s="115"/>
      <c r="AH196" s="115"/>
      <c r="AI196" s="115"/>
      <c r="AJ196" s="115"/>
      <c r="AK196" s="115"/>
      <c r="AL196" s="115"/>
      <c r="AM196" s="115"/>
      <c r="AN196" s="115"/>
      <c r="AO196" s="115"/>
      <c r="AP196" s="115"/>
      <c r="AQ196" s="115"/>
      <c r="AR196" s="115"/>
      <c r="AS196" s="115"/>
      <c r="AT196" s="115"/>
      <c r="AU196" s="115"/>
      <c r="AV196" s="115"/>
      <c r="AW196" s="115"/>
      <c r="AX196" s="115"/>
      <c r="AY196" s="115"/>
      <c r="AZ196" s="115"/>
      <c r="BA196" s="115"/>
      <c r="BB196" s="115"/>
      <c r="BC196" s="115"/>
      <c r="BD196" s="115"/>
      <c r="BE196" s="115"/>
      <c r="BF196" s="115"/>
      <c r="BG196" s="115"/>
      <c r="BH196" s="115"/>
    </row>
    <row r="197" spans="1:60" ht="15.75" customHeight="1" x14ac:dyDescent="0.25">
      <c r="A197" s="115"/>
      <c r="J197" s="115"/>
      <c r="K197" s="115"/>
      <c r="L197" s="115"/>
      <c r="M197" s="115"/>
      <c r="N197" s="115"/>
      <c r="O197" s="115"/>
      <c r="P197" s="115"/>
      <c r="Q197" s="115"/>
      <c r="R197" s="115"/>
      <c r="S197" s="115"/>
      <c r="T197" s="115"/>
      <c r="U197" s="115"/>
      <c r="V197" s="115"/>
      <c r="W197" s="115"/>
      <c r="X197" s="115"/>
      <c r="Y197" s="115"/>
      <c r="Z197" s="115"/>
      <c r="AA197" s="115"/>
      <c r="AB197" s="115"/>
      <c r="AC197" s="115"/>
      <c r="AD197" s="115"/>
      <c r="AE197" s="115"/>
      <c r="AF197" s="115"/>
      <c r="AG197" s="115"/>
      <c r="AH197" s="115"/>
      <c r="AI197" s="115"/>
      <c r="AJ197" s="115"/>
      <c r="AK197" s="115"/>
      <c r="AL197" s="115"/>
      <c r="AM197" s="115"/>
      <c r="AN197" s="115"/>
      <c r="AO197" s="115"/>
      <c r="AP197" s="115"/>
      <c r="AQ197" s="115"/>
      <c r="AR197" s="115"/>
      <c r="AS197" s="115"/>
      <c r="AT197" s="115"/>
      <c r="AU197" s="115"/>
      <c r="AV197" s="115"/>
      <c r="AW197" s="115"/>
      <c r="AX197" s="115"/>
      <c r="AY197" s="115"/>
      <c r="AZ197" s="115"/>
      <c r="BA197" s="115"/>
      <c r="BB197" s="115"/>
      <c r="BC197" s="115"/>
      <c r="BD197" s="115"/>
      <c r="BE197" s="115"/>
      <c r="BF197" s="115"/>
      <c r="BG197" s="115"/>
      <c r="BH197" s="115"/>
    </row>
    <row r="198" spans="1:60" ht="15.75" customHeight="1" x14ac:dyDescent="0.25">
      <c r="A198" s="115"/>
      <c r="J198" s="115"/>
      <c r="K198" s="115"/>
      <c r="L198" s="115"/>
      <c r="M198" s="115"/>
      <c r="N198" s="115"/>
      <c r="O198" s="115"/>
      <c r="P198" s="115"/>
      <c r="Q198" s="115"/>
      <c r="R198" s="115"/>
      <c r="S198" s="115"/>
      <c r="T198" s="115"/>
      <c r="U198" s="115"/>
      <c r="V198" s="115"/>
      <c r="W198" s="115"/>
      <c r="X198" s="115"/>
      <c r="Y198" s="115"/>
      <c r="Z198" s="115"/>
      <c r="AA198" s="115"/>
      <c r="AB198" s="115"/>
      <c r="AC198" s="115"/>
      <c r="AD198" s="115"/>
      <c r="AE198" s="115"/>
      <c r="AF198" s="115"/>
      <c r="AG198" s="115"/>
      <c r="AH198" s="115"/>
      <c r="AI198" s="115"/>
      <c r="AJ198" s="115"/>
      <c r="AK198" s="115"/>
      <c r="AL198" s="115"/>
      <c r="AM198" s="115"/>
      <c r="AN198" s="115"/>
      <c r="AO198" s="115"/>
      <c r="AP198" s="115"/>
      <c r="AQ198" s="115"/>
      <c r="AR198" s="115"/>
      <c r="AS198" s="115"/>
      <c r="AT198" s="115"/>
      <c r="AU198" s="115"/>
      <c r="AV198" s="115"/>
      <c r="AW198" s="115"/>
      <c r="AX198" s="115"/>
      <c r="AY198" s="115"/>
      <c r="AZ198" s="115"/>
      <c r="BA198" s="115"/>
      <c r="BB198" s="115"/>
      <c r="BC198" s="115"/>
      <c r="BD198" s="115"/>
      <c r="BE198" s="115"/>
      <c r="BF198" s="115"/>
      <c r="BG198" s="115"/>
      <c r="BH198" s="115"/>
    </row>
    <row r="199" spans="1:60" ht="15.75" customHeight="1" x14ac:dyDescent="0.25">
      <c r="A199" s="115"/>
      <c r="J199" s="115"/>
      <c r="K199" s="115"/>
      <c r="L199" s="115"/>
      <c r="M199" s="115"/>
      <c r="N199" s="115"/>
      <c r="O199" s="115"/>
      <c r="P199" s="115"/>
      <c r="Q199" s="115"/>
      <c r="R199" s="115"/>
      <c r="S199" s="115"/>
      <c r="T199" s="115"/>
      <c r="U199" s="115"/>
      <c r="V199" s="115"/>
      <c r="W199" s="115"/>
      <c r="X199" s="115"/>
      <c r="Y199" s="115"/>
      <c r="Z199" s="115"/>
      <c r="AA199" s="115"/>
      <c r="AB199" s="115"/>
      <c r="AC199" s="115"/>
      <c r="AD199" s="115"/>
      <c r="AE199" s="115"/>
      <c r="AF199" s="115"/>
      <c r="AG199" s="115"/>
      <c r="AH199" s="115"/>
      <c r="AI199" s="115"/>
      <c r="AJ199" s="115"/>
      <c r="AK199" s="115"/>
      <c r="AL199" s="115"/>
      <c r="AM199" s="115"/>
      <c r="AN199" s="115"/>
      <c r="AO199" s="115"/>
      <c r="AP199" s="115"/>
      <c r="AQ199" s="115"/>
      <c r="AR199" s="115"/>
      <c r="AS199" s="115"/>
      <c r="AT199" s="115"/>
      <c r="AU199" s="115"/>
      <c r="AV199" s="115"/>
      <c r="AW199" s="115"/>
      <c r="AX199" s="115"/>
      <c r="AY199" s="115"/>
      <c r="AZ199" s="115"/>
      <c r="BA199" s="115"/>
      <c r="BB199" s="115"/>
      <c r="BC199" s="115"/>
      <c r="BD199" s="115"/>
      <c r="BE199" s="115"/>
      <c r="BF199" s="115"/>
      <c r="BG199" s="115"/>
      <c r="BH199" s="115"/>
    </row>
    <row r="200" spans="1:60" ht="15.75" customHeight="1" x14ac:dyDescent="0.25">
      <c r="A200" s="115"/>
      <c r="J200" s="115"/>
      <c r="K200" s="115"/>
      <c r="L200" s="115"/>
      <c r="M200" s="115"/>
      <c r="N200" s="115"/>
      <c r="O200" s="115"/>
      <c r="P200" s="115"/>
      <c r="Q200" s="115"/>
      <c r="R200" s="115"/>
      <c r="S200" s="115"/>
      <c r="T200" s="115"/>
      <c r="U200" s="115"/>
      <c r="V200" s="115"/>
      <c r="W200" s="115"/>
      <c r="X200" s="115"/>
      <c r="Y200" s="115"/>
      <c r="Z200" s="115"/>
      <c r="AA200" s="115"/>
      <c r="AB200" s="115"/>
      <c r="AC200" s="115"/>
      <c r="AD200" s="115"/>
      <c r="AE200" s="115"/>
      <c r="AF200" s="115"/>
      <c r="AG200" s="115"/>
      <c r="AH200" s="115"/>
      <c r="AI200" s="115"/>
      <c r="AJ200" s="115"/>
      <c r="AK200" s="115"/>
      <c r="AL200" s="115"/>
      <c r="AM200" s="115"/>
      <c r="AN200" s="115"/>
      <c r="AO200" s="115"/>
      <c r="AP200" s="115"/>
      <c r="AQ200" s="115"/>
      <c r="AR200" s="115"/>
      <c r="AS200" s="115"/>
      <c r="AT200" s="115"/>
      <c r="AU200" s="115"/>
      <c r="AV200" s="115"/>
      <c r="AW200" s="115"/>
      <c r="AX200" s="115"/>
      <c r="AY200" s="115"/>
      <c r="AZ200" s="115"/>
      <c r="BA200" s="115"/>
      <c r="BB200" s="115"/>
      <c r="BC200" s="115"/>
      <c r="BD200" s="115"/>
      <c r="BE200" s="115"/>
      <c r="BF200" s="115"/>
      <c r="BG200" s="115"/>
      <c r="BH200" s="115"/>
    </row>
    <row r="201" spans="1:60" ht="15.75" customHeight="1" x14ac:dyDescent="0.25">
      <c r="A201" s="115"/>
      <c r="J201" s="115"/>
      <c r="K201" s="115"/>
      <c r="L201" s="115"/>
      <c r="M201" s="115"/>
      <c r="N201" s="115"/>
      <c r="O201" s="115"/>
      <c r="P201" s="115"/>
      <c r="Q201" s="115"/>
      <c r="R201" s="115"/>
      <c r="S201" s="115"/>
      <c r="T201" s="115"/>
      <c r="U201" s="115"/>
      <c r="V201" s="115"/>
      <c r="W201" s="115"/>
      <c r="X201" s="115"/>
      <c r="Y201" s="115"/>
      <c r="Z201" s="115"/>
      <c r="AA201" s="115"/>
      <c r="AB201" s="115"/>
      <c r="AC201" s="115"/>
      <c r="AD201" s="115"/>
      <c r="AE201" s="115"/>
      <c r="AF201" s="115"/>
      <c r="AG201" s="115"/>
      <c r="AH201" s="115"/>
      <c r="AI201" s="115"/>
      <c r="AJ201" s="115"/>
      <c r="AK201" s="115"/>
      <c r="AL201" s="115"/>
      <c r="AM201" s="115"/>
      <c r="AN201" s="115"/>
      <c r="AO201" s="115"/>
      <c r="AP201" s="115"/>
      <c r="AQ201" s="115"/>
      <c r="AR201" s="115"/>
      <c r="AS201" s="115"/>
      <c r="AT201" s="115"/>
      <c r="AU201" s="115"/>
      <c r="AV201" s="115"/>
      <c r="AW201" s="115"/>
      <c r="AX201" s="115"/>
      <c r="AY201" s="115"/>
      <c r="AZ201" s="115"/>
      <c r="BA201" s="115"/>
      <c r="BB201" s="115"/>
      <c r="BC201" s="115"/>
      <c r="BD201" s="115"/>
      <c r="BE201" s="115"/>
      <c r="BF201" s="115"/>
      <c r="BG201" s="115"/>
      <c r="BH201" s="115"/>
    </row>
    <row r="202" spans="1:60" ht="15.75" customHeight="1" x14ac:dyDescent="0.25">
      <c r="A202" s="115"/>
      <c r="J202" s="115"/>
      <c r="K202" s="115"/>
      <c r="L202" s="115"/>
      <c r="M202" s="115"/>
      <c r="N202" s="115"/>
      <c r="O202" s="115"/>
      <c r="P202" s="115"/>
      <c r="Q202" s="115"/>
      <c r="R202" s="115"/>
      <c r="S202" s="115"/>
      <c r="T202" s="115"/>
      <c r="U202" s="115"/>
      <c r="V202" s="115"/>
      <c r="W202" s="115"/>
      <c r="X202" s="115"/>
      <c r="Y202" s="115"/>
      <c r="Z202" s="115"/>
      <c r="AA202" s="115"/>
      <c r="AB202" s="115"/>
      <c r="AC202" s="115"/>
      <c r="AD202" s="115"/>
      <c r="AE202" s="115"/>
      <c r="AF202" s="115"/>
      <c r="AG202" s="115"/>
      <c r="AH202" s="115"/>
      <c r="AI202" s="115"/>
      <c r="AJ202" s="115"/>
      <c r="AK202" s="115"/>
      <c r="AL202" s="115"/>
      <c r="AM202" s="115"/>
      <c r="AN202" s="115"/>
      <c r="AO202" s="115"/>
      <c r="AP202" s="115"/>
      <c r="AQ202" s="115"/>
      <c r="AR202" s="115"/>
      <c r="AS202" s="115"/>
      <c r="AT202" s="115"/>
      <c r="AU202" s="115"/>
      <c r="AV202" s="115"/>
      <c r="AW202" s="115"/>
      <c r="AX202" s="115"/>
      <c r="AY202" s="115"/>
      <c r="AZ202" s="115"/>
      <c r="BA202" s="115"/>
      <c r="BB202" s="115"/>
      <c r="BC202" s="115"/>
      <c r="BD202" s="115"/>
      <c r="BE202" s="115"/>
      <c r="BF202" s="115"/>
      <c r="BG202" s="115"/>
      <c r="BH202" s="115"/>
    </row>
    <row r="203" spans="1:60" ht="15.75" customHeight="1" x14ac:dyDescent="0.25">
      <c r="A203" s="115"/>
      <c r="J203" s="115"/>
      <c r="K203" s="115"/>
      <c r="L203" s="115"/>
      <c r="M203" s="115"/>
      <c r="N203" s="115"/>
      <c r="O203" s="115"/>
      <c r="P203" s="115"/>
      <c r="Q203" s="115"/>
      <c r="R203" s="115"/>
      <c r="S203" s="115"/>
      <c r="T203" s="115"/>
      <c r="U203" s="115"/>
      <c r="V203" s="115"/>
      <c r="W203" s="115"/>
      <c r="X203" s="115"/>
      <c r="Y203" s="115"/>
      <c r="Z203" s="115"/>
      <c r="AA203" s="115"/>
      <c r="AB203" s="115"/>
      <c r="AC203" s="115"/>
      <c r="AD203" s="115"/>
      <c r="AE203" s="115"/>
      <c r="AF203" s="115"/>
      <c r="AG203" s="115"/>
      <c r="AH203" s="115"/>
      <c r="AI203" s="115"/>
      <c r="AJ203" s="115"/>
      <c r="AK203" s="115"/>
      <c r="AL203" s="115"/>
      <c r="AM203" s="115"/>
      <c r="AN203" s="115"/>
      <c r="AO203" s="115"/>
      <c r="AP203" s="115"/>
      <c r="AQ203" s="115"/>
      <c r="AR203" s="115"/>
      <c r="AS203" s="115"/>
      <c r="AT203" s="115"/>
      <c r="AU203" s="115"/>
      <c r="AV203" s="115"/>
      <c r="AW203" s="115"/>
      <c r="AX203" s="115"/>
      <c r="AY203" s="115"/>
      <c r="AZ203" s="115"/>
      <c r="BA203" s="115"/>
      <c r="BB203" s="115"/>
      <c r="BC203" s="115"/>
      <c r="BD203" s="115"/>
      <c r="BE203" s="115"/>
      <c r="BF203" s="115"/>
      <c r="BG203" s="115"/>
      <c r="BH203" s="115"/>
    </row>
    <row r="204" spans="1:60" ht="15.75" customHeight="1" x14ac:dyDescent="0.25">
      <c r="A204" s="115"/>
      <c r="J204" s="115"/>
      <c r="K204" s="115"/>
      <c r="L204" s="115"/>
      <c r="M204" s="115"/>
      <c r="N204" s="115"/>
      <c r="O204" s="115"/>
      <c r="P204" s="115"/>
      <c r="Q204" s="115"/>
      <c r="R204" s="115"/>
      <c r="S204" s="115"/>
      <c r="T204" s="115"/>
      <c r="U204" s="115"/>
      <c r="V204" s="115"/>
      <c r="W204" s="115"/>
      <c r="X204" s="115"/>
      <c r="Y204" s="115"/>
      <c r="Z204" s="115"/>
      <c r="AA204" s="115"/>
      <c r="AB204" s="115"/>
      <c r="AC204" s="115"/>
      <c r="AD204" s="115"/>
      <c r="AE204" s="115"/>
      <c r="AF204" s="115"/>
      <c r="AG204" s="115"/>
      <c r="AH204" s="115"/>
      <c r="AI204" s="115"/>
      <c r="AJ204" s="115"/>
      <c r="AK204" s="115"/>
      <c r="AL204" s="115"/>
      <c r="AM204" s="115"/>
      <c r="AN204" s="115"/>
      <c r="AO204" s="115"/>
      <c r="AP204" s="115"/>
      <c r="AQ204" s="115"/>
      <c r="AR204" s="115"/>
      <c r="AS204" s="115"/>
      <c r="AT204" s="115"/>
      <c r="AU204" s="115"/>
      <c r="AV204" s="115"/>
      <c r="AW204" s="115"/>
      <c r="AX204" s="115"/>
      <c r="AY204" s="115"/>
      <c r="AZ204" s="115"/>
      <c r="BA204" s="115"/>
      <c r="BB204" s="115"/>
      <c r="BC204" s="115"/>
      <c r="BD204" s="115"/>
      <c r="BE204" s="115"/>
      <c r="BF204" s="115"/>
      <c r="BG204" s="115"/>
      <c r="BH204" s="115"/>
    </row>
    <row r="205" spans="1:60" ht="15.75" customHeight="1" x14ac:dyDescent="0.25">
      <c r="A205" s="115"/>
      <c r="J205" s="115"/>
      <c r="K205" s="115"/>
      <c r="L205" s="115"/>
      <c r="M205" s="115"/>
      <c r="N205" s="115"/>
      <c r="O205" s="115"/>
      <c r="P205" s="115"/>
      <c r="Q205" s="115"/>
      <c r="R205" s="115"/>
      <c r="S205" s="115"/>
      <c r="T205" s="115"/>
      <c r="U205" s="115"/>
      <c r="V205" s="115"/>
      <c r="W205" s="115"/>
      <c r="X205" s="115"/>
      <c r="Y205" s="115"/>
      <c r="Z205" s="115"/>
      <c r="AA205" s="115"/>
      <c r="AB205" s="115"/>
      <c r="AC205" s="115"/>
      <c r="AD205" s="115"/>
      <c r="AE205" s="115"/>
      <c r="AF205" s="115"/>
      <c r="AG205" s="115"/>
      <c r="AH205" s="115"/>
      <c r="AI205" s="115"/>
      <c r="AJ205" s="115"/>
      <c r="AK205" s="115"/>
      <c r="AL205" s="115"/>
      <c r="AM205" s="115"/>
      <c r="AN205" s="115"/>
      <c r="AO205" s="115"/>
      <c r="AP205" s="115"/>
      <c r="AQ205" s="115"/>
      <c r="AR205" s="115"/>
      <c r="AS205" s="115"/>
      <c r="AT205" s="115"/>
      <c r="AU205" s="115"/>
      <c r="AV205" s="115"/>
      <c r="AW205" s="115"/>
      <c r="AX205" s="115"/>
      <c r="AY205" s="115"/>
      <c r="AZ205" s="115"/>
      <c r="BA205" s="115"/>
      <c r="BB205" s="115"/>
      <c r="BC205" s="115"/>
      <c r="BD205" s="115"/>
      <c r="BE205" s="115"/>
      <c r="BF205" s="115"/>
      <c r="BG205" s="115"/>
      <c r="BH205" s="115"/>
    </row>
    <row r="206" spans="1:60" ht="15.75" customHeight="1" x14ac:dyDescent="0.25">
      <c r="A206" s="115"/>
      <c r="J206" s="115"/>
      <c r="K206" s="115"/>
      <c r="L206" s="115"/>
      <c r="M206" s="115"/>
      <c r="N206" s="115"/>
      <c r="O206" s="115"/>
      <c r="P206" s="115"/>
      <c r="Q206" s="115"/>
      <c r="R206" s="115"/>
      <c r="S206" s="115"/>
      <c r="T206" s="115"/>
      <c r="U206" s="115"/>
      <c r="V206" s="115"/>
      <c r="W206" s="115"/>
      <c r="X206" s="115"/>
      <c r="Y206" s="115"/>
      <c r="Z206" s="115"/>
      <c r="AA206" s="115"/>
      <c r="AB206" s="115"/>
      <c r="AC206" s="115"/>
      <c r="AD206" s="115"/>
      <c r="AE206" s="115"/>
      <c r="AF206" s="115"/>
      <c r="AG206" s="115"/>
      <c r="AH206" s="115"/>
      <c r="AI206" s="115"/>
      <c r="AJ206" s="115"/>
      <c r="AK206" s="115"/>
      <c r="AL206" s="115"/>
      <c r="AM206" s="115"/>
      <c r="AN206" s="115"/>
      <c r="AO206" s="115"/>
      <c r="AP206" s="115"/>
      <c r="AQ206" s="115"/>
      <c r="AR206" s="115"/>
      <c r="AS206" s="115"/>
      <c r="AT206" s="115"/>
      <c r="AU206" s="115"/>
      <c r="AV206" s="115"/>
      <c r="AW206" s="115"/>
      <c r="AX206" s="115"/>
      <c r="AY206" s="115"/>
      <c r="AZ206" s="115"/>
      <c r="BA206" s="115"/>
      <c r="BB206" s="115"/>
      <c r="BC206" s="115"/>
      <c r="BD206" s="115"/>
      <c r="BE206" s="115"/>
      <c r="BF206" s="115"/>
      <c r="BG206" s="115"/>
      <c r="BH206" s="115"/>
    </row>
    <row r="207" spans="1:60" ht="15.75" customHeight="1" x14ac:dyDescent="0.25">
      <c r="A207" s="115"/>
      <c r="J207" s="115"/>
      <c r="K207" s="115"/>
      <c r="L207" s="115"/>
      <c r="M207" s="115"/>
      <c r="N207" s="115"/>
      <c r="O207" s="115"/>
      <c r="P207" s="115"/>
      <c r="Q207" s="115"/>
      <c r="R207" s="115"/>
      <c r="S207" s="115"/>
      <c r="T207" s="115"/>
      <c r="U207" s="115"/>
      <c r="V207" s="115"/>
      <c r="W207" s="115"/>
      <c r="X207" s="115"/>
      <c r="Y207" s="115"/>
      <c r="Z207" s="115"/>
      <c r="AA207" s="115"/>
      <c r="AB207" s="115"/>
      <c r="AC207" s="115"/>
      <c r="AD207" s="115"/>
      <c r="AE207" s="115"/>
      <c r="AF207" s="115"/>
      <c r="AG207" s="115"/>
      <c r="AH207" s="115"/>
      <c r="AI207" s="115"/>
      <c r="AJ207" s="115"/>
      <c r="AK207" s="115"/>
      <c r="AL207" s="115"/>
      <c r="AM207" s="115"/>
      <c r="AN207" s="115"/>
      <c r="AO207" s="115"/>
      <c r="AP207" s="115"/>
      <c r="AQ207" s="115"/>
      <c r="AR207" s="115"/>
      <c r="AS207" s="115"/>
      <c r="AT207" s="115"/>
      <c r="AU207" s="115"/>
      <c r="AV207" s="115"/>
      <c r="AW207" s="115"/>
      <c r="AX207" s="115"/>
      <c r="AY207" s="115"/>
      <c r="AZ207" s="115"/>
      <c r="BA207" s="115"/>
      <c r="BB207" s="115"/>
      <c r="BC207" s="115"/>
      <c r="BD207" s="115"/>
      <c r="BE207" s="115"/>
      <c r="BF207" s="115"/>
      <c r="BG207" s="115"/>
      <c r="BH207" s="115"/>
    </row>
    <row r="208" spans="1:60" ht="15.75" customHeight="1" x14ac:dyDescent="0.25">
      <c r="A208" s="115"/>
      <c r="J208" s="115"/>
      <c r="K208" s="115"/>
      <c r="L208" s="115"/>
      <c r="M208" s="115"/>
      <c r="N208" s="115"/>
      <c r="O208" s="115"/>
      <c r="P208" s="115"/>
      <c r="Q208" s="115"/>
      <c r="R208" s="115"/>
      <c r="S208" s="115"/>
      <c r="T208" s="115"/>
      <c r="U208" s="115"/>
      <c r="V208" s="115"/>
      <c r="W208" s="115"/>
      <c r="X208" s="115"/>
      <c r="Y208" s="115"/>
      <c r="Z208" s="115"/>
      <c r="AA208" s="115"/>
      <c r="AB208" s="115"/>
      <c r="AC208" s="115"/>
      <c r="AD208" s="115"/>
      <c r="AE208" s="115"/>
      <c r="AF208" s="115"/>
      <c r="AG208" s="115"/>
      <c r="AH208" s="115"/>
      <c r="AI208" s="115"/>
      <c r="AJ208" s="115"/>
      <c r="AK208" s="115"/>
      <c r="AL208" s="115"/>
      <c r="AM208" s="115"/>
      <c r="AN208" s="115"/>
      <c r="AO208" s="115"/>
      <c r="AP208" s="115"/>
      <c r="AQ208" s="115"/>
      <c r="AR208" s="115"/>
      <c r="AS208" s="115"/>
      <c r="AT208" s="115"/>
      <c r="AU208" s="115"/>
      <c r="AV208" s="115"/>
      <c r="AW208" s="115"/>
      <c r="AX208" s="115"/>
      <c r="AY208" s="115"/>
      <c r="AZ208" s="115"/>
      <c r="BA208" s="115"/>
      <c r="BB208" s="115"/>
      <c r="BC208" s="115"/>
      <c r="BD208" s="115"/>
      <c r="BE208" s="115"/>
      <c r="BF208" s="115"/>
      <c r="BG208" s="115"/>
      <c r="BH208" s="115"/>
    </row>
    <row r="209" spans="1:60" ht="15.75" customHeight="1" x14ac:dyDescent="0.25">
      <c r="A209" s="115"/>
      <c r="J209" s="115"/>
      <c r="K209" s="115"/>
      <c r="L209" s="115"/>
      <c r="M209" s="115"/>
      <c r="N209" s="115"/>
      <c r="O209" s="115"/>
      <c r="P209" s="115"/>
      <c r="Q209" s="115"/>
      <c r="R209" s="115"/>
      <c r="S209" s="115"/>
      <c r="T209" s="115"/>
      <c r="U209" s="115"/>
      <c r="V209" s="115"/>
      <c r="W209" s="115"/>
      <c r="X209" s="115"/>
      <c r="Y209" s="115"/>
      <c r="Z209" s="115"/>
      <c r="AA209" s="115"/>
      <c r="AB209" s="115"/>
      <c r="AC209" s="115"/>
      <c r="AD209" s="115"/>
      <c r="AE209" s="115"/>
      <c r="AF209" s="115"/>
      <c r="AG209" s="115"/>
      <c r="AH209" s="115"/>
      <c r="AI209" s="115"/>
      <c r="AJ209" s="115"/>
      <c r="AK209" s="115"/>
      <c r="AL209" s="115"/>
      <c r="AM209" s="115"/>
      <c r="AN209" s="115"/>
      <c r="AO209" s="115"/>
      <c r="AP209" s="115"/>
      <c r="AQ209" s="115"/>
      <c r="AR209" s="115"/>
      <c r="AS209" s="115"/>
      <c r="AT209" s="115"/>
      <c r="AU209" s="115"/>
      <c r="AV209" s="115"/>
      <c r="AW209" s="115"/>
      <c r="AX209" s="115"/>
      <c r="AY209" s="115"/>
      <c r="AZ209" s="115"/>
      <c r="BA209" s="115"/>
      <c r="BB209" s="115"/>
      <c r="BC209" s="115"/>
      <c r="BD209" s="115"/>
      <c r="BE209" s="115"/>
      <c r="BF209" s="115"/>
      <c r="BG209" s="115"/>
      <c r="BH209" s="115"/>
    </row>
    <row r="210" spans="1:60" ht="15.75" customHeight="1" x14ac:dyDescent="0.25">
      <c r="A210" s="115"/>
      <c r="J210" s="115"/>
      <c r="K210" s="115"/>
      <c r="L210" s="115"/>
      <c r="M210" s="115"/>
      <c r="N210" s="115"/>
      <c r="O210" s="115"/>
      <c r="P210" s="115"/>
      <c r="Q210" s="115"/>
      <c r="R210" s="115"/>
      <c r="S210" s="115"/>
      <c r="T210" s="115"/>
      <c r="U210" s="115"/>
      <c r="V210" s="115"/>
      <c r="W210" s="115"/>
      <c r="X210" s="115"/>
      <c r="Y210" s="115"/>
      <c r="Z210" s="115"/>
      <c r="AA210" s="115"/>
      <c r="AB210" s="115"/>
      <c r="AC210" s="115"/>
      <c r="AD210" s="115"/>
      <c r="AE210" s="115"/>
      <c r="AF210" s="115"/>
      <c r="AG210" s="115"/>
      <c r="AH210" s="115"/>
      <c r="AI210" s="115"/>
      <c r="AJ210" s="115"/>
      <c r="AK210" s="115"/>
      <c r="AL210" s="115"/>
      <c r="AM210" s="115"/>
      <c r="AN210" s="115"/>
      <c r="AO210" s="115"/>
      <c r="AP210" s="115"/>
      <c r="AQ210" s="115"/>
      <c r="AR210" s="115"/>
      <c r="AS210" s="115"/>
      <c r="AT210" s="115"/>
      <c r="AU210" s="115"/>
      <c r="AV210" s="115"/>
      <c r="AW210" s="115"/>
      <c r="AX210" s="115"/>
      <c r="AY210" s="115"/>
      <c r="AZ210" s="115"/>
      <c r="BA210" s="115"/>
      <c r="BB210" s="115"/>
      <c r="BC210" s="115"/>
      <c r="BD210" s="115"/>
      <c r="BE210" s="115"/>
      <c r="BF210" s="115"/>
      <c r="BG210" s="115"/>
      <c r="BH210" s="115"/>
    </row>
    <row r="211" spans="1:60" ht="15.75" customHeight="1" x14ac:dyDescent="0.25">
      <c r="A211" s="115"/>
      <c r="J211" s="115"/>
      <c r="K211" s="115"/>
      <c r="L211" s="115"/>
      <c r="M211" s="115"/>
      <c r="N211" s="115"/>
      <c r="O211" s="115"/>
      <c r="P211" s="115"/>
      <c r="Q211" s="115"/>
      <c r="R211" s="115"/>
      <c r="S211" s="115"/>
      <c r="T211" s="115"/>
      <c r="U211" s="115"/>
      <c r="V211" s="115"/>
      <c r="W211" s="115"/>
      <c r="X211" s="115"/>
      <c r="Y211" s="115"/>
      <c r="Z211" s="115"/>
      <c r="AA211" s="115"/>
      <c r="AB211" s="115"/>
      <c r="AC211" s="115"/>
      <c r="AD211" s="115"/>
      <c r="AE211" s="115"/>
      <c r="AF211" s="115"/>
      <c r="AG211" s="115"/>
      <c r="AH211" s="115"/>
      <c r="AI211" s="115"/>
      <c r="AJ211" s="115"/>
      <c r="AK211" s="115"/>
      <c r="AL211" s="115"/>
      <c r="AM211" s="115"/>
      <c r="AN211" s="115"/>
      <c r="AO211" s="115"/>
      <c r="AP211" s="115"/>
      <c r="AQ211" s="115"/>
      <c r="AR211" s="115"/>
      <c r="AS211" s="115"/>
      <c r="AT211" s="115"/>
      <c r="AU211" s="115"/>
      <c r="AV211" s="115"/>
      <c r="AW211" s="115"/>
      <c r="AX211" s="115"/>
      <c r="AY211" s="115"/>
      <c r="AZ211" s="115"/>
      <c r="BA211" s="115"/>
      <c r="BB211" s="115"/>
      <c r="BC211" s="115"/>
      <c r="BD211" s="115"/>
      <c r="BE211" s="115"/>
      <c r="BF211" s="115"/>
      <c r="BG211" s="115"/>
      <c r="BH211" s="115"/>
    </row>
    <row r="212" spans="1:60" ht="15.75" customHeight="1" x14ac:dyDescent="0.25">
      <c r="A212" s="115"/>
      <c r="J212" s="115"/>
      <c r="K212" s="115"/>
      <c r="L212" s="115"/>
      <c r="M212" s="115"/>
      <c r="N212" s="115"/>
      <c r="O212" s="115"/>
      <c r="P212" s="115"/>
      <c r="Q212" s="115"/>
      <c r="R212" s="115"/>
      <c r="S212" s="115"/>
      <c r="T212" s="115"/>
      <c r="U212" s="115"/>
      <c r="V212" s="115"/>
      <c r="W212" s="115"/>
      <c r="X212" s="115"/>
      <c r="Y212" s="115"/>
      <c r="Z212" s="115"/>
      <c r="AA212" s="115"/>
      <c r="AB212" s="115"/>
      <c r="AC212" s="115"/>
      <c r="AD212" s="115"/>
      <c r="AE212" s="115"/>
      <c r="AF212" s="115"/>
      <c r="AG212" s="115"/>
      <c r="AH212" s="115"/>
      <c r="AI212" s="115"/>
      <c r="AJ212" s="115"/>
      <c r="AK212" s="115"/>
      <c r="AL212" s="115"/>
      <c r="AM212" s="115"/>
      <c r="AN212" s="115"/>
      <c r="AO212" s="115"/>
      <c r="AP212" s="115"/>
      <c r="AQ212" s="115"/>
      <c r="AR212" s="115"/>
      <c r="AS212" s="115"/>
      <c r="AT212" s="115"/>
      <c r="AU212" s="115"/>
      <c r="AV212" s="115"/>
      <c r="AW212" s="115"/>
      <c r="AX212" s="115"/>
      <c r="AY212" s="115"/>
      <c r="AZ212" s="115"/>
      <c r="BA212" s="115"/>
      <c r="BB212" s="115"/>
      <c r="BC212" s="115"/>
      <c r="BD212" s="115"/>
      <c r="BE212" s="115"/>
      <c r="BF212" s="115"/>
      <c r="BG212" s="115"/>
      <c r="BH212" s="115"/>
    </row>
    <row r="213" spans="1:60" ht="15.75" customHeight="1" x14ac:dyDescent="0.25">
      <c r="A213" s="115"/>
      <c r="J213" s="115"/>
      <c r="K213" s="115"/>
      <c r="L213" s="115"/>
      <c r="M213" s="115"/>
      <c r="N213" s="115"/>
      <c r="O213" s="115"/>
      <c r="P213" s="115"/>
      <c r="Q213" s="115"/>
      <c r="R213" s="115"/>
      <c r="S213" s="115"/>
      <c r="T213" s="115"/>
      <c r="U213" s="115"/>
      <c r="V213" s="115"/>
      <c r="W213" s="115"/>
      <c r="X213" s="115"/>
      <c r="Y213" s="115"/>
      <c r="Z213" s="115"/>
      <c r="AA213" s="115"/>
      <c r="AB213" s="115"/>
      <c r="AC213" s="115"/>
      <c r="AD213" s="115"/>
      <c r="AE213" s="115"/>
      <c r="AF213" s="115"/>
      <c r="AG213" s="115"/>
      <c r="AH213" s="115"/>
      <c r="AI213" s="115"/>
      <c r="AJ213" s="115"/>
      <c r="AK213" s="115"/>
      <c r="AL213" s="115"/>
      <c r="AM213" s="115"/>
      <c r="AN213" s="115"/>
      <c r="AO213" s="115"/>
      <c r="AP213" s="115"/>
      <c r="AQ213" s="115"/>
      <c r="AR213" s="115"/>
      <c r="AS213" s="115"/>
      <c r="AT213" s="115"/>
      <c r="AU213" s="115"/>
      <c r="AV213" s="115"/>
      <c r="AW213" s="115"/>
      <c r="AX213" s="115"/>
      <c r="AY213" s="115"/>
      <c r="AZ213" s="115"/>
      <c r="BA213" s="115"/>
      <c r="BB213" s="115"/>
      <c r="BC213" s="115"/>
      <c r="BD213" s="115"/>
      <c r="BE213" s="115"/>
      <c r="BF213" s="115"/>
      <c r="BG213" s="115"/>
      <c r="BH213" s="115"/>
    </row>
    <row r="214" spans="1:60" ht="15.75" customHeight="1" x14ac:dyDescent="0.25">
      <c r="A214" s="115"/>
      <c r="J214" s="115"/>
      <c r="K214" s="115"/>
      <c r="L214" s="115"/>
      <c r="M214" s="115"/>
      <c r="N214" s="115"/>
      <c r="O214" s="115"/>
      <c r="P214" s="115"/>
      <c r="Q214" s="115"/>
      <c r="R214" s="115"/>
      <c r="S214" s="115"/>
      <c r="T214" s="115"/>
      <c r="U214" s="115"/>
      <c r="V214" s="115"/>
      <c r="W214" s="115"/>
      <c r="X214" s="115"/>
      <c r="Y214" s="115"/>
      <c r="Z214" s="115"/>
      <c r="AA214" s="115"/>
      <c r="AB214" s="115"/>
      <c r="AC214" s="115"/>
      <c r="AD214" s="115"/>
      <c r="AE214" s="115"/>
      <c r="AF214" s="115"/>
      <c r="AG214" s="115"/>
      <c r="AH214" s="115"/>
      <c r="AI214" s="115"/>
      <c r="AJ214" s="115"/>
      <c r="AK214" s="115"/>
      <c r="AL214" s="115"/>
      <c r="AM214" s="115"/>
      <c r="AN214" s="115"/>
      <c r="AO214" s="115"/>
      <c r="AP214" s="115"/>
      <c r="AQ214" s="115"/>
      <c r="AR214" s="115"/>
      <c r="AS214" s="115"/>
      <c r="AT214" s="115"/>
      <c r="AU214" s="115"/>
      <c r="AV214" s="115"/>
      <c r="AW214" s="115"/>
      <c r="AX214" s="115"/>
      <c r="AY214" s="115"/>
      <c r="AZ214" s="115"/>
      <c r="BA214" s="115"/>
      <c r="BB214" s="115"/>
      <c r="BC214" s="115"/>
      <c r="BD214" s="115"/>
      <c r="BE214" s="115"/>
      <c r="BF214" s="115"/>
      <c r="BG214" s="115"/>
      <c r="BH214" s="115"/>
    </row>
    <row r="215" spans="1:60" ht="15.75" customHeight="1" x14ac:dyDescent="0.25">
      <c r="A215" s="115"/>
      <c r="J215" s="115"/>
      <c r="K215" s="115"/>
      <c r="L215" s="115"/>
      <c r="M215" s="115"/>
      <c r="N215" s="115"/>
      <c r="O215" s="115"/>
      <c r="P215" s="115"/>
      <c r="Q215" s="115"/>
      <c r="R215" s="115"/>
      <c r="S215" s="115"/>
      <c r="T215" s="115"/>
      <c r="U215" s="115"/>
      <c r="V215" s="115"/>
      <c r="W215" s="115"/>
      <c r="X215" s="115"/>
      <c r="Y215" s="115"/>
      <c r="Z215" s="115"/>
      <c r="AA215" s="115"/>
      <c r="AB215" s="115"/>
      <c r="AC215" s="115"/>
      <c r="AD215" s="115"/>
      <c r="AE215" s="115"/>
      <c r="AF215" s="115"/>
      <c r="AG215" s="115"/>
      <c r="AH215" s="115"/>
      <c r="AI215" s="115"/>
      <c r="AJ215" s="115"/>
      <c r="AK215" s="115"/>
      <c r="AL215" s="115"/>
      <c r="AM215" s="115"/>
      <c r="AN215" s="115"/>
      <c r="AO215" s="115"/>
      <c r="AP215" s="115"/>
      <c r="AQ215" s="115"/>
      <c r="AR215" s="115"/>
      <c r="AS215" s="115"/>
      <c r="AT215" s="115"/>
      <c r="AU215" s="115"/>
      <c r="AV215" s="115"/>
      <c r="AW215" s="115"/>
      <c r="AX215" s="115"/>
      <c r="AY215" s="115"/>
      <c r="AZ215" s="115"/>
      <c r="BA215" s="115"/>
      <c r="BB215" s="115"/>
      <c r="BC215" s="115"/>
      <c r="BD215" s="115"/>
      <c r="BE215" s="115"/>
      <c r="BF215" s="115"/>
      <c r="BG215" s="115"/>
      <c r="BH215" s="115"/>
    </row>
    <row r="216" spans="1:60" ht="15.75" customHeight="1" x14ac:dyDescent="0.25">
      <c r="A216" s="115"/>
      <c r="J216" s="115"/>
      <c r="K216" s="115"/>
      <c r="L216" s="115"/>
      <c r="M216" s="115"/>
      <c r="N216" s="115"/>
      <c r="O216" s="115"/>
      <c r="P216" s="115"/>
      <c r="Q216" s="115"/>
      <c r="R216" s="115"/>
      <c r="S216" s="115"/>
      <c r="T216" s="115"/>
      <c r="U216" s="115"/>
      <c r="V216" s="115"/>
      <c r="W216" s="115"/>
      <c r="X216" s="115"/>
      <c r="Y216" s="115"/>
      <c r="Z216" s="115"/>
      <c r="AA216" s="115"/>
      <c r="AB216" s="115"/>
      <c r="AC216" s="115"/>
      <c r="AD216" s="115"/>
      <c r="AE216" s="115"/>
      <c r="AF216" s="115"/>
      <c r="AG216" s="115"/>
      <c r="AH216" s="115"/>
      <c r="AI216" s="115"/>
      <c r="AJ216" s="115"/>
      <c r="AK216" s="115"/>
      <c r="AL216" s="115"/>
      <c r="AM216" s="115"/>
      <c r="AN216" s="115"/>
      <c r="AO216" s="115"/>
      <c r="AP216" s="115"/>
      <c r="AQ216" s="115"/>
      <c r="AR216" s="115"/>
      <c r="AS216" s="115"/>
      <c r="AT216" s="115"/>
      <c r="AU216" s="115"/>
      <c r="AV216" s="115"/>
      <c r="AW216" s="115"/>
      <c r="AX216" s="115"/>
      <c r="AY216" s="115"/>
      <c r="AZ216" s="115"/>
      <c r="BA216" s="115"/>
      <c r="BB216" s="115"/>
      <c r="BC216" s="115"/>
      <c r="BD216" s="115"/>
      <c r="BE216" s="115"/>
      <c r="BF216" s="115"/>
      <c r="BG216" s="115"/>
      <c r="BH216" s="115"/>
    </row>
    <row r="217" spans="1:60" ht="15.75" customHeight="1" x14ac:dyDescent="0.25">
      <c r="A217" s="115"/>
      <c r="J217" s="115"/>
      <c r="K217" s="115"/>
      <c r="L217" s="115"/>
      <c r="M217" s="115"/>
      <c r="N217" s="115"/>
      <c r="O217" s="115"/>
      <c r="P217" s="115"/>
      <c r="Q217" s="115"/>
      <c r="R217" s="115"/>
      <c r="S217" s="115"/>
      <c r="T217" s="115"/>
      <c r="U217" s="115"/>
      <c r="V217" s="115"/>
      <c r="W217" s="115"/>
      <c r="X217" s="115"/>
      <c r="Y217" s="115"/>
      <c r="Z217" s="115"/>
      <c r="AA217" s="115"/>
      <c r="AB217" s="115"/>
      <c r="AC217" s="115"/>
      <c r="AD217" s="115"/>
      <c r="AE217" s="115"/>
      <c r="AF217" s="115"/>
      <c r="AG217" s="115"/>
      <c r="AH217" s="115"/>
      <c r="AI217" s="115"/>
      <c r="AJ217" s="115"/>
      <c r="AK217" s="115"/>
      <c r="AL217" s="115"/>
      <c r="AM217" s="115"/>
      <c r="AN217" s="115"/>
      <c r="AO217" s="115"/>
      <c r="AP217" s="115"/>
      <c r="AQ217" s="115"/>
      <c r="AR217" s="115"/>
      <c r="AS217" s="115"/>
      <c r="AT217" s="115"/>
      <c r="AU217" s="115"/>
      <c r="AV217" s="115"/>
      <c r="AW217" s="115"/>
      <c r="AX217" s="115"/>
      <c r="AY217" s="115"/>
      <c r="AZ217" s="115"/>
      <c r="BA217" s="115"/>
      <c r="BB217" s="115"/>
      <c r="BC217" s="115"/>
      <c r="BD217" s="115"/>
      <c r="BE217" s="115"/>
      <c r="BF217" s="115"/>
      <c r="BG217" s="115"/>
      <c r="BH217" s="115"/>
    </row>
    <row r="218" spans="1:60" ht="15.75" customHeight="1" x14ac:dyDescent="0.25">
      <c r="A218" s="115"/>
      <c r="J218" s="115"/>
      <c r="K218" s="115"/>
      <c r="L218" s="115"/>
      <c r="M218" s="115"/>
      <c r="N218" s="115"/>
      <c r="O218" s="115"/>
      <c r="P218" s="115"/>
      <c r="Q218" s="115"/>
      <c r="R218" s="115"/>
      <c r="S218" s="115"/>
      <c r="T218" s="115"/>
      <c r="U218" s="115"/>
      <c r="V218" s="115"/>
      <c r="W218" s="115"/>
      <c r="X218" s="115"/>
      <c r="Y218" s="115"/>
      <c r="Z218" s="115"/>
      <c r="AA218" s="115"/>
      <c r="AB218" s="115"/>
      <c r="AC218" s="115"/>
      <c r="AD218" s="115"/>
      <c r="AE218" s="115"/>
      <c r="AF218" s="115"/>
      <c r="AG218" s="115"/>
      <c r="AH218" s="115"/>
      <c r="AI218" s="115"/>
      <c r="AJ218" s="115"/>
      <c r="AK218" s="115"/>
      <c r="AL218" s="115"/>
      <c r="AM218" s="115"/>
      <c r="AN218" s="115"/>
      <c r="AO218" s="115"/>
      <c r="AP218" s="115"/>
      <c r="AQ218" s="115"/>
      <c r="AR218" s="115"/>
      <c r="AS218" s="115"/>
      <c r="AT218" s="115"/>
      <c r="AU218" s="115"/>
      <c r="AV218" s="115"/>
      <c r="AW218" s="115"/>
      <c r="AX218" s="115"/>
      <c r="AY218" s="115"/>
      <c r="AZ218" s="115"/>
      <c r="BA218" s="115"/>
      <c r="BB218" s="115"/>
      <c r="BC218" s="115"/>
      <c r="BD218" s="115"/>
      <c r="BE218" s="115"/>
      <c r="BF218" s="115"/>
      <c r="BG218" s="115"/>
      <c r="BH218" s="115"/>
    </row>
    <row r="219" spans="1:60" ht="15.75" customHeight="1" x14ac:dyDescent="0.25">
      <c r="A219" s="115"/>
      <c r="J219" s="115"/>
      <c r="K219" s="115"/>
      <c r="L219" s="115"/>
      <c r="M219" s="115"/>
      <c r="N219" s="115"/>
      <c r="O219" s="115"/>
      <c r="P219" s="115"/>
      <c r="Q219" s="115"/>
      <c r="R219" s="115"/>
      <c r="S219" s="115"/>
      <c r="T219" s="115"/>
      <c r="U219" s="115"/>
      <c r="V219" s="115"/>
      <c r="W219" s="115"/>
      <c r="X219" s="115"/>
      <c r="Y219" s="115"/>
      <c r="Z219" s="115"/>
      <c r="AA219" s="115"/>
      <c r="AB219" s="115"/>
      <c r="AC219" s="115"/>
      <c r="AD219" s="115"/>
      <c r="AE219" s="115"/>
      <c r="AF219" s="115"/>
      <c r="AG219" s="115"/>
      <c r="AH219" s="115"/>
      <c r="AI219" s="115"/>
      <c r="AJ219" s="115"/>
      <c r="AK219" s="115"/>
      <c r="AL219" s="115"/>
      <c r="AM219" s="115"/>
      <c r="AN219" s="115"/>
      <c r="AO219" s="115"/>
      <c r="AP219" s="115"/>
      <c r="AQ219" s="115"/>
      <c r="AR219" s="115"/>
      <c r="AS219" s="115"/>
      <c r="AT219" s="115"/>
      <c r="AU219" s="115"/>
      <c r="AV219" s="115"/>
      <c r="AW219" s="115"/>
      <c r="AX219" s="115"/>
      <c r="AY219" s="115"/>
      <c r="AZ219" s="115"/>
      <c r="BA219" s="115"/>
      <c r="BB219" s="115"/>
      <c r="BC219" s="115"/>
      <c r="BD219" s="115"/>
      <c r="BE219" s="115"/>
      <c r="BF219" s="115"/>
      <c r="BG219" s="115"/>
      <c r="BH219" s="115"/>
    </row>
    <row r="220" spans="1:60" ht="15.75" customHeight="1" x14ac:dyDescent="0.25">
      <c r="A220" s="115"/>
      <c r="J220" s="115"/>
      <c r="K220" s="115"/>
      <c r="L220" s="115"/>
      <c r="M220" s="115"/>
      <c r="N220" s="115"/>
      <c r="O220" s="115"/>
      <c r="P220" s="115"/>
      <c r="Q220" s="115"/>
      <c r="R220" s="115"/>
      <c r="S220" s="115"/>
      <c r="T220" s="115"/>
      <c r="U220" s="115"/>
      <c r="V220" s="115"/>
      <c r="W220" s="115"/>
      <c r="X220" s="115"/>
      <c r="Y220" s="115"/>
      <c r="Z220" s="115"/>
      <c r="AA220" s="115"/>
      <c r="AB220" s="115"/>
      <c r="AC220" s="115"/>
      <c r="AD220" s="115"/>
      <c r="AE220" s="115"/>
      <c r="AF220" s="115"/>
      <c r="AG220" s="115"/>
      <c r="AH220" s="115"/>
      <c r="AI220" s="115"/>
      <c r="AJ220" s="115"/>
      <c r="AK220" s="115"/>
      <c r="AL220" s="115"/>
      <c r="AM220" s="115"/>
      <c r="AN220" s="115"/>
      <c r="AO220" s="115"/>
      <c r="AP220" s="115"/>
      <c r="AQ220" s="115"/>
      <c r="AR220" s="115"/>
      <c r="AS220" s="115"/>
      <c r="AT220" s="115"/>
      <c r="AU220" s="115"/>
      <c r="AV220" s="115"/>
      <c r="AW220" s="115"/>
      <c r="AX220" s="115"/>
      <c r="AY220" s="115"/>
      <c r="AZ220" s="115"/>
      <c r="BA220" s="115"/>
      <c r="BB220" s="115"/>
      <c r="BC220" s="115"/>
      <c r="BD220" s="115"/>
      <c r="BE220" s="115"/>
      <c r="BF220" s="115"/>
      <c r="BG220" s="115"/>
      <c r="BH220" s="115"/>
    </row>
    <row r="221" spans="1:60" ht="15.75" customHeight="1" x14ac:dyDescent="0.25">
      <c r="A221" s="115"/>
      <c r="J221" s="115"/>
      <c r="K221" s="115"/>
      <c r="L221" s="115"/>
      <c r="M221" s="115"/>
      <c r="N221" s="115"/>
      <c r="O221" s="115"/>
      <c r="P221" s="115"/>
      <c r="Q221" s="115"/>
      <c r="R221" s="115"/>
      <c r="S221" s="115"/>
      <c r="T221" s="115"/>
      <c r="U221" s="115"/>
      <c r="V221" s="115"/>
      <c r="W221" s="115"/>
      <c r="X221" s="115"/>
      <c r="Y221" s="115"/>
      <c r="Z221" s="115"/>
      <c r="AA221" s="115"/>
      <c r="AB221" s="115"/>
      <c r="AC221" s="115"/>
      <c r="AD221" s="115"/>
      <c r="AE221" s="115"/>
      <c r="AF221" s="115"/>
      <c r="AG221" s="115"/>
      <c r="AH221" s="115"/>
      <c r="AI221" s="115"/>
      <c r="AJ221" s="115"/>
      <c r="AK221" s="115"/>
      <c r="AL221" s="115"/>
      <c r="AM221" s="115"/>
      <c r="AN221" s="115"/>
      <c r="AO221" s="115"/>
      <c r="AP221" s="115"/>
      <c r="AQ221" s="115"/>
      <c r="AR221" s="115"/>
      <c r="AS221" s="115"/>
      <c r="AT221" s="115"/>
      <c r="AU221" s="115"/>
      <c r="AV221" s="115"/>
      <c r="AW221" s="115"/>
      <c r="AX221" s="115"/>
      <c r="AY221" s="115"/>
      <c r="AZ221" s="115"/>
      <c r="BA221" s="115"/>
      <c r="BB221" s="115"/>
      <c r="BC221" s="115"/>
      <c r="BD221" s="115"/>
      <c r="BE221" s="115"/>
      <c r="BF221" s="115"/>
      <c r="BG221" s="115"/>
      <c r="BH221" s="115"/>
    </row>
    <row r="222" spans="1:60" ht="15.75" customHeight="1" x14ac:dyDescent="0.25">
      <c r="A222" s="115"/>
      <c r="J222" s="115"/>
      <c r="K222" s="115"/>
      <c r="L222" s="115"/>
      <c r="M222" s="115"/>
      <c r="N222" s="115"/>
      <c r="O222" s="115"/>
      <c r="P222" s="115"/>
      <c r="Q222" s="115"/>
      <c r="R222" s="115"/>
      <c r="S222" s="115"/>
      <c r="T222" s="115"/>
      <c r="U222" s="115"/>
      <c r="V222" s="115"/>
      <c r="W222" s="115"/>
      <c r="X222" s="115"/>
      <c r="Y222" s="115"/>
      <c r="Z222" s="115"/>
      <c r="AA222" s="115"/>
      <c r="AB222" s="115"/>
      <c r="AC222" s="115"/>
      <c r="AD222" s="115"/>
      <c r="AE222" s="115"/>
      <c r="AF222" s="115"/>
      <c r="AG222" s="115"/>
      <c r="AH222" s="115"/>
      <c r="AI222" s="115"/>
      <c r="AJ222" s="115"/>
      <c r="AK222" s="115"/>
      <c r="AL222" s="115"/>
      <c r="AM222" s="115"/>
      <c r="AN222" s="115"/>
      <c r="AO222" s="115"/>
      <c r="AP222" s="115"/>
      <c r="AQ222" s="115"/>
      <c r="AR222" s="115"/>
      <c r="AS222" s="115"/>
      <c r="AT222" s="115"/>
      <c r="AU222" s="115"/>
      <c r="AV222" s="115"/>
      <c r="AW222" s="115"/>
      <c r="AX222" s="115"/>
      <c r="AY222" s="115"/>
      <c r="AZ222" s="115"/>
      <c r="BA222" s="115"/>
      <c r="BB222" s="115"/>
      <c r="BC222" s="115"/>
      <c r="BD222" s="115"/>
      <c r="BE222" s="115"/>
      <c r="BF222" s="115"/>
      <c r="BG222" s="115"/>
      <c r="BH222" s="115"/>
    </row>
    <row r="223" spans="1:60" ht="15.75" customHeight="1" x14ac:dyDescent="0.25">
      <c r="A223" s="115"/>
      <c r="J223" s="115"/>
      <c r="K223" s="115"/>
      <c r="L223" s="115"/>
      <c r="M223" s="115"/>
      <c r="N223" s="115"/>
      <c r="O223" s="115"/>
      <c r="P223" s="115"/>
      <c r="Q223" s="115"/>
      <c r="R223" s="115"/>
      <c r="S223" s="115"/>
      <c r="T223" s="115"/>
      <c r="U223" s="115"/>
      <c r="V223" s="115"/>
      <c r="W223" s="115"/>
      <c r="X223" s="115"/>
      <c r="Y223" s="115"/>
      <c r="Z223" s="115"/>
      <c r="AA223" s="115"/>
      <c r="AB223" s="115"/>
      <c r="AC223" s="115"/>
      <c r="AD223" s="115"/>
      <c r="AE223" s="115"/>
      <c r="AF223" s="115"/>
      <c r="AG223" s="115"/>
      <c r="AH223" s="115"/>
      <c r="AI223" s="115"/>
      <c r="AJ223" s="115"/>
      <c r="AK223" s="115"/>
      <c r="AL223" s="115"/>
      <c r="AM223" s="115"/>
      <c r="AN223" s="115"/>
      <c r="AO223" s="115"/>
      <c r="AP223" s="115"/>
      <c r="AQ223" s="115"/>
      <c r="AR223" s="115"/>
      <c r="AS223" s="115"/>
      <c r="AT223" s="115"/>
      <c r="AU223" s="115"/>
      <c r="AV223" s="115"/>
      <c r="AW223" s="115"/>
      <c r="AX223" s="115"/>
      <c r="AY223" s="115"/>
      <c r="AZ223" s="115"/>
      <c r="BA223" s="115"/>
      <c r="BB223" s="115"/>
      <c r="BC223" s="115"/>
      <c r="BD223" s="115"/>
      <c r="BE223" s="115"/>
      <c r="BF223" s="115"/>
      <c r="BG223" s="115"/>
      <c r="BH223" s="115"/>
    </row>
    <row r="224" spans="1:60" ht="15.75" customHeight="1" x14ac:dyDescent="0.25">
      <c r="A224" s="115"/>
      <c r="J224" s="115"/>
      <c r="K224" s="115"/>
      <c r="L224" s="115"/>
      <c r="M224" s="115"/>
      <c r="N224" s="115"/>
      <c r="O224" s="115"/>
      <c r="P224" s="115"/>
      <c r="Q224" s="115"/>
      <c r="R224" s="115"/>
      <c r="S224" s="115"/>
      <c r="T224" s="115"/>
      <c r="U224" s="115"/>
      <c r="V224" s="115"/>
      <c r="W224" s="115"/>
      <c r="X224" s="115"/>
      <c r="Y224" s="115"/>
      <c r="Z224" s="115"/>
      <c r="AA224" s="115"/>
      <c r="AB224" s="115"/>
      <c r="AC224" s="115"/>
      <c r="AD224" s="115"/>
      <c r="AE224" s="115"/>
      <c r="AF224" s="115"/>
      <c r="AG224" s="115"/>
      <c r="AH224" s="115"/>
      <c r="AI224" s="115"/>
      <c r="AJ224" s="115"/>
      <c r="AK224" s="115"/>
      <c r="AL224" s="115"/>
      <c r="AM224" s="115"/>
      <c r="AN224" s="115"/>
      <c r="AO224" s="115"/>
      <c r="AP224" s="115"/>
      <c r="AQ224" s="115"/>
      <c r="AR224" s="115"/>
      <c r="AS224" s="115"/>
      <c r="AT224" s="115"/>
      <c r="AU224" s="115"/>
      <c r="AV224" s="115"/>
      <c r="AW224" s="115"/>
      <c r="AX224" s="115"/>
      <c r="AY224" s="115"/>
      <c r="AZ224" s="115"/>
      <c r="BA224" s="115"/>
      <c r="BB224" s="115"/>
      <c r="BC224" s="115"/>
      <c r="BD224" s="115"/>
      <c r="BE224" s="115"/>
      <c r="BF224" s="115"/>
      <c r="BG224" s="115"/>
      <c r="BH224" s="115"/>
    </row>
    <row r="225" spans="1:60" ht="15.75" customHeight="1" x14ac:dyDescent="0.25">
      <c r="A225" s="115"/>
      <c r="J225" s="115"/>
      <c r="K225" s="115"/>
      <c r="L225" s="115"/>
      <c r="M225" s="115"/>
      <c r="N225" s="115"/>
      <c r="O225" s="115"/>
      <c r="P225" s="115"/>
      <c r="Q225" s="115"/>
      <c r="R225" s="115"/>
      <c r="S225" s="115"/>
      <c r="T225" s="115"/>
      <c r="U225" s="115"/>
      <c r="V225" s="115"/>
      <c r="W225" s="115"/>
      <c r="X225" s="115"/>
      <c r="Y225" s="115"/>
      <c r="Z225" s="115"/>
      <c r="AA225" s="115"/>
      <c r="AB225" s="115"/>
      <c r="AC225" s="115"/>
      <c r="AD225" s="115"/>
      <c r="AE225" s="115"/>
      <c r="AF225" s="115"/>
      <c r="AG225" s="115"/>
      <c r="AH225" s="115"/>
      <c r="AI225" s="115"/>
      <c r="AJ225" s="115"/>
      <c r="AK225" s="115"/>
      <c r="AL225" s="115"/>
      <c r="AM225" s="115"/>
      <c r="AN225" s="115"/>
      <c r="AO225" s="115"/>
      <c r="AP225" s="115"/>
      <c r="AQ225" s="115"/>
      <c r="AR225" s="115"/>
      <c r="AS225" s="115"/>
      <c r="AT225" s="115"/>
      <c r="AU225" s="115"/>
      <c r="AV225" s="115"/>
      <c r="AW225" s="115"/>
      <c r="AX225" s="115"/>
      <c r="AY225" s="115"/>
      <c r="AZ225" s="115"/>
      <c r="BA225" s="115"/>
      <c r="BB225" s="115"/>
      <c r="BC225" s="115"/>
      <c r="BD225" s="115"/>
      <c r="BE225" s="115"/>
      <c r="BF225" s="115"/>
      <c r="BG225" s="115"/>
      <c r="BH225" s="115"/>
    </row>
    <row r="226" spans="1:60" ht="15.75" customHeight="1" x14ac:dyDescent="0.25">
      <c r="A226" s="115"/>
      <c r="J226" s="115"/>
      <c r="K226" s="115"/>
      <c r="L226" s="115"/>
      <c r="M226" s="115"/>
      <c r="N226" s="115"/>
      <c r="O226" s="115"/>
      <c r="P226" s="115"/>
      <c r="Q226" s="115"/>
      <c r="R226" s="115"/>
      <c r="S226" s="115"/>
      <c r="T226" s="115"/>
      <c r="U226" s="115"/>
      <c r="V226" s="115"/>
      <c r="W226" s="115"/>
      <c r="X226" s="115"/>
      <c r="Y226" s="115"/>
      <c r="Z226" s="115"/>
      <c r="AA226" s="115"/>
      <c r="AB226" s="115"/>
      <c r="AC226" s="115"/>
      <c r="AD226" s="115"/>
      <c r="AE226" s="115"/>
      <c r="AF226" s="115"/>
      <c r="AG226" s="115"/>
      <c r="AH226" s="115"/>
      <c r="AI226" s="115"/>
      <c r="AJ226" s="115"/>
      <c r="AK226" s="115"/>
      <c r="AL226" s="115"/>
      <c r="AM226" s="115"/>
      <c r="AN226" s="115"/>
      <c r="AO226" s="115"/>
      <c r="AP226" s="115"/>
      <c r="AQ226" s="115"/>
      <c r="AR226" s="115"/>
      <c r="AS226" s="115"/>
      <c r="AT226" s="115"/>
      <c r="AU226" s="115"/>
      <c r="AV226" s="115"/>
      <c r="AW226" s="115"/>
      <c r="AX226" s="115"/>
      <c r="AY226" s="115"/>
      <c r="AZ226" s="115"/>
      <c r="BA226" s="115"/>
      <c r="BB226" s="115"/>
      <c r="BC226" s="115"/>
      <c r="BD226" s="115"/>
      <c r="BE226" s="115"/>
      <c r="BF226" s="115"/>
      <c r="BG226" s="115"/>
      <c r="BH226" s="115"/>
    </row>
    <row r="227" spans="1:60" ht="15.75" customHeight="1" x14ac:dyDescent="0.25">
      <c r="A227" s="115"/>
      <c r="J227" s="115"/>
      <c r="K227" s="115"/>
      <c r="L227" s="115"/>
      <c r="M227" s="115"/>
      <c r="N227" s="115"/>
      <c r="O227" s="115"/>
      <c r="P227" s="115"/>
      <c r="Q227" s="115"/>
      <c r="R227" s="115"/>
      <c r="S227" s="115"/>
      <c r="T227" s="115"/>
      <c r="U227" s="115"/>
      <c r="V227" s="115"/>
      <c r="W227" s="115"/>
      <c r="X227" s="115"/>
      <c r="Y227" s="115"/>
      <c r="Z227" s="115"/>
      <c r="AA227" s="115"/>
      <c r="AB227" s="115"/>
      <c r="AC227" s="115"/>
      <c r="AD227" s="115"/>
      <c r="AE227" s="115"/>
      <c r="AF227" s="115"/>
      <c r="AG227" s="115"/>
      <c r="AH227" s="115"/>
      <c r="AI227" s="115"/>
      <c r="AJ227" s="115"/>
      <c r="AK227" s="115"/>
      <c r="AL227" s="115"/>
      <c r="AM227" s="115"/>
      <c r="AN227" s="115"/>
      <c r="AO227" s="115"/>
      <c r="AP227" s="115"/>
      <c r="AQ227" s="115"/>
      <c r="AR227" s="115"/>
      <c r="AS227" s="115"/>
      <c r="AT227" s="115"/>
      <c r="AU227" s="115"/>
      <c r="AV227" s="115"/>
      <c r="AW227" s="115"/>
      <c r="AX227" s="115"/>
      <c r="AY227" s="115"/>
      <c r="AZ227" s="115"/>
      <c r="BA227" s="115"/>
      <c r="BB227" s="115"/>
      <c r="BC227" s="115"/>
      <c r="BD227" s="115"/>
      <c r="BE227" s="115"/>
      <c r="BF227" s="115"/>
      <c r="BG227" s="115"/>
      <c r="BH227" s="115"/>
    </row>
    <row r="228" spans="1:60" ht="15.75" customHeight="1" x14ac:dyDescent="0.25">
      <c r="A228" s="115"/>
      <c r="J228" s="115"/>
      <c r="K228" s="115"/>
      <c r="L228" s="115"/>
      <c r="M228" s="115"/>
      <c r="N228" s="115"/>
      <c r="O228" s="115"/>
      <c r="P228" s="115"/>
      <c r="Q228" s="115"/>
      <c r="R228" s="115"/>
      <c r="S228" s="115"/>
      <c r="T228" s="115"/>
      <c r="U228" s="115"/>
      <c r="V228" s="115"/>
      <c r="W228" s="115"/>
      <c r="X228" s="115"/>
      <c r="Y228" s="115"/>
      <c r="Z228" s="115"/>
      <c r="AA228" s="115"/>
      <c r="AB228" s="115"/>
      <c r="AC228" s="115"/>
      <c r="AD228" s="115"/>
      <c r="AE228" s="115"/>
      <c r="AF228" s="115"/>
      <c r="AG228" s="115"/>
      <c r="AH228" s="115"/>
      <c r="AI228" s="115"/>
      <c r="AJ228" s="115"/>
      <c r="AK228" s="115"/>
      <c r="AL228" s="115"/>
      <c r="AM228" s="115"/>
      <c r="AN228" s="115"/>
      <c r="AO228" s="115"/>
      <c r="AP228" s="115"/>
      <c r="AQ228" s="115"/>
      <c r="AR228" s="115"/>
      <c r="AS228" s="115"/>
      <c r="AT228" s="115"/>
      <c r="AU228" s="115"/>
      <c r="AV228" s="115"/>
      <c r="AW228" s="115"/>
      <c r="AX228" s="115"/>
      <c r="AY228" s="115"/>
      <c r="AZ228" s="115"/>
      <c r="BA228" s="115"/>
      <c r="BB228" s="115"/>
      <c r="BC228" s="115"/>
      <c r="BD228" s="115"/>
      <c r="BE228" s="115"/>
      <c r="BF228" s="115"/>
      <c r="BG228" s="115"/>
      <c r="BH228" s="115"/>
    </row>
    <row r="229" spans="1:60" ht="15.75" customHeight="1" x14ac:dyDescent="0.25">
      <c r="A229" s="115"/>
      <c r="J229" s="115"/>
      <c r="K229" s="115"/>
      <c r="L229" s="115"/>
      <c r="M229" s="115"/>
      <c r="N229" s="115"/>
      <c r="O229" s="115"/>
      <c r="P229" s="115"/>
      <c r="Q229" s="115"/>
      <c r="R229" s="115"/>
      <c r="S229" s="115"/>
      <c r="T229" s="115"/>
      <c r="U229" s="115"/>
      <c r="V229" s="115"/>
      <c r="W229" s="115"/>
      <c r="X229" s="115"/>
      <c r="Y229" s="115"/>
      <c r="Z229" s="115"/>
      <c r="AA229" s="115"/>
      <c r="AB229" s="115"/>
      <c r="AC229" s="115"/>
      <c r="AD229" s="115"/>
      <c r="AE229" s="115"/>
      <c r="AF229" s="115"/>
      <c r="AG229" s="115"/>
      <c r="AH229" s="115"/>
      <c r="AI229" s="115"/>
      <c r="AJ229" s="115"/>
      <c r="AK229" s="115"/>
      <c r="AL229" s="115"/>
      <c r="AM229" s="115"/>
      <c r="AN229" s="115"/>
      <c r="AO229" s="115"/>
      <c r="AP229" s="115"/>
      <c r="AQ229" s="115"/>
      <c r="AR229" s="115"/>
      <c r="AS229" s="115"/>
      <c r="AT229" s="115"/>
      <c r="AU229" s="115"/>
      <c r="AV229" s="115"/>
      <c r="AW229" s="115"/>
      <c r="AX229" s="115"/>
      <c r="AY229" s="115"/>
      <c r="AZ229" s="115"/>
      <c r="BA229" s="115"/>
      <c r="BB229" s="115"/>
      <c r="BC229" s="115"/>
      <c r="BD229" s="115"/>
      <c r="BE229" s="115"/>
      <c r="BF229" s="115"/>
      <c r="BG229" s="115"/>
      <c r="BH229" s="115"/>
    </row>
    <row r="230" spans="1:60" ht="15.75" customHeight="1" x14ac:dyDescent="0.25">
      <c r="A230" s="115"/>
      <c r="J230" s="115"/>
      <c r="K230" s="115"/>
      <c r="L230" s="115"/>
      <c r="M230" s="115"/>
      <c r="N230" s="115"/>
      <c r="O230" s="115"/>
      <c r="P230" s="115"/>
      <c r="Q230" s="115"/>
      <c r="R230" s="115"/>
      <c r="S230" s="115"/>
      <c r="T230" s="115"/>
      <c r="U230" s="115"/>
      <c r="V230" s="115"/>
      <c r="W230" s="115"/>
      <c r="X230" s="115"/>
      <c r="Y230" s="115"/>
      <c r="Z230" s="115"/>
      <c r="AA230" s="115"/>
      <c r="AB230" s="115"/>
      <c r="AC230" s="115"/>
      <c r="AD230" s="115"/>
      <c r="AE230" s="115"/>
      <c r="AF230" s="115"/>
      <c r="AG230" s="115"/>
      <c r="AH230" s="115"/>
      <c r="AI230" s="115"/>
      <c r="AJ230" s="115"/>
      <c r="AK230" s="115"/>
      <c r="AL230" s="115"/>
      <c r="AM230" s="115"/>
      <c r="AN230" s="115"/>
      <c r="AO230" s="115"/>
      <c r="AP230" s="115"/>
      <c r="AQ230" s="115"/>
      <c r="AR230" s="115"/>
      <c r="AS230" s="115"/>
      <c r="AT230" s="115"/>
      <c r="AU230" s="115"/>
      <c r="AV230" s="115"/>
      <c r="AW230" s="115"/>
      <c r="AX230" s="115"/>
      <c r="AY230" s="115"/>
      <c r="AZ230" s="115"/>
      <c r="BA230" s="115"/>
      <c r="BB230" s="115"/>
      <c r="BC230" s="115"/>
      <c r="BD230" s="115"/>
      <c r="BE230" s="115"/>
      <c r="BF230" s="115"/>
      <c r="BG230" s="115"/>
      <c r="BH230" s="115"/>
    </row>
    <row r="231" spans="1:60" ht="15.75" customHeight="1" x14ac:dyDescent="0.25">
      <c r="A231" s="115"/>
      <c r="J231" s="115"/>
      <c r="K231" s="115"/>
      <c r="L231" s="115"/>
      <c r="M231" s="115"/>
      <c r="N231" s="115"/>
      <c r="O231" s="115"/>
      <c r="P231" s="115"/>
      <c r="Q231" s="115"/>
      <c r="R231" s="115"/>
      <c r="S231" s="115"/>
      <c r="T231" s="115"/>
      <c r="U231" s="115"/>
      <c r="V231" s="115"/>
      <c r="W231" s="115"/>
      <c r="X231" s="115"/>
      <c r="Y231" s="115"/>
      <c r="Z231" s="115"/>
      <c r="AA231" s="115"/>
      <c r="AB231" s="115"/>
      <c r="AC231" s="115"/>
      <c r="AD231" s="115"/>
      <c r="AE231" s="115"/>
      <c r="AF231" s="115"/>
      <c r="AG231" s="115"/>
      <c r="AH231" s="115"/>
      <c r="AI231" s="115"/>
      <c r="AJ231" s="115"/>
      <c r="AK231" s="115"/>
      <c r="AL231" s="115"/>
      <c r="AM231" s="115"/>
      <c r="AN231" s="115"/>
      <c r="AO231" s="115"/>
      <c r="AP231" s="115"/>
      <c r="AQ231" s="115"/>
      <c r="AR231" s="115"/>
      <c r="AS231" s="115"/>
      <c r="AT231" s="115"/>
      <c r="AU231" s="115"/>
      <c r="AV231" s="115"/>
      <c r="AW231" s="115"/>
      <c r="AX231" s="115"/>
      <c r="AY231" s="115"/>
      <c r="AZ231" s="115"/>
      <c r="BA231" s="115"/>
      <c r="BB231" s="115"/>
      <c r="BC231" s="115"/>
      <c r="BD231" s="115"/>
      <c r="BE231" s="115"/>
      <c r="BF231" s="115"/>
      <c r="BG231" s="115"/>
      <c r="BH231" s="115"/>
    </row>
    <row r="232" spans="1:60" ht="15.75" customHeight="1" x14ac:dyDescent="0.25">
      <c r="A232" s="115"/>
      <c r="J232" s="115"/>
      <c r="K232" s="115"/>
      <c r="L232" s="115"/>
      <c r="M232" s="115"/>
      <c r="N232" s="115"/>
      <c r="O232" s="115"/>
      <c r="P232" s="115"/>
      <c r="Q232" s="115"/>
      <c r="R232" s="115"/>
      <c r="S232" s="115"/>
      <c r="T232" s="115"/>
      <c r="U232" s="115"/>
      <c r="V232" s="115"/>
      <c r="W232" s="115"/>
      <c r="X232" s="115"/>
      <c r="Y232" s="115"/>
      <c r="Z232" s="115"/>
      <c r="AA232" s="115"/>
      <c r="AB232" s="115"/>
      <c r="AC232" s="115"/>
      <c r="AD232" s="115"/>
      <c r="AE232" s="115"/>
      <c r="AF232" s="115"/>
      <c r="AG232" s="115"/>
      <c r="AH232" s="115"/>
      <c r="AI232" s="115"/>
      <c r="AJ232" s="115"/>
      <c r="AK232" s="115"/>
      <c r="AL232" s="115"/>
      <c r="AM232" s="115"/>
      <c r="AN232" s="115"/>
      <c r="AO232" s="115"/>
      <c r="AP232" s="115"/>
      <c r="AQ232" s="115"/>
      <c r="AR232" s="115"/>
      <c r="AS232" s="115"/>
      <c r="AT232" s="115"/>
      <c r="AU232" s="115"/>
      <c r="AV232" s="115"/>
      <c r="AW232" s="115"/>
      <c r="AX232" s="115"/>
      <c r="AY232" s="115"/>
      <c r="AZ232" s="115"/>
      <c r="BA232" s="115"/>
      <c r="BB232" s="115"/>
      <c r="BC232" s="115"/>
      <c r="BD232" s="115"/>
      <c r="BE232" s="115"/>
      <c r="BF232" s="115"/>
      <c r="BG232" s="115"/>
      <c r="BH232" s="115"/>
    </row>
    <row r="233" spans="1:60" ht="15.75" customHeight="1" x14ac:dyDescent="0.25">
      <c r="A233" s="115"/>
      <c r="J233" s="115"/>
      <c r="K233" s="115"/>
      <c r="L233" s="115"/>
      <c r="M233" s="115"/>
      <c r="N233" s="115"/>
      <c r="O233" s="115"/>
      <c r="P233" s="115"/>
      <c r="Q233" s="115"/>
      <c r="R233" s="115"/>
      <c r="S233" s="115"/>
      <c r="T233" s="115"/>
      <c r="U233" s="115"/>
      <c r="V233" s="115"/>
      <c r="W233" s="115"/>
      <c r="X233" s="115"/>
      <c r="Y233" s="115"/>
      <c r="Z233" s="115"/>
      <c r="AA233" s="115"/>
      <c r="AB233" s="115"/>
      <c r="AC233" s="115"/>
      <c r="AD233" s="115"/>
      <c r="AE233" s="115"/>
      <c r="AF233" s="115"/>
      <c r="AG233" s="115"/>
      <c r="AH233" s="115"/>
      <c r="AI233" s="115"/>
      <c r="AJ233" s="115"/>
      <c r="AK233" s="115"/>
      <c r="AL233" s="115"/>
      <c r="AM233" s="115"/>
      <c r="AN233" s="115"/>
      <c r="AO233" s="115"/>
      <c r="AP233" s="115"/>
      <c r="AQ233" s="115"/>
      <c r="AR233" s="115"/>
      <c r="AS233" s="115"/>
      <c r="AT233" s="115"/>
      <c r="AU233" s="115"/>
      <c r="AV233" s="115"/>
      <c r="AW233" s="115"/>
      <c r="AX233" s="115"/>
      <c r="AY233" s="115"/>
      <c r="AZ233" s="115"/>
      <c r="BA233" s="115"/>
      <c r="BB233" s="115"/>
      <c r="BC233" s="115"/>
      <c r="BD233" s="115"/>
      <c r="BE233" s="115"/>
      <c r="BF233" s="115"/>
      <c r="BG233" s="115"/>
      <c r="BH233" s="115"/>
    </row>
    <row r="234" spans="1:60" ht="15.75" customHeight="1" x14ac:dyDescent="0.25">
      <c r="A234" s="115"/>
      <c r="J234" s="115"/>
      <c r="K234" s="115"/>
      <c r="L234" s="115"/>
      <c r="M234" s="115"/>
      <c r="N234" s="115"/>
      <c r="O234" s="115"/>
      <c r="P234" s="115"/>
      <c r="Q234" s="115"/>
      <c r="R234" s="115"/>
      <c r="S234" s="115"/>
      <c r="T234" s="115"/>
      <c r="U234" s="115"/>
      <c r="V234" s="115"/>
      <c r="W234" s="115"/>
      <c r="X234" s="115"/>
      <c r="Y234" s="115"/>
      <c r="Z234" s="115"/>
      <c r="AA234" s="115"/>
      <c r="AB234" s="115"/>
      <c r="AC234" s="115"/>
      <c r="AD234" s="115"/>
      <c r="AE234" s="115"/>
      <c r="AF234" s="115"/>
      <c r="AG234" s="115"/>
      <c r="AH234" s="115"/>
      <c r="AI234" s="115"/>
      <c r="AJ234" s="115"/>
      <c r="AK234" s="115"/>
      <c r="AL234" s="115"/>
      <c r="AM234" s="115"/>
      <c r="AN234" s="115"/>
      <c r="AO234" s="115"/>
      <c r="AP234" s="115"/>
      <c r="AQ234" s="115"/>
      <c r="AR234" s="115"/>
      <c r="AS234" s="115"/>
      <c r="AT234" s="115"/>
      <c r="AU234" s="115"/>
      <c r="AV234" s="115"/>
      <c r="AW234" s="115"/>
      <c r="AX234" s="115"/>
      <c r="AY234" s="115"/>
      <c r="AZ234" s="115"/>
      <c r="BA234" s="115"/>
      <c r="BB234" s="115"/>
      <c r="BC234" s="115"/>
      <c r="BD234" s="115"/>
      <c r="BE234" s="115"/>
      <c r="BF234" s="115"/>
      <c r="BG234" s="115"/>
      <c r="BH234" s="115"/>
    </row>
    <row r="235" spans="1:60" ht="15.75" customHeight="1" x14ac:dyDescent="0.25">
      <c r="A235" s="115"/>
      <c r="J235" s="115"/>
      <c r="K235" s="115"/>
      <c r="L235" s="115"/>
      <c r="M235" s="115"/>
      <c r="N235" s="115"/>
      <c r="O235" s="115"/>
      <c r="P235" s="115"/>
      <c r="Q235" s="115"/>
      <c r="R235" s="115"/>
      <c r="S235" s="115"/>
      <c r="T235" s="115"/>
      <c r="U235" s="115"/>
      <c r="V235" s="115"/>
      <c r="W235" s="115"/>
      <c r="X235" s="115"/>
      <c r="Y235" s="115"/>
      <c r="Z235" s="115"/>
      <c r="AA235" s="115"/>
      <c r="AB235" s="115"/>
      <c r="AC235" s="115"/>
      <c r="AD235" s="115"/>
      <c r="AE235" s="115"/>
      <c r="AF235" s="115"/>
      <c r="AG235" s="115"/>
      <c r="AH235" s="115"/>
      <c r="AI235" s="115"/>
      <c r="AJ235" s="115"/>
      <c r="AK235" s="115"/>
      <c r="AL235" s="115"/>
      <c r="AM235" s="115"/>
      <c r="AN235" s="115"/>
      <c r="AO235" s="115"/>
      <c r="AP235" s="115"/>
      <c r="AQ235" s="115"/>
      <c r="AR235" s="115"/>
      <c r="AS235" s="115"/>
      <c r="AT235" s="115"/>
      <c r="AU235" s="115"/>
      <c r="AV235" s="115"/>
      <c r="AW235" s="115"/>
      <c r="AX235" s="115"/>
      <c r="AY235" s="115"/>
      <c r="AZ235" s="115"/>
      <c r="BA235" s="115"/>
      <c r="BB235" s="115"/>
      <c r="BC235" s="115"/>
      <c r="BD235" s="115"/>
      <c r="BE235" s="115"/>
      <c r="BF235" s="115"/>
      <c r="BG235" s="115"/>
      <c r="BH235" s="115"/>
    </row>
    <row r="236" spans="1:60" ht="15.75" customHeight="1" x14ac:dyDescent="0.25">
      <c r="A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5"/>
      <c r="AY236" s="115"/>
      <c r="AZ236" s="115"/>
      <c r="BA236" s="115"/>
      <c r="BB236" s="115"/>
      <c r="BC236" s="115"/>
      <c r="BD236" s="115"/>
      <c r="BE236" s="115"/>
      <c r="BF236" s="115"/>
      <c r="BG236" s="115"/>
      <c r="BH236" s="115"/>
    </row>
    <row r="237" spans="1:60" ht="15.75" customHeight="1" x14ac:dyDescent="0.25">
      <c r="A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5"/>
      <c r="AY237" s="115"/>
      <c r="AZ237" s="115"/>
      <c r="BA237" s="115"/>
      <c r="BB237" s="115"/>
      <c r="BC237" s="115"/>
      <c r="BD237" s="115"/>
      <c r="BE237" s="115"/>
      <c r="BF237" s="115"/>
      <c r="BG237" s="115"/>
      <c r="BH237" s="115"/>
    </row>
    <row r="238" spans="1:60" ht="15.75" customHeight="1" x14ac:dyDescent="0.25">
      <c r="A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5"/>
      <c r="AY238" s="115"/>
      <c r="AZ238" s="115"/>
      <c r="BA238" s="115"/>
      <c r="BB238" s="115"/>
      <c r="BC238" s="115"/>
      <c r="BD238" s="115"/>
      <c r="BE238" s="115"/>
      <c r="BF238" s="115"/>
      <c r="BG238" s="115"/>
      <c r="BH238" s="115"/>
    </row>
    <row r="239" spans="1:60" ht="15.75" customHeight="1" x14ac:dyDescent="0.25">
      <c r="A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5"/>
      <c r="AY239" s="115"/>
      <c r="AZ239" s="115"/>
      <c r="BA239" s="115"/>
      <c r="BB239" s="115"/>
      <c r="BC239" s="115"/>
      <c r="BD239" s="115"/>
      <c r="BE239" s="115"/>
      <c r="BF239" s="115"/>
      <c r="BG239" s="115"/>
      <c r="BH239" s="115"/>
    </row>
    <row r="240" spans="1:60" ht="15.75" customHeight="1" x14ac:dyDescent="0.25">
      <c r="A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5"/>
      <c r="AY240" s="115"/>
      <c r="AZ240" s="115"/>
      <c r="BA240" s="115"/>
      <c r="BB240" s="115"/>
      <c r="BC240" s="115"/>
      <c r="BD240" s="115"/>
      <c r="BE240" s="115"/>
      <c r="BF240" s="115"/>
      <c r="BG240" s="115"/>
      <c r="BH240" s="115"/>
    </row>
    <row r="241" spans="1:60" ht="15.75" customHeight="1" x14ac:dyDescent="0.25">
      <c r="A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5"/>
      <c r="AY241" s="115"/>
      <c r="AZ241" s="115"/>
      <c r="BA241" s="115"/>
      <c r="BB241" s="115"/>
      <c r="BC241" s="115"/>
      <c r="BD241" s="115"/>
      <c r="BE241" s="115"/>
      <c r="BF241" s="115"/>
      <c r="BG241" s="115"/>
      <c r="BH241" s="115"/>
    </row>
    <row r="242" spans="1:60" ht="15.75" customHeight="1" x14ac:dyDescent="0.25">
      <c r="A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5"/>
      <c r="AY242" s="115"/>
      <c r="AZ242" s="115"/>
      <c r="BA242" s="115"/>
      <c r="BB242" s="115"/>
      <c r="BC242" s="115"/>
      <c r="BD242" s="115"/>
      <c r="BE242" s="115"/>
      <c r="BF242" s="115"/>
      <c r="BG242" s="115"/>
      <c r="BH242" s="115"/>
    </row>
    <row r="243" spans="1:60" ht="15.75" customHeight="1" x14ac:dyDescent="0.25">
      <c r="A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5"/>
      <c r="AY243" s="115"/>
      <c r="AZ243" s="115"/>
      <c r="BA243" s="115"/>
      <c r="BB243" s="115"/>
      <c r="BC243" s="115"/>
      <c r="BD243" s="115"/>
      <c r="BE243" s="115"/>
      <c r="BF243" s="115"/>
      <c r="BG243" s="115"/>
      <c r="BH243" s="115"/>
    </row>
    <row r="244" spans="1:60" ht="15.75" customHeight="1" x14ac:dyDescent="0.25">
      <c r="A244" s="115"/>
      <c r="J244" s="115"/>
      <c r="K244" s="115"/>
      <c r="L244" s="115"/>
      <c r="M244" s="115"/>
      <c r="N244" s="115"/>
      <c r="O244" s="115"/>
      <c r="P244" s="115"/>
      <c r="Q244" s="115"/>
      <c r="R244" s="115"/>
      <c r="S244" s="115"/>
      <c r="T244" s="115"/>
      <c r="U244" s="115"/>
      <c r="V244" s="115"/>
      <c r="W244" s="115"/>
      <c r="X244" s="115"/>
      <c r="Y244" s="115"/>
      <c r="Z244" s="115"/>
      <c r="AA244" s="115"/>
      <c r="AB244" s="115"/>
      <c r="AC244" s="115"/>
      <c r="AD244" s="115"/>
      <c r="AE244" s="115"/>
      <c r="AF244" s="115"/>
      <c r="AG244" s="115"/>
      <c r="AH244" s="115"/>
      <c r="AI244" s="115"/>
      <c r="AJ244" s="115"/>
      <c r="AK244" s="115"/>
      <c r="AL244" s="115"/>
      <c r="AM244" s="115"/>
      <c r="AN244" s="115"/>
      <c r="AO244" s="115"/>
      <c r="AP244" s="115"/>
      <c r="AQ244" s="115"/>
      <c r="AR244" s="115"/>
      <c r="AS244" s="115"/>
      <c r="AT244" s="115"/>
      <c r="AU244" s="115"/>
      <c r="AV244" s="115"/>
      <c r="AW244" s="115"/>
      <c r="AX244" s="115"/>
      <c r="AY244" s="115"/>
      <c r="AZ244" s="115"/>
      <c r="BA244" s="115"/>
      <c r="BB244" s="115"/>
      <c r="BC244" s="115"/>
      <c r="BD244" s="115"/>
      <c r="BE244" s="115"/>
      <c r="BF244" s="115"/>
      <c r="BG244" s="115"/>
      <c r="BH244" s="115"/>
    </row>
    <row r="245" spans="1:60" ht="15.75" customHeight="1" x14ac:dyDescent="0.25">
      <c r="A245" s="115"/>
    </row>
    <row r="246" spans="1:60" ht="15.75" customHeight="1" x14ac:dyDescent="0.25">
      <c r="A246" s="115"/>
    </row>
    <row r="247" spans="1:60" ht="15.75" customHeight="1" x14ac:dyDescent="0.25">
      <c r="A247" s="115"/>
    </row>
    <row r="248" spans="1:60" ht="15.75" customHeight="1" x14ac:dyDescent="0.25">
      <c r="A248" s="115"/>
    </row>
    <row r="249" spans="1:60" ht="15.75" customHeight="1" x14ac:dyDescent="0.2"/>
    <row r="250" spans="1:60" ht="15.75" customHeight="1" x14ac:dyDescent="0.2"/>
    <row r="251" spans="1:60" ht="15.75" customHeight="1" x14ac:dyDescent="0.2"/>
    <row r="252" spans="1:60" ht="15.75" customHeight="1" x14ac:dyDescent="0.2"/>
    <row r="253" spans="1:60" ht="15.75" customHeight="1" x14ac:dyDescent="0.2"/>
    <row r="254" spans="1:60" ht="15.75" customHeight="1" x14ac:dyDescent="0.2"/>
    <row r="255" spans="1:60" ht="15.75" customHeight="1" x14ac:dyDescent="0.2"/>
    <row r="256" spans="1:60"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B2:I4"/>
    <mergeCell ref="J2:AM4"/>
    <mergeCell ref="B6:D55"/>
    <mergeCell ref="E6:I15"/>
    <mergeCell ref="E16:I25"/>
    <mergeCell ref="E26:I35"/>
    <mergeCell ref="E36:I45"/>
    <mergeCell ref="J56:O61"/>
    <mergeCell ref="P56:U61"/>
    <mergeCell ref="V56:AA61"/>
    <mergeCell ref="AB56:AG61"/>
    <mergeCell ref="AH56:AM61"/>
    <mergeCell ref="AO16:AT25"/>
    <mergeCell ref="AO26:AT35"/>
    <mergeCell ref="AO6:AT15"/>
    <mergeCell ref="AO36:AT45"/>
    <mergeCell ref="E46:I55"/>
  </mergeCells>
  <pageMargins left="0.70866141732283472" right="0.70866141732283472" top="0.74803149606299213" bottom="0.74803149606299213" header="0" footer="0"/>
  <pageSetup scale="39" orientation="portrait" r:id="rId1"/>
  <headerFooter>
    <oddHeader>&amp;L&amp;G&amp;C
MATRIZ DE RIESGOS&amp;RCódigo:E-02-F-014
Versión: 4
Fecha: Ver Isolución</oddHeader>
  </headerFooter>
  <colBreaks count="1" manualBreakCount="1">
    <brk id="39"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ACEDF-374E-49A1-8DFA-D4F1C915472A}">
  <sheetPr>
    <tabColor rgb="FF002060"/>
  </sheetPr>
  <dimension ref="A1:BI1000"/>
  <sheetViews>
    <sheetView view="pageBreakPreview" zoomScale="40" zoomScaleNormal="40" zoomScaleSheetLayoutView="40" workbookViewId="0">
      <selection activeCell="AK70" sqref="AK70"/>
    </sheetView>
  </sheetViews>
  <sheetFormatPr baseColWidth="10" defaultColWidth="12.625" defaultRowHeight="15" customHeight="1" x14ac:dyDescent="0.2"/>
  <cols>
    <col min="1" max="1" width="9.375" style="216" customWidth="1"/>
    <col min="2" max="39" width="5" style="216" customWidth="1"/>
    <col min="40" max="40" width="9.375" style="216" customWidth="1"/>
    <col min="41" max="46" width="5" style="216" customWidth="1"/>
    <col min="47" max="61" width="9.375" style="216" customWidth="1"/>
    <col min="62" max="16384" width="12.625" style="216"/>
  </cols>
  <sheetData>
    <row r="1" spans="1:61" x14ac:dyDescent="0.25">
      <c r="A1" s="361"/>
      <c r="B1" s="361"/>
      <c r="C1" s="361"/>
      <c r="D1" s="361"/>
      <c r="E1" s="361"/>
      <c r="F1" s="361"/>
      <c r="G1" s="361"/>
      <c r="H1" s="361"/>
      <c r="I1" s="361"/>
      <c r="J1" s="361"/>
      <c r="K1" s="361"/>
      <c r="L1" s="361"/>
      <c r="M1" s="361"/>
      <c r="N1" s="361"/>
      <c r="O1" s="361"/>
      <c r="P1" s="361"/>
      <c r="Q1" s="361"/>
      <c r="R1" s="361"/>
      <c r="S1" s="361"/>
      <c r="T1" s="361"/>
      <c r="U1" s="361"/>
      <c r="V1" s="361"/>
      <c r="W1" s="361"/>
      <c r="X1" s="361"/>
      <c r="Y1" s="361"/>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row>
    <row r="2" spans="1:61" ht="18" customHeight="1" x14ac:dyDescent="0.25">
      <c r="A2" s="361"/>
      <c r="B2" s="825" t="s">
        <v>0</v>
      </c>
      <c r="C2" s="826"/>
      <c r="D2" s="826"/>
      <c r="E2" s="826"/>
      <c r="F2" s="826"/>
      <c r="G2" s="826"/>
      <c r="H2" s="826"/>
      <c r="I2" s="826"/>
      <c r="J2" s="827" t="s">
        <v>1</v>
      </c>
      <c r="K2" s="828"/>
      <c r="L2" s="828"/>
      <c r="M2" s="828"/>
      <c r="N2" s="828"/>
      <c r="O2" s="828"/>
      <c r="P2" s="828"/>
      <c r="Q2" s="828"/>
      <c r="R2" s="828"/>
      <c r="S2" s="828"/>
      <c r="T2" s="828"/>
      <c r="U2" s="828"/>
      <c r="V2" s="828"/>
      <c r="W2" s="828"/>
      <c r="X2" s="828"/>
      <c r="Y2" s="828"/>
      <c r="Z2" s="828"/>
      <c r="AA2" s="828"/>
      <c r="AB2" s="828"/>
      <c r="AC2" s="828"/>
      <c r="AD2" s="828"/>
      <c r="AE2" s="828"/>
      <c r="AF2" s="828"/>
      <c r="AG2" s="828"/>
      <c r="AH2" s="828"/>
      <c r="AI2" s="828"/>
      <c r="AJ2" s="828"/>
      <c r="AK2" s="828"/>
      <c r="AL2" s="828"/>
      <c r="AM2" s="828"/>
      <c r="AN2" s="361"/>
      <c r="AO2" s="361"/>
      <c r="AP2" s="361"/>
      <c r="AQ2" s="361"/>
      <c r="AR2" s="361"/>
      <c r="AS2" s="361"/>
      <c r="AT2" s="361"/>
      <c r="AU2" s="361"/>
      <c r="AV2" s="361"/>
      <c r="AW2" s="361"/>
      <c r="AX2" s="361"/>
      <c r="AY2" s="361"/>
      <c r="AZ2" s="361"/>
      <c r="BA2" s="361"/>
      <c r="BB2" s="361"/>
      <c r="BC2" s="361"/>
      <c r="BD2" s="361"/>
      <c r="BE2" s="361"/>
      <c r="BF2" s="361"/>
      <c r="BG2" s="361"/>
      <c r="BH2" s="361"/>
      <c r="BI2" s="361"/>
    </row>
    <row r="3" spans="1:61" ht="18.75" customHeight="1" x14ac:dyDescent="0.25">
      <c r="A3" s="361"/>
      <c r="B3" s="826"/>
      <c r="C3" s="826"/>
      <c r="D3" s="826"/>
      <c r="E3" s="826"/>
      <c r="F3" s="826"/>
      <c r="G3" s="826"/>
      <c r="H3" s="826"/>
      <c r="I3" s="826"/>
      <c r="J3" s="828"/>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6"/>
      <c r="AK3" s="826"/>
      <c r="AL3" s="826"/>
      <c r="AM3" s="828"/>
      <c r="AN3" s="361"/>
      <c r="AO3" s="361"/>
      <c r="AP3" s="361"/>
      <c r="AQ3" s="361"/>
      <c r="AR3" s="361"/>
      <c r="AS3" s="361"/>
      <c r="AT3" s="361"/>
      <c r="AU3" s="361"/>
      <c r="AV3" s="361"/>
      <c r="AW3" s="361"/>
      <c r="AX3" s="361"/>
      <c r="AY3" s="361"/>
      <c r="AZ3" s="361"/>
      <c r="BA3" s="361"/>
      <c r="BB3" s="361"/>
      <c r="BC3" s="361"/>
      <c r="BD3" s="361"/>
      <c r="BE3" s="361"/>
      <c r="BF3" s="361"/>
      <c r="BG3" s="361"/>
      <c r="BH3" s="361"/>
      <c r="BI3" s="361"/>
    </row>
    <row r="4" spans="1:61" ht="15" customHeight="1" x14ac:dyDescent="0.25">
      <c r="A4" s="361"/>
      <c r="B4" s="826"/>
      <c r="C4" s="826"/>
      <c r="D4" s="826"/>
      <c r="E4" s="826"/>
      <c r="F4" s="826"/>
      <c r="G4" s="826"/>
      <c r="H4" s="826"/>
      <c r="I4" s="826"/>
      <c r="J4" s="828"/>
      <c r="K4" s="828"/>
      <c r="L4" s="828"/>
      <c r="M4" s="828"/>
      <c r="N4" s="828"/>
      <c r="O4" s="828"/>
      <c r="P4" s="828"/>
      <c r="Q4" s="828"/>
      <c r="R4" s="828"/>
      <c r="S4" s="828"/>
      <c r="T4" s="828"/>
      <c r="U4" s="828"/>
      <c r="V4" s="828"/>
      <c r="W4" s="828"/>
      <c r="X4" s="828"/>
      <c r="Y4" s="828"/>
      <c r="Z4" s="828"/>
      <c r="AA4" s="828"/>
      <c r="AB4" s="828"/>
      <c r="AC4" s="828"/>
      <c r="AD4" s="828"/>
      <c r="AE4" s="828"/>
      <c r="AF4" s="828"/>
      <c r="AG4" s="828"/>
      <c r="AH4" s="828"/>
      <c r="AI4" s="828"/>
      <c r="AJ4" s="828"/>
      <c r="AK4" s="828"/>
      <c r="AL4" s="828"/>
      <c r="AM4" s="828"/>
      <c r="AN4" s="361"/>
      <c r="AO4" s="361"/>
      <c r="AP4" s="361"/>
      <c r="AQ4" s="361"/>
      <c r="AR4" s="361"/>
      <c r="AS4" s="361"/>
      <c r="AT4" s="361"/>
      <c r="AU4" s="361"/>
      <c r="AV4" s="361"/>
      <c r="AW4" s="361"/>
      <c r="AX4" s="361"/>
      <c r="AY4" s="361"/>
      <c r="AZ4" s="361"/>
      <c r="BA4" s="361"/>
      <c r="BB4" s="361"/>
      <c r="BC4" s="361"/>
      <c r="BD4" s="361"/>
      <c r="BE4" s="361"/>
      <c r="BF4" s="361"/>
      <c r="BG4" s="361"/>
      <c r="BH4" s="361"/>
      <c r="BI4" s="361"/>
    </row>
    <row r="5" spans="1:61" ht="15.75" thickBot="1" x14ac:dyDescent="0.3">
      <c r="A5" s="361"/>
      <c r="B5" s="361"/>
      <c r="C5" s="361"/>
      <c r="D5" s="361"/>
      <c r="E5" s="361"/>
      <c r="F5" s="361"/>
      <c r="G5" s="361"/>
      <c r="H5" s="361"/>
      <c r="I5" s="361"/>
      <c r="J5" s="361"/>
      <c r="K5" s="361"/>
      <c r="L5" s="361"/>
      <c r="M5" s="361"/>
      <c r="N5" s="361"/>
      <c r="O5" s="361"/>
      <c r="P5" s="361"/>
      <c r="Q5" s="361"/>
      <c r="R5" s="361"/>
      <c r="S5" s="361"/>
      <c r="T5" s="361"/>
      <c r="U5" s="361"/>
      <c r="V5" s="361"/>
      <c r="W5" s="361"/>
      <c r="X5" s="361"/>
      <c r="Y5" s="361"/>
      <c r="Z5" s="361"/>
      <c r="AA5" s="361"/>
      <c r="AB5" s="361"/>
      <c r="AC5" s="361"/>
      <c r="AD5" s="36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row>
    <row r="6" spans="1:61" ht="15" customHeight="1" x14ac:dyDescent="0.25">
      <c r="A6" s="361"/>
      <c r="B6" s="829" t="s">
        <v>2</v>
      </c>
      <c r="C6" s="828"/>
      <c r="D6" s="830"/>
      <c r="E6" s="831" t="s">
        <v>3</v>
      </c>
      <c r="F6" s="832"/>
      <c r="G6" s="832"/>
      <c r="H6" s="832"/>
      <c r="I6" s="833"/>
      <c r="J6" s="838" t="str" cm="1">
        <f t="array" ref="J6">IF(AND('Matriz riesgos de gestión'!M4:M9="Muy Alta",'Matriz riesgos de gestión'!Q4:Q9="Leve"),CONCATENATE("R",'Matriz riesgos de gestión'!$A$4),"")</f>
        <v/>
      </c>
      <c r="K6" s="832"/>
      <c r="L6" s="839" t="str">
        <f>IF(AND('[3]Mapa de procesos'!$L$10="Muy Alta",'[3]Mapa de procesos'!$P$10="Leve"),CONCATENATE("R",'[3]Mapa de procesos'!$A$10),"")</f>
        <v/>
      </c>
      <c r="M6" s="832"/>
      <c r="N6" s="839" t="str">
        <f>IF(AND('[3]Mapa de procesos'!$L$16="Muy Alta",'[3]Mapa de procesos'!$P$16="Leve"),CONCATENATE("R",'[3]Mapa de procesos'!$A$16),"")</f>
        <v/>
      </c>
      <c r="O6" s="833"/>
      <c r="P6" s="838" t="str">
        <f>IF(AND('[3]Mapa de procesos'!$L$4="Muy Alta",'[3]Mapa de procesos'!$P$4="Menor"),CONCATENATE("R",'[3]Mapa de procesos'!$A$4),"")</f>
        <v/>
      </c>
      <c r="Q6" s="832"/>
      <c r="R6" s="839" t="str">
        <f>IF(AND('[3]Mapa de procesos'!$L$10="Muy Alta",'[3]Mapa de procesos'!$P$10="Menor"),CONCATENATE("R",'[3]Mapa de procesos'!$A$10),"")</f>
        <v/>
      </c>
      <c r="S6" s="832"/>
      <c r="T6" s="839" t="str">
        <f>IF(AND('[3]Mapa de procesos'!$L$16="Muy Alta",'[3]Mapa de procesos'!$P$16="Menor"),CONCATENATE("R",'[3]Mapa de procesos'!$A$16),"")</f>
        <v/>
      </c>
      <c r="U6" s="833"/>
      <c r="V6" s="838" t="str">
        <f>IF(AND('[3]Mapa de procesos'!$L$4="Muy Alta",'[3]Mapa de procesos'!$P$4="Moderado"),CONCATENATE("R",'[3]Mapa de procesos'!$A$4),"")</f>
        <v/>
      </c>
      <c r="W6" s="832"/>
      <c r="X6" s="839" t="str">
        <f>IF(AND('[3]Mapa de procesos'!$L$10="Muy Alta",'[3]Mapa de procesos'!$P$10="Moderado"),CONCATENATE("R",'[3]Mapa de procesos'!$A$10),"")</f>
        <v/>
      </c>
      <c r="Y6" s="832"/>
      <c r="Z6" s="839" t="str">
        <f>IF(AND('[3]Mapa de procesos'!$L$16="Muy Alta",'[3]Mapa de procesos'!$P$16="Moderado"),CONCATENATE("R",'[3]Mapa de procesos'!$A$16),"")</f>
        <v/>
      </c>
      <c r="AA6" s="833"/>
      <c r="AB6" s="838" t="str">
        <f>IF(AND('[3]Mapa de procesos'!$L$4="Muy Alta",'[3]Mapa de procesos'!$P$4="Mayor"),CONCATENATE("R",'[3]Mapa de procesos'!$A$4),"")</f>
        <v/>
      </c>
      <c r="AC6" s="832"/>
      <c r="AD6" s="839" t="str">
        <f>IF(AND('[3]Mapa de procesos'!$L$10="Muy Alta",'[3]Mapa de procesos'!$P$10="Mayor"),CONCATENATE("R",'[3]Mapa de procesos'!$A$10),"")</f>
        <v/>
      </c>
      <c r="AE6" s="832"/>
      <c r="AF6" s="839" t="str">
        <f>IF(AND('[3]Mapa de procesos'!$L$16="Muy Alta",'[3]Mapa de procesos'!$P$16="Mayor"),CONCATENATE("R",'[3]Mapa de procesos'!$A$16),"")</f>
        <v/>
      </c>
      <c r="AG6" s="833"/>
      <c r="AH6" s="840" t="str">
        <f>IF(AND('[3]Mapa de procesos'!$L$4="Muy Alta",'[3]Mapa de procesos'!$P$4="Catastrófico"),CONCATENATE("R",'[3]Mapa de procesos'!$A$4),"")</f>
        <v/>
      </c>
      <c r="AI6" s="832"/>
      <c r="AJ6" s="841" t="str">
        <f>IF(AND('[3]Mapa de procesos'!$L$10="Muy Alta",'[3]Mapa de procesos'!$P$10="Catastrófico"),CONCATENATE("R",'[3]Mapa de procesos'!$A$10),"")</f>
        <v/>
      </c>
      <c r="AK6" s="832"/>
      <c r="AL6" s="841" t="str">
        <f>IF(AND('[3]Mapa de procesos'!$L$16="Muy Alta",'[3]Mapa de procesos'!$P$16="Catastrófico"),CONCATENATE("R",'[3]Mapa de procesos'!$A$16),"")</f>
        <v/>
      </c>
      <c r="AM6" s="833"/>
      <c r="AO6" s="845" t="s">
        <v>4</v>
      </c>
      <c r="AP6" s="846"/>
      <c r="AQ6" s="846"/>
      <c r="AR6" s="846"/>
      <c r="AS6" s="846"/>
      <c r="AT6" s="847"/>
      <c r="AU6" s="361"/>
      <c r="AV6" s="361"/>
      <c r="AW6" s="361"/>
      <c r="AX6" s="361"/>
      <c r="AY6" s="361"/>
      <c r="AZ6" s="361"/>
      <c r="BA6" s="361"/>
      <c r="BB6" s="361"/>
      <c r="BC6" s="361"/>
      <c r="BD6" s="361"/>
      <c r="BE6" s="361"/>
      <c r="BF6" s="361"/>
      <c r="BG6" s="361"/>
      <c r="BH6" s="361"/>
      <c r="BI6" s="361"/>
    </row>
    <row r="7" spans="1:61" ht="43.5" customHeight="1" x14ac:dyDescent="0.25">
      <c r="A7" s="361"/>
      <c r="B7" s="828"/>
      <c r="C7" s="826"/>
      <c r="D7" s="830"/>
      <c r="E7" s="834"/>
      <c r="F7" s="826"/>
      <c r="G7" s="826"/>
      <c r="H7" s="826"/>
      <c r="I7" s="830"/>
      <c r="J7" s="834"/>
      <c r="K7" s="828"/>
      <c r="L7" s="828"/>
      <c r="M7" s="828"/>
      <c r="N7" s="828"/>
      <c r="O7" s="830"/>
      <c r="P7" s="834"/>
      <c r="Q7" s="828"/>
      <c r="R7" s="828"/>
      <c r="S7" s="828"/>
      <c r="T7" s="828"/>
      <c r="U7" s="830"/>
      <c r="V7" s="834"/>
      <c r="W7" s="828"/>
      <c r="X7" s="828"/>
      <c r="Y7" s="828"/>
      <c r="Z7" s="828"/>
      <c r="AA7" s="830"/>
      <c r="AB7" s="834"/>
      <c r="AC7" s="828"/>
      <c r="AD7" s="828"/>
      <c r="AE7" s="828"/>
      <c r="AF7" s="828"/>
      <c r="AG7" s="830"/>
      <c r="AH7" s="834"/>
      <c r="AI7" s="828"/>
      <c r="AJ7" s="828"/>
      <c r="AK7" s="828"/>
      <c r="AL7" s="828"/>
      <c r="AM7" s="830"/>
      <c r="AN7" s="361"/>
      <c r="AO7" s="848"/>
      <c r="AP7" s="826"/>
      <c r="AQ7" s="826"/>
      <c r="AR7" s="826"/>
      <c r="AS7" s="826"/>
      <c r="AT7" s="849"/>
      <c r="AU7" s="361"/>
      <c r="AV7" s="361"/>
      <c r="AW7" s="361"/>
      <c r="AX7" s="361"/>
      <c r="AY7" s="361"/>
      <c r="AZ7" s="361"/>
      <c r="BA7" s="361"/>
      <c r="BB7" s="361"/>
      <c r="BC7" s="361"/>
      <c r="BD7" s="361"/>
      <c r="BE7" s="361"/>
      <c r="BF7" s="361"/>
      <c r="BG7" s="361"/>
      <c r="BH7" s="361"/>
      <c r="BI7" s="361"/>
    </row>
    <row r="8" spans="1:61" ht="15" customHeight="1" x14ac:dyDescent="0.25">
      <c r="A8" s="361"/>
      <c r="B8" s="828"/>
      <c r="C8" s="826"/>
      <c r="D8" s="830"/>
      <c r="E8" s="834"/>
      <c r="F8" s="826"/>
      <c r="G8" s="826"/>
      <c r="H8" s="826"/>
      <c r="I8" s="830"/>
      <c r="J8" s="843" t="str">
        <f>IF(AND('[3]Mapa de procesos'!$L$22="Muy Alta",'[3]Mapa de procesos'!$P$22="Leve"),CONCATENATE("R",'[3]Mapa de procesos'!$A$22),"")</f>
        <v/>
      </c>
      <c r="K8" s="828"/>
      <c r="L8" s="842" t="str">
        <f>IF(AND('[3]Mapa de procesos'!$L$28="Muy Alta",'[3]Mapa de procesos'!$P$28="Leve"),CONCATENATE("R",'[3]Mapa de procesos'!$A$28),"")</f>
        <v/>
      </c>
      <c r="M8" s="828"/>
      <c r="N8" s="842" t="str">
        <f>IF(AND('[3]Mapa de procesos'!$L$34="Muy Alta",'[3]Mapa de procesos'!$P$34="Leve"),CONCATENATE("R",'[3]Mapa de procesos'!$A$34),"")</f>
        <v/>
      </c>
      <c r="O8" s="830"/>
      <c r="P8" s="843" t="str">
        <f>IF(AND('[3]Mapa de procesos'!$L$22="Muy Alta",'[3]Mapa de procesos'!$P$22="Menor"),CONCATENATE("R",'[3]Mapa de procesos'!$A$22),"")</f>
        <v/>
      </c>
      <c r="Q8" s="828"/>
      <c r="R8" s="842" t="str">
        <f>IF(AND('[3]Mapa de procesos'!$L$28="Muy Alta",'[3]Mapa de procesos'!$P$28="Menor"),CONCATENATE("R",'[3]Mapa de procesos'!$A$28),"")</f>
        <v/>
      </c>
      <c r="S8" s="828"/>
      <c r="T8" s="842" t="str">
        <f>IF(AND('[3]Mapa de procesos'!$L$34="Muy Alta",'[3]Mapa de procesos'!$P$34="Menor"),CONCATENATE("R",'[3]Mapa de procesos'!$A$34),"")</f>
        <v/>
      </c>
      <c r="U8" s="830"/>
      <c r="V8" s="843" t="str">
        <f>IF(AND('[3]Mapa de procesos'!$L$22="Muy Alta",'[3]Mapa de procesos'!$P$22="Moderado"),CONCATENATE("R",'[3]Mapa de procesos'!$A$22),"")</f>
        <v/>
      </c>
      <c r="W8" s="828"/>
      <c r="X8" s="842" t="str">
        <f>IF(AND('[3]Mapa de procesos'!$L$28="Muy Alta",'[3]Mapa de procesos'!$P$28="Moderado"),CONCATENATE("R",'[3]Mapa de procesos'!$A$28),"")</f>
        <v/>
      </c>
      <c r="Y8" s="828"/>
      <c r="Z8" s="842" t="str">
        <f>IF(AND('[3]Mapa de procesos'!$L$34="Muy Alta",'[3]Mapa de procesos'!$P$34="Moderado"),CONCATENATE("R",'[3]Mapa de procesos'!$A$34),"")</f>
        <v/>
      </c>
      <c r="AA8" s="830"/>
      <c r="AB8" s="843" t="str">
        <f>IF(AND('[3]Mapa de procesos'!$L$22="Muy Alta",'[3]Mapa de procesos'!$P$22="Mayor"),CONCATENATE("R",'[3]Mapa de procesos'!$A$22),"")</f>
        <v/>
      </c>
      <c r="AC8" s="828"/>
      <c r="AD8" s="842" t="str">
        <f>IF(AND('[3]Mapa de procesos'!$L$28="Muy Alta",'[3]Mapa de procesos'!$P$28="Mayor"),CONCATENATE("R",'[3]Mapa de procesos'!$A$28),"")</f>
        <v/>
      </c>
      <c r="AE8" s="828"/>
      <c r="AF8" s="842" t="str">
        <f>IF(AND('[3]Mapa de procesos'!$L$34="Muy Alta",'[3]Mapa de procesos'!$P$34="Mayor"),CONCATENATE("R",'[3]Mapa de procesos'!$A$34),"")</f>
        <v/>
      </c>
      <c r="AG8" s="830"/>
      <c r="AH8" s="853" t="str">
        <f>IF(AND('[3]Mapa de procesos'!$L$22="Muy Alta",'[3]Mapa de procesos'!$P$22="Catastrófico"),CONCATENATE("R",'[3]Mapa de procesos'!$A$22),"")</f>
        <v/>
      </c>
      <c r="AI8" s="828"/>
      <c r="AJ8" s="844" t="str">
        <f>IF(AND('[3]Mapa de procesos'!$L$28="Muy Alta",'[3]Mapa de procesos'!$P$28="Catastrófico"),CONCATENATE("R",'[3]Mapa de procesos'!$A$28),"")</f>
        <v/>
      </c>
      <c r="AK8" s="828"/>
      <c r="AL8" s="844" t="str">
        <f>IF(AND('[3]Mapa de procesos'!$L$34="Muy Alta",'[3]Mapa de procesos'!$P$34="Catastrófico"),CONCATENATE("R",'[3]Mapa de procesos'!$A$34),"")</f>
        <v/>
      </c>
      <c r="AM8" s="830"/>
      <c r="AN8" s="361"/>
      <c r="AO8" s="848"/>
      <c r="AP8" s="826"/>
      <c r="AQ8" s="826"/>
      <c r="AR8" s="826"/>
      <c r="AS8" s="826"/>
      <c r="AT8" s="849"/>
      <c r="AU8" s="361"/>
      <c r="AV8" s="361"/>
      <c r="AW8" s="361"/>
      <c r="AX8" s="361"/>
      <c r="AY8" s="361"/>
      <c r="AZ8" s="361"/>
      <c r="BA8" s="361"/>
      <c r="BB8" s="361"/>
      <c r="BC8" s="361"/>
      <c r="BD8" s="361"/>
      <c r="BE8" s="361"/>
      <c r="BF8" s="361"/>
      <c r="BG8" s="361"/>
      <c r="BH8" s="361"/>
      <c r="BI8" s="361"/>
    </row>
    <row r="9" spans="1:61" ht="15" customHeight="1" x14ac:dyDescent="0.25">
      <c r="A9" s="361"/>
      <c r="B9" s="828"/>
      <c r="C9" s="826"/>
      <c r="D9" s="830"/>
      <c r="E9" s="834"/>
      <c r="F9" s="826"/>
      <c r="G9" s="826"/>
      <c r="H9" s="826"/>
      <c r="I9" s="830"/>
      <c r="J9" s="834"/>
      <c r="K9" s="828"/>
      <c r="L9" s="828"/>
      <c r="M9" s="828"/>
      <c r="N9" s="828"/>
      <c r="O9" s="830"/>
      <c r="P9" s="834"/>
      <c r="Q9" s="828"/>
      <c r="R9" s="828"/>
      <c r="S9" s="828"/>
      <c r="T9" s="828"/>
      <c r="U9" s="830"/>
      <c r="V9" s="834"/>
      <c r="W9" s="828"/>
      <c r="X9" s="828"/>
      <c r="Y9" s="828"/>
      <c r="Z9" s="828"/>
      <c r="AA9" s="830"/>
      <c r="AB9" s="834"/>
      <c r="AC9" s="828"/>
      <c r="AD9" s="828"/>
      <c r="AE9" s="828"/>
      <c r="AF9" s="828"/>
      <c r="AG9" s="830"/>
      <c r="AH9" s="834"/>
      <c r="AI9" s="828"/>
      <c r="AJ9" s="828"/>
      <c r="AK9" s="828"/>
      <c r="AL9" s="828"/>
      <c r="AM9" s="830"/>
      <c r="AN9" s="361"/>
      <c r="AO9" s="848"/>
      <c r="AP9" s="826"/>
      <c r="AQ9" s="826"/>
      <c r="AR9" s="826"/>
      <c r="AS9" s="826"/>
      <c r="AT9" s="849"/>
      <c r="AU9" s="361"/>
      <c r="AV9" s="361"/>
      <c r="AW9" s="361"/>
      <c r="AX9" s="361"/>
      <c r="AY9" s="361"/>
      <c r="AZ9" s="361"/>
      <c r="BA9" s="361"/>
      <c r="BB9" s="361"/>
      <c r="BC9" s="361"/>
      <c r="BD9" s="361"/>
      <c r="BE9" s="361"/>
      <c r="BF9" s="361"/>
      <c r="BG9" s="361"/>
      <c r="BH9" s="361"/>
      <c r="BI9" s="361"/>
    </row>
    <row r="10" spans="1:61" ht="15" customHeight="1" x14ac:dyDescent="0.25">
      <c r="A10" s="361"/>
      <c r="B10" s="828"/>
      <c r="C10" s="826"/>
      <c r="D10" s="830"/>
      <c r="E10" s="834"/>
      <c r="F10" s="826"/>
      <c r="G10" s="826"/>
      <c r="H10" s="826"/>
      <c r="I10" s="830"/>
      <c r="J10" s="843" t="str">
        <f>IF(AND('[3]Mapa de procesos'!$L$40="Muy Alta",'[3]Mapa de procesos'!$P$40="Leve"),CONCATENATE("R",'[3]Mapa de procesos'!$A$40),"")</f>
        <v/>
      </c>
      <c r="K10" s="828"/>
      <c r="L10" s="842" t="str">
        <f>IF(AND('[3]Mapa de procesos'!$L$46="Muy Alta",'[3]Mapa de procesos'!$P$46="Leve"),CONCATENATE("R",'[3]Mapa de procesos'!$A$46),"")</f>
        <v/>
      </c>
      <c r="M10" s="828"/>
      <c r="N10" s="842" t="str">
        <f>IF(AND('[3]Mapa de procesos'!$L$52="Muy Alta",'[3]Mapa de procesos'!$P$52="Leve"),CONCATENATE("R",'[3]Mapa de procesos'!$A$52),"")</f>
        <v/>
      </c>
      <c r="O10" s="830"/>
      <c r="P10" s="843" t="str">
        <f>IF(AND('[3]Mapa de procesos'!$L$40="Muy Alta",'[3]Mapa de procesos'!$P$40="Menor"),CONCATENATE("R",'[3]Mapa de procesos'!$A$40),"")</f>
        <v/>
      </c>
      <c r="Q10" s="828"/>
      <c r="R10" s="842" t="str">
        <f>IF(AND('[3]Mapa de procesos'!$L$46="Muy Alta",'[3]Mapa de procesos'!$P$46="Menor"),CONCATENATE("R",'[3]Mapa de procesos'!$A$46),"")</f>
        <v/>
      </c>
      <c r="S10" s="828"/>
      <c r="T10" s="842" t="str">
        <f>IF(AND('[3]Mapa de procesos'!$L$52="Muy Alta",'[3]Mapa de procesos'!$P$52="Menor"),CONCATENATE("R",'[3]Mapa de procesos'!$A$52),"")</f>
        <v/>
      </c>
      <c r="U10" s="830"/>
      <c r="V10" s="843" t="str">
        <f>IF(AND('[3]Mapa de procesos'!$L$40="Muy Alta",'[3]Mapa de procesos'!$P$40="Moderado"),CONCATENATE("R",'[3]Mapa de procesos'!$A$40),"")</f>
        <v/>
      </c>
      <c r="W10" s="828"/>
      <c r="X10" s="842" t="str">
        <f>IF(AND('[3]Mapa de procesos'!$L$46="Muy Alta",'[3]Mapa de procesos'!$P$46="Moderado"),CONCATENATE("R",'[3]Mapa de procesos'!$A$46),"")</f>
        <v/>
      </c>
      <c r="Y10" s="828"/>
      <c r="Z10" s="842" t="str">
        <f>IF(AND('[3]Mapa de procesos'!$L$52="Muy Alta",'[3]Mapa de procesos'!$P$52="Moderado"),CONCATENATE("R",'[3]Mapa de procesos'!$A$52),"")</f>
        <v/>
      </c>
      <c r="AA10" s="830"/>
      <c r="AB10" s="843" t="str">
        <f>IF(AND('[3]Mapa de procesos'!$L$40="Muy Alta",'[3]Mapa de procesos'!$P$40="Mayor"),CONCATENATE("R",'[3]Mapa de procesos'!$A$40),"")</f>
        <v/>
      </c>
      <c r="AC10" s="828"/>
      <c r="AD10" s="842" t="str">
        <f>IF(AND('[3]Mapa de procesos'!$L$46="Muy Alta",'[3]Mapa de procesos'!$P$46="Mayor"),CONCATENATE("R",'[3]Mapa de procesos'!$A$46),"")</f>
        <v/>
      </c>
      <c r="AE10" s="828"/>
      <c r="AF10" s="842" t="str">
        <f>IF(AND('[3]Mapa de procesos'!$L$52="Muy Alta",'[3]Mapa de procesos'!$P$52="Mayor"),CONCATENATE("R",'[3]Mapa de procesos'!$A$52),"")</f>
        <v/>
      </c>
      <c r="AG10" s="830"/>
      <c r="AH10" s="853" t="str">
        <f>IF(AND('[3]Mapa de procesos'!$L$40="Muy Alta",'[3]Mapa de procesos'!$P$40="Catastrófico"),CONCATENATE("R",'[3]Mapa de procesos'!$A$40),"")</f>
        <v/>
      </c>
      <c r="AI10" s="828"/>
      <c r="AJ10" s="844" t="str">
        <f>IF(AND('[3]Mapa de procesos'!$L$46="Muy Alta",'[3]Mapa de procesos'!$P$46="Catastrófico"),CONCATENATE("R",'[3]Mapa de procesos'!$A$46),"")</f>
        <v/>
      </c>
      <c r="AK10" s="828"/>
      <c r="AL10" s="844" t="str">
        <f>IF(AND('[3]Mapa de procesos'!$L$52="Muy Alta",'[3]Mapa de procesos'!$P$52="Catastrófico"),CONCATENATE("R",'[3]Mapa de procesos'!$A$52),"")</f>
        <v/>
      </c>
      <c r="AM10" s="830"/>
      <c r="AN10" s="361"/>
      <c r="AO10" s="848"/>
      <c r="AP10" s="826"/>
      <c r="AQ10" s="826"/>
      <c r="AR10" s="826"/>
      <c r="AS10" s="826"/>
      <c r="AT10" s="849"/>
      <c r="AU10" s="361"/>
      <c r="AV10" s="361"/>
      <c r="AW10" s="361"/>
      <c r="AX10" s="361"/>
      <c r="AY10" s="361"/>
      <c r="AZ10" s="361"/>
      <c r="BA10" s="361"/>
      <c r="BB10" s="361"/>
      <c r="BC10" s="361"/>
      <c r="BD10" s="361"/>
      <c r="BE10" s="361"/>
      <c r="BF10" s="361"/>
      <c r="BG10" s="361"/>
      <c r="BH10" s="361"/>
      <c r="BI10" s="361"/>
    </row>
    <row r="11" spans="1:61" ht="15" customHeight="1" x14ac:dyDescent="0.25">
      <c r="A11" s="361"/>
      <c r="B11" s="828"/>
      <c r="C11" s="826"/>
      <c r="D11" s="830"/>
      <c r="E11" s="834"/>
      <c r="F11" s="826"/>
      <c r="G11" s="826"/>
      <c r="H11" s="826"/>
      <c r="I11" s="830"/>
      <c r="J11" s="834"/>
      <c r="K11" s="828"/>
      <c r="L11" s="828"/>
      <c r="M11" s="828"/>
      <c r="N11" s="828"/>
      <c r="O11" s="830"/>
      <c r="P11" s="834"/>
      <c r="Q11" s="828"/>
      <c r="R11" s="828"/>
      <c r="S11" s="828"/>
      <c r="T11" s="828"/>
      <c r="U11" s="830"/>
      <c r="V11" s="834"/>
      <c r="W11" s="828"/>
      <c r="X11" s="828"/>
      <c r="Y11" s="828"/>
      <c r="Z11" s="828"/>
      <c r="AA11" s="830"/>
      <c r="AB11" s="834"/>
      <c r="AC11" s="828"/>
      <c r="AD11" s="828"/>
      <c r="AE11" s="828"/>
      <c r="AF11" s="828"/>
      <c r="AG11" s="830"/>
      <c r="AH11" s="834"/>
      <c r="AI11" s="828"/>
      <c r="AJ11" s="828"/>
      <c r="AK11" s="828"/>
      <c r="AL11" s="828"/>
      <c r="AM11" s="830"/>
      <c r="AN11" s="361"/>
      <c r="AO11" s="848"/>
      <c r="AP11" s="826"/>
      <c r="AQ11" s="826"/>
      <c r="AR11" s="826"/>
      <c r="AS11" s="826"/>
      <c r="AT11" s="849"/>
      <c r="AU11" s="361"/>
      <c r="AV11" s="361"/>
      <c r="AW11" s="361"/>
      <c r="AX11" s="361"/>
      <c r="AY11" s="361"/>
      <c r="AZ11" s="361"/>
      <c r="BA11" s="361"/>
      <c r="BB11" s="361"/>
      <c r="BC11" s="361"/>
      <c r="BD11" s="361"/>
      <c r="BE11" s="361"/>
      <c r="BF11" s="361"/>
      <c r="BG11" s="361"/>
      <c r="BH11" s="361"/>
      <c r="BI11" s="361"/>
    </row>
    <row r="12" spans="1:61" ht="15" customHeight="1" x14ac:dyDescent="0.25">
      <c r="A12" s="361"/>
      <c r="B12" s="828"/>
      <c r="C12" s="826"/>
      <c r="D12" s="830"/>
      <c r="E12" s="834"/>
      <c r="F12" s="826"/>
      <c r="G12" s="826"/>
      <c r="H12" s="826"/>
      <c r="I12" s="830"/>
      <c r="J12" s="843" t="str">
        <f>IF(AND('[3]Mapa de procesos'!$L$58="Muy Alta",'[3]Mapa de procesos'!$P$58="Leve"),CONCATENATE("R",'[3]Mapa de procesos'!$A$58),"")</f>
        <v/>
      </c>
      <c r="K12" s="828"/>
      <c r="L12" s="842" t="str">
        <f>IF(AND('[3]Mapa de procesos'!$M$1040="Muy Alta",'[3]Mapa de procesos'!$Q$1040="Leve"),CONCATENATE("R",'[3]Mapa de procesos'!$A$64),"")</f>
        <v/>
      </c>
      <c r="M12" s="828"/>
      <c r="N12" s="842" t="str">
        <f>IF(AND('[3]Mapa de procesos'!$L$70="Muy Alta",'[3]Mapa de procesos'!$P$70="Leve"),CONCATENATE("R",'[3]Mapa de procesos'!$A$70),"")</f>
        <v/>
      </c>
      <c r="O12" s="830"/>
      <c r="P12" s="843" t="str">
        <f>IF(AND('[3]Mapa de procesos'!$L$58="Muy Alta",'[3]Mapa de procesos'!$P$58="Menor"),CONCATENATE("R",'[3]Mapa de procesos'!$A$58),"")</f>
        <v/>
      </c>
      <c r="Q12" s="828"/>
      <c r="R12" s="842" t="str">
        <f>IF(AND('[3]Mapa de procesos'!$M$1040="Muy Alta",'[3]Mapa de procesos'!$Q$1040="Menor"),CONCATENATE("R",'[3]Mapa de procesos'!$A$64),"")</f>
        <v/>
      </c>
      <c r="S12" s="828"/>
      <c r="T12" s="842" t="str">
        <f>IF(AND('[3]Mapa de procesos'!$L$70="Muy Alta",'[3]Mapa de procesos'!$P$70="Menor"),CONCATENATE("R",'[3]Mapa de procesos'!$A$70),"")</f>
        <v/>
      </c>
      <c r="U12" s="830"/>
      <c r="V12" s="843" t="str">
        <f>IF(AND('[3]Mapa de procesos'!$L$58="Muy Alta",'[3]Mapa de procesos'!$P$58="Moderado"),CONCATENATE("R",'[3]Mapa de procesos'!$A$58),"")</f>
        <v/>
      </c>
      <c r="W12" s="828"/>
      <c r="X12" s="842" t="str">
        <f>IF(AND('[3]Mapa de procesos'!$M$1040="Muy Alta",'[3]Mapa de procesos'!$Q$1040="Moderado"),CONCATENATE("R",'[3]Mapa de procesos'!$A$64),"")</f>
        <v/>
      </c>
      <c r="Y12" s="828"/>
      <c r="Z12" s="842" t="str">
        <f>IF(AND('[3]Mapa de procesos'!$L$70="Muy Alta",'[3]Mapa de procesos'!$P$70="Moderado"),CONCATENATE("R",'[3]Mapa de procesos'!$A$70),"")</f>
        <v/>
      </c>
      <c r="AA12" s="830"/>
      <c r="AB12" s="843" t="str">
        <f>IF(AND('[3]Mapa de procesos'!$L$58="Muy Alta",'[3]Mapa de procesos'!$P$58="Mayor"),CONCATENATE("R",'[3]Mapa de procesos'!$A$58),"")</f>
        <v/>
      </c>
      <c r="AC12" s="828"/>
      <c r="AD12" s="842" t="str">
        <f>IF(AND('[3]Mapa de procesos'!$M$1040="Muy Alta",'[3]Mapa de procesos'!$Q$1040="Mayor"),CONCATENATE("R",'[3]Mapa de procesos'!$A$64),"")</f>
        <v/>
      </c>
      <c r="AE12" s="828"/>
      <c r="AF12" s="842" t="str">
        <f>IF(AND('[3]Mapa de procesos'!$L$70="Muy Alta",'[3]Mapa de procesos'!$P$70="Mayor"),CONCATENATE("R",'[3]Mapa de procesos'!$A$70),"")</f>
        <v/>
      </c>
      <c r="AG12" s="830"/>
      <c r="AH12" s="853" t="str">
        <f>IF(AND('[3]Mapa de procesos'!$L$58="Muy Alta",'[3]Mapa de procesos'!$P$58="Catastrófico"),CONCATENATE("R",'[3]Mapa de procesos'!$A$58),"")</f>
        <v/>
      </c>
      <c r="AI12" s="828"/>
      <c r="AJ12" s="844" t="str">
        <f>IF(AND('[3]Mapa de procesos'!$M$1040="Muy Alta",'[3]Mapa de procesos'!$Q$1040="Catastrófico"),CONCATENATE("R",'[3]Mapa de procesos'!$A$64),"")</f>
        <v/>
      </c>
      <c r="AK12" s="828"/>
      <c r="AL12" s="844" t="str">
        <f>IF(AND('[3]Mapa de procesos'!$L$70="Muy Alta",'[3]Mapa de procesos'!$P$70="Catastrófico"),CONCATENATE("R",'[3]Mapa de procesos'!$A$70),"")</f>
        <v/>
      </c>
      <c r="AM12" s="830"/>
      <c r="AN12" s="361"/>
      <c r="AO12" s="848"/>
      <c r="AP12" s="826"/>
      <c r="AQ12" s="826"/>
      <c r="AR12" s="826"/>
      <c r="AS12" s="826"/>
      <c r="AT12" s="849"/>
      <c r="AU12" s="361"/>
      <c r="AV12" s="361"/>
      <c r="AW12" s="361"/>
      <c r="AX12" s="361"/>
      <c r="AY12" s="361"/>
      <c r="AZ12" s="361"/>
      <c r="BA12" s="361"/>
      <c r="BB12" s="361"/>
      <c r="BC12" s="361"/>
      <c r="BD12" s="361"/>
      <c r="BE12" s="361"/>
      <c r="BF12" s="361"/>
      <c r="BG12" s="361"/>
      <c r="BH12" s="361"/>
      <c r="BI12" s="361"/>
    </row>
    <row r="13" spans="1:61" ht="15.75" customHeight="1" thickBot="1" x14ac:dyDescent="0.3">
      <c r="A13" s="361"/>
      <c r="B13" s="828"/>
      <c r="C13" s="826"/>
      <c r="D13" s="830"/>
      <c r="E13" s="835"/>
      <c r="F13" s="836"/>
      <c r="G13" s="836"/>
      <c r="H13" s="836"/>
      <c r="I13" s="837"/>
      <c r="J13" s="834"/>
      <c r="K13" s="828"/>
      <c r="L13" s="828"/>
      <c r="M13" s="828"/>
      <c r="N13" s="828"/>
      <c r="O13" s="830"/>
      <c r="P13" s="834"/>
      <c r="Q13" s="828"/>
      <c r="R13" s="828"/>
      <c r="S13" s="828"/>
      <c r="T13" s="828"/>
      <c r="U13" s="830"/>
      <c r="V13" s="834"/>
      <c r="W13" s="828"/>
      <c r="X13" s="828"/>
      <c r="Y13" s="828"/>
      <c r="Z13" s="828"/>
      <c r="AA13" s="830"/>
      <c r="AB13" s="834"/>
      <c r="AC13" s="828"/>
      <c r="AD13" s="828"/>
      <c r="AE13" s="828"/>
      <c r="AF13" s="828"/>
      <c r="AG13" s="830"/>
      <c r="AH13" s="835"/>
      <c r="AI13" s="836"/>
      <c r="AJ13" s="836"/>
      <c r="AK13" s="836"/>
      <c r="AL13" s="836"/>
      <c r="AM13" s="837"/>
      <c r="AN13" s="361"/>
      <c r="AO13" s="850"/>
      <c r="AP13" s="851"/>
      <c r="AQ13" s="851"/>
      <c r="AR13" s="851"/>
      <c r="AS13" s="851"/>
      <c r="AT13" s="852"/>
      <c r="AU13" s="361"/>
      <c r="AV13" s="361"/>
      <c r="AW13" s="361"/>
      <c r="AX13" s="361"/>
      <c r="AY13" s="361"/>
      <c r="AZ13" s="361"/>
      <c r="BA13" s="361"/>
      <c r="BB13" s="361"/>
      <c r="BC13" s="361"/>
      <c r="BD13" s="361"/>
      <c r="BE13" s="361"/>
      <c r="BF13" s="361"/>
      <c r="BG13" s="361"/>
      <c r="BH13" s="361"/>
      <c r="BI13" s="361"/>
    </row>
    <row r="14" spans="1:61" ht="15" customHeight="1" x14ac:dyDescent="0.25">
      <c r="A14" s="361"/>
      <c r="B14" s="828"/>
      <c r="C14" s="826"/>
      <c r="D14" s="830"/>
      <c r="E14" s="831" t="s">
        <v>5</v>
      </c>
      <c r="F14" s="832"/>
      <c r="G14" s="832"/>
      <c r="H14" s="832"/>
      <c r="I14" s="832"/>
      <c r="J14" s="854" t="str" cm="1">
        <f t="array" ref="J14">IF(AND('Matriz riesgos de gestión'!M17:M26="Muy Alta",'Matriz riesgos de gestión'!Q17:Q26="Leve"),CONCATENATE("R",'Matriz riesgos de gestión'!$A$4),"")</f>
        <v/>
      </c>
      <c r="K14" s="855"/>
      <c r="L14" s="855" t="str">
        <f>IF(AND('[3]Mapa de procesos'!$L$10="Alta",'[3]Mapa de procesos'!$P$10="Leve"),CONCATENATE("R",'[3]Mapa de procesos'!$A$10),"")</f>
        <v/>
      </c>
      <c r="M14" s="832"/>
      <c r="N14" s="855" t="str">
        <f>IF(AND('[3]Mapa de procesos'!$L$16="Alta",'[3]Mapa de procesos'!$P$16="Leve"),CONCATENATE("R",'[3]Mapa de procesos'!$A$16),"")</f>
        <v/>
      </c>
      <c r="O14" s="833"/>
      <c r="P14" s="854" t="str">
        <f>IF(AND('[3]Mapa de procesos'!$L$4="Alta",'[3]Mapa de procesos'!$P$4="Menor"),CONCATENATE("R",'[3]Mapa de procesos'!$A$4),"")</f>
        <v/>
      </c>
      <c r="Q14" s="832"/>
      <c r="R14" s="855" t="str">
        <f>IF(AND('[3]Mapa de procesos'!$L$10="Alta",'[3]Mapa de procesos'!$P$10="Menor"),CONCATENATE("R",'[3]Mapa de procesos'!$A$10),"")</f>
        <v/>
      </c>
      <c r="S14" s="832"/>
      <c r="T14" s="855" t="str">
        <f>IF(AND('[3]Mapa de procesos'!$L$16="Alta",'[3]Mapa de procesos'!$P$16="Menor"),CONCATENATE("R",'[3]Mapa de procesos'!$A$16),"")</f>
        <v/>
      </c>
      <c r="U14" s="833"/>
      <c r="V14" s="838" t="str">
        <f>IF(AND('[3]Mapa de procesos'!$L$4="Alta",'[3]Mapa de procesos'!$P$4="Moderado"),CONCATENATE("R",'[3]Mapa de procesos'!$A$4),"")</f>
        <v/>
      </c>
      <c r="W14" s="832"/>
      <c r="X14" s="839" t="str">
        <f>IF(AND('[3]Mapa de procesos'!$L$10="Alta",'[3]Mapa de procesos'!$P$10="Moderado"),CONCATENATE("R",'[3]Mapa de procesos'!$A$10),"")</f>
        <v/>
      </c>
      <c r="Y14" s="832"/>
      <c r="Z14" s="839" t="str">
        <f>IF(AND('[3]Mapa de procesos'!$L$16="Alta",'[3]Mapa de procesos'!$P$16="Moderado"),CONCATENATE("R",'[3]Mapa de procesos'!$A$16),"")</f>
        <v/>
      </c>
      <c r="AA14" s="833"/>
      <c r="AB14" s="838" t="str">
        <f>IF(AND('[3]Mapa de procesos'!$L$4="Alta",'[3]Mapa de procesos'!$P$4="Mayor"),CONCATENATE("R",'[3]Mapa de procesos'!$A$4),"")</f>
        <v/>
      </c>
      <c r="AC14" s="832"/>
      <c r="AD14" s="839" t="str">
        <f>IF(AND('[3]Mapa de procesos'!$L$10="Alta",'[3]Mapa de procesos'!$P$10="Mayor"),CONCATENATE("R",'[3]Mapa de procesos'!$A$10),"")</f>
        <v/>
      </c>
      <c r="AE14" s="832"/>
      <c r="AF14" s="839" t="str">
        <f>IF(AND('[3]Mapa de procesos'!$L$16="Alta",'[3]Mapa de procesos'!$P$16="Mayor"),CONCATENATE("R",'[3]Mapa de procesos'!$A$16),"")</f>
        <v/>
      </c>
      <c r="AG14" s="833"/>
      <c r="AH14" s="840" t="str">
        <f>IF(AND('[3]Mapa de procesos'!$L$4="Alta",'[3]Mapa de procesos'!$P$4="Catastrófico"),CONCATENATE("R",'[3]Mapa de procesos'!$A$4),"")</f>
        <v/>
      </c>
      <c r="AI14" s="832"/>
      <c r="AJ14" s="841" t="str">
        <f>IF(AND('[3]Mapa de procesos'!$L$10="Alta",'[3]Mapa de procesos'!$P$10="Catastrófico"),CONCATENATE("R",'[3]Mapa de procesos'!$A$10),"")</f>
        <v/>
      </c>
      <c r="AK14" s="832"/>
      <c r="AL14" s="841" t="str">
        <f>IF(AND('[3]Mapa de procesos'!$L$16="Alta",'[3]Mapa de procesos'!$P$16="Catastrófico"),CONCATENATE("R",'[3]Mapa de procesos'!$A$16),"")</f>
        <v/>
      </c>
      <c r="AM14" s="833"/>
      <c r="AN14" s="361"/>
      <c r="AO14" s="858" t="s">
        <v>6</v>
      </c>
      <c r="AP14" s="846"/>
      <c r="AQ14" s="846"/>
      <c r="AR14" s="846"/>
      <c r="AS14" s="846"/>
      <c r="AT14" s="847"/>
      <c r="AU14" s="361"/>
      <c r="AV14" s="361"/>
      <c r="AW14" s="361"/>
      <c r="AX14" s="361"/>
      <c r="AY14" s="361"/>
      <c r="AZ14" s="361"/>
      <c r="BA14" s="361"/>
      <c r="BB14" s="361"/>
      <c r="BC14" s="361"/>
      <c r="BD14" s="361"/>
      <c r="BE14" s="361"/>
      <c r="BF14" s="361"/>
      <c r="BG14" s="361"/>
      <c r="BH14" s="361"/>
      <c r="BI14" s="361"/>
    </row>
    <row r="15" spans="1:61" ht="15" customHeight="1" x14ac:dyDescent="0.25">
      <c r="A15" s="361"/>
      <c r="B15" s="828"/>
      <c r="C15" s="826"/>
      <c r="D15" s="830"/>
      <c r="E15" s="834"/>
      <c r="F15" s="826"/>
      <c r="G15" s="826"/>
      <c r="H15" s="826"/>
      <c r="I15" s="826"/>
      <c r="J15" s="856"/>
      <c r="K15" s="857"/>
      <c r="L15" s="828"/>
      <c r="M15" s="828"/>
      <c r="N15" s="828"/>
      <c r="O15" s="830"/>
      <c r="P15" s="834"/>
      <c r="Q15" s="828"/>
      <c r="R15" s="828"/>
      <c r="S15" s="828"/>
      <c r="T15" s="828"/>
      <c r="U15" s="830"/>
      <c r="V15" s="834"/>
      <c r="W15" s="828"/>
      <c r="X15" s="828"/>
      <c r="Y15" s="828"/>
      <c r="Z15" s="828"/>
      <c r="AA15" s="830"/>
      <c r="AB15" s="834"/>
      <c r="AC15" s="828"/>
      <c r="AD15" s="828"/>
      <c r="AE15" s="828"/>
      <c r="AF15" s="828"/>
      <c r="AG15" s="830"/>
      <c r="AH15" s="834"/>
      <c r="AI15" s="828"/>
      <c r="AJ15" s="828"/>
      <c r="AK15" s="828"/>
      <c r="AL15" s="828"/>
      <c r="AM15" s="830"/>
      <c r="AN15" s="361"/>
      <c r="AO15" s="848"/>
      <c r="AP15" s="826"/>
      <c r="AQ15" s="826"/>
      <c r="AR15" s="826"/>
      <c r="AS15" s="826"/>
      <c r="AT15" s="849"/>
      <c r="AU15" s="361"/>
      <c r="AV15" s="361"/>
      <c r="AW15" s="361"/>
      <c r="AX15" s="361"/>
      <c r="AY15" s="361"/>
      <c r="AZ15" s="361"/>
      <c r="BA15" s="361"/>
      <c r="BB15" s="361"/>
      <c r="BC15" s="361"/>
      <c r="BD15" s="361"/>
      <c r="BE15" s="361"/>
      <c r="BF15" s="361"/>
      <c r="BG15" s="361"/>
      <c r="BH15" s="361"/>
      <c r="BI15" s="361"/>
    </row>
    <row r="16" spans="1:61" ht="15" customHeight="1" x14ac:dyDescent="0.25">
      <c r="A16" s="361"/>
      <c r="B16" s="828"/>
      <c r="C16" s="826"/>
      <c r="D16" s="830"/>
      <c r="E16" s="834"/>
      <c r="F16" s="826"/>
      <c r="G16" s="826"/>
      <c r="H16" s="826"/>
      <c r="I16" s="826"/>
      <c r="J16" s="856" t="str">
        <f>IF(AND('[3]Mapa de procesos'!$L$22="Alta",'[3]Mapa de procesos'!$P$22="Leve"),CONCATENATE("R",'[3]Mapa de procesos'!$A$22),"")</f>
        <v/>
      </c>
      <c r="K16" s="828"/>
      <c r="L16" s="857" t="str">
        <f>IF(AND('[3]Mapa de procesos'!$L$28="Alta",'[3]Mapa de procesos'!$P$28="Leve"),CONCATENATE("R",'[3]Mapa de procesos'!$A$28),"")</f>
        <v/>
      </c>
      <c r="M16" s="828"/>
      <c r="N16" s="857" t="str">
        <f>IF(AND('[3]Mapa de procesos'!$L$34="Alta",'[3]Mapa de procesos'!$P$34="Leve"),CONCATENATE("R",'[3]Mapa de procesos'!$A$34),"")</f>
        <v/>
      </c>
      <c r="O16" s="830"/>
      <c r="P16" s="856" t="str">
        <f>IF(AND('[3]Mapa de procesos'!$L$22="Alta",'[3]Mapa de procesos'!$P$22="Menor"),CONCATENATE("R",'[3]Mapa de procesos'!$A$22),"")</f>
        <v/>
      </c>
      <c r="Q16" s="828"/>
      <c r="R16" s="857" t="str">
        <f>IF(AND('[3]Mapa de procesos'!$L$28="Alta",'[3]Mapa de procesos'!$P$28="Menor"),CONCATENATE("R",'[3]Mapa de procesos'!$A$28),"")</f>
        <v/>
      </c>
      <c r="S16" s="828"/>
      <c r="T16" s="857" t="str">
        <f>IF(AND('[3]Mapa de procesos'!$L$34="Alta",'[3]Mapa de procesos'!$P$34="Menor"),CONCATENATE("R",'[3]Mapa de procesos'!$A$34),"")</f>
        <v/>
      </c>
      <c r="U16" s="830"/>
      <c r="V16" s="843" t="str">
        <f>IF(AND('[3]Mapa de procesos'!$L$22="Alta",'[3]Mapa de procesos'!$P$22="Moderado"),CONCATENATE("R",'[3]Mapa de procesos'!$A$22),"")</f>
        <v/>
      </c>
      <c r="W16" s="828"/>
      <c r="X16" s="842" t="str">
        <f>IF(AND('[3]Mapa de procesos'!$L$28="Alta",'[3]Mapa de procesos'!$P$28="Moderado"),CONCATENATE("R",'[3]Mapa de procesos'!$A$28),"")</f>
        <v/>
      </c>
      <c r="Y16" s="828"/>
      <c r="Z16" s="842" t="str">
        <f>IF(AND('[3]Mapa de procesos'!$L$34="Alta",'[3]Mapa de procesos'!$P$34="Moderado"),CONCATENATE("R",'[3]Mapa de procesos'!$A$34),"")</f>
        <v/>
      </c>
      <c r="AA16" s="830"/>
      <c r="AB16" s="843" t="str">
        <f>IF(AND('[3]Mapa de procesos'!$L$22="Alta",'[3]Mapa de procesos'!$P$22="Mayor"),CONCATENATE("R",'[3]Mapa de procesos'!$A$22),"")</f>
        <v/>
      </c>
      <c r="AC16" s="828"/>
      <c r="AD16" s="842" t="str">
        <f>IF(AND('[3]Mapa de procesos'!$L$28="Alta",'[3]Mapa de procesos'!$P$28="Mayor"),CONCATENATE("R",'[3]Mapa de procesos'!$A$28),"")</f>
        <v/>
      </c>
      <c r="AE16" s="828"/>
      <c r="AF16" s="842" t="str">
        <f>IF(AND('[3]Mapa de procesos'!$L$34="Alta",'[3]Mapa de procesos'!$P$34="Mayor"),CONCATENATE("R",'[3]Mapa de procesos'!$A$34),"")</f>
        <v/>
      </c>
      <c r="AG16" s="830"/>
      <c r="AH16" s="853" t="str">
        <f>IF(AND('[3]Mapa de procesos'!$L$22="Alta",'[3]Mapa de procesos'!$P$22="Catastrófico"),CONCATENATE("R",'[3]Mapa de procesos'!$A$22),"")</f>
        <v/>
      </c>
      <c r="AI16" s="828"/>
      <c r="AJ16" s="844" t="str">
        <f>IF(AND('[3]Mapa de procesos'!$L$28="Alta",'[3]Mapa de procesos'!$P$28="Catastrófico"),CONCATENATE("R",'[3]Mapa de procesos'!$A$28),"")</f>
        <v/>
      </c>
      <c r="AK16" s="828"/>
      <c r="AL16" s="844" t="str">
        <f>IF(AND('[3]Mapa de procesos'!$L$34="Alta",'[3]Mapa de procesos'!$P$34="Catastrófico"),CONCATENATE("R",'[3]Mapa de procesos'!$A$34),"")</f>
        <v/>
      </c>
      <c r="AM16" s="830"/>
      <c r="AN16" s="361"/>
      <c r="AO16" s="848"/>
      <c r="AP16" s="826"/>
      <c r="AQ16" s="826"/>
      <c r="AR16" s="826"/>
      <c r="AS16" s="826"/>
      <c r="AT16" s="849"/>
      <c r="AU16" s="361"/>
      <c r="AV16" s="361"/>
      <c r="AW16" s="361"/>
      <c r="AX16" s="361"/>
      <c r="AY16" s="361"/>
      <c r="AZ16" s="361"/>
      <c r="BA16" s="361"/>
      <c r="BB16" s="361"/>
      <c r="BC16" s="361"/>
      <c r="BD16" s="361"/>
      <c r="BE16" s="361"/>
      <c r="BF16" s="361"/>
      <c r="BG16" s="361"/>
      <c r="BH16" s="361"/>
      <c r="BI16" s="361"/>
    </row>
    <row r="17" spans="1:61" ht="15" customHeight="1" x14ac:dyDescent="0.25">
      <c r="A17" s="361"/>
      <c r="B17" s="828"/>
      <c r="C17" s="826"/>
      <c r="D17" s="830"/>
      <c r="E17" s="834"/>
      <c r="F17" s="826"/>
      <c r="G17" s="826"/>
      <c r="H17" s="826"/>
      <c r="I17" s="826"/>
      <c r="J17" s="834"/>
      <c r="K17" s="828"/>
      <c r="L17" s="828"/>
      <c r="M17" s="828"/>
      <c r="N17" s="828"/>
      <c r="O17" s="830"/>
      <c r="P17" s="834"/>
      <c r="Q17" s="828"/>
      <c r="R17" s="828"/>
      <c r="S17" s="828"/>
      <c r="T17" s="828"/>
      <c r="U17" s="830"/>
      <c r="V17" s="834"/>
      <c r="W17" s="828"/>
      <c r="X17" s="828"/>
      <c r="Y17" s="828"/>
      <c r="Z17" s="828"/>
      <c r="AA17" s="830"/>
      <c r="AB17" s="834"/>
      <c r="AC17" s="828"/>
      <c r="AD17" s="828"/>
      <c r="AE17" s="828"/>
      <c r="AF17" s="828"/>
      <c r="AG17" s="830"/>
      <c r="AH17" s="834"/>
      <c r="AI17" s="828"/>
      <c r="AJ17" s="828"/>
      <c r="AK17" s="828"/>
      <c r="AL17" s="828"/>
      <c r="AM17" s="830"/>
      <c r="AN17" s="361"/>
      <c r="AO17" s="848"/>
      <c r="AP17" s="826"/>
      <c r="AQ17" s="826"/>
      <c r="AR17" s="826"/>
      <c r="AS17" s="826"/>
      <c r="AT17" s="849"/>
      <c r="AU17" s="361"/>
      <c r="AV17" s="361"/>
      <c r="AW17" s="361"/>
      <c r="AX17" s="361"/>
      <c r="AY17" s="361"/>
      <c r="AZ17" s="361"/>
      <c r="BA17" s="361"/>
      <c r="BB17" s="361"/>
      <c r="BC17" s="361"/>
      <c r="BD17" s="361"/>
      <c r="BE17" s="361"/>
      <c r="BF17" s="361"/>
      <c r="BG17" s="361"/>
      <c r="BH17" s="361"/>
      <c r="BI17" s="361"/>
    </row>
    <row r="18" spans="1:61" ht="15" customHeight="1" x14ac:dyDescent="0.25">
      <c r="A18" s="361"/>
      <c r="B18" s="828"/>
      <c r="C18" s="826"/>
      <c r="D18" s="830"/>
      <c r="E18" s="834"/>
      <c r="F18" s="826"/>
      <c r="G18" s="826"/>
      <c r="H18" s="826"/>
      <c r="I18" s="826"/>
      <c r="J18" s="856" t="str">
        <f>IF(AND('[3]Mapa de procesos'!$L$40="Alta",'[3]Mapa de procesos'!$P$40="Leve"),CONCATENATE("R",'[3]Mapa de procesos'!$A$40),"")</f>
        <v/>
      </c>
      <c r="K18" s="828"/>
      <c r="L18" s="857" t="str">
        <f>IF(AND('[3]Mapa de procesos'!$L$46="Alta",'[3]Mapa de procesos'!$P$46="Leve"),CONCATENATE("R",'[3]Mapa de procesos'!$A$46),"")</f>
        <v/>
      </c>
      <c r="M18" s="828"/>
      <c r="N18" s="857" t="str">
        <f>IF(AND('[3]Mapa de procesos'!$L$52="Alta",'[3]Mapa de procesos'!$P$52="Leve"),CONCATENATE("R",'[3]Mapa de procesos'!$A$52),"")</f>
        <v/>
      </c>
      <c r="O18" s="830"/>
      <c r="P18" s="856" t="str">
        <f>IF(AND('[3]Mapa de procesos'!$L$40="Alta",'[3]Mapa de procesos'!$P$40="Menor"),CONCATENATE("R",'[3]Mapa de procesos'!$A$40),"")</f>
        <v/>
      </c>
      <c r="Q18" s="828"/>
      <c r="R18" s="857" t="str">
        <f>IF(AND('[3]Mapa de procesos'!$L$46="Alta",'[3]Mapa de procesos'!$P$46="Menor"),CONCATENATE("R",'[3]Mapa de procesos'!$A$46),"")</f>
        <v/>
      </c>
      <c r="S18" s="828"/>
      <c r="T18" s="857" t="str">
        <f>IF(AND('[3]Mapa de procesos'!$L$52="Alta",'[3]Mapa de procesos'!$P$52="Menor"),CONCATENATE("R",'[3]Mapa de procesos'!$A$52),"")</f>
        <v/>
      </c>
      <c r="U18" s="830"/>
      <c r="V18" s="843" t="str">
        <f>IF(AND('[3]Mapa de procesos'!$L$40="Alta",'[3]Mapa de procesos'!$P$40="Moderado"),CONCATENATE("R",'[3]Mapa de procesos'!$A$40),"")</f>
        <v/>
      </c>
      <c r="W18" s="828"/>
      <c r="X18" s="842" t="str">
        <f>IF(AND('[3]Mapa de procesos'!$L$46="Alta",'[3]Mapa de procesos'!$P$46="Moderado"),CONCATENATE("R",'[3]Mapa de procesos'!$A$46),"")</f>
        <v/>
      </c>
      <c r="Y18" s="828"/>
      <c r="Z18" s="842" t="str">
        <f>IF(AND('[3]Mapa de procesos'!$L$52="Alta",'[3]Mapa de procesos'!$P$52="Moderado"),CONCATENATE("R",'[3]Mapa de procesos'!$A$52),"")</f>
        <v/>
      </c>
      <c r="AA18" s="830"/>
      <c r="AB18" s="843" t="str">
        <f>IF(AND('[3]Mapa de procesos'!$L$40="Alta",'[3]Mapa de procesos'!$P$40="Mayor"),CONCATENATE("R",'[3]Mapa de procesos'!$A$40),"")</f>
        <v/>
      </c>
      <c r="AC18" s="828"/>
      <c r="AD18" s="842" t="str">
        <f>IF(AND('[3]Mapa de procesos'!$L$46="Alta",'[3]Mapa de procesos'!$P$46="Mayor"),CONCATENATE("R",'[3]Mapa de procesos'!$A$46),"")</f>
        <v/>
      </c>
      <c r="AE18" s="828"/>
      <c r="AF18" s="842" t="str">
        <f>IF(AND('[3]Mapa de procesos'!$L$52="Alta",'[3]Mapa de procesos'!$P$52="Mayor"),CONCATENATE("R",'[3]Mapa de procesos'!$A$52),"")</f>
        <v/>
      </c>
      <c r="AG18" s="830"/>
      <c r="AH18" s="853" t="str">
        <f>IF(AND('[3]Mapa de procesos'!$L$40="Alta",'[3]Mapa de procesos'!$P$40="Catastrófico"),CONCATENATE("R",'[3]Mapa de procesos'!$A$40),"")</f>
        <v/>
      </c>
      <c r="AI18" s="828"/>
      <c r="AJ18" s="844" t="str">
        <f>IF(AND('[3]Mapa de procesos'!$L$46="Alta",'[3]Mapa de procesos'!$P$46="Catastrófico"),CONCATENATE("R",'[3]Mapa de procesos'!$A$46),"")</f>
        <v/>
      </c>
      <c r="AK18" s="828"/>
      <c r="AL18" s="844" t="str">
        <f>IF(AND('[3]Mapa de procesos'!$L$52="Alta",'[3]Mapa de procesos'!$P$52="Catastrófico"),CONCATENATE("R",'[3]Mapa de procesos'!$A$52),"")</f>
        <v/>
      </c>
      <c r="AM18" s="830"/>
      <c r="AN18" s="361"/>
      <c r="AO18" s="848"/>
      <c r="AP18" s="826"/>
      <c r="AQ18" s="826"/>
      <c r="AR18" s="826"/>
      <c r="AS18" s="826"/>
      <c r="AT18" s="849"/>
      <c r="AU18" s="361"/>
      <c r="AV18" s="361"/>
      <c r="AW18" s="361"/>
      <c r="AX18" s="361"/>
      <c r="AY18" s="361"/>
      <c r="AZ18" s="361"/>
      <c r="BA18" s="361"/>
      <c r="BB18" s="361"/>
      <c r="BC18" s="361"/>
      <c r="BD18" s="361"/>
      <c r="BE18" s="361"/>
      <c r="BF18" s="361"/>
      <c r="BG18" s="361"/>
      <c r="BH18" s="361"/>
      <c r="BI18" s="361"/>
    </row>
    <row r="19" spans="1:61" ht="15" customHeight="1" x14ac:dyDescent="0.25">
      <c r="A19" s="361"/>
      <c r="B19" s="828"/>
      <c r="C19" s="826"/>
      <c r="D19" s="830"/>
      <c r="E19" s="834"/>
      <c r="F19" s="826"/>
      <c r="G19" s="826"/>
      <c r="H19" s="826"/>
      <c r="I19" s="826"/>
      <c r="J19" s="834"/>
      <c r="K19" s="828"/>
      <c r="L19" s="828"/>
      <c r="M19" s="828"/>
      <c r="N19" s="828"/>
      <c r="O19" s="830"/>
      <c r="P19" s="834"/>
      <c r="Q19" s="828"/>
      <c r="R19" s="828"/>
      <c r="S19" s="828"/>
      <c r="T19" s="828"/>
      <c r="U19" s="830"/>
      <c r="V19" s="834"/>
      <c r="W19" s="828"/>
      <c r="X19" s="828"/>
      <c r="Y19" s="828"/>
      <c r="Z19" s="828"/>
      <c r="AA19" s="830"/>
      <c r="AB19" s="834"/>
      <c r="AC19" s="828"/>
      <c r="AD19" s="828"/>
      <c r="AE19" s="828"/>
      <c r="AF19" s="828"/>
      <c r="AG19" s="830"/>
      <c r="AH19" s="834"/>
      <c r="AI19" s="828"/>
      <c r="AJ19" s="828"/>
      <c r="AK19" s="828"/>
      <c r="AL19" s="828"/>
      <c r="AM19" s="830"/>
      <c r="AN19" s="361"/>
      <c r="AO19" s="848"/>
      <c r="AP19" s="826"/>
      <c r="AQ19" s="826"/>
      <c r="AR19" s="826"/>
      <c r="AS19" s="826"/>
      <c r="AT19" s="849"/>
      <c r="AU19" s="361"/>
      <c r="AV19" s="361"/>
      <c r="AW19" s="361"/>
      <c r="AX19" s="361"/>
      <c r="AY19" s="361"/>
      <c r="AZ19" s="361"/>
      <c r="BA19" s="361"/>
      <c r="BB19" s="361"/>
      <c r="BC19" s="361"/>
      <c r="BD19" s="361"/>
      <c r="BE19" s="361"/>
      <c r="BF19" s="361"/>
      <c r="BG19" s="361"/>
      <c r="BH19" s="361"/>
      <c r="BI19" s="361"/>
    </row>
    <row r="20" spans="1:61" ht="15" customHeight="1" x14ac:dyDescent="0.25">
      <c r="A20" s="361"/>
      <c r="B20" s="828"/>
      <c r="C20" s="826"/>
      <c r="D20" s="830"/>
      <c r="E20" s="834"/>
      <c r="F20" s="826"/>
      <c r="G20" s="826"/>
      <c r="H20" s="826"/>
      <c r="I20" s="826"/>
      <c r="J20" s="856" t="str">
        <f>IF(AND('[3]Mapa de procesos'!$L$58="Alta",'[3]Mapa de procesos'!$P$58="Leve"),CONCATENATE("R",'[3]Mapa de procesos'!$A$58),"")</f>
        <v/>
      </c>
      <c r="K20" s="828"/>
      <c r="L20" s="857" t="str">
        <f>IF(AND('[3]Mapa de procesos'!$M$1040="Alta",'[3]Mapa de procesos'!$Q$1040="Leve"),CONCATENATE("R",'[3]Mapa de procesos'!$A$64),"")</f>
        <v/>
      </c>
      <c r="M20" s="828"/>
      <c r="N20" s="857" t="str">
        <f>IF(AND('[3]Mapa de procesos'!$L$70="Alta",'[3]Mapa de procesos'!$P$70="Leve"),CONCATENATE("R",'[3]Mapa de procesos'!$A$70),"")</f>
        <v/>
      </c>
      <c r="O20" s="830"/>
      <c r="P20" s="856" t="str">
        <f>IF(AND('[3]Mapa de procesos'!$L$58="Alta",'[3]Mapa de procesos'!$P$58="Menor"),CONCATENATE("R",'[3]Mapa de procesos'!$A$58),"")</f>
        <v/>
      </c>
      <c r="Q20" s="828"/>
      <c r="R20" s="857" t="str">
        <f>IF(AND('[3]Mapa de procesos'!$M$1040="Alta",'[3]Mapa de procesos'!$Q$1040="Menor"),CONCATENATE("R",'[3]Mapa de procesos'!$A$64),"")</f>
        <v/>
      </c>
      <c r="S20" s="828"/>
      <c r="T20" s="857" t="str">
        <f>IF(AND('[3]Mapa de procesos'!$L$70="Alta",'[3]Mapa de procesos'!$P$70="Menor"),CONCATENATE("R",'[3]Mapa de procesos'!$A$70),"")</f>
        <v/>
      </c>
      <c r="U20" s="830"/>
      <c r="V20" s="843" t="str">
        <f>IF(AND('[3]Mapa de procesos'!$L$58="Alta",'[3]Mapa de procesos'!$P$58="Moderado"),CONCATENATE("R",'[3]Mapa de procesos'!$A$58),"")</f>
        <v/>
      </c>
      <c r="W20" s="828"/>
      <c r="X20" s="842" t="str">
        <f>IF(AND('[3]Mapa de procesos'!$M$1040="Alta",'[3]Mapa de procesos'!$Q$1040="Moderado"),CONCATENATE("R",'[3]Mapa de procesos'!$A$64),"")</f>
        <v/>
      </c>
      <c r="Y20" s="828"/>
      <c r="Z20" s="842" t="str">
        <f>IF(AND('[3]Mapa de procesos'!$L$70="Alta",'[3]Mapa de procesos'!$P$70="Moderado"),CONCATENATE("R",'[3]Mapa de procesos'!$A$70),"")</f>
        <v/>
      </c>
      <c r="AA20" s="830"/>
      <c r="AB20" s="843" t="str">
        <f>IF(AND('[3]Mapa de procesos'!$L$58="Alta",'[3]Mapa de procesos'!$P$58="Mayor"),CONCATENATE("R",'[3]Mapa de procesos'!$A$58),"")</f>
        <v/>
      </c>
      <c r="AC20" s="828"/>
      <c r="AD20" s="842" t="str">
        <f>IF(AND('[3]Mapa de procesos'!$M$1040="Alta",'[3]Mapa de procesos'!$Q$1040="Mayor"),CONCATENATE("R",'[3]Mapa de procesos'!$A$64),"")</f>
        <v/>
      </c>
      <c r="AE20" s="828"/>
      <c r="AF20" s="842" t="str">
        <f>IF(AND('[3]Mapa de procesos'!$L$70="Alta",'[3]Mapa de procesos'!$P$70="Mayor"),CONCATENATE("R",'[3]Mapa de procesos'!$A$70),"")</f>
        <v/>
      </c>
      <c r="AG20" s="830"/>
      <c r="AH20" s="853" t="str">
        <f>IF(AND('[3]Mapa de procesos'!$L$58="Alta",'[3]Mapa de procesos'!$P$58="Catastrófico"),CONCATENATE("R",'[3]Mapa de procesos'!$A$58),"")</f>
        <v/>
      </c>
      <c r="AI20" s="828"/>
      <c r="AJ20" s="844" t="str">
        <f>IF(AND('[3]Mapa de procesos'!$M$1040="Alta",'[3]Mapa de procesos'!$Q$1040="Catastrófico"),CONCATENATE("R",'[3]Mapa de procesos'!$A$64),"")</f>
        <v/>
      </c>
      <c r="AK20" s="828"/>
      <c r="AL20" s="844" t="str">
        <f>IF(AND('[3]Mapa de procesos'!$L$70="Alta",'[3]Mapa de procesos'!$P$70="Catastrófico"),CONCATENATE("R",'[3]Mapa de procesos'!$A$70),"")</f>
        <v/>
      </c>
      <c r="AM20" s="830"/>
      <c r="AN20" s="361"/>
      <c r="AO20" s="848"/>
      <c r="AP20" s="826"/>
      <c r="AQ20" s="826"/>
      <c r="AR20" s="826"/>
      <c r="AS20" s="826"/>
      <c r="AT20" s="849"/>
      <c r="AU20" s="361"/>
      <c r="AV20" s="361"/>
      <c r="AW20" s="361"/>
      <c r="AX20" s="361"/>
      <c r="AY20" s="361"/>
      <c r="AZ20" s="361"/>
      <c r="BA20" s="361"/>
      <c r="BB20" s="361"/>
      <c r="BC20" s="361"/>
      <c r="BD20" s="361"/>
      <c r="BE20" s="361"/>
      <c r="BF20" s="361"/>
      <c r="BG20" s="361"/>
      <c r="BH20" s="361"/>
      <c r="BI20" s="361"/>
    </row>
    <row r="21" spans="1:61" ht="15.75" customHeight="1" thickBot="1" x14ac:dyDescent="0.3">
      <c r="A21" s="361"/>
      <c r="B21" s="828"/>
      <c r="C21" s="826"/>
      <c r="D21" s="830"/>
      <c r="E21" s="835"/>
      <c r="F21" s="836"/>
      <c r="G21" s="836"/>
      <c r="H21" s="836"/>
      <c r="I21" s="836"/>
      <c r="J21" s="835"/>
      <c r="K21" s="836"/>
      <c r="L21" s="836"/>
      <c r="M21" s="836"/>
      <c r="N21" s="836"/>
      <c r="O21" s="837"/>
      <c r="P21" s="835"/>
      <c r="Q21" s="836"/>
      <c r="R21" s="836"/>
      <c r="S21" s="836"/>
      <c r="T21" s="836"/>
      <c r="U21" s="837"/>
      <c r="V21" s="835"/>
      <c r="W21" s="836"/>
      <c r="X21" s="836"/>
      <c r="Y21" s="836"/>
      <c r="Z21" s="836"/>
      <c r="AA21" s="837"/>
      <c r="AB21" s="835"/>
      <c r="AC21" s="836"/>
      <c r="AD21" s="836"/>
      <c r="AE21" s="836"/>
      <c r="AF21" s="836"/>
      <c r="AG21" s="837"/>
      <c r="AH21" s="835"/>
      <c r="AI21" s="836"/>
      <c r="AJ21" s="836"/>
      <c r="AK21" s="836"/>
      <c r="AL21" s="836"/>
      <c r="AM21" s="837"/>
      <c r="AN21" s="361"/>
      <c r="AO21" s="850"/>
      <c r="AP21" s="851"/>
      <c r="AQ21" s="851"/>
      <c r="AR21" s="851"/>
      <c r="AS21" s="851"/>
      <c r="AT21" s="852"/>
      <c r="AU21" s="361"/>
      <c r="AV21" s="361"/>
      <c r="AW21" s="361"/>
      <c r="AX21" s="361"/>
      <c r="AY21" s="361"/>
      <c r="AZ21" s="361"/>
      <c r="BA21" s="361"/>
      <c r="BB21" s="361"/>
      <c r="BC21" s="361"/>
      <c r="BD21" s="361"/>
      <c r="BE21" s="361"/>
      <c r="BF21" s="361"/>
      <c r="BG21" s="361"/>
      <c r="BH21" s="361"/>
      <c r="BI21" s="361"/>
    </row>
    <row r="22" spans="1:61" ht="15.75" customHeight="1" x14ac:dyDescent="0.25">
      <c r="A22" s="361"/>
      <c r="B22" s="828"/>
      <c r="C22" s="826"/>
      <c r="D22" s="830"/>
      <c r="E22" s="831" t="s">
        <v>7</v>
      </c>
      <c r="F22" s="832"/>
      <c r="G22" s="832"/>
      <c r="H22" s="832"/>
      <c r="I22" s="833"/>
      <c r="J22" s="854" t="str" cm="1">
        <f t="array" ref="J22">IF(AND('Matriz riesgos de gestión'!M29:M34="Muy Alta",'Matriz riesgos de gestión'!Q29:Q34="Leve"),CONCATENATE("R",'Matriz riesgos de gestión'!$A$4),"")</f>
        <v/>
      </c>
      <c r="K22" s="855"/>
      <c r="L22" s="855" t="str">
        <f>IF(AND('[3]Mapa de procesos'!$L$10="Media",'[3]Mapa de procesos'!$P$10="Leve"),CONCATENATE("R",'[3]Mapa de procesos'!$A$10),"")</f>
        <v/>
      </c>
      <c r="M22" s="832"/>
      <c r="N22" s="855" t="str">
        <f>IF(AND('[3]Mapa de procesos'!$L$16="Media",'[3]Mapa de procesos'!$P$16="Leve"),CONCATENATE("R",'[3]Mapa de procesos'!$A$16),"")</f>
        <v/>
      </c>
      <c r="O22" s="833"/>
      <c r="P22" s="854" t="str">
        <f>IF(AND('[3]Mapa de procesos'!$L$4="Media",'[3]Mapa de procesos'!$P$4="Menor"),CONCATENATE("R",'[3]Mapa de procesos'!$A$4),"")</f>
        <v/>
      </c>
      <c r="Q22" s="832"/>
      <c r="R22" s="855" t="str">
        <f>IF(AND('[3]Mapa de procesos'!$L$10="Media",'[3]Mapa de procesos'!$P$10="Menor"),CONCATENATE("R",'[3]Mapa de procesos'!$A$10),"")</f>
        <v/>
      </c>
      <c r="S22" s="832"/>
      <c r="T22" s="855" t="str">
        <f>IF(AND('[3]Mapa de procesos'!$L$16="Media",'[3]Mapa de procesos'!$P$16="Menor"),CONCATENATE("R",'[3]Mapa de procesos'!$A$16),"")</f>
        <v/>
      </c>
      <c r="U22" s="833"/>
      <c r="V22" s="854" t="str">
        <f>IF(AND('[3]Mapa de procesos'!$L$4="Media",'[3]Mapa de procesos'!$P$4="Moderado"),CONCATENATE("R",'[3]Mapa de procesos'!$A$4),"")</f>
        <v/>
      </c>
      <c r="W22" s="832"/>
      <c r="X22" s="855" t="str">
        <f>IF(AND('[3]Mapa de procesos'!$L$10="Media",'[3]Mapa de procesos'!$P$10="Moderado"),CONCATENATE("R",'[3]Mapa de procesos'!$A$10),"")</f>
        <v/>
      </c>
      <c r="Y22" s="832"/>
      <c r="Z22" s="855" t="str">
        <f>IF(AND('[3]Mapa de procesos'!$L$16="Media",'[3]Mapa de procesos'!$P$16="Moderado"),CONCATENATE("R",'[3]Mapa de procesos'!$A$16),"")</f>
        <v/>
      </c>
      <c r="AA22" s="833"/>
      <c r="AB22" s="838" t="str">
        <f>IF(AND('[3]Mapa de procesos'!$L$4="Media",'[3]Mapa de procesos'!$P$4="Mayor"),CONCATENATE("R",'[3]Mapa de procesos'!$A$4),"")</f>
        <v/>
      </c>
      <c r="AC22" s="832"/>
      <c r="AD22" s="839" t="str">
        <f>IF(AND('[3]Mapa de procesos'!$L$10="Media",'[3]Mapa de procesos'!$P$10="Mayor"),CONCATENATE("R",'[3]Mapa de procesos'!$A$10),"")</f>
        <v/>
      </c>
      <c r="AE22" s="832"/>
      <c r="AF22" s="839" t="str">
        <f>IF(AND('[3]Mapa de procesos'!$L$16="Media",'[3]Mapa de procesos'!$P$16="Mayor"),CONCATENATE("R",'[3]Mapa de procesos'!$A$16),"")</f>
        <v/>
      </c>
      <c r="AG22" s="833"/>
      <c r="AH22" s="840" t="str">
        <f>IF(AND('[3]Mapa de procesos'!$L$4="Media",'[3]Mapa de procesos'!$P$4="Catastrófico"),CONCATENATE("R",'[3]Mapa de procesos'!$A$4),"")</f>
        <v/>
      </c>
      <c r="AI22" s="832"/>
      <c r="AJ22" s="841" t="str">
        <f>IF(AND('[3]Mapa de procesos'!$L$10="Media",'[3]Mapa de procesos'!$P$10="Catastrófico"),CONCATENATE("R",'[3]Mapa de procesos'!$A$10),"")</f>
        <v/>
      </c>
      <c r="AK22" s="832"/>
      <c r="AL22" s="841" t="str">
        <f>IF(AND('[3]Mapa de procesos'!$L$16="Media",'[3]Mapa de procesos'!$P$16="Catastrófico"),CONCATENATE("R",'[3]Mapa de procesos'!$A$16),"")</f>
        <v/>
      </c>
      <c r="AM22" s="833"/>
      <c r="AN22" s="361"/>
      <c r="AO22" s="859" t="s">
        <v>8</v>
      </c>
      <c r="AP22" s="846"/>
      <c r="AQ22" s="846"/>
      <c r="AR22" s="846"/>
      <c r="AS22" s="846"/>
      <c r="AT22" s="847"/>
      <c r="AU22" s="361"/>
      <c r="AV22" s="361"/>
      <c r="AW22" s="361"/>
      <c r="AX22" s="361"/>
      <c r="AY22" s="361"/>
      <c r="AZ22" s="361"/>
      <c r="BA22" s="361"/>
      <c r="BB22" s="361"/>
      <c r="BC22" s="361"/>
      <c r="BD22" s="361"/>
      <c r="BE22" s="361"/>
      <c r="BF22" s="361"/>
      <c r="BG22" s="361"/>
      <c r="BH22" s="361"/>
      <c r="BI22" s="361"/>
    </row>
    <row r="23" spans="1:61" ht="15.75" customHeight="1" x14ac:dyDescent="0.25">
      <c r="A23" s="361"/>
      <c r="B23" s="828"/>
      <c r="C23" s="826"/>
      <c r="D23" s="830"/>
      <c r="E23" s="834"/>
      <c r="F23" s="826"/>
      <c r="G23" s="826"/>
      <c r="H23" s="826"/>
      <c r="I23" s="830"/>
      <c r="J23" s="856"/>
      <c r="K23" s="857"/>
      <c r="L23" s="828"/>
      <c r="M23" s="828"/>
      <c r="N23" s="828"/>
      <c r="O23" s="830"/>
      <c r="P23" s="834"/>
      <c r="Q23" s="828"/>
      <c r="R23" s="828"/>
      <c r="S23" s="828"/>
      <c r="T23" s="828"/>
      <c r="U23" s="830"/>
      <c r="V23" s="834"/>
      <c r="W23" s="828"/>
      <c r="X23" s="828"/>
      <c r="Y23" s="828"/>
      <c r="Z23" s="828"/>
      <c r="AA23" s="830"/>
      <c r="AB23" s="834"/>
      <c r="AC23" s="828"/>
      <c r="AD23" s="828"/>
      <c r="AE23" s="828"/>
      <c r="AF23" s="828"/>
      <c r="AG23" s="830"/>
      <c r="AH23" s="834"/>
      <c r="AI23" s="828"/>
      <c r="AJ23" s="828"/>
      <c r="AK23" s="828"/>
      <c r="AL23" s="828"/>
      <c r="AM23" s="830"/>
      <c r="AN23" s="361"/>
      <c r="AO23" s="848"/>
      <c r="AP23" s="826"/>
      <c r="AQ23" s="826"/>
      <c r="AR23" s="826"/>
      <c r="AS23" s="826"/>
      <c r="AT23" s="849"/>
      <c r="AU23" s="361"/>
      <c r="AV23" s="361"/>
      <c r="AW23" s="361"/>
      <c r="AX23" s="361"/>
      <c r="AY23" s="361"/>
      <c r="AZ23" s="361"/>
      <c r="BA23" s="361"/>
      <c r="BB23" s="361"/>
      <c r="BC23" s="361"/>
      <c r="BD23" s="361"/>
      <c r="BE23" s="361"/>
      <c r="BF23" s="361"/>
      <c r="BG23" s="361"/>
      <c r="BH23" s="361"/>
      <c r="BI23" s="361"/>
    </row>
    <row r="24" spans="1:61" ht="15.75" customHeight="1" x14ac:dyDescent="0.25">
      <c r="A24" s="361"/>
      <c r="B24" s="828"/>
      <c r="C24" s="826"/>
      <c r="D24" s="830"/>
      <c r="E24" s="834"/>
      <c r="F24" s="826"/>
      <c r="G24" s="826"/>
      <c r="H24" s="826"/>
      <c r="I24" s="830"/>
      <c r="J24" s="856" t="str">
        <f>IF(AND('[3]Mapa de procesos'!$L$22="Media",'[3]Mapa de procesos'!$P$22="Leve"),CONCATENATE("R",'[3]Mapa de procesos'!$A$22),"")</f>
        <v/>
      </c>
      <c r="K24" s="828"/>
      <c r="L24" s="857" t="str">
        <f>IF(AND('[3]Mapa de procesos'!$L$28="Media",'[3]Mapa de procesos'!$P$28="Leve"),CONCATENATE("R",'[3]Mapa de procesos'!$A$28),"")</f>
        <v/>
      </c>
      <c r="M24" s="828"/>
      <c r="N24" s="857" t="str">
        <f>IF(AND('[3]Mapa de procesos'!$L$34="Media",'[3]Mapa de procesos'!$P$34="Leve"),CONCATENATE("R",'[3]Mapa de procesos'!$A$34),"")</f>
        <v/>
      </c>
      <c r="O24" s="830"/>
      <c r="P24" s="856" t="str">
        <f>IF(AND('[3]Mapa de procesos'!$L$22="Media",'[3]Mapa de procesos'!$P$22="Menor"),CONCATENATE("R",'[3]Mapa de procesos'!$A$22),"")</f>
        <v/>
      </c>
      <c r="Q24" s="828"/>
      <c r="R24" s="857" t="str">
        <f>IF(AND('[3]Mapa de procesos'!$L$28="Media",'[3]Mapa de procesos'!$P$28="Menor"),CONCATENATE("R",'[3]Mapa de procesos'!$A$28),"")</f>
        <v/>
      </c>
      <c r="S24" s="828"/>
      <c r="T24" s="857" t="str">
        <f>IF(AND('[3]Mapa de procesos'!$L$34="Media",'[3]Mapa de procesos'!$P$34="Menor"),CONCATENATE("R",'[3]Mapa de procesos'!$A$34),"")</f>
        <v/>
      </c>
      <c r="U24" s="830"/>
      <c r="V24" s="856" t="str">
        <f>IF(AND('[3]Mapa de procesos'!$L$22="Media",'[3]Mapa de procesos'!$P$22="Moderado"),CONCATENATE("R",'[3]Mapa de procesos'!$A$22),"")</f>
        <v/>
      </c>
      <c r="W24" s="828"/>
      <c r="X24" s="857" t="str">
        <f>IF(AND('[3]Mapa de procesos'!$L$28="Media",'[3]Mapa de procesos'!$P$28="Moderado"),CONCATENATE("R",'[3]Mapa de procesos'!$A$28),"")</f>
        <v/>
      </c>
      <c r="Y24" s="828"/>
      <c r="Z24" s="857" t="str">
        <f>IF(AND('[3]Mapa de procesos'!$L$34="Media",'[3]Mapa de procesos'!$P$34="Moderado"),CONCATENATE("R",'[3]Mapa de procesos'!$A$34),"")</f>
        <v/>
      </c>
      <c r="AA24" s="830"/>
      <c r="AB24" s="843" t="str">
        <f>IF(AND('[3]Mapa de procesos'!$L$22="Media",'[3]Mapa de procesos'!$P$22="Mayor"),CONCATENATE("R",'[3]Mapa de procesos'!$A$22),"")</f>
        <v/>
      </c>
      <c r="AC24" s="828"/>
      <c r="AD24" s="842" t="str">
        <f>IF(AND('[3]Mapa de procesos'!$L$28="Media",'[3]Mapa de procesos'!$P$28="Mayor"),CONCATENATE("R",'[3]Mapa de procesos'!$A$28),"")</f>
        <v/>
      </c>
      <c r="AE24" s="828"/>
      <c r="AF24" s="842" t="str">
        <f>IF(AND('[3]Mapa de procesos'!$L$34="Media",'[3]Mapa de procesos'!$P$34="Mayor"),CONCATENATE("R",'[3]Mapa de procesos'!$A$34),"")</f>
        <v/>
      </c>
      <c r="AG24" s="830"/>
      <c r="AH24" s="853" t="str">
        <f>IF(AND('[3]Mapa de procesos'!$L$22="Media",'[3]Mapa de procesos'!$P$22="Catastrófico"),CONCATENATE("R",'[3]Mapa de procesos'!$A$22),"")</f>
        <v/>
      </c>
      <c r="AI24" s="828"/>
      <c r="AJ24" s="844" t="str">
        <f>IF(AND('[3]Mapa de procesos'!$L$28="Media",'[3]Mapa de procesos'!$P$28="Catastrófico"),CONCATENATE("R",'[3]Mapa de procesos'!$A$28),"")</f>
        <v/>
      </c>
      <c r="AK24" s="828"/>
      <c r="AL24" s="844" t="str">
        <f>IF(AND('[3]Mapa de procesos'!$L$34="Media",'[3]Mapa de procesos'!$P$34="Catastrófico"),CONCATENATE("R",'[3]Mapa de procesos'!$A$34),"")</f>
        <v/>
      </c>
      <c r="AM24" s="830"/>
      <c r="AN24" s="361"/>
      <c r="AO24" s="848"/>
      <c r="AP24" s="826"/>
      <c r="AQ24" s="826"/>
      <c r="AR24" s="826"/>
      <c r="AS24" s="826"/>
      <c r="AT24" s="849"/>
      <c r="AU24" s="361"/>
      <c r="AV24" s="361"/>
      <c r="AW24" s="361"/>
      <c r="AX24" s="361"/>
      <c r="AY24" s="361"/>
      <c r="AZ24" s="361"/>
      <c r="BA24" s="361"/>
      <c r="BB24" s="361"/>
      <c r="BC24" s="361"/>
      <c r="BD24" s="361"/>
      <c r="BE24" s="361"/>
      <c r="BF24" s="361"/>
      <c r="BG24" s="361"/>
      <c r="BH24" s="361"/>
      <c r="BI24" s="361"/>
    </row>
    <row r="25" spans="1:61" ht="15.75" customHeight="1" x14ac:dyDescent="0.25">
      <c r="A25" s="361"/>
      <c r="B25" s="828"/>
      <c r="C25" s="826"/>
      <c r="D25" s="830"/>
      <c r="E25" s="834"/>
      <c r="F25" s="826"/>
      <c r="G25" s="826"/>
      <c r="H25" s="826"/>
      <c r="I25" s="830"/>
      <c r="J25" s="834"/>
      <c r="K25" s="828"/>
      <c r="L25" s="828"/>
      <c r="M25" s="828"/>
      <c r="N25" s="828"/>
      <c r="O25" s="830"/>
      <c r="P25" s="834"/>
      <c r="Q25" s="828"/>
      <c r="R25" s="828"/>
      <c r="S25" s="828"/>
      <c r="T25" s="828"/>
      <c r="U25" s="830"/>
      <c r="V25" s="834"/>
      <c r="W25" s="828"/>
      <c r="X25" s="828"/>
      <c r="Y25" s="828"/>
      <c r="Z25" s="828"/>
      <c r="AA25" s="830"/>
      <c r="AB25" s="834"/>
      <c r="AC25" s="828"/>
      <c r="AD25" s="828"/>
      <c r="AE25" s="828"/>
      <c r="AF25" s="828"/>
      <c r="AG25" s="830"/>
      <c r="AH25" s="834"/>
      <c r="AI25" s="828"/>
      <c r="AJ25" s="828"/>
      <c r="AK25" s="828"/>
      <c r="AL25" s="828"/>
      <c r="AM25" s="830"/>
      <c r="AN25" s="361"/>
      <c r="AO25" s="848"/>
      <c r="AP25" s="826"/>
      <c r="AQ25" s="826"/>
      <c r="AR25" s="826"/>
      <c r="AS25" s="826"/>
      <c r="AT25" s="849"/>
      <c r="AU25" s="361"/>
      <c r="AV25" s="361"/>
      <c r="AW25" s="361"/>
      <c r="AX25" s="361"/>
      <c r="AY25" s="361"/>
      <c r="AZ25" s="361"/>
      <c r="BA25" s="361"/>
      <c r="BB25" s="361"/>
      <c r="BC25" s="361"/>
      <c r="BD25" s="361"/>
      <c r="BE25" s="361"/>
      <c r="BF25" s="361"/>
      <c r="BG25" s="361"/>
      <c r="BH25" s="361"/>
      <c r="BI25" s="361"/>
    </row>
    <row r="26" spans="1:61" ht="15.75" customHeight="1" x14ac:dyDescent="0.25">
      <c r="A26" s="361"/>
      <c r="B26" s="828"/>
      <c r="C26" s="826"/>
      <c r="D26" s="830"/>
      <c r="E26" s="834"/>
      <c r="F26" s="826"/>
      <c r="G26" s="826"/>
      <c r="H26" s="826"/>
      <c r="I26" s="830"/>
      <c r="J26" s="856" t="str">
        <f>IF(AND('[3]Mapa de procesos'!$L$40="Media",'[3]Mapa de procesos'!$P$40="Leve"),CONCATENATE("R",'[3]Mapa de procesos'!$A$40),"")</f>
        <v/>
      </c>
      <c r="K26" s="828"/>
      <c r="L26" s="857" t="str">
        <f>IF(AND('[3]Mapa de procesos'!$L$46="Media",'[3]Mapa de procesos'!$P$46="Leve"),CONCATENATE("R",'[3]Mapa de procesos'!$A$46),"")</f>
        <v/>
      </c>
      <c r="M26" s="828"/>
      <c r="N26" s="857" t="str">
        <f>IF(AND('[3]Mapa de procesos'!$L$52="Media",'[3]Mapa de procesos'!$P$52="Leve"),CONCATENATE("R",'[3]Mapa de procesos'!$A$52),"")</f>
        <v/>
      </c>
      <c r="O26" s="830"/>
      <c r="P26" s="856" t="str">
        <f>IF(AND('[3]Mapa de procesos'!$L$40="Media",'[3]Mapa de procesos'!$P$40="Menor"),CONCATENATE("R",'[3]Mapa de procesos'!$A$40),"")</f>
        <v/>
      </c>
      <c r="Q26" s="828"/>
      <c r="R26" s="857" t="str">
        <f>IF(AND('[3]Mapa de procesos'!$L$46="Media",'[3]Mapa de procesos'!$P$46="Menor"),CONCATENATE("R",'[3]Mapa de procesos'!$A$46),"")</f>
        <v/>
      </c>
      <c r="S26" s="828"/>
      <c r="T26" s="857" t="str">
        <f>IF(AND('[3]Mapa de procesos'!$L$52="Media",'[3]Mapa de procesos'!$P$52="Menor"),CONCATENATE("R",'[3]Mapa de procesos'!$A$52),"")</f>
        <v/>
      </c>
      <c r="U26" s="830"/>
      <c r="V26" s="856" t="str">
        <f>IF(AND('[3]Mapa de procesos'!$L$40="Media",'[3]Mapa de procesos'!$P$40="Moderado"),CONCATENATE("R",'[3]Mapa de procesos'!$A$40),"")</f>
        <v/>
      </c>
      <c r="W26" s="828"/>
      <c r="X26" s="857" t="str">
        <f>IF(AND('[3]Mapa de procesos'!$L$46="Media",'[3]Mapa de procesos'!$P$46="Moderado"),CONCATENATE("R",'[3]Mapa de procesos'!$A$46),"")</f>
        <v/>
      </c>
      <c r="Y26" s="828"/>
      <c r="Z26" s="857" t="str">
        <f>IF(AND('[3]Mapa de procesos'!$L$52="Media",'[3]Mapa de procesos'!$P$52="Moderado"),CONCATENATE("R",'[3]Mapa de procesos'!$A$52),"")</f>
        <v/>
      </c>
      <c r="AA26" s="830"/>
      <c r="AB26" s="843" t="str">
        <f>IF(AND('[3]Mapa de procesos'!$L$40="Media",'[3]Mapa de procesos'!$P$40="Mayor"),CONCATENATE("R",'[3]Mapa de procesos'!$A$40),"")</f>
        <v/>
      </c>
      <c r="AC26" s="828"/>
      <c r="AD26" s="842" t="str">
        <f>IF(AND('[3]Mapa de procesos'!$L$46="Media",'[3]Mapa de procesos'!$P$46="Mayor"),CONCATENATE("R",'[3]Mapa de procesos'!$A$46),"")</f>
        <v/>
      </c>
      <c r="AE26" s="828"/>
      <c r="AF26" s="842" t="str">
        <f>IF(AND('[3]Mapa de procesos'!$L$52="Media",'[3]Mapa de procesos'!$P$52="Mayor"),CONCATENATE("R",'[3]Mapa de procesos'!$A$52),"")</f>
        <v/>
      </c>
      <c r="AG26" s="830"/>
      <c r="AH26" s="853" t="str">
        <f>IF(AND('[3]Mapa de procesos'!$L$40="Media",'[3]Mapa de procesos'!$P$40="Catastrófico"),CONCATENATE("R",'[3]Mapa de procesos'!$A$40),"")</f>
        <v/>
      </c>
      <c r="AI26" s="828"/>
      <c r="AJ26" s="844" t="str">
        <f>IF(AND('[3]Mapa de procesos'!$L$46="Media",'[3]Mapa de procesos'!$P$46="Catastrófico"),CONCATENATE("R",'[3]Mapa de procesos'!$A$46),"")</f>
        <v/>
      </c>
      <c r="AK26" s="828"/>
      <c r="AL26" s="844" t="str">
        <f>IF(AND('[3]Mapa de procesos'!$L$52="Media",'[3]Mapa de procesos'!$P$52="Catastrófico"),CONCATENATE("R",'[3]Mapa de procesos'!$A$52),"")</f>
        <v/>
      </c>
      <c r="AM26" s="830"/>
      <c r="AN26" s="361"/>
      <c r="AO26" s="848"/>
      <c r="AP26" s="826"/>
      <c r="AQ26" s="826"/>
      <c r="AR26" s="826"/>
      <c r="AS26" s="826"/>
      <c r="AT26" s="849"/>
      <c r="AU26" s="361"/>
      <c r="AV26" s="361"/>
      <c r="AW26" s="361"/>
      <c r="AX26" s="361"/>
      <c r="AY26" s="361"/>
      <c r="AZ26" s="361"/>
      <c r="BA26" s="361"/>
      <c r="BB26" s="361"/>
      <c r="BC26" s="361"/>
      <c r="BD26" s="361"/>
      <c r="BE26" s="361"/>
      <c r="BF26" s="361"/>
      <c r="BG26" s="361"/>
      <c r="BH26" s="361"/>
      <c r="BI26" s="361"/>
    </row>
    <row r="27" spans="1:61" ht="15.75" customHeight="1" x14ac:dyDescent="0.25">
      <c r="A27" s="361"/>
      <c r="B27" s="828"/>
      <c r="C27" s="826"/>
      <c r="D27" s="830"/>
      <c r="E27" s="834"/>
      <c r="F27" s="826"/>
      <c r="G27" s="826"/>
      <c r="H27" s="826"/>
      <c r="I27" s="830"/>
      <c r="J27" s="834"/>
      <c r="K27" s="828"/>
      <c r="L27" s="828"/>
      <c r="M27" s="828"/>
      <c r="N27" s="828"/>
      <c r="O27" s="830"/>
      <c r="P27" s="834"/>
      <c r="Q27" s="828"/>
      <c r="R27" s="828"/>
      <c r="S27" s="828"/>
      <c r="T27" s="828"/>
      <c r="U27" s="830"/>
      <c r="V27" s="834"/>
      <c r="W27" s="828"/>
      <c r="X27" s="828"/>
      <c r="Y27" s="828"/>
      <c r="Z27" s="828"/>
      <c r="AA27" s="830"/>
      <c r="AB27" s="834"/>
      <c r="AC27" s="828"/>
      <c r="AD27" s="828"/>
      <c r="AE27" s="828"/>
      <c r="AF27" s="828"/>
      <c r="AG27" s="830"/>
      <c r="AH27" s="834"/>
      <c r="AI27" s="828"/>
      <c r="AJ27" s="828"/>
      <c r="AK27" s="828"/>
      <c r="AL27" s="828"/>
      <c r="AM27" s="830"/>
      <c r="AN27" s="361"/>
      <c r="AO27" s="848"/>
      <c r="AP27" s="826"/>
      <c r="AQ27" s="826"/>
      <c r="AR27" s="826"/>
      <c r="AS27" s="826"/>
      <c r="AT27" s="849"/>
      <c r="AU27" s="361"/>
      <c r="AV27" s="361"/>
      <c r="AW27" s="361"/>
      <c r="AX27" s="361"/>
      <c r="AY27" s="361"/>
      <c r="AZ27" s="361"/>
      <c r="BA27" s="361"/>
      <c r="BB27" s="361"/>
      <c r="BC27" s="361"/>
      <c r="BD27" s="361"/>
      <c r="BE27" s="361"/>
      <c r="BF27" s="361"/>
      <c r="BG27" s="361"/>
      <c r="BH27" s="361"/>
      <c r="BI27" s="361"/>
    </row>
    <row r="28" spans="1:61" ht="15.75" customHeight="1" x14ac:dyDescent="0.25">
      <c r="A28" s="361"/>
      <c r="B28" s="828"/>
      <c r="C28" s="826"/>
      <c r="D28" s="830"/>
      <c r="E28" s="834"/>
      <c r="F28" s="826"/>
      <c r="G28" s="826"/>
      <c r="H28" s="826"/>
      <c r="I28" s="830"/>
      <c r="J28" s="856" t="str">
        <f>IF(AND('[3]Mapa de procesos'!$L$58="Media",'[3]Mapa de procesos'!$P$58="Leve"),CONCATENATE("R",'[3]Mapa de procesos'!$A$58),"")</f>
        <v/>
      </c>
      <c r="K28" s="828"/>
      <c r="L28" s="857" t="str">
        <f>IF(AND('[3]Mapa de procesos'!$M$1040="Media",'[3]Mapa de procesos'!$Q$1040="Leve"),CONCATENATE("R",'[3]Mapa de procesos'!$A$64),"")</f>
        <v/>
      </c>
      <c r="M28" s="828"/>
      <c r="N28" s="857" t="str">
        <f>IF(AND('[3]Mapa de procesos'!$L$70="Media",'[3]Mapa de procesos'!$P$70="Leve"),CONCATENATE("R",'[3]Mapa de procesos'!$A$70),"")</f>
        <v/>
      </c>
      <c r="O28" s="830"/>
      <c r="P28" s="856" t="str">
        <f>IF(AND('[3]Mapa de procesos'!$L$58="Media",'[3]Mapa de procesos'!$P$58="Menor"),CONCATENATE("R",'[3]Mapa de procesos'!$A$58),"")</f>
        <v/>
      </c>
      <c r="Q28" s="828"/>
      <c r="R28" s="857" t="str">
        <f>IF(AND('[3]Mapa de procesos'!$M$1040="Media",'[3]Mapa de procesos'!$Q$1040="Menor"),CONCATENATE("R",'[3]Mapa de procesos'!$A$64),"")</f>
        <v/>
      </c>
      <c r="S28" s="828"/>
      <c r="T28" s="857" t="str">
        <f>IF(AND('[3]Mapa de procesos'!$L$70="Media",'[3]Mapa de procesos'!$P$70="Menor"),CONCATENATE("R",'[3]Mapa de procesos'!$A$70),"")</f>
        <v/>
      </c>
      <c r="U28" s="830"/>
      <c r="V28" s="856" t="str">
        <f>IF(AND('[3]Mapa de procesos'!$L$58="Media",'[3]Mapa de procesos'!$P$58="Moderado"),CONCATENATE("R",'[3]Mapa de procesos'!$A$58),"")</f>
        <v/>
      </c>
      <c r="W28" s="828"/>
      <c r="X28" s="857" t="str">
        <f>IF(AND('[3]Mapa de procesos'!$M$1040="Media",'[3]Mapa de procesos'!$Q$1040="Moderado"),CONCATENATE("R",'[3]Mapa de procesos'!$A$64),"")</f>
        <v/>
      </c>
      <c r="Y28" s="828"/>
      <c r="Z28" s="857" t="str">
        <f>IF(AND('[3]Mapa de procesos'!$L$70="Media",'[3]Mapa de procesos'!$P$70="Moderado"),CONCATENATE("R",'[3]Mapa de procesos'!$A$70),"")</f>
        <v/>
      </c>
      <c r="AA28" s="830"/>
      <c r="AB28" s="843" t="str">
        <f>IF(AND('[3]Mapa de procesos'!$L$58="Media",'[3]Mapa de procesos'!$P$58="Mayor"),CONCATENATE("R",'[3]Mapa de procesos'!$A$58),"")</f>
        <v/>
      </c>
      <c r="AC28" s="828"/>
      <c r="AD28" s="842" t="str">
        <f>IF(AND('[3]Mapa de procesos'!$M$1040="Media",'[3]Mapa de procesos'!$Q$1040="Mayor"),CONCATENATE("R",'[3]Mapa de procesos'!$A$64),"")</f>
        <v/>
      </c>
      <c r="AE28" s="828"/>
      <c r="AF28" s="842" t="str">
        <f>IF(AND('[3]Mapa de procesos'!$L$70="Media",'[3]Mapa de procesos'!$P$70="Mayor"),CONCATENATE("R",'[3]Mapa de procesos'!$A$70),"")</f>
        <v/>
      </c>
      <c r="AG28" s="830"/>
      <c r="AH28" s="853" t="str">
        <f>IF(AND('[3]Mapa de procesos'!$L$58="Media",'[3]Mapa de procesos'!$P$58="Catastrófico"),CONCATENATE("R",'[3]Mapa de procesos'!$A$58),"")</f>
        <v/>
      </c>
      <c r="AI28" s="828"/>
      <c r="AJ28" s="844" t="str">
        <f>IF(AND('[3]Mapa de procesos'!$M$1040="Media",'[3]Mapa de procesos'!$Q$1040="Catastrófico"),CONCATENATE("R",'[3]Mapa de procesos'!$A$64),"")</f>
        <v/>
      </c>
      <c r="AK28" s="828"/>
      <c r="AL28" s="844" t="str">
        <f>IF(AND('[3]Mapa de procesos'!$L$70="Media",'[3]Mapa de procesos'!$P$70="Catastrófico"),CONCATENATE("R",'[3]Mapa de procesos'!$A$70),"")</f>
        <v/>
      </c>
      <c r="AM28" s="830"/>
      <c r="AN28" s="361"/>
      <c r="AO28" s="848"/>
      <c r="AP28" s="826"/>
      <c r="AQ28" s="826"/>
      <c r="AR28" s="826"/>
      <c r="AS28" s="826"/>
      <c r="AT28" s="849"/>
      <c r="AU28" s="361"/>
      <c r="AV28" s="361"/>
      <c r="AW28" s="361"/>
      <c r="AX28" s="361"/>
      <c r="AY28" s="361"/>
      <c r="AZ28" s="361"/>
      <c r="BA28" s="361"/>
      <c r="BB28" s="361"/>
      <c r="BC28" s="361"/>
      <c r="BD28" s="361"/>
      <c r="BE28" s="361"/>
      <c r="BF28" s="361"/>
      <c r="BG28" s="361"/>
      <c r="BH28" s="361"/>
      <c r="BI28" s="361"/>
    </row>
    <row r="29" spans="1:61" ht="15.75" customHeight="1" thickBot="1" x14ac:dyDescent="0.3">
      <c r="A29" s="361"/>
      <c r="B29" s="828"/>
      <c r="C29" s="826"/>
      <c r="D29" s="830"/>
      <c r="E29" s="835"/>
      <c r="F29" s="836"/>
      <c r="G29" s="836"/>
      <c r="H29" s="836"/>
      <c r="I29" s="837"/>
      <c r="J29" s="834"/>
      <c r="K29" s="828"/>
      <c r="L29" s="828"/>
      <c r="M29" s="828"/>
      <c r="N29" s="828"/>
      <c r="O29" s="830"/>
      <c r="P29" s="835"/>
      <c r="Q29" s="836"/>
      <c r="R29" s="836"/>
      <c r="S29" s="836"/>
      <c r="T29" s="836"/>
      <c r="U29" s="837"/>
      <c r="V29" s="835"/>
      <c r="W29" s="836"/>
      <c r="X29" s="836"/>
      <c r="Y29" s="836"/>
      <c r="Z29" s="836"/>
      <c r="AA29" s="837"/>
      <c r="AB29" s="835"/>
      <c r="AC29" s="836"/>
      <c r="AD29" s="836"/>
      <c r="AE29" s="836"/>
      <c r="AF29" s="836"/>
      <c r="AG29" s="837"/>
      <c r="AH29" s="835"/>
      <c r="AI29" s="836"/>
      <c r="AJ29" s="836"/>
      <c r="AK29" s="836"/>
      <c r="AL29" s="836"/>
      <c r="AM29" s="837"/>
      <c r="AN29" s="361"/>
      <c r="AO29" s="850"/>
      <c r="AP29" s="851"/>
      <c r="AQ29" s="851"/>
      <c r="AR29" s="851"/>
      <c r="AS29" s="851"/>
      <c r="AT29" s="852"/>
      <c r="AU29" s="361"/>
      <c r="AV29" s="361"/>
      <c r="AW29" s="361"/>
      <c r="AX29" s="361"/>
      <c r="AY29" s="361"/>
      <c r="AZ29" s="361"/>
      <c r="BA29" s="361"/>
      <c r="BB29" s="361"/>
      <c r="BC29" s="361"/>
      <c r="BD29" s="361"/>
      <c r="BE29" s="361"/>
      <c r="BF29" s="361"/>
      <c r="BG29" s="361"/>
      <c r="BH29" s="361"/>
      <c r="BI29" s="361"/>
    </row>
    <row r="30" spans="1:61" ht="15.75" customHeight="1" x14ac:dyDescent="0.25">
      <c r="A30" s="361"/>
      <c r="B30" s="828"/>
      <c r="C30" s="826"/>
      <c r="D30" s="830"/>
      <c r="E30" s="831" t="s">
        <v>9</v>
      </c>
      <c r="F30" s="832"/>
      <c r="G30" s="832"/>
      <c r="H30" s="832"/>
      <c r="I30" s="832"/>
      <c r="J30" s="860" t="str" cm="1">
        <f t="array" ref="J30">IF(AND('Matriz riesgos de gestión'!M37:M42="Muy Alta",'Matriz riesgos de gestión'!Q37:Q42="Leve"),CONCATENATE("R",'Matriz riesgos de gestión'!$A$4),"")</f>
        <v/>
      </c>
      <c r="K30" s="832"/>
      <c r="L30" s="861" t="str">
        <f>IF(AND('[3]Mapa de procesos'!$L$10="Baja",'[3]Mapa de procesos'!$P$10="Leve"),CONCATENATE("R",'[3]Mapa de procesos'!$A$10),"")</f>
        <v/>
      </c>
      <c r="M30" s="832"/>
      <c r="N30" s="861" t="str">
        <f>IF(AND('[3]Mapa de procesos'!$L$16="Baja",'[3]Mapa de procesos'!$P$16="Leve"),CONCATENATE("R",'[3]Mapa de procesos'!$A$16),"")</f>
        <v/>
      </c>
      <c r="O30" s="833"/>
      <c r="P30" s="855" t="str">
        <f>IF(AND('[3]Mapa de procesos'!$L$4="Baja",'[3]Mapa de procesos'!$P$4="Menor"),CONCATENATE("R",'[3]Mapa de procesos'!$A$4),"")</f>
        <v/>
      </c>
      <c r="Q30" s="832"/>
      <c r="R30" s="855" t="str">
        <f>IF(AND('[3]Mapa de procesos'!$L$10="Baja",'[3]Mapa de procesos'!$P$10="Menor"),CONCATENATE("R",'[3]Mapa de procesos'!$A$10),"")</f>
        <v/>
      </c>
      <c r="S30" s="832"/>
      <c r="T30" s="855" t="str">
        <f>IF(AND('[3]Mapa de procesos'!$L$16="Baja",'[3]Mapa de procesos'!$P$16="Menor"),CONCATENATE("R",'[3]Mapa de procesos'!$A$16),"")</f>
        <v/>
      </c>
      <c r="U30" s="833"/>
      <c r="V30" s="854" t="str">
        <f>IF(AND('[3]Mapa de procesos'!$L$4="Baja",'[3]Mapa de procesos'!$P$4="Moderado"),CONCATENATE("R",'[3]Mapa de procesos'!$A$4),"")</f>
        <v/>
      </c>
      <c r="W30" s="832"/>
      <c r="X30" s="855" t="str">
        <f>IF(AND('[3]Mapa de procesos'!$L$10="Baja",'[3]Mapa de procesos'!$P$10="Moderado"),CONCATENATE("R",'[3]Mapa de procesos'!$A$10),"")</f>
        <v/>
      </c>
      <c r="Y30" s="832"/>
      <c r="Z30" s="855" t="str">
        <f>IF(AND('[3]Mapa de procesos'!$L$16="Baja",'[3]Mapa de procesos'!$P$16="Moderado"),CONCATENATE("R",'[3]Mapa de procesos'!$A$16),"")</f>
        <v/>
      </c>
      <c r="AA30" s="833"/>
      <c r="AB30" s="838" t="str">
        <f>IF(AND('[3]Mapa de procesos'!$L$4="Baja",'[3]Mapa de procesos'!$P$4="Mayor"),CONCATENATE("R",'[3]Mapa de procesos'!$A$4),"")</f>
        <v/>
      </c>
      <c r="AC30" s="832"/>
      <c r="AD30" s="839" t="str">
        <f>IF(AND('[3]Mapa de procesos'!$L$10="Baja",'[3]Mapa de procesos'!$P$10="Mayor"),CONCATENATE("R",'[3]Mapa de procesos'!$A$10),"")</f>
        <v/>
      </c>
      <c r="AE30" s="832"/>
      <c r="AF30" s="839" t="str">
        <f>IF(AND('[3]Mapa de procesos'!$L$16="Baja",'[3]Mapa de procesos'!$P$16="Mayor"),CONCATENATE("R",'[3]Mapa de procesos'!$A$16),"")</f>
        <v/>
      </c>
      <c r="AG30" s="833"/>
      <c r="AH30" s="840" t="str">
        <f>IF(AND('[3]Mapa de procesos'!$L$4="Baja",'[3]Mapa de procesos'!$P$4="Catastrófico"),CONCATENATE("R",'[3]Mapa de procesos'!$A$4),"")</f>
        <v/>
      </c>
      <c r="AI30" s="832"/>
      <c r="AJ30" s="841" t="str">
        <f>IF(AND('[3]Mapa de procesos'!$L$10="Baja",'[3]Mapa de procesos'!$P$10="Catastrófico"),CONCATENATE("R",'[3]Mapa de procesos'!$A$10),"")</f>
        <v/>
      </c>
      <c r="AK30" s="832"/>
      <c r="AL30" s="841" t="str">
        <f>IF(AND('[3]Mapa de procesos'!$L$16="Baja",'[3]Mapa de procesos'!$P$16="Catastrófico"),CONCATENATE("R",'[3]Mapa de procesos'!$A$16),"")</f>
        <v/>
      </c>
      <c r="AM30" s="833"/>
      <c r="AN30" s="361"/>
      <c r="AO30" s="862" t="s">
        <v>10</v>
      </c>
      <c r="AP30" s="846"/>
      <c r="AQ30" s="846"/>
      <c r="AR30" s="846"/>
      <c r="AS30" s="846"/>
      <c r="AT30" s="847"/>
      <c r="AU30" s="361"/>
      <c r="AV30" s="361"/>
      <c r="AW30" s="361"/>
      <c r="AX30" s="361"/>
      <c r="AY30" s="361"/>
      <c r="AZ30" s="361"/>
      <c r="BA30" s="361"/>
      <c r="BB30" s="361"/>
      <c r="BC30" s="361"/>
      <c r="BD30" s="361"/>
      <c r="BE30" s="361"/>
      <c r="BF30" s="361"/>
      <c r="BG30" s="361"/>
      <c r="BH30" s="361"/>
      <c r="BI30" s="361"/>
    </row>
    <row r="31" spans="1:61" ht="21.75" customHeight="1" x14ac:dyDescent="0.25">
      <c r="A31" s="361"/>
      <c r="B31" s="828"/>
      <c r="C31" s="826"/>
      <c r="D31" s="830"/>
      <c r="E31" s="834"/>
      <c r="F31" s="826"/>
      <c r="G31" s="826"/>
      <c r="H31" s="826"/>
      <c r="I31" s="826"/>
      <c r="J31" s="834"/>
      <c r="K31" s="828"/>
      <c r="L31" s="828"/>
      <c r="M31" s="828"/>
      <c r="N31" s="828"/>
      <c r="O31" s="830"/>
      <c r="P31" s="828"/>
      <c r="Q31" s="828"/>
      <c r="R31" s="828"/>
      <c r="S31" s="828"/>
      <c r="T31" s="828"/>
      <c r="U31" s="830"/>
      <c r="V31" s="834"/>
      <c r="W31" s="828"/>
      <c r="X31" s="828"/>
      <c r="Y31" s="828"/>
      <c r="Z31" s="828"/>
      <c r="AA31" s="830"/>
      <c r="AB31" s="834"/>
      <c r="AC31" s="828"/>
      <c r="AD31" s="828"/>
      <c r="AE31" s="828"/>
      <c r="AF31" s="828"/>
      <c r="AG31" s="830"/>
      <c r="AH31" s="834"/>
      <c r="AI31" s="828"/>
      <c r="AJ31" s="828"/>
      <c r="AK31" s="828"/>
      <c r="AL31" s="828"/>
      <c r="AM31" s="830"/>
      <c r="AN31" s="361"/>
      <c r="AO31" s="848"/>
      <c r="AP31" s="826"/>
      <c r="AQ31" s="826"/>
      <c r="AR31" s="826"/>
      <c r="AS31" s="826"/>
      <c r="AT31" s="849"/>
      <c r="AU31" s="361"/>
      <c r="AV31" s="361"/>
      <c r="AW31" s="361"/>
      <c r="AX31" s="361"/>
      <c r="AY31" s="361"/>
      <c r="AZ31" s="361"/>
      <c r="BA31" s="361"/>
      <c r="BB31" s="361"/>
      <c r="BC31" s="361"/>
      <c r="BD31" s="361"/>
      <c r="BE31" s="361"/>
      <c r="BF31" s="361"/>
      <c r="BG31" s="361"/>
      <c r="BH31" s="361"/>
      <c r="BI31" s="361"/>
    </row>
    <row r="32" spans="1:61" ht="15.75" customHeight="1" x14ac:dyDescent="0.25">
      <c r="A32" s="361"/>
      <c r="B32" s="828"/>
      <c r="C32" s="826"/>
      <c r="D32" s="830"/>
      <c r="E32" s="834"/>
      <c r="F32" s="826"/>
      <c r="G32" s="826"/>
      <c r="H32" s="826"/>
      <c r="I32" s="826"/>
      <c r="J32" s="863" t="str">
        <f>IF(AND('[3]Mapa de procesos'!$L$22="Baja",'[3]Mapa de procesos'!$P$22="Leve"),CONCATENATE("R",'[3]Mapa de procesos'!$A$22),"")</f>
        <v/>
      </c>
      <c r="K32" s="828"/>
      <c r="L32" s="864" t="str">
        <f>IF(AND('[3]Mapa de procesos'!$L$28="Baja",'[3]Mapa de procesos'!$P$28="Leve"),CONCATENATE("R",'[3]Mapa de procesos'!$A$28),"")</f>
        <v/>
      </c>
      <c r="M32" s="828"/>
      <c r="N32" s="864" t="str">
        <f>IF(AND('[3]Mapa de procesos'!$L$34="Baja",'[3]Mapa de procesos'!$P$34="Leve"),CONCATENATE("R",'[3]Mapa de procesos'!$A$34),"")</f>
        <v/>
      </c>
      <c r="O32" s="830"/>
      <c r="P32" s="857" t="str">
        <f>IF(AND('[3]Mapa de procesos'!$L$22="Baja",'[3]Mapa de procesos'!$P$22="Menor"),CONCATENATE("R",'[3]Mapa de procesos'!$A$22),"")</f>
        <v/>
      </c>
      <c r="Q32" s="828"/>
      <c r="R32" s="857" t="str">
        <f>IF(AND('[3]Mapa de procesos'!$L$28="Baja",'[3]Mapa de procesos'!$P$28="Menor"),CONCATENATE("R",'[3]Mapa de procesos'!$A$28),"")</f>
        <v/>
      </c>
      <c r="S32" s="828"/>
      <c r="T32" s="857" t="str">
        <f>IF(AND('[3]Mapa de procesos'!$L$34="Baja",'[3]Mapa de procesos'!$P$34="Menor"),CONCATENATE("R",'[3]Mapa de procesos'!$A$34),"")</f>
        <v/>
      </c>
      <c r="U32" s="830"/>
      <c r="V32" s="856" t="str">
        <f>IF(AND('[3]Mapa de procesos'!$L$22="Baja",'[3]Mapa de procesos'!$P$22="Moderado"),CONCATENATE("R",'[3]Mapa de procesos'!$A$22),"")</f>
        <v/>
      </c>
      <c r="W32" s="828"/>
      <c r="X32" s="857" t="str">
        <f>IF(AND('[3]Mapa de procesos'!$L$28="Baja",'[3]Mapa de procesos'!$P$28="Moderado"),CONCATENATE("R",'[3]Mapa de procesos'!$A$28),"")</f>
        <v/>
      </c>
      <c r="Y32" s="828"/>
      <c r="Z32" s="857" t="str">
        <f>IF(AND('[3]Mapa de procesos'!$L$34="Baja",'[3]Mapa de procesos'!$P$34="Moderado"),CONCATENATE("R",'[3]Mapa de procesos'!$A$34),"")</f>
        <v/>
      </c>
      <c r="AA32" s="830"/>
      <c r="AB32" s="843" t="str">
        <f>IF(AND('[3]Mapa de procesos'!$L$22="Baja",'[3]Mapa de procesos'!$P$22="Mayor"),CONCATENATE("R",'[3]Mapa de procesos'!$A$22),"")</f>
        <v/>
      </c>
      <c r="AC32" s="828"/>
      <c r="AD32" s="842" t="str">
        <f>IF(AND('[3]Mapa de procesos'!$L$28="Baja",'[3]Mapa de procesos'!$P$28="Mayor"),CONCATENATE("R",'[3]Mapa de procesos'!$A$28),"")</f>
        <v/>
      </c>
      <c r="AE32" s="828"/>
      <c r="AF32" s="842" t="str">
        <f>IF(AND('[3]Mapa de procesos'!$L$34="Baja",'[3]Mapa de procesos'!$P$34="Mayor"),CONCATENATE("R",'[3]Mapa de procesos'!$A$34),"")</f>
        <v/>
      </c>
      <c r="AG32" s="830"/>
      <c r="AH32" s="853" t="str">
        <f>IF(AND('[3]Mapa de procesos'!$L$22="Baja",'[3]Mapa de procesos'!$P$22="Catastrófico"),CONCATENATE("R",'[3]Mapa de procesos'!$A$22),"")</f>
        <v/>
      </c>
      <c r="AI32" s="828"/>
      <c r="AJ32" s="844" t="str">
        <f>IF(AND('[3]Mapa de procesos'!$L$28="Baja",'[3]Mapa de procesos'!$P$28="Catastrófico"),CONCATENATE("R",'[3]Mapa de procesos'!$A$28),"")</f>
        <v/>
      </c>
      <c r="AK32" s="828"/>
      <c r="AL32" s="844" t="str">
        <f>IF(AND('[3]Mapa de procesos'!$L$34="Baja",'[3]Mapa de procesos'!$P$34="Catastrófico"),CONCATENATE("R",'[3]Mapa de procesos'!$A$34),"")</f>
        <v/>
      </c>
      <c r="AM32" s="830"/>
      <c r="AN32" s="361"/>
      <c r="AO32" s="848"/>
      <c r="AP32" s="826"/>
      <c r="AQ32" s="826"/>
      <c r="AR32" s="826"/>
      <c r="AS32" s="826"/>
      <c r="AT32" s="849"/>
      <c r="AU32" s="361"/>
      <c r="AV32" s="361"/>
      <c r="AW32" s="361"/>
      <c r="AX32" s="361"/>
      <c r="AY32" s="361"/>
      <c r="AZ32" s="361"/>
      <c r="BA32" s="361"/>
      <c r="BB32" s="361"/>
      <c r="BC32" s="361"/>
      <c r="BD32" s="361"/>
      <c r="BE32" s="361"/>
      <c r="BF32" s="361"/>
      <c r="BG32" s="361"/>
      <c r="BH32" s="361"/>
      <c r="BI32" s="361"/>
    </row>
    <row r="33" spans="1:61" ht="15.75" customHeight="1" x14ac:dyDescent="0.25">
      <c r="A33" s="361"/>
      <c r="B33" s="828"/>
      <c r="C33" s="826"/>
      <c r="D33" s="830"/>
      <c r="E33" s="834"/>
      <c r="F33" s="826"/>
      <c r="G33" s="826"/>
      <c r="H33" s="826"/>
      <c r="I33" s="826"/>
      <c r="J33" s="834"/>
      <c r="K33" s="828"/>
      <c r="L33" s="828"/>
      <c r="M33" s="828"/>
      <c r="N33" s="828"/>
      <c r="O33" s="830"/>
      <c r="P33" s="828"/>
      <c r="Q33" s="828"/>
      <c r="R33" s="828"/>
      <c r="S33" s="828"/>
      <c r="T33" s="828"/>
      <c r="U33" s="830"/>
      <c r="V33" s="834"/>
      <c r="W33" s="828"/>
      <c r="X33" s="828"/>
      <c r="Y33" s="828"/>
      <c r="Z33" s="828"/>
      <c r="AA33" s="830"/>
      <c r="AB33" s="834"/>
      <c r="AC33" s="828"/>
      <c r="AD33" s="828"/>
      <c r="AE33" s="828"/>
      <c r="AF33" s="828"/>
      <c r="AG33" s="830"/>
      <c r="AH33" s="834"/>
      <c r="AI33" s="828"/>
      <c r="AJ33" s="828"/>
      <c r="AK33" s="828"/>
      <c r="AL33" s="828"/>
      <c r="AM33" s="830"/>
      <c r="AN33" s="361"/>
      <c r="AO33" s="848"/>
      <c r="AP33" s="826"/>
      <c r="AQ33" s="826"/>
      <c r="AR33" s="826"/>
      <c r="AS33" s="826"/>
      <c r="AT33" s="849"/>
      <c r="AU33" s="361"/>
      <c r="AV33" s="361"/>
      <c r="AW33" s="361"/>
      <c r="AX33" s="361"/>
      <c r="AY33" s="361"/>
      <c r="AZ33" s="361"/>
      <c r="BA33" s="361"/>
      <c r="BB33" s="361"/>
      <c r="BC33" s="361"/>
      <c r="BD33" s="361"/>
      <c r="BE33" s="361"/>
      <c r="BF33" s="361"/>
      <c r="BG33" s="361"/>
      <c r="BH33" s="361"/>
      <c r="BI33" s="361"/>
    </row>
    <row r="34" spans="1:61" ht="15.75" customHeight="1" x14ac:dyDescent="0.25">
      <c r="A34" s="361"/>
      <c r="B34" s="828"/>
      <c r="C34" s="826"/>
      <c r="D34" s="830"/>
      <c r="E34" s="834"/>
      <c r="F34" s="826"/>
      <c r="G34" s="826"/>
      <c r="H34" s="826"/>
      <c r="I34" s="826"/>
      <c r="J34" s="863" t="str">
        <f>IF(AND('[3]Mapa de procesos'!$L$40="Baja",'[3]Mapa de procesos'!$P$40="Leve"),CONCATENATE("R",'[3]Mapa de procesos'!$A$40),"")</f>
        <v/>
      </c>
      <c r="K34" s="828"/>
      <c r="L34" s="864" t="str">
        <f>IF(AND('[3]Mapa de procesos'!$L$46="Baja",'[3]Mapa de procesos'!$P$46="Leve"),CONCATENATE("R",'[3]Mapa de procesos'!$A$46),"")</f>
        <v/>
      </c>
      <c r="M34" s="828"/>
      <c r="N34" s="864" t="str">
        <f>IF(AND('[3]Mapa de procesos'!$L$52="Baja",'[3]Mapa de procesos'!$P$52="Leve"),CONCATENATE("R",'[3]Mapa de procesos'!$A$52),"")</f>
        <v/>
      </c>
      <c r="O34" s="830"/>
      <c r="P34" s="857" t="str">
        <f>IF(AND('[3]Mapa de procesos'!$L$40="Baja",'[3]Mapa de procesos'!$P$40="Menor"),CONCATENATE("R",'[3]Mapa de procesos'!$A$40),"")</f>
        <v/>
      </c>
      <c r="Q34" s="828"/>
      <c r="R34" s="857" t="str">
        <f>IF(AND('[3]Mapa de procesos'!$L$46="Baja",'[3]Mapa de procesos'!$P$46="Menor"),CONCATENATE("R",'[3]Mapa de procesos'!$A$46),"")</f>
        <v/>
      </c>
      <c r="S34" s="828"/>
      <c r="T34" s="857" t="str">
        <f>IF(AND('[3]Mapa de procesos'!$L$52="Baja",'[3]Mapa de procesos'!$P$52="Menor"),CONCATENATE("R",'[3]Mapa de procesos'!$A$52),"")</f>
        <v/>
      </c>
      <c r="U34" s="830"/>
      <c r="V34" s="856" t="str">
        <f>IF(AND('[3]Mapa de procesos'!$L$40="Baja",'[3]Mapa de procesos'!$P$40="Moderado"),CONCATENATE("R",'[3]Mapa de procesos'!$A$40),"")</f>
        <v/>
      </c>
      <c r="W34" s="828"/>
      <c r="X34" s="857" t="str">
        <f>IF(AND('[3]Mapa de procesos'!$L$46="Baja",'[3]Mapa de procesos'!$P$46="Moderado"),CONCATENATE("R",'[3]Mapa de procesos'!$A$46),"")</f>
        <v/>
      </c>
      <c r="Y34" s="828"/>
      <c r="Z34" s="857" t="str">
        <f>IF(AND('[3]Mapa de procesos'!$L$52="Baja",'[3]Mapa de procesos'!$P$52="Moderado"),CONCATENATE("R",'[3]Mapa de procesos'!$A$52),"")</f>
        <v/>
      </c>
      <c r="AA34" s="830"/>
      <c r="AB34" s="843" t="str">
        <f>IF(AND('[3]Mapa de procesos'!$L$40="Baja",'[3]Mapa de procesos'!$P$40="Mayor"),CONCATENATE("R",'[3]Mapa de procesos'!$A$40),"")</f>
        <v/>
      </c>
      <c r="AC34" s="828"/>
      <c r="AD34" s="842" t="str">
        <f>IF(AND('[3]Mapa de procesos'!$L$46="Baja",'[3]Mapa de procesos'!$P$46="Mayor"),CONCATENATE("R",'[3]Mapa de procesos'!$A$46),"")</f>
        <v/>
      </c>
      <c r="AE34" s="828"/>
      <c r="AF34" s="842" t="str">
        <f>IF(AND('[3]Mapa de procesos'!$L$52="Baja",'[3]Mapa de procesos'!$P$52="Mayor"),CONCATENATE("R",'[3]Mapa de procesos'!$A$52),"")</f>
        <v/>
      </c>
      <c r="AG34" s="830"/>
      <c r="AH34" s="853" t="str">
        <f>IF(AND('[3]Mapa de procesos'!$L$40="Baja",'[3]Mapa de procesos'!$P$40="Catastrófico"),CONCATENATE("R",'[3]Mapa de procesos'!$A$40),"")</f>
        <v/>
      </c>
      <c r="AI34" s="828"/>
      <c r="AJ34" s="844" t="str">
        <f>IF(AND('[3]Mapa de procesos'!$L$46="Baja",'[3]Mapa de procesos'!$P$46="Catastrófico"),CONCATENATE("R",'[3]Mapa de procesos'!$A$46),"")</f>
        <v/>
      </c>
      <c r="AK34" s="828"/>
      <c r="AL34" s="844" t="str">
        <f>IF(AND('[3]Mapa de procesos'!$L$52="Baja",'[3]Mapa de procesos'!$P$52="Catastrófico"),CONCATENATE("R",'[3]Mapa de procesos'!$A$52),"")</f>
        <v/>
      </c>
      <c r="AM34" s="830"/>
      <c r="AN34" s="361"/>
      <c r="AO34" s="848"/>
      <c r="AP34" s="826"/>
      <c r="AQ34" s="826"/>
      <c r="AR34" s="826"/>
      <c r="AS34" s="826"/>
      <c r="AT34" s="849"/>
      <c r="AU34" s="361"/>
      <c r="AV34" s="361"/>
      <c r="AW34" s="361"/>
      <c r="AX34" s="361"/>
      <c r="AY34" s="361"/>
      <c r="AZ34" s="361"/>
      <c r="BA34" s="361"/>
      <c r="BB34" s="361"/>
      <c r="BC34" s="361"/>
      <c r="BD34" s="361"/>
      <c r="BE34" s="361"/>
      <c r="BF34" s="361"/>
      <c r="BG34" s="361"/>
      <c r="BH34" s="361"/>
      <c r="BI34" s="361"/>
    </row>
    <row r="35" spans="1:61" ht="15.75" customHeight="1" x14ac:dyDescent="0.25">
      <c r="A35" s="361"/>
      <c r="B35" s="828"/>
      <c r="C35" s="826"/>
      <c r="D35" s="830"/>
      <c r="E35" s="834"/>
      <c r="F35" s="826"/>
      <c r="G35" s="826"/>
      <c r="H35" s="826"/>
      <c r="I35" s="826"/>
      <c r="J35" s="834"/>
      <c r="K35" s="828"/>
      <c r="L35" s="828"/>
      <c r="M35" s="828"/>
      <c r="N35" s="828"/>
      <c r="O35" s="830"/>
      <c r="P35" s="828"/>
      <c r="Q35" s="828"/>
      <c r="R35" s="828"/>
      <c r="S35" s="828"/>
      <c r="T35" s="828"/>
      <c r="U35" s="830"/>
      <c r="V35" s="834"/>
      <c r="W35" s="828"/>
      <c r="X35" s="828"/>
      <c r="Y35" s="828"/>
      <c r="Z35" s="828"/>
      <c r="AA35" s="830"/>
      <c r="AB35" s="834"/>
      <c r="AC35" s="828"/>
      <c r="AD35" s="828"/>
      <c r="AE35" s="828"/>
      <c r="AF35" s="828"/>
      <c r="AG35" s="830"/>
      <c r="AH35" s="834"/>
      <c r="AI35" s="828"/>
      <c r="AJ35" s="828"/>
      <c r="AK35" s="828"/>
      <c r="AL35" s="828"/>
      <c r="AM35" s="830"/>
      <c r="AN35" s="361"/>
      <c r="AO35" s="848"/>
      <c r="AP35" s="826"/>
      <c r="AQ35" s="826"/>
      <c r="AR35" s="826"/>
      <c r="AS35" s="826"/>
      <c r="AT35" s="849"/>
      <c r="AU35" s="361"/>
      <c r="AV35" s="361"/>
      <c r="AW35" s="361"/>
      <c r="AX35" s="361"/>
      <c r="AY35" s="361"/>
      <c r="AZ35" s="361"/>
      <c r="BA35" s="361"/>
      <c r="BB35" s="361"/>
      <c r="BC35" s="361"/>
      <c r="BD35" s="361"/>
      <c r="BE35" s="361"/>
      <c r="BF35" s="361"/>
      <c r="BG35" s="361"/>
      <c r="BH35" s="361"/>
      <c r="BI35" s="361"/>
    </row>
    <row r="36" spans="1:61" ht="15.75" customHeight="1" x14ac:dyDescent="0.25">
      <c r="A36" s="361"/>
      <c r="B36" s="828"/>
      <c r="C36" s="826"/>
      <c r="D36" s="830"/>
      <c r="E36" s="834"/>
      <c r="F36" s="826"/>
      <c r="G36" s="826"/>
      <c r="H36" s="826"/>
      <c r="I36" s="826"/>
      <c r="J36" s="863" t="str">
        <f>IF(AND('[3]Mapa de procesos'!$L$58="Baja",'[3]Mapa de procesos'!$P$58="Leve"),CONCATENATE("R",'[3]Mapa de procesos'!$A$58),"")</f>
        <v/>
      </c>
      <c r="K36" s="828"/>
      <c r="L36" s="864" t="str">
        <f>IF(AND('[3]Mapa de procesos'!$M$1040="Baja",'[3]Mapa de procesos'!$Q$1040="Leve"),CONCATENATE("R",'[3]Mapa de procesos'!$A$64),"")</f>
        <v/>
      </c>
      <c r="M36" s="828"/>
      <c r="N36" s="864" t="str">
        <f>IF(AND('[3]Mapa de procesos'!$L$70="Baja",'[3]Mapa de procesos'!$P$70="Leve"),CONCATENATE("R",'[3]Mapa de procesos'!$A$70),"")</f>
        <v/>
      </c>
      <c r="O36" s="830"/>
      <c r="P36" s="857" t="str">
        <f>IF(AND('[3]Mapa de procesos'!$L$58="Baja",'[3]Mapa de procesos'!$P$58="Menor"),CONCATENATE("R",'[3]Mapa de procesos'!$A$58),"")</f>
        <v/>
      </c>
      <c r="Q36" s="828"/>
      <c r="R36" s="857" t="str">
        <f>IF(AND('[3]Mapa de procesos'!$M$1040="Baja",'[3]Mapa de procesos'!$Q$1040="Menor"),CONCATENATE("R",'[3]Mapa de procesos'!$A$64),"")</f>
        <v/>
      </c>
      <c r="S36" s="828"/>
      <c r="T36" s="857" t="str">
        <f>IF(AND('[3]Mapa de procesos'!$L$70="Baja",'[3]Mapa de procesos'!$P$70="Menor"),CONCATENATE("R",'[3]Mapa de procesos'!$A$70),"")</f>
        <v/>
      </c>
      <c r="U36" s="830"/>
      <c r="V36" s="856" t="str">
        <f>IF(AND('[3]Mapa de procesos'!$L$58="Baja",'[3]Mapa de procesos'!$P$58="Moderado"),CONCATENATE("R",'[3]Mapa de procesos'!$A$58),"")</f>
        <v/>
      </c>
      <c r="W36" s="828"/>
      <c r="X36" s="857" t="str">
        <f>IF(AND('[3]Mapa de procesos'!$M$1040="Baja",'[3]Mapa de procesos'!$Q$1040="Moderado"),CONCATENATE("R",'[3]Mapa de procesos'!$A$64),"")</f>
        <v/>
      </c>
      <c r="Y36" s="828"/>
      <c r="Z36" s="857" t="str">
        <f>IF(AND('[3]Mapa de procesos'!$L$70="Baja",'[3]Mapa de procesos'!$P$70="Moderado"),CONCATENATE("R",'[3]Mapa de procesos'!$A$70),"")</f>
        <v/>
      </c>
      <c r="AA36" s="830"/>
      <c r="AB36" s="843" t="str">
        <f>IF(AND('[3]Mapa de procesos'!$L$58="Baja",'[3]Mapa de procesos'!$P$58="Mayor"),CONCATENATE("R",'[3]Mapa de procesos'!$A$58),"")</f>
        <v/>
      </c>
      <c r="AC36" s="828"/>
      <c r="AD36" s="842" t="str">
        <f>IF(AND('[3]Mapa de procesos'!$M$1040="Baja",'[3]Mapa de procesos'!$Q$1040="Mayor"),CONCATENATE("R",'[3]Mapa de procesos'!$A$64),"")</f>
        <v/>
      </c>
      <c r="AE36" s="828"/>
      <c r="AF36" s="842" t="str">
        <f>IF(AND('[3]Mapa de procesos'!$L$70="Baja",'[3]Mapa de procesos'!$P$70="Mayor"),CONCATENATE("R",'[3]Mapa de procesos'!$A$70),"")</f>
        <v/>
      </c>
      <c r="AG36" s="830"/>
      <c r="AH36" s="853" t="str">
        <f>IF(AND('[3]Mapa de procesos'!$L$58="Baja",'[3]Mapa de procesos'!$P$58="Catastrófico"),CONCATENATE("R",'[3]Mapa de procesos'!$A$58),"")</f>
        <v/>
      </c>
      <c r="AI36" s="828"/>
      <c r="AJ36" s="844" t="str">
        <f>IF(AND('[3]Mapa de procesos'!$M$1040="Baja",'[3]Mapa de procesos'!$Q$1040="Catastrófico"),CONCATENATE("R",'[3]Mapa de procesos'!$A$64),"")</f>
        <v/>
      </c>
      <c r="AK36" s="828"/>
      <c r="AL36" s="844" t="str">
        <f>IF(AND('[3]Mapa de procesos'!$L$70="Baja",'[3]Mapa de procesos'!$P$70="Catastrófico"),CONCATENATE("R",'[3]Mapa de procesos'!$A$70),"")</f>
        <v/>
      </c>
      <c r="AM36" s="830"/>
      <c r="AN36" s="361"/>
      <c r="AO36" s="848"/>
      <c r="AP36" s="826"/>
      <c r="AQ36" s="826"/>
      <c r="AR36" s="826"/>
      <c r="AS36" s="826"/>
      <c r="AT36" s="849"/>
      <c r="AU36" s="361"/>
      <c r="AV36" s="361"/>
      <c r="AW36" s="361"/>
      <c r="AX36" s="361"/>
      <c r="AY36" s="361"/>
      <c r="AZ36" s="361"/>
      <c r="BA36" s="361"/>
      <c r="BB36" s="361"/>
      <c r="BC36" s="361"/>
      <c r="BD36" s="361"/>
      <c r="BE36" s="361"/>
      <c r="BF36" s="361"/>
      <c r="BG36" s="361"/>
      <c r="BH36" s="361"/>
      <c r="BI36" s="361"/>
    </row>
    <row r="37" spans="1:61" ht="15.75" customHeight="1" thickBot="1" x14ac:dyDescent="0.3">
      <c r="A37" s="361"/>
      <c r="B37" s="828"/>
      <c r="C37" s="826"/>
      <c r="D37" s="830"/>
      <c r="E37" s="835"/>
      <c r="F37" s="836"/>
      <c r="G37" s="836"/>
      <c r="H37" s="836"/>
      <c r="I37" s="836"/>
      <c r="J37" s="835"/>
      <c r="K37" s="836"/>
      <c r="L37" s="836"/>
      <c r="M37" s="836"/>
      <c r="N37" s="836"/>
      <c r="O37" s="837"/>
      <c r="P37" s="836"/>
      <c r="Q37" s="836"/>
      <c r="R37" s="836"/>
      <c r="S37" s="836"/>
      <c r="T37" s="836"/>
      <c r="U37" s="837"/>
      <c r="V37" s="835"/>
      <c r="W37" s="836"/>
      <c r="X37" s="836"/>
      <c r="Y37" s="836"/>
      <c r="Z37" s="836"/>
      <c r="AA37" s="837"/>
      <c r="AB37" s="835"/>
      <c r="AC37" s="836"/>
      <c r="AD37" s="836"/>
      <c r="AE37" s="836"/>
      <c r="AF37" s="836"/>
      <c r="AG37" s="837"/>
      <c r="AH37" s="835"/>
      <c r="AI37" s="836"/>
      <c r="AJ37" s="836"/>
      <c r="AK37" s="836"/>
      <c r="AL37" s="836"/>
      <c r="AM37" s="837"/>
      <c r="AN37" s="361"/>
      <c r="AO37" s="850"/>
      <c r="AP37" s="851"/>
      <c r="AQ37" s="851"/>
      <c r="AR37" s="851"/>
      <c r="AS37" s="851"/>
      <c r="AT37" s="852"/>
      <c r="AU37" s="361"/>
      <c r="AV37" s="361"/>
      <c r="AW37" s="361"/>
      <c r="AX37" s="361"/>
      <c r="AY37" s="361"/>
      <c r="AZ37" s="361"/>
      <c r="BA37" s="361"/>
      <c r="BB37" s="361"/>
      <c r="BC37" s="361"/>
      <c r="BD37" s="361"/>
      <c r="BE37" s="361"/>
      <c r="BF37" s="361"/>
      <c r="BG37" s="361"/>
      <c r="BH37" s="361"/>
      <c r="BI37" s="361"/>
    </row>
    <row r="38" spans="1:61" ht="15.75" customHeight="1" x14ac:dyDescent="0.25">
      <c r="A38" s="361"/>
      <c r="B38" s="828"/>
      <c r="C38" s="826"/>
      <c r="D38" s="830"/>
      <c r="E38" s="831" t="s">
        <v>11</v>
      </c>
      <c r="F38" s="832"/>
      <c r="G38" s="832"/>
      <c r="H38" s="832"/>
      <c r="I38" s="833"/>
      <c r="J38" s="860" t="str" cm="1">
        <f t="array" ref="J38">IF(AND('Matriz riesgos de gestión'!M45:M50="Muy Alta",'Matriz riesgos de gestión'!Q45:Q50="Leve"),CONCATENATE("R",'Matriz riesgos de gestión'!$A$4),"")</f>
        <v/>
      </c>
      <c r="K38" s="832"/>
      <c r="L38" s="861" t="str">
        <f>IF(AND('[3]Mapa de procesos'!$L$10="Muy Baja",'[3]Mapa de procesos'!$P$10="Leve"),CONCATENATE("R",'[3]Mapa de procesos'!$A$10),"")</f>
        <v/>
      </c>
      <c r="M38" s="832"/>
      <c r="N38" s="861" t="str">
        <f>IF(AND('[3]Mapa de procesos'!$L$16="Muy Baja",'[3]Mapa de procesos'!$P$16="Leve"),CONCATENATE("R",'[3]Mapa de procesos'!$A$16),"")</f>
        <v/>
      </c>
      <c r="O38" s="833"/>
      <c r="P38" s="860" t="str">
        <f>IF(AND('[3]Mapa de procesos'!$L$4="Muy Baja",'[3]Mapa de procesos'!$P$4="Menor"),CONCATENATE("R",'[3]Mapa de procesos'!$A$4),"")</f>
        <v/>
      </c>
      <c r="Q38" s="832"/>
      <c r="R38" s="861" t="str">
        <f>IF(AND('[3]Mapa de procesos'!$L$10="Muy Baja",'[3]Mapa de procesos'!$P$10="Menor"),CONCATENATE("R",'[3]Mapa de procesos'!$A$10),"")</f>
        <v/>
      </c>
      <c r="S38" s="832"/>
      <c r="T38" s="861" t="str">
        <f>IF(AND('[3]Mapa de procesos'!$L$16="Muy Baja",'[3]Mapa de procesos'!$P$16="Menor"),CONCATENATE("R",'[3]Mapa de procesos'!$A$16),"")</f>
        <v/>
      </c>
      <c r="U38" s="833"/>
      <c r="V38" s="854" t="str">
        <f>IF(AND('[3]Mapa de procesos'!$L$4="Muy Baja",'[3]Mapa de procesos'!$P$4="Moderado"),CONCATENATE("R",'[3]Mapa de procesos'!$A$4),"")</f>
        <v/>
      </c>
      <c r="W38" s="832"/>
      <c r="X38" s="855" t="str">
        <f>IF(AND('[3]Mapa de procesos'!$L$10="Muy Baja",'[3]Mapa de procesos'!$P$10="Moderado"),CONCATENATE("R",'[3]Mapa de procesos'!$A$10),"")</f>
        <v/>
      </c>
      <c r="Y38" s="832"/>
      <c r="Z38" s="855" t="str">
        <f>IF(AND('[3]Mapa de procesos'!$L$16="Muy Baja",'[3]Mapa de procesos'!$P$16="Moderado"),CONCATENATE("R",'[3]Mapa de procesos'!$A$16),"")</f>
        <v/>
      </c>
      <c r="AA38" s="833"/>
      <c r="AB38" s="838" t="str">
        <f>IF(AND('[3]Mapa de procesos'!$L$4="Muy Baja",'[3]Mapa de procesos'!$P$4="Mayor"),CONCATENATE("R",'[3]Mapa de procesos'!$A$4),"")</f>
        <v/>
      </c>
      <c r="AC38" s="832"/>
      <c r="AD38" s="839" t="str">
        <f>IF(AND('[3]Mapa de procesos'!$L$10="Muy Baja",'[3]Mapa de procesos'!$P$10="Mayor"),CONCATENATE("R",'[3]Mapa de procesos'!$A$10),"")</f>
        <v/>
      </c>
      <c r="AE38" s="832"/>
      <c r="AF38" s="839" t="str">
        <f>IF(AND('[3]Mapa de procesos'!$L$16="Muy Baja",'[3]Mapa de procesos'!$P$16="Mayor"),CONCATENATE("R",'[3]Mapa de procesos'!$A$16),"")</f>
        <v/>
      </c>
      <c r="AG38" s="833"/>
      <c r="AH38" s="840" t="str">
        <f>IF(AND('[3]Mapa de procesos'!$L$4="Muy Baja",'[3]Mapa de procesos'!$P$4="Catastrófico"),CONCATENATE("R",'[3]Mapa de procesos'!$A$4),"")</f>
        <v/>
      </c>
      <c r="AI38" s="832"/>
      <c r="AJ38" s="841" t="str">
        <f>IF(AND('[3]Mapa de procesos'!$L$10="Muy Baja",'[3]Mapa de procesos'!$P$10="Catastrófico"),CONCATENATE("R",'[3]Mapa de procesos'!$A$10),"")</f>
        <v/>
      </c>
      <c r="AK38" s="832"/>
      <c r="AL38" s="841" t="str">
        <f>IF(AND('[3]Mapa de procesos'!$L$16="Muy Baja",'[3]Mapa de procesos'!$P$16="Catastrófico"),CONCATENATE("R",'[3]Mapa de procesos'!$A$16),"")</f>
        <v/>
      </c>
      <c r="AM38" s="833"/>
      <c r="AN38" s="361"/>
      <c r="AO38" s="361"/>
      <c r="AP38" s="361"/>
      <c r="AQ38" s="361"/>
      <c r="AR38" s="361"/>
      <c r="AS38" s="361"/>
      <c r="AT38" s="361"/>
      <c r="AU38" s="361"/>
      <c r="AV38" s="361"/>
      <c r="AW38" s="361"/>
      <c r="AX38" s="361"/>
      <c r="AY38" s="361"/>
      <c r="AZ38" s="361"/>
      <c r="BA38" s="361"/>
      <c r="BB38" s="361"/>
      <c r="BC38" s="361"/>
      <c r="BD38" s="361"/>
      <c r="BE38" s="361"/>
      <c r="BF38" s="361"/>
      <c r="BG38" s="361"/>
      <c r="BH38" s="361"/>
      <c r="BI38" s="361"/>
    </row>
    <row r="39" spans="1:61" ht="27" customHeight="1" x14ac:dyDescent="0.25">
      <c r="A39" s="361"/>
      <c r="B39" s="828"/>
      <c r="C39" s="826"/>
      <c r="D39" s="830"/>
      <c r="E39" s="834"/>
      <c r="F39" s="826"/>
      <c r="G39" s="826"/>
      <c r="H39" s="826"/>
      <c r="I39" s="830"/>
      <c r="J39" s="834"/>
      <c r="K39" s="828"/>
      <c r="L39" s="828"/>
      <c r="M39" s="828"/>
      <c r="N39" s="828"/>
      <c r="O39" s="830"/>
      <c r="P39" s="834"/>
      <c r="Q39" s="828"/>
      <c r="R39" s="828"/>
      <c r="S39" s="828"/>
      <c r="T39" s="828"/>
      <c r="U39" s="830"/>
      <c r="V39" s="834"/>
      <c r="W39" s="828"/>
      <c r="X39" s="828"/>
      <c r="Y39" s="828"/>
      <c r="Z39" s="828"/>
      <c r="AA39" s="830"/>
      <c r="AB39" s="834"/>
      <c r="AC39" s="828"/>
      <c r="AD39" s="828"/>
      <c r="AE39" s="828"/>
      <c r="AF39" s="828"/>
      <c r="AG39" s="830"/>
      <c r="AH39" s="834"/>
      <c r="AI39" s="828"/>
      <c r="AJ39" s="828"/>
      <c r="AK39" s="828"/>
      <c r="AL39" s="828"/>
      <c r="AM39" s="830"/>
      <c r="AN39" s="361"/>
      <c r="AO39" s="361"/>
      <c r="AP39" s="361"/>
      <c r="AQ39" s="361"/>
      <c r="AR39" s="361"/>
      <c r="AS39" s="361"/>
      <c r="AT39" s="361"/>
      <c r="AU39" s="361"/>
      <c r="AV39" s="361"/>
      <c r="AW39" s="361"/>
      <c r="AX39" s="361"/>
      <c r="AY39" s="361"/>
      <c r="AZ39" s="361"/>
      <c r="BA39" s="361"/>
      <c r="BB39" s="361"/>
      <c r="BC39" s="361"/>
      <c r="BD39" s="361"/>
      <c r="BE39" s="361"/>
      <c r="BF39" s="361"/>
      <c r="BG39" s="361"/>
      <c r="BH39" s="361"/>
      <c r="BI39" s="361"/>
    </row>
    <row r="40" spans="1:61" ht="15.75" customHeight="1" x14ac:dyDescent="0.25">
      <c r="A40" s="361"/>
      <c r="B40" s="828"/>
      <c r="C40" s="826"/>
      <c r="D40" s="830"/>
      <c r="E40" s="834"/>
      <c r="F40" s="826"/>
      <c r="G40" s="826"/>
      <c r="H40" s="826"/>
      <c r="I40" s="830"/>
      <c r="J40" s="863" t="str">
        <f>IF(AND('[3]Mapa de procesos'!$L$22="Muy Baja",'[3]Mapa de procesos'!$P$22="Leve"),CONCATENATE("R",'[3]Mapa de procesos'!$A$22),"")</f>
        <v/>
      </c>
      <c r="K40" s="828"/>
      <c r="L40" s="864" t="str">
        <f>IF(AND('[3]Mapa de procesos'!$L$28="Muy Baja",'[3]Mapa de procesos'!$P$28="Leve"),CONCATENATE("R",'[3]Mapa de procesos'!$A$28),"")</f>
        <v/>
      </c>
      <c r="M40" s="828"/>
      <c r="N40" s="864" t="str">
        <f>IF(AND('[3]Mapa de procesos'!$L$34="Muy Baja",'[3]Mapa de procesos'!$P$34="Leve"),CONCATENATE("R",'[3]Mapa de procesos'!$A$34),"")</f>
        <v/>
      </c>
      <c r="O40" s="830"/>
      <c r="P40" s="863" t="str">
        <f>IF(AND('[3]Mapa de procesos'!$L$22="Muy Baja",'[3]Mapa de procesos'!$P$22="Menor"),CONCATENATE("R",'[3]Mapa de procesos'!$A$22),"")</f>
        <v/>
      </c>
      <c r="Q40" s="828"/>
      <c r="R40" s="864" t="str">
        <f>IF(AND('[3]Mapa de procesos'!$L$28="Muy Baja",'[3]Mapa de procesos'!$P$28="Menor"),CONCATENATE("R",'[3]Mapa de procesos'!$A$28),"")</f>
        <v/>
      </c>
      <c r="S40" s="828"/>
      <c r="T40" s="864" t="str">
        <f>IF(AND('[3]Mapa de procesos'!$L$34="Muy Baja",'[3]Mapa de procesos'!$P$34="Menor"),CONCATENATE("R",'[3]Mapa de procesos'!$A$34),"")</f>
        <v/>
      </c>
      <c r="U40" s="830"/>
      <c r="V40" s="856" t="str">
        <f>IF(AND('[3]Mapa de procesos'!$L$22="Muy Baja",'[3]Mapa de procesos'!$P$22="Moderado"),CONCATENATE("R",'[3]Mapa de procesos'!$A$22),"")</f>
        <v/>
      </c>
      <c r="W40" s="828"/>
      <c r="X40" s="857" t="str">
        <f>IF(AND('[3]Mapa de procesos'!$L$28="Muy Baja",'[3]Mapa de procesos'!$P$28="Moderado"),CONCATENATE("R",'[3]Mapa de procesos'!$A$28),"")</f>
        <v/>
      </c>
      <c r="Y40" s="828"/>
      <c r="Z40" s="857" t="str">
        <f>IF(AND('[3]Mapa de procesos'!$L$34="Muy Baja",'[3]Mapa de procesos'!$P$34="Moderado"),CONCATENATE("R",'[3]Mapa de procesos'!$A$34),"")</f>
        <v/>
      </c>
      <c r="AA40" s="830"/>
      <c r="AB40" s="843" t="str">
        <f>IF(AND('[3]Mapa de procesos'!$L$22="Muy Baja",'[3]Mapa de procesos'!$P$22="Mayor"),CONCATENATE("R",'[3]Mapa de procesos'!$A$22),"")</f>
        <v/>
      </c>
      <c r="AC40" s="828"/>
      <c r="AD40" s="842" t="str">
        <f>IF(AND('[3]Mapa de procesos'!$L$28="Muy Baja",'[3]Mapa de procesos'!$P$28="Mayor"),CONCATENATE("R",'[3]Mapa de procesos'!$A$28),"")</f>
        <v/>
      </c>
      <c r="AE40" s="828"/>
      <c r="AF40" s="842" t="str">
        <f>IF(AND('[3]Mapa de procesos'!$L$34="Muy Baja",'[3]Mapa de procesos'!$P$34="Mayor"),CONCATENATE("R",'[3]Mapa de procesos'!$A$34),"")</f>
        <v/>
      </c>
      <c r="AG40" s="830"/>
      <c r="AH40" s="853" t="str">
        <f>IF(AND('[3]Mapa de procesos'!$L$22="Muy Baja",'[3]Mapa de procesos'!$P$22="Catastrófico"),CONCATENATE("R",'[3]Mapa de procesos'!$A$22),"")</f>
        <v/>
      </c>
      <c r="AI40" s="828"/>
      <c r="AJ40" s="844" t="str">
        <f>IF(AND('[3]Mapa de procesos'!$L$28="Muy Baja",'[3]Mapa de procesos'!$P$28="Catastrófico"),CONCATENATE("R",'[3]Mapa de procesos'!$A$28),"")</f>
        <v/>
      </c>
      <c r="AK40" s="828"/>
      <c r="AL40" s="844" t="str">
        <f>IF(AND('[3]Mapa de procesos'!$L$34="Muy Baja",'[3]Mapa de procesos'!$P$34="Catastrófico"),CONCATENATE("R",'[3]Mapa de procesos'!$A$34),"")</f>
        <v/>
      </c>
      <c r="AM40" s="830"/>
      <c r="AN40" s="361"/>
      <c r="AO40" s="361"/>
      <c r="AP40" s="361"/>
      <c r="AQ40" s="361"/>
      <c r="AR40" s="361"/>
      <c r="AS40" s="361"/>
      <c r="AT40" s="361"/>
      <c r="AU40" s="361"/>
      <c r="AV40" s="361"/>
      <c r="AW40" s="361"/>
      <c r="AX40" s="361"/>
      <c r="AY40" s="361"/>
      <c r="AZ40" s="361"/>
      <c r="BA40" s="361"/>
      <c r="BB40" s="361"/>
      <c r="BC40" s="361"/>
      <c r="BD40" s="361"/>
      <c r="BE40" s="361"/>
      <c r="BF40" s="361"/>
      <c r="BG40" s="361"/>
      <c r="BH40" s="361"/>
      <c r="BI40" s="361"/>
    </row>
    <row r="41" spans="1:61" ht="15.75" customHeight="1" x14ac:dyDescent="0.25">
      <c r="A41" s="361"/>
      <c r="B41" s="828"/>
      <c r="C41" s="826"/>
      <c r="D41" s="830"/>
      <c r="E41" s="834"/>
      <c r="F41" s="826"/>
      <c r="G41" s="826"/>
      <c r="H41" s="826"/>
      <c r="I41" s="830"/>
      <c r="J41" s="834"/>
      <c r="K41" s="828"/>
      <c r="L41" s="828"/>
      <c r="M41" s="828"/>
      <c r="N41" s="828"/>
      <c r="O41" s="830"/>
      <c r="P41" s="834"/>
      <c r="Q41" s="828"/>
      <c r="R41" s="828"/>
      <c r="S41" s="828"/>
      <c r="T41" s="828"/>
      <c r="U41" s="830"/>
      <c r="V41" s="834"/>
      <c r="W41" s="828"/>
      <c r="X41" s="828"/>
      <c r="Y41" s="828"/>
      <c r="Z41" s="828"/>
      <c r="AA41" s="830"/>
      <c r="AB41" s="834"/>
      <c r="AC41" s="828"/>
      <c r="AD41" s="828"/>
      <c r="AE41" s="828"/>
      <c r="AF41" s="828"/>
      <c r="AG41" s="830"/>
      <c r="AH41" s="834"/>
      <c r="AI41" s="828"/>
      <c r="AJ41" s="828"/>
      <c r="AK41" s="828"/>
      <c r="AL41" s="828"/>
      <c r="AM41" s="830"/>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row>
    <row r="42" spans="1:61" ht="15.75" customHeight="1" x14ac:dyDescent="0.25">
      <c r="A42" s="361"/>
      <c r="B42" s="828"/>
      <c r="C42" s="826"/>
      <c r="D42" s="830"/>
      <c r="E42" s="834"/>
      <c r="F42" s="826"/>
      <c r="G42" s="826"/>
      <c r="H42" s="826"/>
      <c r="I42" s="830"/>
      <c r="J42" s="863" t="str">
        <f>IF(AND('[3]Mapa de procesos'!$L$40="Muy Baja",'[3]Mapa de procesos'!$P$40="Leve"),CONCATENATE("R",'[3]Mapa de procesos'!$A$40),"")</f>
        <v/>
      </c>
      <c r="K42" s="828"/>
      <c r="L42" s="864" t="str">
        <f>IF(AND('[3]Mapa de procesos'!$L$46="Muy Baja",'[3]Mapa de procesos'!$P$46="Leve"),CONCATENATE("R",'[3]Mapa de procesos'!$A$46),"")</f>
        <v/>
      </c>
      <c r="M42" s="828"/>
      <c r="N42" s="864" t="str">
        <f>IF(AND('[3]Mapa de procesos'!$L$52="Muy Baja",'[3]Mapa de procesos'!$P$52="Leve"),CONCATENATE("R",'[3]Mapa de procesos'!$A$52),"")</f>
        <v/>
      </c>
      <c r="O42" s="830"/>
      <c r="P42" s="863" t="str">
        <f>IF(AND('[3]Mapa de procesos'!$L$40="Muy Baja",'[3]Mapa de procesos'!$P$40="Menor"),CONCATENATE("R",'[3]Mapa de procesos'!$A$40),"")</f>
        <v/>
      </c>
      <c r="Q42" s="828"/>
      <c r="R42" s="864" t="str">
        <f>IF(AND('[3]Mapa de procesos'!$L$46="Muy Baja",'[3]Mapa de procesos'!$P$46="Menor"),CONCATENATE("R",'[3]Mapa de procesos'!$A$46),"")</f>
        <v/>
      </c>
      <c r="S42" s="828"/>
      <c r="T42" s="864" t="str">
        <f>IF(AND('[3]Mapa de procesos'!$L$52="Muy Baja",'[3]Mapa de procesos'!$P$52="Menor"),CONCATENATE("R",'[3]Mapa de procesos'!$A$52),"")</f>
        <v/>
      </c>
      <c r="U42" s="830"/>
      <c r="V42" s="856" t="str">
        <f>IF(AND('[3]Mapa de procesos'!$L$40="Muy Baja",'[3]Mapa de procesos'!$P$40="Moderado"),CONCATENATE("R",'[3]Mapa de procesos'!$A$40),"")</f>
        <v/>
      </c>
      <c r="W42" s="828"/>
      <c r="X42" s="857" t="str">
        <f>IF(AND('[3]Mapa de procesos'!$L$46="Muy Baja",'[3]Mapa de procesos'!$P$46="Moderado"),CONCATENATE("R",'[3]Mapa de procesos'!$A$46),"")</f>
        <v/>
      </c>
      <c r="Y42" s="828"/>
      <c r="Z42" s="857" t="str">
        <f>IF(AND('[3]Mapa de procesos'!$L$52="Muy Baja",'[3]Mapa de procesos'!$P$52="Moderado"),CONCATENATE("R",'[3]Mapa de procesos'!$A$52),"")</f>
        <v/>
      </c>
      <c r="AA42" s="830"/>
      <c r="AB42" s="843" t="str">
        <f>IF(AND('[3]Mapa de procesos'!$L$40="Muy Baja",'[3]Mapa de procesos'!$P$40="Mayor"),CONCATENATE("R",'[3]Mapa de procesos'!$A$40),"")</f>
        <v/>
      </c>
      <c r="AC42" s="828"/>
      <c r="AD42" s="842" t="str">
        <f>IF(AND('[3]Mapa de procesos'!$L$46="Muy Baja",'[3]Mapa de procesos'!$P$46="Mayor"),CONCATENATE("R",'[3]Mapa de procesos'!$A$46),"")</f>
        <v/>
      </c>
      <c r="AE42" s="828"/>
      <c r="AF42" s="842" t="str">
        <f>IF(AND('[3]Mapa de procesos'!$L$52="Muy Baja",'[3]Mapa de procesos'!$P$52="Mayor"),CONCATENATE("R",'[3]Mapa de procesos'!$A$52),"")</f>
        <v/>
      </c>
      <c r="AG42" s="830"/>
      <c r="AH42" s="853" t="str">
        <f>IF(AND('[3]Mapa de procesos'!$L$40="Muy Baja",'[3]Mapa de procesos'!$P$40="Catastrófico"),CONCATENATE("R",'[3]Mapa de procesos'!$A$40),"")</f>
        <v/>
      </c>
      <c r="AI42" s="828"/>
      <c r="AJ42" s="844" t="str">
        <f>IF(AND('[3]Mapa de procesos'!$L$46="Muy Baja",'[3]Mapa de procesos'!$P$46="Catastrófico"),CONCATENATE("R",'[3]Mapa de procesos'!$A$46),"")</f>
        <v/>
      </c>
      <c r="AK42" s="828"/>
      <c r="AL42" s="844" t="str">
        <f>IF(AND('[3]Mapa de procesos'!$L$52="Muy Baja",'[3]Mapa de procesos'!$P$52="Catastrófico"),CONCATENATE("R",'[3]Mapa de procesos'!$A$52),"")</f>
        <v/>
      </c>
      <c r="AM42" s="830"/>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row>
    <row r="43" spans="1:61" ht="15.75" customHeight="1" x14ac:dyDescent="0.25">
      <c r="A43" s="361"/>
      <c r="B43" s="828"/>
      <c r="C43" s="826"/>
      <c r="D43" s="830"/>
      <c r="E43" s="834"/>
      <c r="F43" s="826"/>
      <c r="G43" s="826"/>
      <c r="H43" s="826"/>
      <c r="I43" s="830"/>
      <c r="J43" s="834"/>
      <c r="K43" s="828"/>
      <c r="L43" s="828"/>
      <c r="M43" s="828"/>
      <c r="N43" s="828"/>
      <c r="O43" s="830"/>
      <c r="P43" s="834"/>
      <c r="Q43" s="828"/>
      <c r="R43" s="828"/>
      <c r="S43" s="828"/>
      <c r="T43" s="828"/>
      <c r="U43" s="830"/>
      <c r="V43" s="834"/>
      <c r="W43" s="828"/>
      <c r="X43" s="828"/>
      <c r="Y43" s="828"/>
      <c r="Z43" s="828"/>
      <c r="AA43" s="830"/>
      <c r="AB43" s="834"/>
      <c r="AC43" s="828"/>
      <c r="AD43" s="828"/>
      <c r="AE43" s="828"/>
      <c r="AF43" s="828"/>
      <c r="AG43" s="830"/>
      <c r="AH43" s="834"/>
      <c r="AI43" s="828"/>
      <c r="AJ43" s="828"/>
      <c r="AK43" s="828"/>
      <c r="AL43" s="828"/>
      <c r="AM43" s="830"/>
      <c r="AN43" s="361"/>
      <c r="AO43" s="361"/>
      <c r="AP43" s="361"/>
      <c r="AQ43" s="361"/>
      <c r="AR43" s="361"/>
      <c r="AS43" s="361"/>
      <c r="AT43" s="361"/>
      <c r="AU43" s="361"/>
      <c r="AV43" s="361"/>
      <c r="AW43" s="361"/>
      <c r="AX43" s="361"/>
      <c r="AY43" s="361"/>
      <c r="AZ43" s="361"/>
      <c r="BA43" s="361"/>
      <c r="BB43" s="361"/>
      <c r="BC43" s="361"/>
      <c r="BD43" s="361"/>
      <c r="BE43" s="361"/>
      <c r="BF43" s="361"/>
      <c r="BG43" s="361"/>
      <c r="BH43" s="361"/>
      <c r="BI43" s="361"/>
    </row>
    <row r="44" spans="1:61" ht="15.75" customHeight="1" x14ac:dyDescent="0.25">
      <c r="A44" s="361"/>
      <c r="B44" s="828"/>
      <c r="C44" s="826"/>
      <c r="D44" s="830"/>
      <c r="E44" s="834"/>
      <c r="F44" s="826"/>
      <c r="G44" s="826"/>
      <c r="H44" s="826"/>
      <c r="I44" s="830"/>
      <c r="J44" s="863" t="str">
        <f>IF(AND('[3]Mapa de procesos'!$L$58="Muy Baja",'[3]Mapa de procesos'!$P$58="Leve"),CONCATENATE("R",'[3]Mapa de procesos'!$A$58),"")</f>
        <v/>
      </c>
      <c r="K44" s="828"/>
      <c r="L44" s="864" t="str">
        <f>IF(AND('[3]Mapa de procesos'!$M$1040="Muy Baja",'[3]Mapa de procesos'!$Q$1040="Leve"),CONCATENATE("R",'[3]Mapa de procesos'!$A$64),"")</f>
        <v/>
      </c>
      <c r="M44" s="828"/>
      <c r="N44" s="864" t="str">
        <f>IF(AND('[3]Mapa de procesos'!$L$70="Muy Baja",'[3]Mapa de procesos'!$P$70="Leve"),CONCATENATE("R",'[3]Mapa de procesos'!$A$70),"")</f>
        <v/>
      </c>
      <c r="O44" s="830"/>
      <c r="P44" s="863" t="str">
        <f>IF(AND('[3]Mapa de procesos'!$L$58="Muy Baja",'[3]Mapa de procesos'!$P$58="Menor"),CONCATENATE("R",'[3]Mapa de procesos'!$A$58),"")</f>
        <v/>
      </c>
      <c r="Q44" s="828"/>
      <c r="R44" s="864" t="str">
        <f>IF(AND('[3]Mapa de procesos'!$M$1040="Muy Baja",'[3]Mapa de procesos'!$Q$1040="Menor"),CONCATENATE("R",'[3]Mapa de procesos'!$A$64),"")</f>
        <v/>
      </c>
      <c r="S44" s="828"/>
      <c r="T44" s="864" t="str">
        <f>IF(AND('[3]Mapa de procesos'!$L$70="Muy Baja",'[3]Mapa de procesos'!$P$70="Menor"),CONCATENATE("R",'[3]Mapa de procesos'!$A$70),"")</f>
        <v/>
      </c>
      <c r="U44" s="830"/>
      <c r="V44" s="856" t="str">
        <f>IF(AND('[3]Mapa de procesos'!$L$58="Muy Baja",'[3]Mapa de procesos'!$P$58="Moderado"),CONCATENATE("R",'[3]Mapa de procesos'!$A$58),"")</f>
        <v/>
      </c>
      <c r="W44" s="828"/>
      <c r="X44" s="857" t="str">
        <f>IF(AND('[3]Mapa de procesos'!$M$1040="Muy Baja",'[3]Mapa de procesos'!$Q$1040="Moderado"),CONCATENATE("R",'[3]Mapa de procesos'!$A$64),"")</f>
        <v/>
      </c>
      <c r="Y44" s="828"/>
      <c r="Z44" s="857" t="str">
        <f>IF(AND('[3]Mapa de procesos'!$L$70="Muy Baja",'[3]Mapa de procesos'!$P$70="Moderado"),CONCATENATE("R",'[3]Mapa de procesos'!$A$70),"")</f>
        <v/>
      </c>
      <c r="AA44" s="830"/>
      <c r="AB44" s="843" t="str">
        <f>IF(AND('[3]Mapa de procesos'!$L$58="Muy Baja",'[3]Mapa de procesos'!$P$58="Mayor"),CONCATENATE("R",'[3]Mapa de procesos'!$A$58),"")</f>
        <v/>
      </c>
      <c r="AC44" s="828"/>
      <c r="AD44" s="842" t="str">
        <f>IF(AND('[3]Mapa de procesos'!$M$1040="Muy Baja",'[3]Mapa de procesos'!$Q$1040="Mayor"),CONCATENATE("R",'[3]Mapa de procesos'!$A$64),"")</f>
        <v/>
      </c>
      <c r="AE44" s="828"/>
      <c r="AF44" s="842" t="str">
        <f>IF(AND('[3]Mapa de procesos'!$L$70="Muy Baja",'[3]Mapa de procesos'!$P$70="Mayor"),CONCATENATE("R",'[3]Mapa de procesos'!$A$70),"")</f>
        <v/>
      </c>
      <c r="AG44" s="830"/>
      <c r="AH44" s="853" t="str">
        <f>IF(AND('[3]Mapa de procesos'!$L$58="Muy Baja",'[3]Mapa de procesos'!$P$58="Catastrófico"),CONCATENATE("R",'[3]Mapa de procesos'!$A$58),"")</f>
        <v/>
      </c>
      <c r="AI44" s="828"/>
      <c r="AJ44" s="844" t="str">
        <f>IF(AND('[3]Mapa de procesos'!$M$1040="Muy Baja",'[3]Mapa de procesos'!$Q$1040="Catastrófico"),CONCATENATE("R",'[3]Mapa de procesos'!$A$64),"")</f>
        <v/>
      </c>
      <c r="AK44" s="828"/>
      <c r="AL44" s="844" t="str">
        <f>IF(AND('[3]Mapa de procesos'!$L$70="Muy Baja",'[3]Mapa de procesos'!$P$70="Catastrófico"),CONCATENATE("R",'[3]Mapa de procesos'!$A$70),"")</f>
        <v/>
      </c>
      <c r="AM44" s="830"/>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row>
    <row r="45" spans="1:61" ht="15.75" customHeight="1" thickBot="1" x14ac:dyDescent="0.3">
      <c r="A45" s="361"/>
      <c r="B45" s="828"/>
      <c r="C45" s="828"/>
      <c r="D45" s="830"/>
      <c r="E45" s="835"/>
      <c r="F45" s="836"/>
      <c r="G45" s="836"/>
      <c r="H45" s="836"/>
      <c r="I45" s="837"/>
      <c r="J45" s="835"/>
      <c r="K45" s="836"/>
      <c r="L45" s="836"/>
      <c r="M45" s="836"/>
      <c r="N45" s="836"/>
      <c r="O45" s="837"/>
      <c r="P45" s="835"/>
      <c r="Q45" s="836"/>
      <c r="R45" s="836"/>
      <c r="S45" s="836"/>
      <c r="T45" s="836"/>
      <c r="U45" s="837"/>
      <c r="V45" s="835"/>
      <c r="W45" s="836"/>
      <c r="X45" s="836"/>
      <c r="Y45" s="836"/>
      <c r="Z45" s="836"/>
      <c r="AA45" s="837"/>
      <c r="AB45" s="835"/>
      <c r="AC45" s="836"/>
      <c r="AD45" s="836"/>
      <c r="AE45" s="836"/>
      <c r="AF45" s="836"/>
      <c r="AG45" s="837"/>
      <c r="AH45" s="835"/>
      <c r="AI45" s="836"/>
      <c r="AJ45" s="836"/>
      <c r="AK45" s="836"/>
      <c r="AL45" s="836"/>
      <c r="AM45" s="837"/>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row>
    <row r="46" spans="1:61" ht="15.75" customHeight="1" x14ac:dyDescent="0.25">
      <c r="A46" s="361"/>
      <c r="B46" s="361"/>
      <c r="C46" s="361"/>
      <c r="D46" s="361"/>
      <c r="E46" s="361"/>
      <c r="F46" s="361"/>
      <c r="G46" s="361"/>
      <c r="H46" s="361"/>
      <c r="I46" s="361"/>
      <c r="J46" s="831" t="s">
        <v>12</v>
      </c>
      <c r="K46" s="832"/>
      <c r="L46" s="832"/>
      <c r="M46" s="832"/>
      <c r="N46" s="832"/>
      <c r="O46" s="833"/>
      <c r="P46" s="831" t="s">
        <v>13</v>
      </c>
      <c r="Q46" s="832"/>
      <c r="R46" s="832"/>
      <c r="S46" s="832"/>
      <c r="T46" s="832"/>
      <c r="U46" s="833"/>
      <c r="V46" s="831" t="s">
        <v>14</v>
      </c>
      <c r="W46" s="832"/>
      <c r="X46" s="832"/>
      <c r="Y46" s="832"/>
      <c r="Z46" s="832"/>
      <c r="AA46" s="833"/>
      <c r="AB46" s="831" t="s">
        <v>15</v>
      </c>
      <c r="AC46" s="832"/>
      <c r="AD46" s="832"/>
      <c r="AE46" s="832"/>
      <c r="AF46" s="832"/>
      <c r="AG46" s="833"/>
      <c r="AH46" s="831" t="s">
        <v>16</v>
      </c>
      <c r="AI46" s="832"/>
      <c r="AJ46" s="832"/>
      <c r="AK46" s="832"/>
      <c r="AL46" s="832"/>
      <c r="AM46" s="833"/>
      <c r="AN46" s="361"/>
      <c r="AO46" s="361"/>
      <c r="AP46" s="361"/>
      <c r="AQ46" s="361"/>
      <c r="AR46" s="361"/>
      <c r="AS46" s="361"/>
      <c r="AT46" s="361"/>
      <c r="AU46" s="361"/>
      <c r="AV46" s="361"/>
      <c r="AW46" s="361"/>
      <c r="AX46" s="361"/>
      <c r="AY46" s="361"/>
      <c r="AZ46" s="361"/>
      <c r="BA46" s="361"/>
      <c r="BB46" s="361"/>
      <c r="BC46" s="361"/>
      <c r="BD46" s="361"/>
      <c r="BE46" s="361"/>
      <c r="BF46" s="361"/>
      <c r="BG46" s="361"/>
      <c r="BH46" s="361"/>
      <c r="BI46" s="361"/>
    </row>
    <row r="47" spans="1:61" ht="15.75" customHeight="1" x14ac:dyDescent="0.25">
      <c r="A47" s="361"/>
      <c r="B47" s="361"/>
      <c r="C47" s="361"/>
      <c r="D47" s="361"/>
      <c r="E47" s="361"/>
      <c r="F47" s="361"/>
      <c r="G47" s="361"/>
      <c r="H47" s="361"/>
      <c r="I47" s="361"/>
      <c r="J47" s="834"/>
      <c r="K47" s="826"/>
      <c r="L47" s="826"/>
      <c r="M47" s="826"/>
      <c r="N47" s="826"/>
      <c r="O47" s="830"/>
      <c r="P47" s="834"/>
      <c r="Q47" s="826"/>
      <c r="R47" s="826"/>
      <c r="S47" s="826"/>
      <c r="T47" s="826"/>
      <c r="U47" s="830"/>
      <c r="V47" s="834"/>
      <c r="W47" s="826"/>
      <c r="X47" s="826"/>
      <c r="Y47" s="826"/>
      <c r="Z47" s="826"/>
      <c r="AA47" s="830"/>
      <c r="AB47" s="834"/>
      <c r="AC47" s="826"/>
      <c r="AD47" s="826"/>
      <c r="AE47" s="826"/>
      <c r="AF47" s="826"/>
      <c r="AG47" s="830"/>
      <c r="AH47" s="834"/>
      <c r="AI47" s="826"/>
      <c r="AJ47" s="826"/>
      <c r="AK47" s="826"/>
      <c r="AL47" s="826"/>
      <c r="AM47" s="830"/>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row>
    <row r="48" spans="1:61" ht="15.75" customHeight="1" x14ac:dyDescent="0.25">
      <c r="A48" s="361"/>
      <c r="B48" s="361"/>
      <c r="C48" s="361"/>
      <c r="D48" s="361"/>
      <c r="E48" s="361"/>
      <c r="F48" s="361"/>
      <c r="G48" s="361"/>
      <c r="H48" s="361"/>
      <c r="I48" s="361"/>
      <c r="J48" s="834"/>
      <c r="K48" s="826"/>
      <c r="L48" s="826"/>
      <c r="M48" s="826"/>
      <c r="N48" s="826"/>
      <c r="O48" s="830"/>
      <c r="P48" s="834"/>
      <c r="Q48" s="826"/>
      <c r="R48" s="826"/>
      <c r="S48" s="826"/>
      <c r="T48" s="826"/>
      <c r="U48" s="830"/>
      <c r="V48" s="834"/>
      <c r="W48" s="826"/>
      <c r="X48" s="826"/>
      <c r="Y48" s="826"/>
      <c r="Z48" s="826"/>
      <c r="AA48" s="830"/>
      <c r="AB48" s="834"/>
      <c r="AC48" s="826"/>
      <c r="AD48" s="826"/>
      <c r="AE48" s="826"/>
      <c r="AF48" s="826"/>
      <c r="AG48" s="830"/>
      <c r="AH48" s="834"/>
      <c r="AI48" s="826"/>
      <c r="AJ48" s="826"/>
      <c r="AK48" s="826"/>
      <c r="AL48" s="826"/>
      <c r="AM48" s="830"/>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row>
    <row r="49" spans="1:61" ht="15.75" customHeight="1" x14ac:dyDescent="0.25">
      <c r="A49" s="361"/>
      <c r="B49" s="361"/>
      <c r="C49" s="361"/>
      <c r="D49" s="361"/>
      <c r="E49" s="361"/>
      <c r="F49" s="361"/>
      <c r="G49" s="361"/>
      <c r="H49" s="361"/>
      <c r="I49" s="361"/>
      <c r="J49" s="834"/>
      <c r="K49" s="826"/>
      <c r="L49" s="826"/>
      <c r="M49" s="826"/>
      <c r="N49" s="826"/>
      <c r="O49" s="830"/>
      <c r="P49" s="834"/>
      <c r="Q49" s="826"/>
      <c r="R49" s="826"/>
      <c r="S49" s="826"/>
      <c r="T49" s="826"/>
      <c r="U49" s="830"/>
      <c r="V49" s="834"/>
      <c r="W49" s="826"/>
      <c r="X49" s="826"/>
      <c r="Y49" s="826"/>
      <c r="Z49" s="826"/>
      <c r="AA49" s="830"/>
      <c r="AB49" s="834"/>
      <c r="AC49" s="826"/>
      <c r="AD49" s="826"/>
      <c r="AE49" s="826"/>
      <c r="AF49" s="826"/>
      <c r="AG49" s="830"/>
      <c r="AH49" s="834"/>
      <c r="AI49" s="826"/>
      <c r="AJ49" s="826"/>
      <c r="AK49" s="826"/>
      <c r="AL49" s="826"/>
      <c r="AM49" s="830"/>
      <c r="AN49" s="361"/>
      <c r="AO49" s="361"/>
      <c r="AP49" s="361"/>
      <c r="AQ49" s="361"/>
      <c r="AR49" s="361"/>
      <c r="AS49" s="361"/>
      <c r="AT49" s="361"/>
      <c r="AU49" s="361"/>
      <c r="AV49" s="361"/>
      <c r="AW49" s="361"/>
      <c r="AX49" s="361"/>
      <c r="AY49" s="361"/>
      <c r="AZ49" s="361"/>
      <c r="BA49" s="361"/>
      <c r="BB49" s="361"/>
      <c r="BC49" s="361"/>
      <c r="BD49" s="361"/>
      <c r="BE49" s="361"/>
      <c r="BF49" s="361"/>
      <c r="BG49" s="361"/>
      <c r="BH49" s="361"/>
      <c r="BI49" s="361"/>
    </row>
    <row r="50" spans="1:61" ht="15.75" customHeight="1" x14ac:dyDescent="0.25">
      <c r="A50" s="361"/>
      <c r="B50" s="361"/>
      <c r="C50" s="361"/>
      <c r="D50" s="361"/>
      <c r="E50" s="361"/>
      <c r="F50" s="361"/>
      <c r="G50" s="361"/>
      <c r="H50" s="361"/>
      <c r="I50" s="361"/>
      <c r="J50" s="834"/>
      <c r="K50" s="826"/>
      <c r="L50" s="826"/>
      <c r="M50" s="826"/>
      <c r="N50" s="826"/>
      <c r="O50" s="830"/>
      <c r="P50" s="834"/>
      <c r="Q50" s="826"/>
      <c r="R50" s="826"/>
      <c r="S50" s="826"/>
      <c r="T50" s="826"/>
      <c r="U50" s="830"/>
      <c r="V50" s="834"/>
      <c r="W50" s="826"/>
      <c r="X50" s="826"/>
      <c r="Y50" s="826"/>
      <c r="Z50" s="826"/>
      <c r="AA50" s="830"/>
      <c r="AB50" s="834"/>
      <c r="AC50" s="826"/>
      <c r="AD50" s="826"/>
      <c r="AE50" s="826"/>
      <c r="AF50" s="826"/>
      <c r="AG50" s="830"/>
      <c r="AH50" s="834"/>
      <c r="AI50" s="826"/>
      <c r="AJ50" s="826"/>
      <c r="AK50" s="826"/>
      <c r="AL50" s="826"/>
      <c r="AM50" s="830"/>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row>
    <row r="51" spans="1:61" ht="15.75" customHeight="1" thickBot="1" x14ac:dyDescent="0.3">
      <c r="A51" s="361"/>
      <c r="B51" s="361"/>
      <c r="C51" s="361"/>
      <c r="D51" s="361"/>
      <c r="E51" s="361"/>
      <c r="F51" s="361"/>
      <c r="G51" s="361"/>
      <c r="H51" s="361"/>
      <c r="I51" s="361"/>
      <c r="J51" s="835"/>
      <c r="K51" s="836"/>
      <c r="L51" s="836"/>
      <c r="M51" s="836"/>
      <c r="N51" s="836"/>
      <c r="O51" s="837"/>
      <c r="P51" s="835"/>
      <c r="Q51" s="836"/>
      <c r="R51" s="836"/>
      <c r="S51" s="836"/>
      <c r="T51" s="836"/>
      <c r="U51" s="837"/>
      <c r="V51" s="835"/>
      <c r="W51" s="836"/>
      <c r="X51" s="836"/>
      <c r="Y51" s="836"/>
      <c r="Z51" s="836"/>
      <c r="AA51" s="837"/>
      <c r="AB51" s="835"/>
      <c r="AC51" s="836"/>
      <c r="AD51" s="836"/>
      <c r="AE51" s="836"/>
      <c r="AF51" s="836"/>
      <c r="AG51" s="837"/>
      <c r="AH51" s="835"/>
      <c r="AI51" s="836"/>
      <c r="AJ51" s="836"/>
      <c r="AK51" s="836"/>
      <c r="AL51" s="836"/>
      <c r="AM51" s="837"/>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row>
    <row r="52" spans="1:61" ht="15.75" customHeight="1" x14ac:dyDescent="0.25">
      <c r="A52" s="361"/>
      <c r="B52" s="361"/>
      <c r="C52" s="361"/>
      <c r="D52" s="361"/>
      <c r="E52" s="361"/>
      <c r="F52" s="361"/>
      <c r="G52" s="361"/>
      <c r="H52" s="361"/>
      <c r="I52" s="361"/>
      <c r="J52" s="361"/>
      <c r="K52" s="361"/>
      <c r="L52" s="361"/>
      <c r="M52" s="361"/>
      <c r="N52" s="361"/>
      <c r="O52" s="361"/>
      <c r="P52" s="361"/>
      <c r="Q52" s="361"/>
      <c r="R52" s="361"/>
      <c r="S52" s="361"/>
      <c r="T52" s="361"/>
      <c r="U52" s="361"/>
      <c r="V52" s="361"/>
      <c r="W52" s="361"/>
      <c r="X52" s="361"/>
      <c r="Y52" s="361"/>
      <c r="Z52" s="361"/>
      <c r="AA52" s="361"/>
      <c r="AB52" s="361"/>
      <c r="AC52" s="361"/>
      <c r="AD52" s="361"/>
      <c r="AE52" s="361"/>
      <c r="AF52" s="361"/>
      <c r="AG52" s="361"/>
      <c r="AH52" s="361"/>
      <c r="AI52" s="361"/>
      <c r="AJ52" s="361"/>
      <c r="AK52" s="361"/>
      <c r="AL52" s="361"/>
      <c r="AM52" s="361"/>
      <c r="AN52" s="361"/>
      <c r="AO52" s="361"/>
      <c r="AP52" s="361"/>
      <c r="AQ52" s="361"/>
      <c r="AR52" s="361"/>
      <c r="AS52" s="361"/>
      <c r="AT52" s="361"/>
      <c r="AU52" s="361"/>
      <c r="AV52" s="361"/>
      <c r="AW52" s="361"/>
      <c r="AX52" s="361"/>
      <c r="AY52" s="361"/>
      <c r="AZ52" s="361"/>
      <c r="BA52" s="361"/>
      <c r="BB52" s="361"/>
      <c r="BC52" s="361"/>
      <c r="BD52" s="361"/>
      <c r="BE52" s="361"/>
      <c r="BF52" s="361"/>
      <c r="BG52" s="361"/>
      <c r="BH52" s="361"/>
      <c r="BI52" s="361"/>
    </row>
    <row r="53" spans="1:61" ht="15" customHeight="1" x14ac:dyDescent="0.25">
      <c r="A53" s="361"/>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c r="AG53" s="362"/>
      <c r="AH53" s="362"/>
      <c r="AI53" s="362"/>
      <c r="AJ53" s="362"/>
      <c r="AK53" s="362"/>
      <c r="AL53" s="362"/>
      <c r="AM53" s="362"/>
      <c r="AN53" s="362"/>
      <c r="AO53" s="362"/>
      <c r="AP53" s="362"/>
      <c r="AQ53" s="362"/>
      <c r="AR53" s="362"/>
      <c r="AS53" s="362"/>
      <c r="AT53" s="362"/>
      <c r="AU53" s="361"/>
      <c r="AV53" s="361"/>
      <c r="AW53" s="361"/>
      <c r="AX53" s="361"/>
      <c r="AY53" s="361"/>
      <c r="AZ53" s="361"/>
      <c r="BA53" s="361"/>
      <c r="BB53" s="361"/>
      <c r="BC53" s="361"/>
      <c r="BD53" s="361"/>
      <c r="BE53" s="361"/>
      <c r="BF53" s="361"/>
      <c r="BG53" s="361"/>
      <c r="BH53" s="361"/>
      <c r="BI53" s="361"/>
    </row>
    <row r="54" spans="1:61" ht="15" customHeight="1" x14ac:dyDescent="0.25">
      <c r="A54" s="361"/>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c r="AG54" s="362"/>
      <c r="AH54" s="362"/>
      <c r="AI54" s="362"/>
      <c r="AJ54" s="362"/>
      <c r="AK54" s="362"/>
      <c r="AL54" s="362"/>
      <c r="AM54" s="362"/>
      <c r="AN54" s="362"/>
      <c r="AO54" s="362"/>
      <c r="AP54" s="362"/>
      <c r="AQ54" s="362"/>
      <c r="AR54" s="362"/>
      <c r="AS54" s="362"/>
      <c r="AT54" s="362"/>
      <c r="AU54" s="361"/>
      <c r="AV54" s="361"/>
      <c r="AW54" s="361"/>
      <c r="AX54" s="361"/>
      <c r="AY54" s="361"/>
      <c r="AZ54" s="361"/>
      <c r="BA54" s="361"/>
      <c r="BB54" s="361"/>
      <c r="BC54" s="361"/>
      <c r="BD54" s="361"/>
      <c r="BE54" s="361"/>
      <c r="BF54" s="361"/>
      <c r="BG54" s="361"/>
      <c r="BH54" s="361"/>
      <c r="BI54" s="361"/>
    </row>
    <row r="55" spans="1:61" ht="15.75" customHeight="1" x14ac:dyDescent="0.25">
      <c r="A55" s="361"/>
      <c r="B55" s="361"/>
      <c r="C55" s="361"/>
      <c r="D55" s="361"/>
      <c r="E55" s="361"/>
      <c r="F55" s="361"/>
      <c r="G55" s="361"/>
      <c r="H55" s="361"/>
      <c r="I55" s="361"/>
      <c r="J55" s="361"/>
      <c r="K55" s="361"/>
      <c r="L55" s="361"/>
      <c r="M55" s="361"/>
      <c r="N55" s="361"/>
      <c r="O55" s="361"/>
      <c r="P55" s="361"/>
      <c r="Q55" s="361"/>
      <c r="R55" s="361"/>
      <c r="S55" s="361"/>
      <c r="T55" s="361"/>
      <c r="U55" s="361"/>
      <c r="V55" s="361"/>
      <c r="W55" s="361"/>
      <c r="X55" s="361"/>
      <c r="Y55" s="361"/>
      <c r="Z55" s="361"/>
      <c r="AA55" s="361"/>
      <c r="AB55" s="361"/>
      <c r="AC55" s="361"/>
      <c r="AD55" s="361"/>
      <c r="AE55" s="361"/>
      <c r="AF55" s="361"/>
      <c r="AG55" s="361"/>
      <c r="AH55" s="361"/>
      <c r="AI55" s="361"/>
      <c r="AJ55" s="361"/>
      <c r="AK55" s="361"/>
      <c r="AL55" s="361"/>
      <c r="AM55" s="361"/>
      <c r="AN55" s="361"/>
      <c r="AO55" s="361"/>
      <c r="AP55" s="361"/>
      <c r="AQ55" s="361"/>
      <c r="AR55" s="361"/>
      <c r="AS55" s="361"/>
      <c r="AT55" s="361"/>
      <c r="AU55" s="361"/>
      <c r="AV55" s="361"/>
      <c r="AW55" s="361"/>
      <c r="AX55" s="361"/>
      <c r="AY55" s="361"/>
      <c r="AZ55" s="361"/>
      <c r="BA55" s="361"/>
      <c r="BB55" s="361"/>
      <c r="BC55" s="361"/>
      <c r="BD55" s="361"/>
      <c r="BE55" s="361"/>
      <c r="BF55" s="361"/>
      <c r="BG55" s="361"/>
      <c r="BH55" s="361"/>
      <c r="BI55" s="361"/>
    </row>
    <row r="56" spans="1:61" ht="15.75" customHeight="1" x14ac:dyDescent="0.25">
      <c r="A56" s="361"/>
      <c r="B56" s="361"/>
      <c r="C56" s="361"/>
      <c r="D56" s="361"/>
      <c r="E56" s="361"/>
      <c r="F56" s="361"/>
      <c r="G56" s="361"/>
      <c r="H56" s="361"/>
      <c r="I56" s="361"/>
      <c r="J56" s="361"/>
      <c r="K56" s="361"/>
      <c r="L56" s="361"/>
      <c r="M56" s="361"/>
      <c r="N56" s="361"/>
      <c r="O56" s="361"/>
      <c r="P56" s="361"/>
      <c r="Q56" s="361"/>
      <c r="R56" s="361"/>
      <c r="S56" s="361"/>
      <c r="T56" s="361"/>
      <c r="U56" s="361"/>
      <c r="V56" s="361"/>
      <c r="W56" s="361"/>
      <c r="X56" s="361"/>
      <c r="Y56" s="361"/>
      <c r="Z56" s="361"/>
      <c r="AA56" s="361"/>
      <c r="AB56" s="361"/>
      <c r="AC56" s="361"/>
      <c r="AD56" s="361"/>
      <c r="AE56" s="361"/>
      <c r="AF56" s="361"/>
      <c r="AG56" s="361"/>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row>
    <row r="57" spans="1:61" ht="15.75" customHeight="1" x14ac:dyDescent="0.25">
      <c r="A57" s="361"/>
      <c r="B57" s="361"/>
      <c r="C57" s="361"/>
      <c r="D57" s="361"/>
      <c r="E57" s="361"/>
      <c r="F57" s="361"/>
      <c r="G57" s="361"/>
      <c r="H57" s="361"/>
      <c r="I57" s="361"/>
      <c r="J57" s="361"/>
      <c r="K57" s="361"/>
      <c r="L57" s="361"/>
      <c r="M57" s="361"/>
      <c r="N57" s="361"/>
      <c r="O57" s="361"/>
      <c r="P57" s="361"/>
      <c r="Q57" s="361"/>
      <c r="R57" s="361"/>
      <c r="S57" s="361"/>
      <c r="T57" s="361"/>
      <c r="U57" s="361"/>
      <c r="V57" s="361"/>
      <c r="W57" s="361"/>
      <c r="X57" s="361"/>
      <c r="Y57" s="361"/>
      <c r="Z57" s="361"/>
      <c r="AA57" s="361"/>
      <c r="AB57" s="361"/>
      <c r="AC57" s="361"/>
      <c r="AD57" s="361"/>
      <c r="AE57" s="361"/>
      <c r="AF57" s="361"/>
      <c r="AG57" s="361"/>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row>
    <row r="58" spans="1:61" ht="15.75" customHeight="1" x14ac:dyDescent="0.25">
      <c r="A58" s="361"/>
      <c r="B58" s="361"/>
      <c r="C58" s="361"/>
      <c r="D58" s="361"/>
      <c r="E58" s="361"/>
      <c r="F58" s="361"/>
      <c r="G58" s="361"/>
      <c r="H58" s="361"/>
      <c r="I58" s="361"/>
      <c r="J58" s="361"/>
      <c r="K58" s="361"/>
      <c r="L58" s="361"/>
      <c r="M58" s="361"/>
      <c r="N58" s="361"/>
      <c r="O58" s="361"/>
      <c r="P58" s="361"/>
      <c r="Q58" s="361"/>
      <c r="R58" s="361"/>
      <c r="S58" s="361"/>
      <c r="T58" s="361"/>
      <c r="U58" s="361"/>
      <c r="V58" s="361"/>
      <c r="W58" s="361"/>
      <c r="X58" s="361"/>
      <c r="Y58" s="361"/>
      <c r="Z58" s="361"/>
      <c r="AA58" s="361"/>
      <c r="AB58" s="361"/>
      <c r="AC58" s="361"/>
      <c r="AD58" s="361"/>
      <c r="AE58" s="361"/>
      <c r="AF58" s="361"/>
      <c r="AG58" s="361"/>
      <c r="AH58" s="361"/>
      <c r="AI58" s="361"/>
      <c r="AJ58" s="361"/>
      <c r="AK58" s="361"/>
      <c r="AL58" s="361"/>
      <c r="AM58" s="361"/>
      <c r="AN58" s="361"/>
      <c r="AO58" s="361"/>
      <c r="AP58" s="361"/>
      <c r="AQ58" s="361"/>
      <c r="AR58" s="361"/>
      <c r="AS58" s="361"/>
      <c r="AT58" s="361"/>
      <c r="AU58" s="361"/>
      <c r="AV58" s="361"/>
      <c r="AW58" s="361"/>
      <c r="AX58" s="361"/>
      <c r="AY58" s="361"/>
      <c r="AZ58" s="361"/>
      <c r="BA58" s="361"/>
      <c r="BB58" s="361"/>
      <c r="BC58" s="361"/>
      <c r="BD58" s="361"/>
      <c r="BE58" s="361"/>
      <c r="BF58" s="361"/>
      <c r="BG58" s="361"/>
      <c r="BH58" s="361"/>
      <c r="BI58" s="361"/>
    </row>
    <row r="59" spans="1:61" ht="15.75" customHeight="1" x14ac:dyDescent="0.25">
      <c r="A59" s="361"/>
      <c r="B59" s="361"/>
      <c r="C59" s="361"/>
      <c r="D59" s="361"/>
      <c r="E59" s="361"/>
      <c r="F59" s="361"/>
      <c r="G59" s="361"/>
      <c r="H59" s="361"/>
      <c r="I59" s="361"/>
      <c r="J59" s="361"/>
      <c r="K59" s="361"/>
      <c r="L59" s="361"/>
      <c r="M59" s="361"/>
      <c r="N59" s="361"/>
      <c r="O59" s="361"/>
      <c r="P59" s="361"/>
      <c r="Q59" s="361"/>
      <c r="R59" s="361"/>
      <c r="S59" s="361"/>
      <c r="T59" s="361"/>
      <c r="U59" s="361"/>
      <c r="V59" s="361"/>
      <c r="W59" s="361"/>
      <c r="X59" s="361"/>
      <c r="Y59" s="361"/>
      <c r="Z59" s="361"/>
      <c r="AA59" s="361"/>
      <c r="AB59" s="361"/>
      <c r="AC59" s="361"/>
      <c r="AD59" s="361"/>
      <c r="AE59" s="361"/>
      <c r="AF59" s="361"/>
      <c r="AG59" s="361"/>
      <c r="AH59" s="361"/>
      <c r="AI59" s="361"/>
      <c r="AJ59" s="361"/>
      <c r="AK59" s="361"/>
      <c r="AL59" s="361"/>
      <c r="AM59" s="361"/>
      <c r="AN59" s="361"/>
      <c r="AO59" s="361"/>
      <c r="AP59" s="361"/>
      <c r="AQ59" s="361"/>
      <c r="AR59" s="361"/>
      <c r="AS59" s="361"/>
      <c r="AT59" s="361"/>
      <c r="AU59" s="361"/>
      <c r="AV59" s="361"/>
      <c r="AW59" s="361"/>
      <c r="AX59" s="361"/>
      <c r="AY59" s="361"/>
      <c r="AZ59" s="361"/>
      <c r="BA59" s="361"/>
      <c r="BB59" s="361"/>
      <c r="BC59" s="361"/>
      <c r="BD59" s="361"/>
      <c r="BE59" s="361"/>
      <c r="BF59" s="361"/>
      <c r="BG59" s="361"/>
      <c r="BH59" s="361"/>
      <c r="BI59" s="361"/>
    </row>
    <row r="60" spans="1:61" ht="15.75" customHeight="1" x14ac:dyDescent="0.25">
      <c r="A60" s="361"/>
      <c r="B60" s="361"/>
      <c r="C60" s="361"/>
      <c r="D60" s="361"/>
      <c r="E60" s="361"/>
      <c r="F60" s="361"/>
      <c r="G60" s="361"/>
      <c r="H60" s="361"/>
      <c r="I60" s="361"/>
      <c r="J60" s="361"/>
      <c r="K60" s="361"/>
      <c r="L60" s="361"/>
      <c r="M60" s="361"/>
      <c r="N60" s="361"/>
      <c r="O60" s="361"/>
      <c r="P60" s="361"/>
      <c r="Q60" s="361"/>
      <c r="R60" s="361"/>
      <c r="S60" s="361"/>
      <c r="T60" s="361"/>
      <c r="U60" s="361"/>
      <c r="V60" s="361"/>
      <c r="W60" s="361"/>
      <c r="X60" s="361"/>
      <c r="Y60" s="361"/>
      <c r="Z60" s="361"/>
      <c r="AA60" s="361"/>
      <c r="AB60" s="361"/>
      <c r="AC60" s="361"/>
      <c r="AD60" s="361"/>
      <c r="AE60" s="361"/>
      <c r="AF60" s="361"/>
      <c r="AG60" s="361"/>
      <c r="AH60" s="361"/>
      <c r="AI60" s="361"/>
      <c r="AJ60" s="361"/>
      <c r="AK60" s="361"/>
      <c r="AL60" s="361"/>
      <c r="AM60" s="361"/>
      <c r="AN60" s="361"/>
      <c r="AO60" s="361"/>
      <c r="AP60" s="361"/>
      <c r="AQ60" s="361"/>
      <c r="AR60" s="361"/>
      <c r="AS60" s="361"/>
      <c r="AT60" s="361"/>
      <c r="AU60" s="361"/>
      <c r="AV60" s="361"/>
      <c r="AW60" s="361"/>
      <c r="AX60" s="361"/>
      <c r="AY60" s="361"/>
      <c r="AZ60" s="361"/>
      <c r="BA60" s="361"/>
      <c r="BB60" s="361"/>
      <c r="BC60" s="361"/>
      <c r="BD60" s="361"/>
      <c r="BE60" s="361"/>
      <c r="BF60" s="361"/>
      <c r="BG60" s="361"/>
      <c r="BH60" s="361"/>
      <c r="BI60" s="361"/>
    </row>
    <row r="61" spans="1:61" ht="15.75" customHeight="1" x14ac:dyDescent="0.25">
      <c r="A61" s="361"/>
      <c r="B61" s="361"/>
      <c r="C61" s="361"/>
      <c r="D61" s="361"/>
      <c r="E61" s="361"/>
      <c r="F61" s="361"/>
      <c r="G61" s="361"/>
      <c r="H61" s="361"/>
      <c r="I61" s="361"/>
      <c r="J61" s="361"/>
      <c r="K61" s="361"/>
      <c r="L61" s="361"/>
      <c r="M61" s="361"/>
      <c r="N61" s="361"/>
      <c r="O61" s="361"/>
      <c r="P61" s="361"/>
      <c r="Q61" s="361"/>
      <c r="R61" s="361"/>
      <c r="S61" s="361"/>
      <c r="T61" s="361"/>
      <c r="U61" s="361"/>
      <c r="V61" s="361"/>
      <c r="W61" s="361"/>
      <c r="X61" s="361"/>
      <c r="Y61" s="361"/>
      <c r="Z61" s="361"/>
      <c r="AA61" s="361"/>
      <c r="AB61" s="361"/>
      <c r="AC61" s="361"/>
      <c r="AD61" s="361"/>
      <c r="AE61" s="361"/>
      <c r="AF61" s="361"/>
      <c r="AG61" s="361"/>
      <c r="AH61" s="361"/>
      <c r="AI61" s="361"/>
      <c r="AJ61" s="361"/>
      <c r="AK61" s="361"/>
      <c r="AL61" s="361"/>
      <c r="AM61" s="361"/>
      <c r="AN61" s="361"/>
      <c r="AO61" s="361"/>
      <c r="AP61" s="361"/>
      <c r="AQ61" s="361"/>
      <c r="AR61" s="361"/>
      <c r="AS61" s="361"/>
      <c r="AT61" s="361"/>
      <c r="AU61" s="361"/>
      <c r="AV61" s="361"/>
      <c r="AW61" s="361"/>
      <c r="AX61" s="361"/>
      <c r="AY61" s="361"/>
      <c r="AZ61" s="361"/>
      <c r="BA61" s="361"/>
      <c r="BB61" s="361"/>
      <c r="BC61" s="361"/>
      <c r="BD61" s="361"/>
      <c r="BE61" s="361"/>
      <c r="BF61" s="361"/>
      <c r="BG61" s="361"/>
      <c r="BH61" s="361"/>
      <c r="BI61" s="361"/>
    </row>
    <row r="62" spans="1:61" ht="15.75" customHeight="1" x14ac:dyDescent="0.25">
      <c r="A62" s="361"/>
      <c r="B62" s="361"/>
      <c r="C62" s="361"/>
      <c r="D62" s="361"/>
      <c r="E62" s="361"/>
      <c r="F62" s="361"/>
      <c r="G62" s="361"/>
      <c r="H62" s="361"/>
      <c r="I62" s="361"/>
      <c r="J62" s="361"/>
      <c r="K62" s="361"/>
      <c r="L62" s="361"/>
      <c r="M62" s="361"/>
      <c r="N62" s="361"/>
      <c r="O62" s="361"/>
      <c r="P62" s="361"/>
      <c r="Q62" s="361"/>
      <c r="R62" s="361"/>
      <c r="S62" s="361"/>
      <c r="T62" s="361"/>
      <c r="U62" s="361"/>
      <c r="V62" s="361"/>
      <c r="W62" s="361"/>
      <c r="X62" s="361"/>
      <c r="Y62" s="361"/>
      <c r="Z62" s="361"/>
      <c r="AA62" s="361"/>
      <c r="AB62" s="361"/>
      <c r="AC62" s="361"/>
      <c r="AD62" s="361"/>
      <c r="AE62" s="361"/>
      <c r="AF62" s="361"/>
      <c r="AG62" s="361"/>
      <c r="AH62" s="361"/>
      <c r="AI62" s="361"/>
      <c r="AJ62" s="361"/>
      <c r="AK62" s="361"/>
      <c r="AL62" s="361"/>
      <c r="AM62" s="361"/>
      <c r="AN62" s="361"/>
      <c r="AO62" s="361"/>
      <c r="AP62" s="361"/>
      <c r="AQ62" s="361"/>
      <c r="AR62" s="361"/>
      <c r="AS62" s="361"/>
      <c r="AT62" s="361"/>
      <c r="AU62" s="361"/>
      <c r="AV62" s="361"/>
      <c r="AW62" s="361"/>
      <c r="AX62" s="361"/>
      <c r="AY62" s="361"/>
      <c r="AZ62" s="361"/>
      <c r="BA62" s="361"/>
      <c r="BB62" s="361"/>
      <c r="BC62" s="361"/>
      <c r="BD62" s="361"/>
      <c r="BE62" s="361"/>
      <c r="BF62" s="361"/>
      <c r="BG62" s="361"/>
      <c r="BH62" s="361"/>
      <c r="BI62" s="361"/>
    </row>
    <row r="63" spans="1:61" ht="15.75" customHeight="1" x14ac:dyDescent="0.25">
      <c r="A63" s="361"/>
      <c r="B63" s="361"/>
      <c r="C63" s="361"/>
      <c r="D63" s="361"/>
      <c r="E63" s="361"/>
      <c r="F63" s="361"/>
      <c r="G63" s="361"/>
      <c r="H63" s="361"/>
      <c r="I63" s="361"/>
      <c r="J63" s="361"/>
      <c r="K63" s="361"/>
      <c r="L63" s="361"/>
      <c r="M63" s="361"/>
      <c r="N63" s="361"/>
      <c r="O63" s="361"/>
      <c r="P63" s="361"/>
      <c r="Q63" s="361"/>
      <c r="R63" s="361"/>
      <c r="S63" s="361"/>
      <c r="T63" s="361"/>
      <c r="U63" s="361"/>
      <c r="V63" s="361"/>
      <c r="W63" s="361"/>
      <c r="X63" s="361"/>
      <c r="Y63" s="361"/>
      <c r="Z63" s="361"/>
      <c r="AA63" s="361"/>
      <c r="AB63" s="361"/>
      <c r="AC63" s="361"/>
      <c r="AD63" s="361"/>
      <c r="AE63" s="361"/>
      <c r="AF63" s="361"/>
      <c r="AG63" s="361"/>
      <c r="AH63" s="361"/>
      <c r="AI63" s="361"/>
      <c r="AJ63" s="361"/>
      <c r="AK63" s="361"/>
      <c r="AL63" s="361"/>
      <c r="AM63" s="361"/>
      <c r="AN63" s="361"/>
      <c r="AO63" s="361"/>
      <c r="AP63" s="361"/>
      <c r="AQ63" s="361"/>
      <c r="AR63" s="361"/>
      <c r="AS63" s="361"/>
      <c r="AT63" s="361"/>
      <c r="AU63" s="361"/>
      <c r="AV63" s="361"/>
      <c r="AW63" s="361"/>
      <c r="AX63" s="361"/>
      <c r="AY63" s="361"/>
      <c r="AZ63" s="361"/>
      <c r="BA63" s="361"/>
      <c r="BB63" s="361"/>
      <c r="BC63" s="361"/>
      <c r="BD63" s="361"/>
      <c r="BE63" s="361"/>
      <c r="BF63" s="361"/>
      <c r="BG63" s="361"/>
      <c r="BH63" s="361"/>
      <c r="BI63" s="361"/>
    </row>
    <row r="64" spans="1:61" ht="15.75" customHeight="1" x14ac:dyDescent="0.25">
      <c r="A64" s="361"/>
      <c r="B64" s="361"/>
      <c r="C64" s="361"/>
      <c r="D64" s="361"/>
      <c r="E64" s="361"/>
      <c r="F64" s="361"/>
      <c r="G64" s="361"/>
      <c r="H64" s="361"/>
      <c r="I64" s="361"/>
      <c r="J64" s="361"/>
      <c r="K64" s="361"/>
      <c r="L64" s="361"/>
      <c r="M64" s="361"/>
      <c r="N64" s="361"/>
      <c r="O64" s="361"/>
      <c r="P64" s="361"/>
      <c r="Q64" s="361"/>
      <c r="R64" s="361"/>
      <c r="S64" s="361"/>
      <c r="T64" s="361"/>
      <c r="U64" s="361"/>
      <c r="V64" s="361"/>
      <c r="W64" s="361"/>
      <c r="X64" s="361"/>
      <c r="Y64" s="361"/>
      <c r="Z64" s="361"/>
      <c r="AA64" s="361"/>
      <c r="AB64" s="361"/>
      <c r="AC64" s="361"/>
      <c r="AD64" s="361"/>
      <c r="AE64" s="361"/>
      <c r="AF64" s="361"/>
      <c r="AG64" s="361"/>
      <c r="AH64" s="361"/>
      <c r="AI64" s="361"/>
      <c r="AJ64" s="361"/>
      <c r="AK64" s="361"/>
      <c r="AL64" s="361"/>
      <c r="AM64" s="361"/>
      <c r="AN64" s="361"/>
      <c r="AO64" s="361"/>
      <c r="AP64" s="361"/>
      <c r="AQ64" s="361"/>
      <c r="AR64" s="361"/>
      <c r="AS64" s="361"/>
      <c r="AT64" s="361"/>
      <c r="AU64" s="361"/>
      <c r="AV64" s="361"/>
      <c r="AW64" s="361"/>
      <c r="AX64" s="361"/>
      <c r="AY64" s="361"/>
      <c r="AZ64" s="361"/>
      <c r="BA64" s="361"/>
      <c r="BB64" s="361"/>
      <c r="BC64" s="361"/>
      <c r="BD64" s="361"/>
      <c r="BE64" s="361"/>
      <c r="BF64" s="361"/>
      <c r="BG64" s="361"/>
      <c r="BH64" s="361"/>
      <c r="BI64" s="361"/>
    </row>
    <row r="65" spans="1:61" ht="15.75" customHeight="1" x14ac:dyDescent="0.25">
      <c r="A65" s="361"/>
      <c r="B65" s="361"/>
      <c r="C65" s="361"/>
      <c r="D65" s="361"/>
      <c r="E65" s="361"/>
      <c r="F65" s="361"/>
      <c r="G65" s="361"/>
      <c r="H65" s="361"/>
      <c r="I65" s="361"/>
      <c r="J65" s="361"/>
      <c r="K65" s="361"/>
      <c r="L65" s="361"/>
      <c r="M65" s="361"/>
      <c r="N65" s="361"/>
      <c r="O65" s="361"/>
      <c r="P65" s="361"/>
      <c r="Q65" s="361"/>
      <c r="R65" s="361"/>
      <c r="S65" s="361"/>
      <c r="T65" s="361"/>
      <c r="U65" s="361"/>
      <c r="V65" s="361"/>
      <c r="W65" s="361"/>
      <c r="X65" s="361"/>
      <c r="Y65" s="361"/>
      <c r="Z65" s="361"/>
      <c r="AA65" s="361"/>
      <c r="AB65" s="361"/>
      <c r="AC65" s="361"/>
      <c r="AD65" s="361"/>
      <c r="AE65" s="361"/>
      <c r="AF65" s="361"/>
      <c r="AG65" s="361"/>
      <c r="AH65" s="361"/>
      <c r="AI65" s="361"/>
      <c r="AJ65" s="361"/>
      <c r="AK65" s="361"/>
      <c r="AL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row>
    <row r="66" spans="1:61" ht="15.75" customHeight="1" x14ac:dyDescent="0.25">
      <c r="A66" s="361"/>
      <c r="B66" s="361"/>
      <c r="C66" s="361"/>
      <c r="D66" s="361"/>
      <c r="E66" s="361"/>
      <c r="F66" s="361"/>
      <c r="G66" s="361"/>
      <c r="H66" s="361"/>
      <c r="I66" s="361"/>
      <c r="J66" s="361"/>
      <c r="K66" s="361"/>
      <c r="L66" s="361"/>
      <c r="M66" s="361"/>
      <c r="N66" s="361"/>
      <c r="O66" s="361"/>
      <c r="P66" s="361"/>
      <c r="Q66" s="361"/>
      <c r="R66" s="361"/>
      <c r="S66" s="361"/>
      <c r="T66" s="361"/>
      <c r="U66" s="361"/>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row>
    <row r="67" spans="1:61" ht="15.75" customHeight="1" x14ac:dyDescent="0.25">
      <c r="A67" s="361"/>
      <c r="B67" s="361"/>
      <c r="C67" s="361"/>
      <c r="D67" s="361"/>
      <c r="E67" s="361"/>
      <c r="F67" s="361"/>
      <c r="G67" s="361"/>
      <c r="H67" s="361"/>
      <c r="I67" s="361"/>
      <c r="J67" s="361"/>
      <c r="K67" s="361"/>
      <c r="L67" s="361"/>
      <c r="M67" s="361"/>
      <c r="N67" s="361"/>
      <c r="O67" s="361"/>
      <c r="P67" s="361"/>
      <c r="Q67" s="361"/>
      <c r="R67" s="361"/>
      <c r="S67" s="361"/>
      <c r="T67" s="361"/>
      <c r="U67" s="361"/>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row>
    <row r="68" spans="1:61" ht="15.75" customHeight="1" x14ac:dyDescent="0.25">
      <c r="A68" s="361"/>
      <c r="B68" s="361"/>
      <c r="C68" s="361"/>
      <c r="D68" s="361"/>
      <c r="E68" s="361"/>
      <c r="F68" s="361"/>
      <c r="G68" s="361"/>
      <c r="H68" s="361"/>
      <c r="I68" s="361"/>
      <c r="J68" s="361"/>
      <c r="K68" s="361"/>
      <c r="L68" s="361"/>
      <c r="M68" s="361"/>
      <c r="N68" s="361"/>
      <c r="O68" s="361"/>
      <c r="P68" s="361"/>
      <c r="Q68" s="361"/>
      <c r="R68" s="361"/>
      <c r="S68" s="361"/>
      <c r="T68" s="361"/>
      <c r="U68" s="361"/>
      <c r="V68" s="361"/>
      <c r="W68" s="361"/>
      <c r="X68" s="361"/>
      <c r="Y68" s="361"/>
      <c r="Z68" s="361"/>
      <c r="AA68" s="361"/>
      <c r="AB68" s="361"/>
      <c r="AC68" s="361"/>
      <c r="AD68" s="361"/>
      <c r="AE68" s="361"/>
      <c r="AF68" s="361"/>
      <c r="AG68" s="361"/>
      <c r="AH68" s="361"/>
      <c r="AI68" s="361"/>
      <c r="AJ68" s="361"/>
      <c r="AK68" s="361"/>
      <c r="AL68" s="361"/>
      <c r="AM68" s="361"/>
      <c r="AN68" s="361"/>
      <c r="AO68" s="361"/>
      <c r="AP68" s="361"/>
      <c r="AQ68" s="361"/>
      <c r="AR68" s="361"/>
      <c r="AS68" s="361"/>
      <c r="AT68" s="361"/>
      <c r="AU68" s="361"/>
      <c r="AV68" s="361"/>
      <c r="AW68" s="361"/>
      <c r="AX68" s="361"/>
      <c r="AY68" s="361"/>
      <c r="AZ68" s="361"/>
      <c r="BA68" s="361"/>
      <c r="BB68" s="361"/>
      <c r="BC68" s="361"/>
      <c r="BD68" s="361"/>
      <c r="BE68" s="361"/>
      <c r="BF68" s="361"/>
      <c r="BG68" s="361"/>
      <c r="BH68" s="361"/>
      <c r="BI68" s="361"/>
    </row>
    <row r="69" spans="1:61" ht="15.75" customHeight="1" x14ac:dyDescent="0.25">
      <c r="A69" s="361"/>
      <c r="B69" s="361"/>
      <c r="C69" s="361"/>
      <c r="D69" s="361"/>
      <c r="E69" s="361"/>
      <c r="F69" s="361"/>
      <c r="G69" s="361"/>
      <c r="H69" s="361"/>
      <c r="I69" s="361"/>
      <c r="J69" s="361"/>
      <c r="K69" s="361"/>
      <c r="L69" s="361"/>
      <c r="M69" s="361"/>
      <c r="N69" s="361"/>
      <c r="O69" s="361"/>
      <c r="P69" s="361"/>
      <c r="Q69" s="361"/>
      <c r="R69" s="361"/>
      <c r="S69" s="361"/>
      <c r="T69" s="361"/>
      <c r="U69" s="361"/>
      <c r="V69" s="361"/>
      <c r="W69" s="361"/>
      <c r="X69" s="361"/>
      <c r="Y69" s="361"/>
      <c r="Z69" s="361"/>
      <c r="AA69" s="361"/>
      <c r="AB69" s="361"/>
      <c r="AC69" s="361"/>
      <c r="AD69" s="361"/>
      <c r="AE69" s="361"/>
      <c r="AF69" s="361"/>
      <c r="AG69" s="361"/>
      <c r="AH69" s="361"/>
      <c r="AI69" s="361"/>
      <c r="AJ69" s="361"/>
      <c r="AK69" s="361"/>
      <c r="AL69" s="361"/>
      <c r="AM69" s="361"/>
      <c r="AN69" s="361"/>
      <c r="AO69" s="361"/>
      <c r="AP69" s="361"/>
      <c r="AQ69" s="361"/>
      <c r="AR69" s="361"/>
      <c r="AS69" s="361"/>
      <c r="AT69" s="361"/>
      <c r="AU69" s="361"/>
      <c r="AV69" s="361"/>
      <c r="AW69" s="361"/>
      <c r="AX69" s="361"/>
      <c r="AY69" s="361"/>
      <c r="AZ69" s="361"/>
      <c r="BA69" s="361"/>
      <c r="BB69" s="361"/>
      <c r="BC69" s="361"/>
      <c r="BD69" s="361"/>
      <c r="BE69" s="361"/>
      <c r="BF69" s="361"/>
      <c r="BG69" s="361"/>
      <c r="BH69" s="361"/>
      <c r="BI69" s="361"/>
    </row>
    <row r="70" spans="1:61" ht="15.75" customHeight="1" x14ac:dyDescent="0.25">
      <c r="A70" s="361"/>
      <c r="B70" s="361"/>
      <c r="C70" s="361"/>
      <c r="D70" s="361"/>
      <c r="E70" s="361"/>
      <c r="F70" s="361"/>
      <c r="G70" s="361"/>
      <c r="H70" s="361"/>
      <c r="I70" s="361"/>
      <c r="J70" s="361"/>
      <c r="K70" s="361"/>
      <c r="L70" s="361"/>
      <c r="M70" s="361"/>
      <c r="N70" s="361"/>
      <c r="O70" s="361"/>
      <c r="P70" s="361"/>
      <c r="Q70" s="361"/>
      <c r="R70" s="361"/>
      <c r="S70" s="361"/>
      <c r="T70" s="361"/>
      <c r="U70" s="361"/>
      <c r="V70" s="361"/>
      <c r="W70" s="361"/>
      <c r="X70" s="361"/>
      <c r="Y70" s="361"/>
      <c r="Z70" s="361"/>
      <c r="AA70" s="361"/>
      <c r="AB70" s="361"/>
      <c r="AC70" s="361"/>
      <c r="AD70" s="361"/>
      <c r="AE70" s="361"/>
      <c r="AF70" s="361"/>
      <c r="AG70" s="361"/>
      <c r="AH70" s="361"/>
      <c r="AI70" s="361"/>
      <c r="AJ70" s="361"/>
      <c r="AK70" s="361"/>
      <c r="AL70" s="361"/>
      <c r="AM70" s="361"/>
      <c r="AN70" s="361"/>
      <c r="AO70" s="361"/>
      <c r="AP70" s="361"/>
      <c r="AQ70" s="361"/>
      <c r="AR70" s="361"/>
      <c r="AS70" s="361"/>
      <c r="AT70" s="361"/>
      <c r="AU70" s="361"/>
      <c r="AV70" s="361"/>
      <c r="AW70" s="361"/>
      <c r="AX70" s="361"/>
      <c r="AY70" s="361"/>
      <c r="AZ70" s="361"/>
      <c r="BA70" s="361"/>
      <c r="BB70" s="361"/>
      <c r="BC70" s="361"/>
      <c r="BD70" s="361"/>
      <c r="BE70" s="361"/>
      <c r="BF70" s="361"/>
      <c r="BG70" s="361"/>
      <c r="BH70" s="361"/>
      <c r="BI70" s="361"/>
    </row>
    <row r="71" spans="1:61" ht="15.75" customHeight="1" x14ac:dyDescent="0.25">
      <c r="A71" s="361"/>
      <c r="B71" s="361"/>
      <c r="C71" s="361"/>
      <c r="D71" s="361"/>
      <c r="E71" s="361"/>
      <c r="F71" s="361"/>
      <c r="G71" s="361"/>
      <c r="H71" s="361"/>
      <c r="I71" s="361"/>
      <c r="J71" s="361"/>
      <c r="K71" s="361"/>
      <c r="L71" s="361"/>
      <c r="M71" s="361"/>
      <c r="N71" s="361"/>
      <c r="O71" s="361"/>
      <c r="P71" s="361"/>
      <c r="Q71" s="361"/>
      <c r="R71" s="361"/>
      <c r="S71" s="361"/>
      <c r="T71" s="361"/>
      <c r="U71" s="361"/>
      <c r="V71" s="361"/>
      <c r="W71" s="361"/>
      <c r="X71" s="361"/>
      <c r="Y71" s="361"/>
      <c r="Z71" s="361"/>
      <c r="AA71" s="361"/>
      <c r="AB71" s="361"/>
      <c r="AC71" s="361"/>
      <c r="AD71" s="361"/>
      <c r="AE71" s="361"/>
      <c r="AF71" s="361"/>
      <c r="AG71" s="361"/>
      <c r="AH71" s="361"/>
      <c r="AI71" s="361"/>
      <c r="AJ71" s="361"/>
      <c r="AK71" s="361"/>
      <c r="AL71" s="361"/>
      <c r="AM71" s="361"/>
      <c r="AN71" s="361"/>
      <c r="AO71" s="361"/>
      <c r="AP71" s="361"/>
      <c r="AQ71" s="361"/>
      <c r="AR71" s="361"/>
      <c r="AS71" s="361"/>
      <c r="AT71" s="361"/>
      <c r="AU71" s="361"/>
      <c r="AV71" s="361"/>
      <c r="AW71" s="361"/>
      <c r="AX71" s="361"/>
      <c r="AY71" s="361"/>
      <c r="AZ71" s="361"/>
      <c r="BA71" s="361"/>
      <c r="BB71" s="361"/>
      <c r="BC71" s="361"/>
      <c r="BD71" s="361"/>
      <c r="BE71" s="361"/>
      <c r="BF71" s="361"/>
      <c r="BG71" s="361"/>
      <c r="BH71" s="361"/>
      <c r="BI71" s="361"/>
    </row>
    <row r="72" spans="1:61" ht="15.75" customHeight="1" x14ac:dyDescent="0.25">
      <c r="A72" s="361"/>
      <c r="B72" s="361"/>
      <c r="C72" s="361"/>
      <c r="D72" s="361"/>
      <c r="E72" s="361"/>
      <c r="F72" s="361"/>
      <c r="G72" s="361"/>
      <c r="H72" s="361"/>
      <c r="I72" s="361"/>
      <c r="J72" s="361"/>
      <c r="K72" s="361"/>
      <c r="L72" s="361"/>
      <c r="M72" s="361"/>
      <c r="N72" s="361"/>
      <c r="O72" s="361"/>
      <c r="P72" s="361"/>
      <c r="Q72" s="361"/>
      <c r="R72" s="361"/>
      <c r="S72" s="361"/>
      <c r="T72" s="361"/>
      <c r="U72" s="361"/>
      <c r="V72" s="361"/>
      <c r="W72" s="361"/>
      <c r="X72" s="361"/>
      <c r="Y72" s="361"/>
      <c r="Z72" s="361"/>
      <c r="AA72" s="361"/>
      <c r="AB72" s="361"/>
      <c r="AC72" s="361"/>
      <c r="AD72" s="361"/>
      <c r="AE72" s="361"/>
      <c r="AF72" s="361"/>
      <c r="AG72" s="361"/>
      <c r="AH72" s="361"/>
      <c r="AI72" s="361"/>
      <c r="AJ72" s="361"/>
      <c r="AK72" s="361"/>
      <c r="AL72" s="361"/>
      <c r="AM72" s="361"/>
      <c r="AN72" s="361"/>
      <c r="AO72" s="361"/>
      <c r="AP72" s="361"/>
      <c r="AQ72" s="361"/>
      <c r="AR72" s="361"/>
      <c r="AS72" s="361"/>
      <c r="AT72" s="361"/>
      <c r="AU72" s="361"/>
      <c r="AV72" s="361"/>
      <c r="AW72" s="361"/>
      <c r="AX72" s="361"/>
      <c r="AY72" s="361"/>
      <c r="AZ72" s="361"/>
      <c r="BA72" s="361"/>
      <c r="BB72" s="361"/>
      <c r="BC72" s="361"/>
      <c r="BD72" s="361"/>
      <c r="BE72" s="361"/>
      <c r="BF72" s="361"/>
      <c r="BG72" s="361"/>
      <c r="BH72" s="361"/>
      <c r="BI72" s="361"/>
    </row>
    <row r="73" spans="1:61" ht="15.75" customHeight="1" x14ac:dyDescent="0.25">
      <c r="A73" s="361"/>
      <c r="B73" s="361"/>
      <c r="C73" s="361"/>
      <c r="D73" s="361"/>
      <c r="E73" s="361"/>
      <c r="F73" s="361"/>
      <c r="G73" s="361"/>
      <c r="H73" s="361"/>
      <c r="I73" s="361"/>
      <c r="J73" s="361"/>
      <c r="K73" s="361"/>
      <c r="L73" s="361"/>
      <c r="M73" s="361"/>
      <c r="N73" s="361"/>
      <c r="O73" s="361"/>
      <c r="P73" s="361"/>
      <c r="Q73" s="361"/>
      <c r="R73" s="361"/>
      <c r="S73" s="361"/>
      <c r="T73" s="361"/>
      <c r="U73" s="361"/>
      <c r="V73" s="361"/>
      <c r="W73" s="361"/>
      <c r="X73" s="361"/>
      <c r="Y73" s="361"/>
      <c r="Z73" s="361"/>
      <c r="AA73" s="361"/>
      <c r="AB73" s="361"/>
      <c r="AC73" s="361"/>
      <c r="AD73" s="361"/>
      <c r="AE73" s="361"/>
      <c r="AF73" s="361"/>
      <c r="AG73" s="361"/>
      <c r="AH73" s="361"/>
      <c r="AI73" s="361"/>
      <c r="AJ73" s="361"/>
      <c r="AK73" s="361"/>
      <c r="AL73" s="361"/>
      <c r="AM73" s="361"/>
      <c r="AN73" s="361"/>
      <c r="AO73" s="361"/>
      <c r="AP73" s="361"/>
      <c r="AQ73" s="361"/>
      <c r="AR73" s="361"/>
      <c r="AS73" s="361"/>
      <c r="AT73" s="361"/>
      <c r="AU73" s="361"/>
      <c r="AV73" s="361"/>
      <c r="AW73" s="361"/>
      <c r="AX73" s="361"/>
      <c r="AY73" s="361"/>
      <c r="AZ73" s="361"/>
      <c r="BA73" s="361"/>
      <c r="BB73" s="361"/>
      <c r="BC73" s="361"/>
      <c r="BD73" s="361"/>
      <c r="BE73" s="361"/>
      <c r="BF73" s="361"/>
      <c r="BG73" s="361"/>
      <c r="BH73" s="361"/>
      <c r="BI73" s="361"/>
    </row>
    <row r="74" spans="1:61" ht="15.75" customHeight="1" x14ac:dyDescent="0.25">
      <c r="A74" s="361"/>
      <c r="B74" s="361"/>
      <c r="C74" s="361"/>
      <c r="D74" s="361"/>
      <c r="E74" s="361"/>
      <c r="F74" s="361"/>
      <c r="G74" s="361"/>
      <c r="H74" s="361"/>
      <c r="I74" s="361"/>
      <c r="J74" s="361"/>
      <c r="K74" s="361"/>
      <c r="L74" s="36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K74" s="361"/>
      <c r="AL74" s="361"/>
      <c r="AM74" s="361"/>
      <c r="AN74" s="361"/>
      <c r="AO74" s="361"/>
      <c r="AP74" s="361"/>
      <c r="AQ74" s="361"/>
      <c r="AR74" s="361"/>
      <c r="AS74" s="361"/>
      <c r="AT74" s="361"/>
      <c r="AU74" s="361"/>
      <c r="AV74" s="361"/>
      <c r="AW74" s="361"/>
      <c r="AX74" s="361"/>
      <c r="AY74" s="361"/>
      <c r="AZ74" s="361"/>
      <c r="BA74" s="361"/>
      <c r="BB74" s="361"/>
      <c r="BC74" s="361"/>
      <c r="BD74" s="361"/>
      <c r="BE74" s="361"/>
      <c r="BF74" s="361"/>
      <c r="BG74" s="361"/>
      <c r="BH74" s="361"/>
      <c r="BI74" s="361"/>
    </row>
    <row r="75" spans="1:61" ht="15.75" customHeight="1" x14ac:dyDescent="0.25">
      <c r="A75" s="361"/>
      <c r="B75" s="361"/>
      <c r="C75" s="361"/>
      <c r="D75" s="361"/>
      <c r="E75" s="361"/>
      <c r="F75" s="361"/>
      <c r="G75" s="361"/>
      <c r="H75" s="361"/>
      <c r="I75" s="361"/>
      <c r="J75" s="361"/>
      <c r="K75" s="361"/>
      <c r="L75" s="361"/>
      <c r="M75" s="361"/>
      <c r="N75" s="361"/>
      <c r="O75" s="361"/>
      <c r="P75" s="361"/>
      <c r="Q75" s="361"/>
      <c r="R75" s="361"/>
      <c r="S75" s="361"/>
      <c r="T75" s="361"/>
      <c r="U75" s="361"/>
      <c r="V75" s="361"/>
      <c r="W75" s="361"/>
      <c r="X75" s="361"/>
      <c r="Y75" s="361"/>
      <c r="Z75" s="361"/>
      <c r="AA75" s="361"/>
      <c r="AB75" s="361"/>
      <c r="AC75" s="361"/>
      <c r="AD75" s="361"/>
      <c r="AE75" s="361"/>
      <c r="AF75" s="361"/>
      <c r="AG75" s="361"/>
      <c r="AH75" s="361"/>
      <c r="AI75" s="361"/>
      <c r="AJ75" s="361"/>
      <c r="AK75" s="361"/>
      <c r="AL75" s="361"/>
      <c r="AM75" s="361"/>
      <c r="AN75" s="361"/>
      <c r="AO75" s="361"/>
      <c r="AP75" s="361"/>
      <c r="AQ75" s="361"/>
      <c r="AR75" s="361"/>
      <c r="AS75" s="361"/>
      <c r="AT75" s="361"/>
      <c r="AU75" s="361"/>
      <c r="AV75" s="361"/>
      <c r="AW75" s="361"/>
      <c r="AX75" s="361"/>
      <c r="AY75" s="361"/>
      <c r="AZ75" s="361"/>
      <c r="BA75" s="361"/>
      <c r="BB75" s="361"/>
      <c r="BC75" s="361"/>
      <c r="BD75" s="361"/>
      <c r="BE75" s="361"/>
      <c r="BF75" s="361"/>
      <c r="BG75" s="361"/>
      <c r="BH75" s="361"/>
      <c r="BI75" s="361"/>
    </row>
    <row r="76" spans="1:61" ht="15.75" customHeight="1" x14ac:dyDescent="0.25">
      <c r="A76" s="361"/>
      <c r="B76" s="361"/>
      <c r="C76" s="361"/>
      <c r="D76" s="361"/>
      <c r="E76" s="361"/>
      <c r="F76" s="361"/>
      <c r="G76" s="361"/>
      <c r="H76" s="361"/>
      <c r="I76" s="361"/>
      <c r="J76" s="361"/>
      <c r="K76" s="361"/>
      <c r="L76" s="361"/>
      <c r="M76" s="361"/>
      <c r="N76" s="361"/>
      <c r="O76" s="361"/>
      <c r="P76" s="361"/>
      <c r="Q76" s="361"/>
      <c r="R76" s="361"/>
      <c r="S76" s="361"/>
      <c r="T76" s="361"/>
      <c r="U76" s="361"/>
      <c r="V76" s="361"/>
      <c r="W76" s="361"/>
      <c r="X76" s="361"/>
      <c r="Y76" s="361"/>
      <c r="Z76" s="361"/>
      <c r="AA76" s="361"/>
      <c r="AB76" s="361"/>
      <c r="AC76" s="361"/>
      <c r="AD76" s="361"/>
      <c r="AE76" s="361"/>
      <c r="AF76" s="361"/>
      <c r="AG76" s="361"/>
      <c r="AH76" s="361"/>
      <c r="AI76" s="361"/>
      <c r="AJ76" s="361"/>
      <c r="AK76" s="361"/>
      <c r="AL76" s="361"/>
      <c r="AM76" s="361"/>
      <c r="AN76" s="361"/>
      <c r="AO76" s="361"/>
      <c r="AP76" s="361"/>
      <c r="AQ76" s="361"/>
      <c r="AR76" s="361"/>
      <c r="AS76" s="361"/>
      <c r="AT76" s="361"/>
      <c r="AU76" s="361"/>
      <c r="AV76" s="361"/>
      <c r="AW76" s="361"/>
      <c r="AX76" s="361"/>
      <c r="AY76" s="361"/>
      <c r="AZ76" s="361"/>
      <c r="BA76" s="361"/>
      <c r="BB76" s="361"/>
      <c r="BC76" s="361"/>
      <c r="BD76" s="361"/>
      <c r="BE76" s="361"/>
      <c r="BF76" s="361"/>
      <c r="BG76" s="361"/>
      <c r="BH76" s="361"/>
      <c r="BI76" s="361"/>
    </row>
    <row r="77" spans="1:61" ht="15.75" customHeight="1" x14ac:dyDescent="0.25">
      <c r="A77" s="361"/>
      <c r="B77" s="361"/>
      <c r="C77" s="361"/>
      <c r="D77" s="361"/>
      <c r="E77" s="361"/>
      <c r="F77" s="361"/>
      <c r="G77" s="361"/>
      <c r="H77" s="361"/>
      <c r="I77" s="361"/>
      <c r="J77" s="361"/>
      <c r="K77" s="361"/>
      <c r="L77" s="361"/>
      <c r="M77" s="361"/>
      <c r="N77" s="361"/>
      <c r="O77" s="361"/>
      <c r="P77" s="361"/>
      <c r="Q77" s="361"/>
      <c r="R77" s="361"/>
      <c r="S77" s="361"/>
      <c r="T77" s="361"/>
      <c r="U77" s="361"/>
      <c r="V77" s="361"/>
      <c r="W77" s="361"/>
      <c r="X77" s="361"/>
      <c r="Y77" s="361"/>
      <c r="Z77" s="361"/>
      <c r="AA77" s="361"/>
      <c r="AB77" s="361"/>
      <c r="AC77" s="361"/>
      <c r="AD77" s="361"/>
      <c r="AE77" s="361"/>
      <c r="AF77" s="361"/>
      <c r="AG77" s="361"/>
      <c r="AH77" s="361"/>
      <c r="AI77" s="361"/>
      <c r="AJ77" s="361"/>
      <c r="AK77" s="361"/>
      <c r="AL77" s="361"/>
      <c r="AM77" s="361"/>
      <c r="AN77" s="361"/>
      <c r="AO77" s="361"/>
      <c r="AP77" s="361"/>
      <c r="AQ77" s="361"/>
      <c r="AR77" s="361"/>
      <c r="AS77" s="361"/>
      <c r="AT77" s="361"/>
      <c r="AU77" s="361"/>
      <c r="AV77" s="361"/>
      <c r="AW77" s="361"/>
      <c r="AX77" s="361"/>
      <c r="AY77" s="361"/>
      <c r="AZ77" s="361"/>
      <c r="BA77" s="361"/>
      <c r="BB77" s="361"/>
      <c r="BC77" s="361"/>
      <c r="BD77" s="361"/>
      <c r="BE77" s="361"/>
      <c r="BF77" s="361"/>
      <c r="BG77" s="361"/>
      <c r="BH77" s="361"/>
      <c r="BI77" s="361"/>
    </row>
    <row r="78" spans="1:61" ht="15.75" customHeight="1" x14ac:dyDescent="0.25">
      <c r="A78" s="361"/>
      <c r="B78" s="361"/>
      <c r="C78" s="361"/>
      <c r="D78" s="361"/>
      <c r="E78" s="361"/>
      <c r="F78" s="361"/>
      <c r="G78" s="361"/>
      <c r="H78" s="361"/>
      <c r="I78" s="361"/>
      <c r="J78" s="361"/>
      <c r="K78" s="361"/>
      <c r="L78" s="361"/>
      <c r="M78" s="361"/>
      <c r="N78" s="361"/>
      <c r="O78" s="361"/>
      <c r="P78" s="361"/>
      <c r="Q78" s="361"/>
      <c r="R78" s="361"/>
      <c r="S78" s="361"/>
      <c r="T78" s="361"/>
      <c r="U78" s="361"/>
      <c r="V78" s="361"/>
      <c r="W78" s="361"/>
      <c r="X78" s="361"/>
      <c r="Y78" s="361"/>
      <c r="Z78" s="361"/>
      <c r="AA78" s="361"/>
      <c r="AB78" s="361"/>
      <c r="AC78" s="361"/>
      <c r="AD78" s="361"/>
      <c r="AE78" s="361"/>
      <c r="AF78" s="361"/>
      <c r="AG78" s="361"/>
      <c r="AH78" s="361"/>
      <c r="AI78" s="361"/>
      <c r="AJ78" s="361"/>
      <c r="AK78" s="361"/>
      <c r="AL78" s="361"/>
      <c r="AM78" s="361"/>
      <c r="AN78" s="361"/>
      <c r="AO78" s="361"/>
      <c r="AP78" s="361"/>
      <c r="AQ78" s="361"/>
      <c r="AR78" s="361"/>
      <c r="AS78" s="361"/>
      <c r="AT78" s="361"/>
      <c r="AU78" s="361"/>
      <c r="AV78" s="361"/>
      <c r="AW78" s="361"/>
      <c r="AX78" s="361"/>
      <c r="AY78" s="361"/>
      <c r="AZ78" s="361"/>
      <c r="BA78" s="361"/>
      <c r="BB78" s="361"/>
      <c r="BC78" s="361"/>
      <c r="BD78" s="361"/>
      <c r="BE78" s="361"/>
      <c r="BF78" s="361"/>
      <c r="BG78" s="361"/>
      <c r="BH78" s="361"/>
      <c r="BI78" s="361"/>
    </row>
    <row r="79" spans="1:61" ht="15.75" customHeight="1" x14ac:dyDescent="0.25">
      <c r="A79" s="361"/>
      <c r="B79" s="361"/>
      <c r="C79" s="361"/>
      <c r="D79" s="361"/>
      <c r="E79" s="361"/>
      <c r="F79" s="361"/>
      <c r="G79" s="361"/>
      <c r="H79" s="361"/>
      <c r="I79" s="361"/>
      <c r="J79" s="361"/>
      <c r="K79" s="361"/>
      <c r="L79" s="361"/>
      <c r="M79" s="361"/>
      <c r="N79" s="361"/>
      <c r="O79" s="361"/>
      <c r="P79" s="361"/>
      <c r="Q79" s="361"/>
      <c r="R79" s="361"/>
      <c r="S79" s="361"/>
      <c r="T79" s="361"/>
      <c r="U79" s="361"/>
      <c r="V79" s="361"/>
      <c r="W79" s="361"/>
      <c r="X79" s="361"/>
      <c r="Y79" s="361"/>
      <c r="Z79" s="361"/>
      <c r="AA79" s="361"/>
      <c r="AB79" s="361"/>
      <c r="AC79" s="361"/>
      <c r="AD79" s="361"/>
      <c r="AE79" s="361"/>
      <c r="AF79" s="361"/>
      <c r="AG79" s="361"/>
      <c r="AH79" s="361"/>
      <c r="AI79" s="361"/>
      <c r="AJ79" s="361"/>
      <c r="AK79" s="361"/>
      <c r="AL79" s="361"/>
      <c r="AM79" s="361"/>
      <c r="AN79" s="361"/>
      <c r="AO79" s="361"/>
      <c r="AP79" s="361"/>
      <c r="AQ79" s="361"/>
      <c r="AR79" s="361"/>
      <c r="AS79" s="361"/>
      <c r="AT79" s="361"/>
      <c r="AU79" s="361"/>
      <c r="AV79" s="361"/>
      <c r="AW79" s="361"/>
      <c r="AX79" s="361"/>
      <c r="AY79" s="361"/>
      <c r="AZ79" s="361"/>
      <c r="BA79" s="361"/>
      <c r="BB79" s="361"/>
      <c r="BC79" s="361"/>
      <c r="BD79" s="361"/>
      <c r="BE79" s="361"/>
      <c r="BF79" s="361"/>
      <c r="BG79" s="361"/>
      <c r="BH79" s="361"/>
      <c r="BI79" s="361"/>
    </row>
    <row r="80" spans="1:61" ht="15.75" customHeight="1" x14ac:dyDescent="0.25">
      <c r="A80" s="361"/>
      <c r="B80" s="361"/>
      <c r="C80" s="361"/>
      <c r="D80" s="361"/>
      <c r="E80" s="361"/>
      <c r="F80" s="361"/>
      <c r="G80" s="361"/>
      <c r="H80" s="361"/>
      <c r="I80" s="361"/>
      <c r="J80" s="361"/>
      <c r="K80" s="361"/>
      <c r="L80" s="361"/>
      <c r="M80" s="361"/>
      <c r="N80" s="361"/>
      <c r="O80" s="361"/>
      <c r="P80" s="361"/>
      <c r="Q80" s="361"/>
      <c r="R80" s="361"/>
      <c r="S80" s="361"/>
      <c r="T80" s="361"/>
      <c r="U80" s="361"/>
      <c r="V80" s="361"/>
      <c r="W80" s="361"/>
      <c r="X80" s="361"/>
      <c r="Y80" s="361"/>
      <c r="Z80" s="361"/>
      <c r="AA80" s="361"/>
      <c r="AB80" s="361"/>
      <c r="AC80" s="361"/>
      <c r="AD80" s="361"/>
      <c r="AE80" s="361"/>
      <c r="AF80" s="361"/>
      <c r="AG80" s="361"/>
      <c r="AH80" s="361"/>
      <c r="AI80" s="361"/>
      <c r="AJ80" s="361"/>
      <c r="AK80" s="361"/>
      <c r="AL80" s="361"/>
      <c r="AM80" s="361"/>
      <c r="AN80" s="361"/>
      <c r="AO80" s="361"/>
      <c r="AP80" s="361"/>
      <c r="AQ80" s="361"/>
      <c r="AR80" s="361"/>
      <c r="AS80" s="361"/>
      <c r="AT80" s="361"/>
      <c r="AU80" s="361"/>
      <c r="AV80" s="361"/>
      <c r="AW80" s="361"/>
      <c r="AX80" s="361"/>
      <c r="AY80" s="361"/>
      <c r="AZ80" s="361"/>
      <c r="BA80" s="361"/>
      <c r="BB80" s="361"/>
      <c r="BC80" s="361"/>
      <c r="BD80" s="361"/>
      <c r="BE80" s="361"/>
      <c r="BF80" s="361"/>
      <c r="BG80" s="361"/>
      <c r="BH80" s="361"/>
      <c r="BI80" s="361"/>
    </row>
    <row r="81" spans="1:61" ht="15.75" customHeight="1" x14ac:dyDescent="0.25">
      <c r="A81" s="361"/>
      <c r="B81" s="361"/>
      <c r="C81" s="361"/>
      <c r="D81" s="361"/>
      <c r="E81" s="361"/>
      <c r="F81" s="361"/>
      <c r="G81" s="361"/>
      <c r="H81" s="361"/>
      <c r="I81" s="361"/>
      <c r="J81" s="361"/>
      <c r="K81" s="361"/>
      <c r="L81" s="361"/>
      <c r="M81" s="361"/>
      <c r="N81" s="361"/>
      <c r="O81" s="361"/>
      <c r="P81" s="361"/>
      <c r="Q81" s="361"/>
      <c r="R81" s="361"/>
      <c r="S81" s="361"/>
      <c r="T81" s="361"/>
      <c r="U81" s="361"/>
      <c r="V81" s="361"/>
      <c r="W81" s="361"/>
      <c r="X81" s="361"/>
      <c r="Y81" s="361"/>
      <c r="Z81" s="361"/>
      <c r="AA81" s="361"/>
      <c r="AB81" s="361"/>
      <c r="AC81" s="361"/>
      <c r="AD81" s="361"/>
      <c r="AE81" s="361"/>
      <c r="AF81" s="361"/>
      <c r="AG81" s="361"/>
      <c r="AH81" s="361"/>
      <c r="AI81" s="361"/>
      <c r="AJ81" s="361"/>
      <c r="AK81" s="361"/>
      <c r="AL81" s="361"/>
      <c r="AM81" s="361"/>
      <c r="AN81" s="361"/>
      <c r="AO81" s="361"/>
      <c r="AP81" s="361"/>
      <c r="AQ81" s="361"/>
      <c r="AR81" s="361"/>
      <c r="AS81" s="361"/>
      <c r="AT81" s="361"/>
      <c r="AU81" s="361"/>
      <c r="AV81" s="361"/>
      <c r="AW81" s="361"/>
      <c r="AX81" s="361"/>
      <c r="AY81" s="361"/>
      <c r="AZ81" s="361"/>
      <c r="BA81" s="361"/>
      <c r="BB81" s="361"/>
      <c r="BC81" s="361"/>
      <c r="BD81" s="361"/>
      <c r="BE81" s="361"/>
      <c r="BF81" s="361"/>
      <c r="BG81" s="361"/>
      <c r="BH81" s="361"/>
      <c r="BI81" s="361"/>
    </row>
    <row r="82" spans="1:61" ht="15.75" customHeight="1" x14ac:dyDescent="0.25">
      <c r="A82" s="361"/>
      <c r="B82" s="361"/>
      <c r="C82" s="361"/>
      <c r="D82" s="361"/>
      <c r="E82" s="361"/>
      <c r="F82" s="361"/>
      <c r="G82" s="361"/>
      <c r="H82" s="361"/>
      <c r="I82" s="361"/>
      <c r="J82" s="361"/>
      <c r="K82" s="361"/>
      <c r="L82" s="361"/>
      <c r="M82" s="361"/>
      <c r="N82" s="361"/>
      <c r="O82" s="361"/>
      <c r="P82" s="361"/>
      <c r="Q82" s="361"/>
      <c r="R82" s="361"/>
      <c r="S82" s="361"/>
      <c r="T82" s="361"/>
      <c r="U82" s="361"/>
      <c r="V82" s="361"/>
      <c r="W82" s="361"/>
      <c r="X82" s="361"/>
      <c r="Y82" s="361"/>
      <c r="Z82" s="361"/>
      <c r="AA82" s="361"/>
      <c r="AB82" s="361"/>
      <c r="AC82" s="361"/>
      <c r="AD82" s="361"/>
      <c r="AE82" s="361"/>
      <c r="AF82" s="361"/>
      <c r="AG82" s="361"/>
      <c r="AH82" s="361"/>
      <c r="AI82" s="361"/>
      <c r="AJ82" s="361"/>
      <c r="AK82" s="361"/>
      <c r="AL82" s="361"/>
      <c r="AM82" s="361"/>
      <c r="AN82" s="361"/>
      <c r="AO82" s="361"/>
      <c r="AP82" s="361"/>
      <c r="AQ82" s="361"/>
      <c r="AR82" s="361"/>
      <c r="AS82" s="361"/>
      <c r="AT82" s="361"/>
      <c r="AU82" s="361"/>
      <c r="AV82" s="361"/>
      <c r="AW82" s="361"/>
      <c r="AX82" s="361"/>
      <c r="AY82" s="361"/>
      <c r="AZ82" s="361"/>
      <c r="BA82" s="361"/>
      <c r="BB82" s="361"/>
      <c r="BC82" s="361"/>
      <c r="BD82" s="361"/>
      <c r="BE82" s="361"/>
      <c r="BF82" s="361"/>
      <c r="BG82" s="361"/>
      <c r="BH82" s="361"/>
      <c r="BI82" s="361"/>
    </row>
    <row r="83" spans="1:61" ht="15.75" customHeight="1" x14ac:dyDescent="0.25">
      <c r="A83" s="361"/>
      <c r="B83" s="361"/>
      <c r="C83" s="361"/>
      <c r="D83" s="361"/>
      <c r="E83" s="361"/>
      <c r="F83" s="361"/>
      <c r="G83" s="361"/>
      <c r="H83" s="361"/>
      <c r="I83" s="361"/>
      <c r="J83" s="361"/>
      <c r="K83" s="361"/>
      <c r="L83" s="361"/>
      <c r="M83" s="361"/>
      <c r="N83" s="361"/>
      <c r="O83" s="361"/>
      <c r="P83" s="361"/>
      <c r="Q83" s="361"/>
      <c r="R83" s="361"/>
      <c r="S83" s="361"/>
      <c r="T83" s="361"/>
      <c r="U83" s="361"/>
      <c r="V83" s="361"/>
      <c r="W83" s="361"/>
      <c r="X83" s="361"/>
      <c r="Y83" s="361"/>
      <c r="Z83" s="361"/>
      <c r="AA83" s="361"/>
      <c r="AB83" s="361"/>
      <c r="AC83" s="361"/>
      <c r="AD83" s="361"/>
      <c r="AE83" s="361"/>
      <c r="AF83" s="361"/>
      <c r="AG83" s="361"/>
      <c r="AH83" s="361"/>
      <c r="AI83" s="361"/>
      <c r="AJ83" s="361"/>
      <c r="AK83" s="361"/>
      <c r="AL83" s="361"/>
      <c r="AM83" s="361"/>
      <c r="AN83" s="361"/>
      <c r="AO83" s="361"/>
      <c r="AP83" s="361"/>
      <c r="AQ83" s="361"/>
      <c r="AR83" s="361"/>
      <c r="AS83" s="361"/>
      <c r="AT83" s="361"/>
      <c r="AU83" s="361"/>
      <c r="AV83" s="361"/>
      <c r="AW83" s="361"/>
      <c r="AX83" s="361"/>
      <c r="AY83" s="361"/>
      <c r="AZ83" s="361"/>
      <c r="BA83" s="361"/>
      <c r="BB83" s="361"/>
      <c r="BC83" s="361"/>
      <c r="BD83" s="361"/>
      <c r="BE83" s="361"/>
      <c r="BF83" s="361"/>
      <c r="BG83" s="361"/>
      <c r="BH83" s="361"/>
      <c r="BI83" s="361"/>
    </row>
    <row r="84" spans="1:61" ht="15.75" customHeight="1" x14ac:dyDescent="0.25">
      <c r="A84" s="361"/>
      <c r="B84" s="361"/>
      <c r="C84" s="361"/>
      <c r="D84" s="361"/>
      <c r="E84" s="361"/>
      <c r="F84" s="361"/>
      <c r="G84" s="361"/>
      <c r="H84" s="361"/>
      <c r="I84" s="361"/>
      <c r="J84" s="361"/>
      <c r="K84" s="361"/>
      <c r="L84" s="361"/>
      <c r="M84" s="361"/>
      <c r="N84" s="361"/>
      <c r="O84" s="361"/>
      <c r="P84" s="361"/>
      <c r="Q84" s="361"/>
      <c r="R84" s="361"/>
      <c r="S84" s="361"/>
      <c r="T84" s="361"/>
      <c r="U84" s="361"/>
      <c r="V84" s="361"/>
      <c r="W84" s="361"/>
      <c r="X84" s="361"/>
      <c r="Y84" s="361"/>
      <c r="Z84" s="361"/>
      <c r="AA84" s="361"/>
      <c r="AB84" s="361"/>
      <c r="AC84" s="361"/>
      <c r="AD84" s="361"/>
      <c r="AE84" s="361"/>
      <c r="AF84" s="361"/>
      <c r="AG84" s="361"/>
      <c r="AH84" s="361"/>
      <c r="AI84" s="361"/>
      <c r="AJ84" s="361"/>
      <c r="AK84" s="361"/>
      <c r="AL84" s="361"/>
      <c r="AM84" s="361"/>
      <c r="AN84" s="361"/>
      <c r="AO84" s="361"/>
      <c r="AP84" s="361"/>
      <c r="AQ84" s="361"/>
      <c r="AR84" s="361"/>
      <c r="AS84" s="361"/>
      <c r="AT84" s="361"/>
      <c r="AU84" s="361"/>
      <c r="AV84" s="361"/>
      <c r="AW84" s="361"/>
      <c r="AX84" s="361"/>
      <c r="AY84" s="361"/>
      <c r="AZ84" s="361"/>
      <c r="BA84" s="361"/>
      <c r="BB84" s="361"/>
      <c r="BC84" s="361"/>
      <c r="BD84" s="361"/>
      <c r="BE84" s="361"/>
      <c r="BF84" s="361"/>
      <c r="BG84" s="361"/>
      <c r="BH84" s="361"/>
      <c r="BI84" s="361"/>
    </row>
    <row r="85" spans="1:61" ht="15.75" customHeight="1" x14ac:dyDescent="0.25">
      <c r="A85" s="361"/>
      <c r="B85" s="361"/>
      <c r="C85" s="361"/>
      <c r="D85" s="361"/>
      <c r="E85" s="361"/>
      <c r="F85" s="361"/>
      <c r="G85" s="361"/>
      <c r="H85" s="361"/>
      <c r="I85" s="361"/>
      <c r="J85" s="361"/>
      <c r="K85" s="361"/>
      <c r="L85" s="361"/>
      <c r="M85" s="361"/>
      <c r="N85" s="361"/>
      <c r="O85" s="361"/>
      <c r="P85" s="361"/>
      <c r="Q85" s="361"/>
      <c r="R85" s="361"/>
      <c r="S85" s="361"/>
      <c r="T85" s="361"/>
      <c r="U85" s="361"/>
      <c r="V85" s="361"/>
      <c r="W85" s="361"/>
      <c r="X85" s="361"/>
      <c r="Y85" s="361"/>
      <c r="Z85" s="361"/>
      <c r="AA85" s="361"/>
      <c r="AB85" s="361"/>
      <c r="AC85" s="361"/>
      <c r="AD85" s="361"/>
      <c r="AE85" s="361"/>
      <c r="AF85" s="361"/>
      <c r="AG85" s="361"/>
      <c r="AH85" s="361"/>
      <c r="AI85" s="361"/>
      <c r="AJ85" s="361"/>
      <c r="AK85" s="361"/>
      <c r="AL85" s="361"/>
      <c r="AM85" s="361"/>
      <c r="AN85" s="361"/>
      <c r="AO85" s="361"/>
      <c r="AP85" s="361"/>
      <c r="AQ85" s="361"/>
      <c r="AR85" s="361"/>
      <c r="AS85" s="361"/>
      <c r="AT85" s="361"/>
      <c r="AU85" s="361"/>
      <c r="AV85" s="361"/>
      <c r="AW85" s="361"/>
      <c r="AX85" s="361"/>
      <c r="AY85" s="361"/>
      <c r="AZ85" s="361"/>
      <c r="BA85" s="361"/>
      <c r="BB85" s="361"/>
      <c r="BC85" s="361"/>
      <c r="BD85" s="361"/>
      <c r="BE85" s="361"/>
      <c r="BF85" s="361"/>
      <c r="BG85" s="361"/>
      <c r="BH85" s="361"/>
      <c r="BI85" s="361"/>
    </row>
    <row r="86" spans="1:61" ht="15.75" customHeight="1" x14ac:dyDescent="0.25">
      <c r="A86" s="361"/>
      <c r="B86" s="361"/>
      <c r="C86" s="361"/>
      <c r="D86" s="361"/>
      <c r="E86" s="361"/>
      <c r="F86" s="361"/>
      <c r="G86" s="361"/>
      <c r="H86" s="361"/>
      <c r="I86" s="361"/>
      <c r="J86" s="361"/>
      <c r="K86" s="361"/>
      <c r="L86" s="361"/>
      <c r="M86" s="361"/>
      <c r="N86" s="361"/>
      <c r="O86" s="361"/>
      <c r="P86" s="361"/>
      <c r="Q86" s="361"/>
      <c r="R86" s="361"/>
      <c r="S86" s="361"/>
      <c r="T86" s="361"/>
      <c r="U86" s="361"/>
      <c r="V86" s="361"/>
      <c r="W86" s="361"/>
      <c r="X86" s="361"/>
      <c r="Y86" s="361"/>
      <c r="Z86" s="361"/>
      <c r="AA86" s="361"/>
      <c r="AB86" s="361"/>
      <c r="AC86" s="361"/>
      <c r="AD86" s="361"/>
      <c r="AE86" s="361"/>
      <c r="AF86" s="361"/>
      <c r="AG86" s="361"/>
      <c r="AH86" s="361"/>
      <c r="AI86" s="361"/>
      <c r="AJ86" s="361"/>
      <c r="AK86" s="361"/>
      <c r="AL86" s="361"/>
      <c r="AM86" s="361"/>
      <c r="AN86" s="361"/>
      <c r="AO86" s="361"/>
      <c r="AP86" s="361"/>
      <c r="AQ86" s="361"/>
      <c r="AR86" s="361"/>
      <c r="AS86" s="361"/>
      <c r="AT86" s="361"/>
      <c r="AU86" s="361"/>
      <c r="AV86" s="361"/>
      <c r="AW86" s="361"/>
      <c r="AX86" s="361"/>
      <c r="AY86" s="361"/>
      <c r="AZ86" s="361"/>
      <c r="BA86" s="361"/>
      <c r="BB86" s="361"/>
      <c r="BC86" s="361"/>
      <c r="BD86" s="361"/>
      <c r="BE86" s="361"/>
      <c r="BF86" s="361"/>
      <c r="BG86" s="361"/>
      <c r="BH86" s="361"/>
      <c r="BI86" s="361"/>
    </row>
    <row r="87" spans="1:61" ht="15.75" customHeight="1" x14ac:dyDescent="0.25">
      <c r="A87" s="361"/>
      <c r="B87" s="361"/>
      <c r="C87" s="361"/>
      <c r="D87" s="361"/>
      <c r="E87" s="361"/>
      <c r="F87" s="361"/>
      <c r="G87" s="361"/>
      <c r="H87" s="361"/>
      <c r="I87" s="361"/>
      <c r="J87" s="361"/>
      <c r="K87" s="361"/>
      <c r="L87" s="361"/>
      <c r="M87" s="361"/>
      <c r="N87" s="361"/>
      <c r="O87" s="361"/>
      <c r="P87" s="361"/>
      <c r="Q87" s="361"/>
      <c r="R87" s="361"/>
      <c r="S87" s="361"/>
      <c r="T87" s="361"/>
      <c r="U87" s="361"/>
      <c r="V87" s="361"/>
      <c r="W87" s="361"/>
      <c r="X87" s="361"/>
      <c r="Y87" s="361"/>
      <c r="Z87" s="361"/>
      <c r="AA87" s="361"/>
      <c r="AB87" s="361"/>
      <c r="AC87" s="361"/>
      <c r="AD87" s="361"/>
      <c r="AE87" s="361"/>
      <c r="AF87" s="361"/>
      <c r="AG87" s="361"/>
      <c r="AH87" s="361"/>
      <c r="AI87" s="361"/>
      <c r="AJ87" s="361"/>
      <c r="AK87" s="361"/>
      <c r="AL87" s="361"/>
      <c r="AM87" s="361"/>
      <c r="AN87" s="361"/>
      <c r="AO87" s="361"/>
      <c r="AP87" s="361"/>
      <c r="AQ87" s="361"/>
      <c r="AR87" s="361"/>
      <c r="AS87" s="361"/>
      <c r="AT87" s="361"/>
      <c r="AU87" s="361"/>
      <c r="AV87" s="361"/>
      <c r="AW87" s="361"/>
      <c r="AX87" s="361"/>
      <c r="AY87" s="361"/>
      <c r="AZ87" s="361"/>
      <c r="BA87" s="361"/>
      <c r="BB87" s="361"/>
      <c r="BC87" s="361"/>
      <c r="BD87" s="361"/>
      <c r="BE87" s="361"/>
      <c r="BF87" s="361"/>
      <c r="BG87" s="361"/>
      <c r="BH87" s="361"/>
      <c r="BI87" s="361"/>
    </row>
    <row r="88" spans="1:61" ht="15.75" customHeight="1" x14ac:dyDescent="0.25">
      <c r="A88" s="361"/>
      <c r="B88" s="361"/>
      <c r="C88" s="361"/>
      <c r="D88" s="361"/>
      <c r="E88" s="361"/>
      <c r="F88" s="361"/>
      <c r="G88" s="361"/>
      <c r="H88" s="361"/>
      <c r="I88" s="361"/>
      <c r="J88" s="361"/>
      <c r="K88" s="361"/>
      <c r="L88" s="361"/>
      <c r="M88" s="361"/>
      <c r="N88" s="361"/>
      <c r="O88" s="361"/>
      <c r="P88" s="361"/>
      <c r="Q88" s="361"/>
      <c r="R88" s="361"/>
      <c r="S88" s="361"/>
      <c r="T88" s="361"/>
      <c r="U88" s="361"/>
      <c r="V88" s="361"/>
      <c r="W88" s="361"/>
      <c r="X88" s="361"/>
      <c r="Y88" s="361"/>
      <c r="Z88" s="361"/>
      <c r="AA88" s="361"/>
      <c r="AB88" s="361"/>
      <c r="AC88" s="361"/>
      <c r="AD88" s="361"/>
      <c r="AE88" s="361"/>
      <c r="AF88" s="361"/>
      <c r="AG88" s="361"/>
      <c r="AH88" s="361"/>
      <c r="AI88" s="361"/>
      <c r="AJ88" s="361"/>
      <c r="AK88" s="361"/>
      <c r="AL88" s="361"/>
      <c r="AM88" s="361"/>
      <c r="AN88" s="361"/>
      <c r="AO88" s="361"/>
      <c r="AP88" s="361"/>
      <c r="AQ88" s="361"/>
      <c r="AR88" s="361"/>
      <c r="AS88" s="361"/>
      <c r="AT88" s="361"/>
      <c r="AU88" s="361"/>
      <c r="AV88" s="361"/>
      <c r="AW88" s="361"/>
      <c r="AX88" s="361"/>
      <c r="AY88" s="361"/>
      <c r="AZ88" s="361"/>
      <c r="BA88" s="361"/>
      <c r="BB88" s="361"/>
      <c r="BC88" s="361"/>
      <c r="BD88" s="361"/>
      <c r="BE88" s="361"/>
      <c r="BF88" s="361"/>
      <c r="BG88" s="361"/>
      <c r="BH88" s="361"/>
      <c r="BI88" s="361"/>
    </row>
    <row r="89" spans="1:61" ht="15.75" customHeight="1" x14ac:dyDescent="0.25">
      <c r="A89" s="361"/>
      <c r="B89" s="361"/>
      <c r="C89" s="361"/>
      <c r="D89" s="361"/>
      <c r="E89" s="361"/>
      <c r="F89" s="361"/>
      <c r="G89" s="361"/>
      <c r="H89" s="361"/>
      <c r="I89" s="361"/>
      <c r="J89" s="361"/>
      <c r="K89" s="361"/>
      <c r="L89" s="361"/>
      <c r="M89" s="361"/>
      <c r="N89" s="361"/>
      <c r="O89" s="361"/>
      <c r="P89" s="361"/>
      <c r="Q89" s="361"/>
      <c r="R89" s="361"/>
      <c r="S89" s="361"/>
      <c r="T89" s="361"/>
      <c r="U89" s="361"/>
      <c r="V89" s="361"/>
      <c r="W89" s="361"/>
      <c r="X89" s="361"/>
      <c r="Y89" s="361"/>
      <c r="Z89" s="361"/>
      <c r="AA89" s="361"/>
      <c r="AB89" s="361"/>
      <c r="AC89" s="361"/>
      <c r="AD89" s="361"/>
      <c r="AE89" s="361"/>
      <c r="AF89" s="361"/>
      <c r="AG89" s="361"/>
      <c r="AH89" s="361"/>
      <c r="AI89" s="361"/>
      <c r="AJ89" s="361"/>
      <c r="AK89" s="361"/>
      <c r="AL89" s="361"/>
      <c r="AM89" s="361"/>
      <c r="AN89" s="361"/>
      <c r="AO89" s="361"/>
      <c r="AP89" s="361"/>
      <c r="AQ89" s="361"/>
      <c r="AR89" s="361"/>
      <c r="AS89" s="361"/>
      <c r="AT89" s="361"/>
      <c r="AU89" s="361"/>
      <c r="AV89" s="361"/>
      <c r="AW89" s="361"/>
      <c r="AX89" s="361"/>
      <c r="AY89" s="361"/>
      <c r="AZ89" s="361"/>
      <c r="BA89" s="361"/>
      <c r="BB89" s="361"/>
      <c r="BC89" s="361"/>
      <c r="BD89" s="361"/>
      <c r="BE89" s="361"/>
      <c r="BF89" s="361"/>
      <c r="BG89" s="361"/>
      <c r="BH89" s="361"/>
      <c r="BI89" s="361"/>
    </row>
    <row r="90" spans="1:61" ht="15.75" customHeight="1" x14ac:dyDescent="0.25">
      <c r="A90" s="361"/>
      <c r="B90" s="361"/>
      <c r="C90" s="361"/>
      <c r="D90" s="361"/>
      <c r="E90" s="361"/>
      <c r="F90" s="361"/>
      <c r="G90" s="361"/>
      <c r="H90" s="361"/>
      <c r="I90" s="361"/>
      <c r="J90" s="361"/>
      <c r="K90" s="361"/>
      <c r="L90" s="361"/>
      <c r="M90" s="361"/>
      <c r="N90" s="361"/>
      <c r="O90" s="361"/>
      <c r="P90" s="361"/>
      <c r="Q90" s="361"/>
      <c r="R90" s="361"/>
      <c r="S90" s="361"/>
      <c r="T90" s="361"/>
      <c r="U90" s="361"/>
      <c r="V90" s="361"/>
      <c r="W90" s="361"/>
      <c r="X90" s="361"/>
      <c r="Y90" s="361"/>
      <c r="Z90" s="361"/>
      <c r="AA90" s="361"/>
      <c r="AB90" s="361"/>
      <c r="AC90" s="361"/>
      <c r="AD90" s="361"/>
      <c r="AE90" s="361"/>
      <c r="AF90" s="361"/>
      <c r="AG90" s="361"/>
      <c r="AH90" s="361"/>
      <c r="AI90" s="361"/>
      <c r="AJ90" s="361"/>
      <c r="AK90" s="361"/>
      <c r="AL90" s="361"/>
      <c r="AM90" s="361"/>
      <c r="AN90" s="361"/>
      <c r="AO90" s="361"/>
      <c r="AP90" s="361"/>
      <c r="AQ90" s="361"/>
      <c r="AR90" s="361"/>
      <c r="AS90" s="361"/>
      <c r="AT90" s="361"/>
      <c r="AU90" s="361"/>
      <c r="AV90" s="361"/>
      <c r="AW90" s="361"/>
      <c r="AX90" s="361"/>
      <c r="AY90" s="361"/>
      <c r="AZ90" s="361"/>
      <c r="BA90" s="361"/>
      <c r="BB90" s="361"/>
      <c r="BC90" s="361"/>
      <c r="BD90" s="361"/>
      <c r="BE90" s="361"/>
      <c r="BF90" s="361"/>
      <c r="BG90" s="361"/>
      <c r="BH90" s="361"/>
      <c r="BI90" s="361"/>
    </row>
    <row r="91" spans="1:61" ht="15.75" customHeight="1" x14ac:dyDescent="0.25">
      <c r="A91" s="361"/>
      <c r="B91" s="361"/>
      <c r="C91" s="361"/>
      <c r="D91" s="361"/>
      <c r="E91" s="361"/>
      <c r="F91" s="361"/>
      <c r="G91" s="361"/>
      <c r="H91" s="361"/>
      <c r="I91" s="361"/>
      <c r="J91" s="361"/>
      <c r="K91" s="361"/>
      <c r="L91" s="361"/>
      <c r="M91" s="361"/>
      <c r="N91" s="361"/>
      <c r="O91" s="361"/>
      <c r="P91" s="361"/>
      <c r="Q91" s="361"/>
      <c r="R91" s="361"/>
      <c r="S91" s="361"/>
      <c r="T91" s="361"/>
      <c r="U91" s="361"/>
      <c r="V91" s="361"/>
      <c r="W91" s="361"/>
      <c r="X91" s="361"/>
      <c r="Y91" s="361"/>
      <c r="Z91" s="361"/>
      <c r="AA91" s="361"/>
      <c r="AB91" s="361"/>
      <c r="AC91" s="361"/>
      <c r="AD91" s="361"/>
      <c r="AE91" s="361"/>
      <c r="AF91" s="361"/>
      <c r="AG91" s="361"/>
      <c r="AH91" s="361"/>
      <c r="AI91" s="361"/>
      <c r="AJ91" s="361"/>
      <c r="AK91" s="361"/>
      <c r="AL91" s="361"/>
      <c r="AM91" s="361"/>
      <c r="AN91" s="361"/>
      <c r="AO91" s="361"/>
      <c r="AP91" s="361"/>
      <c r="AQ91" s="361"/>
      <c r="AR91" s="361"/>
      <c r="AS91" s="361"/>
      <c r="AT91" s="361"/>
      <c r="AU91" s="361"/>
      <c r="AV91" s="361"/>
      <c r="AW91" s="361"/>
      <c r="AX91" s="361"/>
      <c r="AY91" s="361"/>
      <c r="AZ91" s="361"/>
      <c r="BA91" s="361"/>
      <c r="BB91" s="361"/>
      <c r="BC91" s="361"/>
      <c r="BD91" s="361"/>
      <c r="BE91" s="361"/>
      <c r="BF91" s="361"/>
      <c r="BG91" s="361"/>
      <c r="BH91" s="361"/>
      <c r="BI91" s="361"/>
    </row>
    <row r="92" spans="1:61" ht="15.75" customHeight="1" x14ac:dyDescent="0.25">
      <c r="A92" s="361"/>
      <c r="B92" s="361"/>
      <c r="C92" s="361"/>
      <c r="D92" s="361"/>
      <c r="E92" s="361"/>
      <c r="F92" s="361"/>
      <c r="G92" s="361"/>
      <c r="H92" s="361"/>
      <c r="I92" s="361"/>
      <c r="J92" s="361"/>
      <c r="K92" s="361"/>
      <c r="L92" s="361"/>
      <c r="M92" s="361"/>
      <c r="N92" s="361"/>
      <c r="O92" s="361"/>
      <c r="P92" s="361"/>
      <c r="Q92" s="361"/>
      <c r="R92" s="361"/>
      <c r="S92" s="361"/>
      <c r="T92" s="361"/>
      <c r="U92" s="361"/>
      <c r="V92" s="361"/>
      <c r="W92" s="361"/>
      <c r="X92" s="361"/>
      <c r="Y92" s="361"/>
      <c r="Z92" s="361"/>
      <c r="AA92" s="361"/>
      <c r="AB92" s="361"/>
      <c r="AC92" s="361"/>
      <c r="AD92" s="361"/>
      <c r="AE92" s="361"/>
      <c r="AF92" s="361"/>
      <c r="AG92" s="361"/>
      <c r="AH92" s="361"/>
      <c r="AI92" s="361"/>
      <c r="AJ92" s="361"/>
      <c r="AK92" s="361"/>
      <c r="AL92" s="361"/>
      <c r="AM92" s="361"/>
      <c r="AN92" s="361"/>
      <c r="AO92" s="361"/>
      <c r="AP92" s="361"/>
      <c r="AQ92" s="361"/>
      <c r="AR92" s="361"/>
      <c r="AS92" s="361"/>
      <c r="AT92" s="361"/>
      <c r="AU92" s="361"/>
      <c r="AV92" s="361"/>
      <c r="AW92" s="361"/>
      <c r="AX92" s="361"/>
      <c r="AY92" s="361"/>
      <c r="AZ92" s="361"/>
      <c r="BA92" s="361"/>
      <c r="BB92" s="361"/>
      <c r="BC92" s="361"/>
      <c r="BD92" s="361"/>
      <c r="BE92" s="361"/>
      <c r="BF92" s="361"/>
      <c r="BG92" s="361"/>
      <c r="BH92" s="361"/>
      <c r="BI92" s="361"/>
    </row>
    <row r="93" spans="1:61" ht="15.75" customHeight="1" x14ac:dyDescent="0.25">
      <c r="A93" s="361"/>
      <c r="B93" s="361"/>
      <c r="C93" s="361"/>
      <c r="D93" s="361"/>
      <c r="E93" s="361"/>
      <c r="F93" s="361"/>
      <c r="G93" s="361"/>
      <c r="H93" s="361"/>
      <c r="I93" s="361"/>
      <c r="J93" s="361"/>
      <c r="K93" s="361"/>
      <c r="L93" s="361"/>
      <c r="M93" s="361"/>
      <c r="N93" s="361"/>
      <c r="O93" s="361"/>
      <c r="P93" s="361"/>
      <c r="Q93" s="361"/>
      <c r="R93" s="361"/>
      <c r="S93" s="361"/>
      <c r="T93" s="361"/>
      <c r="U93" s="361"/>
      <c r="V93" s="361"/>
      <c r="W93" s="361"/>
      <c r="X93" s="361"/>
      <c r="Y93" s="361"/>
      <c r="Z93" s="361"/>
      <c r="AA93" s="361"/>
      <c r="AB93" s="361"/>
      <c r="AC93" s="361"/>
      <c r="AD93" s="361"/>
      <c r="AE93" s="361"/>
      <c r="AF93" s="361"/>
      <c r="AG93" s="361"/>
      <c r="AH93" s="361"/>
      <c r="AI93" s="361"/>
      <c r="AJ93" s="361"/>
      <c r="AK93" s="361"/>
      <c r="AL93" s="361"/>
      <c r="AM93" s="361"/>
      <c r="AN93" s="361"/>
      <c r="AO93" s="361"/>
      <c r="AP93" s="361"/>
      <c r="AQ93" s="361"/>
      <c r="AR93" s="361"/>
      <c r="AS93" s="361"/>
      <c r="AT93" s="361"/>
      <c r="AU93" s="361"/>
      <c r="AV93" s="361"/>
      <c r="AW93" s="361"/>
      <c r="AX93" s="361"/>
      <c r="AY93" s="361"/>
      <c r="AZ93" s="361"/>
      <c r="BA93" s="361"/>
      <c r="BB93" s="361"/>
      <c r="BC93" s="361"/>
      <c r="BD93" s="361"/>
      <c r="BE93" s="361"/>
      <c r="BF93" s="361"/>
      <c r="BG93" s="361"/>
      <c r="BH93" s="361"/>
      <c r="BI93" s="361"/>
    </row>
    <row r="94" spans="1:61" ht="15.75" customHeight="1" x14ac:dyDescent="0.25">
      <c r="A94" s="361"/>
      <c r="B94" s="361"/>
      <c r="C94" s="361"/>
      <c r="D94" s="361"/>
      <c r="E94" s="361"/>
      <c r="F94" s="361"/>
      <c r="G94" s="361"/>
      <c r="H94" s="361"/>
      <c r="I94" s="361"/>
      <c r="J94" s="361"/>
      <c r="K94" s="361"/>
      <c r="L94" s="361"/>
      <c r="M94" s="361"/>
      <c r="N94" s="361"/>
      <c r="O94" s="361"/>
      <c r="P94" s="361"/>
      <c r="Q94" s="361"/>
      <c r="R94" s="361"/>
      <c r="S94" s="361"/>
      <c r="T94" s="361"/>
      <c r="U94" s="361"/>
      <c r="V94" s="361"/>
      <c r="W94" s="361"/>
      <c r="X94" s="361"/>
      <c r="Y94" s="361"/>
      <c r="Z94" s="361"/>
      <c r="AA94" s="361"/>
      <c r="AB94" s="361"/>
      <c r="AC94" s="361"/>
      <c r="AD94" s="361"/>
      <c r="AE94" s="361"/>
      <c r="AF94" s="361"/>
      <c r="AG94" s="361"/>
      <c r="AH94" s="361"/>
      <c r="AI94" s="361"/>
      <c r="AJ94" s="361"/>
      <c r="AK94" s="361"/>
      <c r="AL94" s="361"/>
      <c r="AM94" s="361"/>
      <c r="AN94" s="361"/>
      <c r="AO94" s="361"/>
      <c r="AP94" s="361"/>
      <c r="AQ94" s="361"/>
      <c r="AR94" s="361"/>
      <c r="AS94" s="361"/>
      <c r="AT94" s="361"/>
      <c r="AU94" s="361"/>
      <c r="AV94" s="361"/>
      <c r="AW94" s="361"/>
      <c r="AX94" s="361"/>
      <c r="AY94" s="361"/>
      <c r="AZ94" s="361"/>
      <c r="BA94" s="361"/>
      <c r="BB94" s="361"/>
      <c r="BC94" s="361"/>
      <c r="BD94" s="361"/>
      <c r="BE94" s="361"/>
      <c r="BF94" s="361"/>
      <c r="BG94" s="361"/>
      <c r="BH94" s="361"/>
      <c r="BI94" s="361"/>
    </row>
    <row r="95" spans="1:61" ht="15.75" customHeight="1" x14ac:dyDescent="0.25">
      <c r="A95" s="361"/>
      <c r="B95" s="361"/>
      <c r="C95" s="361"/>
      <c r="D95" s="361"/>
      <c r="E95" s="361"/>
      <c r="F95" s="361"/>
      <c r="G95" s="361"/>
      <c r="H95" s="361"/>
      <c r="I95" s="361"/>
      <c r="J95" s="361"/>
      <c r="K95" s="361"/>
      <c r="L95" s="361"/>
      <c r="M95" s="361"/>
      <c r="N95" s="361"/>
      <c r="O95" s="361"/>
      <c r="P95" s="361"/>
      <c r="Q95" s="361"/>
      <c r="R95" s="361"/>
      <c r="S95" s="361"/>
      <c r="T95" s="361"/>
      <c r="U95" s="361"/>
      <c r="V95" s="361"/>
      <c r="W95" s="361"/>
      <c r="X95" s="361"/>
      <c r="Y95" s="361"/>
      <c r="Z95" s="361"/>
      <c r="AA95" s="361"/>
      <c r="AB95" s="361"/>
      <c r="AC95" s="361"/>
      <c r="AD95" s="361"/>
      <c r="AE95" s="361"/>
      <c r="AF95" s="361"/>
      <c r="AG95" s="361"/>
      <c r="AH95" s="361"/>
      <c r="AI95" s="361"/>
      <c r="AJ95" s="361"/>
      <c r="AK95" s="361"/>
      <c r="AL95" s="361"/>
      <c r="AM95" s="361"/>
      <c r="AN95" s="361"/>
      <c r="AO95" s="361"/>
      <c r="AP95" s="361"/>
      <c r="AQ95" s="361"/>
      <c r="AR95" s="361"/>
      <c r="AS95" s="361"/>
      <c r="AT95" s="361"/>
      <c r="AU95" s="361"/>
      <c r="AV95" s="361"/>
      <c r="AW95" s="361"/>
      <c r="AX95" s="361"/>
      <c r="AY95" s="361"/>
      <c r="AZ95" s="361"/>
      <c r="BA95" s="361"/>
      <c r="BB95" s="361"/>
      <c r="BC95" s="361"/>
      <c r="BD95" s="361"/>
      <c r="BE95" s="361"/>
      <c r="BF95" s="361"/>
      <c r="BG95" s="361"/>
      <c r="BH95" s="361"/>
      <c r="BI95" s="361"/>
    </row>
    <row r="96" spans="1:61" ht="15.75" customHeight="1" x14ac:dyDescent="0.25">
      <c r="A96" s="361"/>
      <c r="B96" s="361"/>
      <c r="C96" s="361"/>
      <c r="D96" s="361"/>
      <c r="E96" s="361"/>
      <c r="F96" s="361"/>
      <c r="G96" s="361"/>
      <c r="H96" s="361"/>
      <c r="I96" s="361"/>
      <c r="J96" s="361"/>
      <c r="K96" s="361"/>
      <c r="L96" s="361"/>
      <c r="M96" s="361"/>
      <c r="N96" s="361"/>
      <c r="O96" s="361"/>
      <c r="P96" s="361"/>
      <c r="Q96" s="361"/>
      <c r="R96" s="361"/>
      <c r="S96" s="361"/>
      <c r="T96" s="361"/>
      <c r="U96" s="361"/>
      <c r="V96" s="361"/>
      <c r="W96" s="361"/>
      <c r="X96" s="361"/>
      <c r="Y96" s="361"/>
      <c r="Z96" s="361"/>
      <c r="AA96" s="361"/>
      <c r="AB96" s="361"/>
      <c r="AC96" s="361"/>
      <c r="AD96" s="361"/>
      <c r="AE96" s="361"/>
      <c r="AF96" s="361"/>
      <c r="AG96" s="361"/>
      <c r="AH96" s="361"/>
      <c r="AI96" s="361"/>
      <c r="AJ96" s="361"/>
      <c r="AK96" s="361"/>
      <c r="AL96" s="361"/>
      <c r="AM96" s="361"/>
      <c r="AN96" s="361"/>
      <c r="AO96" s="361"/>
      <c r="AP96" s="361"/>
      <c r="AQ96" s="361"/>
      <c r="AR96" s="361"/>
      <c r="AS96" s="361"/>
      <c r="AT96" s="361"/>
      <c r="AU96" s="361"/>
      <c r="AV96" s="361"/>
      <c r="AW96" s="361"/>
      <c r="AX96" s="361"/>
      <c r="AY96" s="361"/>
      <c r="AZ96" s="361"/>
      <c r="BA96" s="361"/>
      <c r="BB96" s="361"/>
      <c r="BC96" s="361"/>
      <c r="BD96" s="361"/>
      <c r="BE96" s="361"/>
      <c r="BF96" s="361"/>
      <c r="BG96" s="361"/>
      <c r="BH96" s="361"/>
      <c r="BI96" s="361"/>
    </row>
    <row r="97" spans="1:61" ht="15.75" customHeight="1" x14ac:dyDescent="0.25">
      <c r="A97" s="361"/>
      <c r="B97" s="361"/>
      <c r="C97" s="361"/>
      <c r="D97" s="361"/>
      <c r="E97" s="361"/>
      <c r="F97" s="361"/>
      <c r="G97" s="361"/>
      <c r="H97" s="361"/>
      <c r="I97" s="361"/>
      <c r="J97" s="361"/>
      <c r="K97" s="361"/>
      <c r="L97" s="361"/>
      <c r="M97" s="361"/>
      <c r="N97" s="361"/>
      <c r="O97" s="361"/>
      <c r="P97" s="361"/>
      <c r="Q97" s="361"/>
      <c r="R97" s="361"/>
      <c r="S97" s="361"/>
      <c r="T97" s="361"/>
      <c r="U97" s="361"/>
      <c r="V97" s="361"/>
      <c r="W97" s="361"/>
      <c r="X97" s="361"/>
      <c r="Y97" s="361"/>
      <c r="Z97" s="361"/>
      <c r="AA97" s="361"/>
      <c r="AB97" s="361"/>
      <c r="AC97" s="361"/>
      <c r="AD97" s="361"/>
      <c r="AE97" s="361"/>
      <c r="AF97" s="361"/>
      <c r="AG97" s="361"/>
      <c r="AH97" s="361"/>
      <c r="AI97" s="361"/>
      <c r="AJ97" s="361"/>
      <c r="AK97" s="361"/>
      <c r="AL97" s="361"/>
      <c r="AM97" s="361"/>
      <c r="AN97" s="361"/>
      <c r="AO97" s="361"/>
      <c r="AP97" s="361"/>
      <c r="AQ97" s="361"/>
      <c r="AR97" s="361"/>
      <c r="AS97" s="361"/>
      <c r="AT97" s="361"/>
      <c r="AU97" s="361"/>
      <c r="AV97" s="361"/>
      <c r="AW97" s="361"/>
      <c r="AX97" s="361"/>
      <c r="AY97" s="361"/>
      <c r="AZ97" s="361"/>
      <c r="BA97" s="361"/>
      <c r="BB97" s="361"/>
      <c r="BC97" s="361"/>
      <c r="BD97" s="361"/>
      <c r="BE97" s="361"/>
      <c r="BF97" s="361"/>
      <c r="BG97" s="361"/>
      <c r="BH97" s="361"/>
      <c r="BI97" s="361"/>
    </row>
    <row r="98" spans="1:61" ht="15.75" customHeight="1" x14ac:dyDescent="0.25">
      <c r="A98" s="361"/>
      <c r="B98" s="361"/>
      <c r="C98" s="361"/>
      <c r="D98" s="361"/>
      <c r="E98" s="361"/>
      <c r="F98" s="361"/>
      <c r="G98" s="361"/>
      <c r="H98" s="361"/>
      <c r="I98" s="361"/>
      <c r="J98" s="361"/>
      <c r="K98" s="361"/>
      <c r="L98" s="361"/>
      <c r="M98" s="361"/>
      <c r="N98" s="361"/>
      <c r="O98" s="361"/>
      <c r="P98" s="361"/>
      <c r="Q98" s="361"/>
      <c r="R98" s="361"/>
      <c r="S98" s="361"/>
      <c r="T98" s="361"/>
      <c r="U98" s="361"/>
      <c r="V98" s="361"/>
      <c r="W98" s="361"/>
      <c r="X98" s="361"/>
      <c r="Y98" s="361"/>
      <c r="Z98" s="361"/>
      <c r="AA98" s="361"/>
      <c r="AB98" s="361"/>
      <c r="AC98" s="361"/>
      <c r="AD98" s="361"/>
      <c r="AE98" s="361"/>
      <c r="AF98" s="361"/>
      <c r="AG98" s="361"/>
      <c r="AH98" s="361"/>
      <c r="AI98" s="361"/>
      <c r="AJ98" s="361"/>
      <c r="AK98" s="361"/>
      <c r="AL98" s="361"/>
      <c r="AM98" s="361"/>
      <c r="AN98" s="361"/>
      <c r="AO98" s="361"/>
      <c r="AP98" s="361"/>
      <c r="AQ98" s="361"/>
      <c r="AR98" s="361"/>
      <c r="AS98" s="361"/>
      <c r="AT98" s="361"/>
      <c r="AU98" s="361"/>
      <c r="AV98" s="361"/>
      <c r="AW98" s="361"/>
      <c r="AX98" s="361"/>
      <c r="AY98" s="361"/>
      <c r="AZ98" s="361"/>
      <c r="BA98" s="361"/>
      <c r="BB98" s="361"/>
      <c r="BC98" s="361"/>
      <c r="BD98" s="361"/>
      <c r="BE98" s="361"/>
      <c r="BF98" s="361"/>
      <c r="BG98" s="361"/>
      <c r="BH98" s="361"/>
      <c r="BI98" s="361"/>
    </row>
    <row r="99" spans="1:61" ht="15.75" customHeight="1" x14ac:dyDescent="0.25">
      <c r="A99" s="361"/>
      <c r="B99" s="361"/>
      <c r="C99" s="361"/>
      <c r="D99" s="361"/>
      <c r="E99" s="361"/>
      <c r="F99" s="361"/>
      <c r="G99" s="361"/>
      <c r="H99" s="361"/>
      <c r="I99" s="361"/>
      <c r="J99" s="361"/>
      <c r="K99" s="361"/>
      <c r="L99" s="361"/>
      <c r="M99" s="361"/>
      <c r="N99" s="361"/>
      <c r="O99" s="361"/>
      <c r="P99" s="361"/>
      <c r="Q99" s="361"/>
      <c r="R99" s="361"/>
      <c r="S99" s="361"/>
      <c r="T99" s="361"/>
      <c r="U99" s="361"/>
      <c r="V99" s="361"/>
      <c r="W99" s="361"/>
      <c r="X99" s="361"/>
      <c r="Y99" s="361"/>
      <c r="Z99" s="361"/>
      <c r="AA99" s="361"/>
      <c r="AB99" s="361"/>
      <c r="AC99" s="361"/>
      <c r="AD99" s="361"/>
      <c r="AE99" s="361"/>
      <c r="AF99" s="361"/>
      <c r="AG99" s="361"/>
      <c r="AH99" s="361"/>
      <c r="AI99" s="361"/>
      <c r="AJ99" s="361"/>
      <c r="AK99" s="361"/>
      <c r="AL99" s="361"/>
      <c r="AM99" s="361"/>
      <c r="AN99" s="361"/>
      <c r="AO99" s="361"/>
      <c r="AP99" s="361"/>
      <c r="AQ99" s="361"/>
      <c r="AR99" s="361"/>
      <c r="AS99" s="361"/>
      <c r="AT99" s="361"/>
      <c r="AU99" s="361"/>
      <c r="AV99" s="361"/>
      <c r="AW99" s="361"/>
      <c r="AX99" s="361"/>
      <c r="AY99" s="361"/>
      <c r="AZ99" s="361"/>
      <c r="BA99" s="361"/>
      <c r="BB99" s="361"/>
      <c r="BC99" s="361"/>
      <c r="BD99" s="361"/>
      <c r="BE99" s="361"/>
      <c r="BF99" s="361"/>
      <c r="BG99" s="361"/>
      <c r="BH99" s="361"/>
      <c r="BI99" s="361"/>
    </row>
    <row r="100" spans="1:61" ht="15.75" customHeight="1" x14ac:dyDescent="0.25">
      <c r="A100" s="361"/>
      <c r="B100" s="361"/>
      <c r="C100" s="361"/>
      <c r="D100" s="361"/>
      <c r="E100" s="361"/>
      <c r="F100" s="361"/>
      <c r="G100" s="361"/>
      <c r="H100" s="361"/>
      <c r="I100" s="361"/>
      <c r="J100" s="361"/>
      <c r="K100" s="361"/>
      <c r="L100" s="361"/>
      <c r="M100" s="361"/>
      <c r="N100" s="361"/>
      <c r="O100" s="361"/>
      <c r="P100" s="361"/>
      <c r="Q100" s="361"/>
      <c r="R100" s="361"/>
      <c r="S100" s="361"/>
      <c r="T100" s="361"/>
      <c r="U100" s="361"/>
      <c r="V100" s="361"/>
      <c r="W100" s="361"/>
      <c r="X100" s="361"/>
      <c r="Y100" s="361"/>
      <c r="Z100" s="361"/>
      <c r="AA100" s="361"/>
      <c r="AB100" s="361"/>
      <c r="AC100" s="361"/>
      <c r="AD100" s="361"/>
      <c r="AE100" s="361"/>
      <c r="AF100" s="361"/>
      <c r="AG100" s="361"/>
      <c r="AH100" s="361"/>
      <c r="AI100" s="361"/>
      <c r="AJ100" s="361"/>
      <c r="AK100" s="361"/>
      <c r="AL100" s="361"/>
      <c r="AM100" s="361"/>
      <c r="AN100" s="361"/>
      <c r="AO100" s="361"/>
      <c r="AP100" s="361"/>
      <c r="AQ100" s="361"/>
      <c r="AR100" s="361"/>
      <c r="AS100" s="361"/>
      <c r="AT100" s="361"/>
      <c r="AU100" s="361"/>
      <c r="AV100" s="361"/>
      <c r="AW100" s="361"/>
      <c r="AX100" s="361"/>
      <c r="AY100" s="361"/>
      <c r="AZ100" s="361"/>
      <c r="BA100" s="361"/>
      <c r="BB100" s="361"/>
      <c r="BC100" s="361"/>
      <c r="BD100" s="361"/>
      <c r="BE100" s="361"/>
      <c r="BF100" s="361"/>
      <c r="BG100" s="361"/>
      <c r="BH100" s="361"/>
      <c r="BI100" s="361"/>
    </row>
    <row r="101" spans="1:61" ht="15.75" customHeight="1" x14ac:dyDescent="0.25">
      <c r="A101" s="361"/>
      <c r="B101" s="361"/>
      <c r="C101" s="361"/>
      <c r="D101" s="361"/>
      <c r="E101" s="361"/>
      <c r="F101" s="361"/>
      <c r="G101" s="361"/>
      <c r="H101" s="361"/>
      <c r="I101" s="361"/>
      <c r="J101" s="361"/>
      <c r="K101" s="361"/>
      <c r="L101" s="361"/>
      <c r="M101" s="361"/>
      <c r="N101" s="361"/>
      <c r="O101" s="361"/>
      <c r="P101" s="361"/>
      <c r="Q101" s="361"/>
      <c r="R101" s="361"/>
      <c r="S101" s="361"/>
      <c r="T101" s="361"/>
      <c r="U101" s="361"/>
      <c r="V101" s="361"/>
      <c r="W101" s="361"/>
      <c r="X101" s="361"/>
      <c r="Y101" s="361"/>
      <c r="Z101" s="361"/>
      <c r="AA101" s="361"/>
      <c r="AB101" s="361"/>
      <c r="AC101" s="361"/>
      <c r="AD101" s="361"/>
      <c r="AE101" s="361"/>
      <c r="AF101" s="361"/>
      <c r="AG101" s="361"/>
      <c r="AH101" s="361"/>
      <c r="AI101" s="361"/>
      <c r="AJ101" s="361"/>
      <c r="AK101" s="361"/>
      <c r="AL101" s="361"/>
      <c r="AM101" s="361"/>
      <c r="AN101" s="361"/>
      <c r="AO101" s="361"/>
      <c r="AP101" s="361"/>
      <c r="AQ101" s="361"/>
      <c r="AR101" s="361"/>
      <c r="AS101" s="361"/>
      <c r="AT101" s="361"/>
      <c r="AU101" s="361"/>
      <c r="AV101" s="361"/>
      <c r="AW101" s="361"/>
      <c r="AX101" s="361"/>
      <c r="AY101" s="361"/>
      <c r="AZ101" s="361"/>
      <c r="BA101" s="361"/>
      <c r="BB101" s="361"/>
      <c r="BC101" s="361"/>
      <c r="BD101" s="361"/>
      <c r="BE101" s="361"/>
      <c r="BF101" s="361"/>
      <c r="BG101" s="361"/>
      <c r="BH101" s="361"/>
      <c r="BI101" s="361"/>
    </row>
    <row r="102" spans="1:61" ht="15.75" customHeight="1" x14ac:dyDescent="0.25">
      <c r="A102" s="361"/>
      <c r="B102" s="361"/>
      <c r="C102" s="361"/>
      <c r="D102" s="361"/>
      <c r="E102" s="361"/>
      <c r="F102" s="361"/>
      <c r="G102" s="361"/>
      <c r="H102" s="361"/>
      <c r="I102" s="361"/>
      <c r="J102" s="361"/>
      <c r="K102" s="361"/>
      <c r="L102" s="361"/>
      <c r="M102" s="361"/>
      <c r="N102" s="361"/>
      <c r="O102" s="361"/>
      <c r="P102" s="361"/>
      <c r="Q102" s="361"/>
      <c r="R102" s="361"/>
      <c r="S102" s="361"/>
      <c r="T102" s="361"/>
      <c r="U102" s="361"/>
      <c r="V102" s="361"/>
      <c r="W102" s="361"/>
      <c r="X102" s="361"/>
      <c r="Y102" s="361"/>
      <c r="Z102" s="361"/>
      <c r="AA102" s="361"/>
      <c r="AB102" s="361"/>
      <c r="AC102" s="361"/>
      <c r="AD102" s="361"/>
      <c r="AE102" s="361"/>
      <c r="AF102" s="361"/>
      <c r="AG102" s="361"/>
      <c r="AH102" s="361"/>
      <c r="AI102" s="361"/>
      <c r="AJ102" s="361"/>
      <c r="AK102" s="361"/>
      <c r="AL102" s="361"/>
      <c r="AM102" s="361"/>
      <c r="AN102" s="361"/>
      <c r="AO102" s="361"/>
      <c r="AP102" s="361"/>
      <c r="AQ102" s="361"/>
      <c r="AR102" s="361"/>
      <c r="AS102" s="361"/>
      <c r="AT102" s="361"/>
      <c r="AU102" s="361"/>
      <c r="AV102" s="361"/>
      <c r="AW102" s="361"/>
      <c r="AX102" s="361"/>
      <c r="AY102" s="361"/>
      <c r="AZ102" s="361"/>
      <c r="BA102" s="361"/>
      <c r="BB102" s="361"/>
      <c r="BC102" s="361"/>
      <c r="BD102" s="361"/>
      <c r="BE102" s="361"/>
      <c r="BF102" s="361"/>
      <c r="BG102" s="361"/>
      <c r="BH102" s="361"/>
      <c r="BI102" s="361"/>
    </row>
    <row r="103" spans="1:61" ht="15.75" customHeight="1" x14ac:dyDescent="0.25">
      <c r="A103" s="361"/>
      <c r="B103" s="361"/>
      <c r="C103" s="361"/>
      <c r="D103" s="361"/>
      <c r="E103" s="361"/>
      <c r="F103" s="361"/>
      <c r="G103" s="361"/>
      <c r="H103" s="361"/>
      <c r="I103" s="361"/>
      <c r="J103" s="361"/>
      <c r="K103" s="361"/>
      <c r="L103" s="361"/>
      <c r="M103" s="361"/>
      <c r="N103" s="361"/>
      <c r="O103" s="361"/>
      <c r="P103" s="361"/>
      <c r="Q103" s="361"/>
      <c r="R103" s="361"/>
      <c r="S103" s="361"/>
      <c r="T103" s="361"/>
      <c r="U103" s="361"/>
      <c r="V103" s="361"/>
      <c r="W103" s="361"/>
      <c r="X103" s="361"/>
      <c r="Y103" s="361"/>
      <c r="Z103" s="361"/>
      <c r="AA103" s="361"/>
      <c r="AB103" s="361"/>
      <c r="AC103" s="361"/>
      <c r="AD103" s="361"/>
      <c r="AE103" s="361"/>
      <c r="AF103" s="361"/>
      <c r="AG103" s="361"/>
      <c r="AH103" s="361"/>
      <c r="AI103" s="361"/>
      <c r="AJ103" s="361"/>
      <c r="AK103" s="361"/>
      <c r="AL103" s="361"/>
      <c r="AM103" s="361"/>
      <c r="AN103" s="361"/>
      <c r="AO103" s="361"/>
      <c r="AP103" s="361"/>
      <c r="AQ103" s="361"/>
      <c r="AR103" s="361"/>
      <c r="AS103" s="361"/>
      <c r="AT103" s="361"/>
      <c r="AU103" s="361"/>
      <c r="AV103" s="361"/>
      <c r="AW103" s="361"/>
      <c r="AX103" s="361"/>
      <c r="AY103" s="361"/>
      <c r="AZ103" s="361"/>
      <c r="BA103" s="361"/>
      <c r="BB103" s="361"/>
      <c r="BC103" s="361"/>
      <c r="BD103" s="361"/>
      <c r="BE103" s="361"/>
      <c r="BF103" s="361"/>
      <c r="BG103" s="361"/>
      <c r="BH103" s="361"/>
      <c r="BI103" s="361"/>
    </row>
    <row r="104" spans="1:61" ht="15.75" customHeight="1" x14ac:dyDescent="0.25">
      <c r="A104" s="361"/>
      <c r="B104" s="361"/>
      <c r="C104" s="361"/>
      <c r="D104" s="361"/>
      <c r="E104" s="361"/>
      <c r="F104" s="361"/>
      <c r="G104" s="361"/>
      <c r="H104" s="361"/>
      <c r="I104" s="361"/>
      <c r="J104" s="361"/>
      <c r="K104" s="361"/>
      <c r="L104" s="361"/>
      <c r="M104" s="361"/>
      <c r="N104" s="361"/>
      <c r="O104" s="361"/>
      <c r="P104" s="361"/>
      <c r="Q104" s="361"/>
      <c r="R104" s="361"/>
      <c r="S104" s="361"/>
      <c r="T104" s="361"/>
      <c r="U104" s="361"/>
      <c r="V104" s="361"/>
      <c r="W104" s="361"/>
      <c r="X104" s="361"/>
      <c r="Y104" s="361"/>
      <c r="Z104" s="361"/>
      <c r="AA104" s="361"/>
      <c r="AB104" s="361"/>
      <c r="AC104" s="361"/>
      <c r="AD104" s="361"/>
      <c r="AE104" s="361"/>
      <c r="AF104" s="361"/>
      <c r="AG104" s="361"/>
      <c r="AH104" s="361"/>
      <c r="AI104" s="361"/>
      <c r="AJ104" s="361"/>
      <c r="AK104" s="361"/>
      <c r="AL104" s="361"/>
      <c r="AM104" s="361"/>
      <c r="AN104" s="361"/>
      <c r="AO104" s="361"/>
      <c r="AP104" s="361"/>
      <c r="AQ104" s="361"/>
      <c r="AR104" s="361"/>
      <c r="AS104" s="361"/>
      <c r="AT104" s="361"/>
      <c r="AU104" s="361"/>
      <c r="AV104" s="361"/>
      <c r="AW104" s="361"/>
      <c r="AX104" s="361"/>
      <c r="AY104" s="361"/>
      <c r="AZ104" s="361"/>
      <c r="BA104" s="361"/>
      <c r="BB104" s="361"/>
      <c r="BC104" s="361"/>
      <c r="BD104" s="361"/>
      <c r="BE104" s="361"/>
      <c r="BF104" s="361"/>
      <c r="BG104" s="361"/>
      <c r="BH104" s="361"/>
      <c r="BI104" s="361"/>
    </row>
    <row r="105" spans="1:61" ht="15.75" customHeight="1" x14ac:dyDescent="0.25">
      <c r="A105" s="361"/>
      <c r="B105" s="361"/>
      <c r="C105" s="361"/>
      <c r="D105" s="361"/>
      <c r="E105" s="361"/>
      <c r="F105" s="361"/>
      <c r="G105" s="361"/>
      <c r="H105" s="361"/>
      <c r="I105" s="361"/>
      <c r="J105" s="361"/>
      <c r="K105" s="361"/>
      <c r="L105" s="361"/>
      <c r="M105" s="361"/>
      <c r="N105" s="361"/>
      <c r="O105" s="361"/>
      <c r="P105" s="361"/>
      <c r="Q105" s="361"/>
      <c r="R105" s="361"/>
      <c r="S105" s="361"/>
      <c r="T105" s="361"/>
      <c r="U105" s="361"/>
      <c r="V105" s="361"/>
      <c r="W105" s="361"/>
      <c r="X105" s="361"/>
      <c r="Y105" s="361"/>
      <c r="Z105" s="361"/>
      <c r="AA105" s="361"/>
      <c r="AB105" s="361"/>
      <c r="AC105" s="361"/>
      <c r="AD105" s="361"/>
      <c r="AE105" s="361"/>
      <c r="AF105" s="361"/>
      <c r="AG105" s="361"/>
      <c r="AH105" s="361"/>
      <c r="AI105" s="361"/>
      <c r="AJ105" s="361"/>
      <c r="AK105" s="361"/>
      <c r="AL105" s="361"/>
      <c r="AM105" s="361"/>
      <c r="AN105" s="361"/>
      <c r="AO105" s="361"/>
      <c r="AP105" s="361"/>
      <c r="AQ105" s="361"/>
      <c r="AR105" s="361"/>
      <c r="AS105" s="361"/>
      <c r="AT105" s="361"/>
      <c r="AU105" s="361"/>
      <c r="AV105" s="361"/>
      <c r="AW105" s="361"/>
      <c r="AX105" s="361"/>
      <c r="AY105" s="361"/>
      <c r="AZ105" s="361"/>
      <c r="BA105" s="361"/>
      <c r="BB105" s="361"/>
      <c r="BC105" s="361"/>
      <c r="BD105" s="361"/>
      <c r="BE105" s="361"/>
      <c r="BF105" s="361"/>
      <c r="BG105" s="361"/>
      <c r="BH105" s="361"/>
      <c r="BI105" s="361"/>
    </row>
    <row r="106" spans="1:61" ht="15.75" customHeight="1" x14ac:dyDescent="0.25">
      <c r="A106" s="361"/>
      <c r="B106" s="361"/>
      <c r="C106" s="361"/>
      <c r="D106" s="361"/>
      <c r="E106" s="361"/>
      <c r="F106" s="361"/>
      <c r="G106" s="361"/>
      <c r="H106" s="361"/>
      <c r="I106" s="361"/>
      <c r="J106" s="361"/>
      <c r="K106" s="361"/>
      <c r="L106" s="361"/>
      <c r="M106" s="361"/>
      <c r="N106" s="361"/>
      <c r="O106" s="361"/>
      <c r="P106" s="361"/>
      <c r="Q106" s="361"/>
      <c r="R106" s="361"/>
      <c r="S106" s="361"/>
      <c r="T106" s="361"/>
      <c r="U106" s="361"/>
      <c r="V106" s="361"/>
      <c r="W106" s="361"/>
      <c r="X106" s="361"/>
      <c r="Y106" s="361"/>
      <c r="Z106" s="361"/>
      <c r="AA106" s="361"/>
      <c r="AB106" s="361"/>
      <c r="AC106" s="361"/>
      <c r="AD106" s="361"/>
      <c r="AE106" s="361"/>
      <c r="AF106" s="361"/>
      <c r="AG106" s="361"/>
      <c r="AH106" s="361"/>
      <c r="AI106" s="361"/>
      <c r="AJ106" s="361"/>
      <c r="AK106" s="361"/>
      <c r="AL106" s="361"/>
      <c r="AM106" s="361"/>
      <c r="AN106" s="361"/>
      <c r="AO106" s="361"/>
      <c r="AP106" s="361"/>
      <c r="AQ106" s="361"/>
      <c r="AR106" s="361"/>
      <c r="AS106" s="361"/>
      <c r="AT106" s="361"/>
      <c r="AU106" s="361"/>
      <c r="AV106" s="361"/>
      <c r="AW106" s="361"/>
      <c r="AX106" s="361"/>
      <c r="AY106" s="361"/>
      <c r="AZ106" s="361"/>
      <c r="BA106" s="361"/>
      <c r="BB106" s="361"/>
      <c r="BC106" s="361"/>
      <c r="BD106" s="361"/>
      <c r="BE106" s="361"/>
      <c r="BF106" s="361"/>
      <c r="BG106" s="361"/>
      <c r="BH106" s="361"/>
      <c r="BI106" s="361"/>
    </row>
    <row r="107" spans="1:61" ht="15.75" customHeight="1" x14ac:dyDescent="0.25">
      <c r="A107" s="361"/>
      <c r="B107" s="361"/>
      <c r="C107" s="361"/>
      <c r="D107" s="361"/>
      <c r="E107" s="361"/>
      <c r="F107" s="361"/>
      <c r="G107" s="361"/>
      <c r="H107" s="361"/>
      <c r="I107" s="361"/>
      <c r="J107" s="361"/>
      <c r="K107" s="361"/>
      <c r="L107" s="361"/>
      <c r="M107" s="361"/>
      <c r="N107" s="361"/>
      <c r="O107" s="361"/>
      <c r="P107" s="361"/>
      <c r="Q107" s="361"/>
      <c r="R107" s="361"/>
      <c r="S107" s="361"/>
      <c r="T107" s="361"/>
      <c r="U107" s="361"/>
      <c r="V107" s="361"/>
      <c r="W107" s="361"/>
      <c r="X107" s="361"/>
      <c r="Y107" s="361"/>
      <c r="Z107" s="361"/>
      <c r="AA107" s="361"/>
      <c r="AB107" s="361"/>
      <c r="AC107" s="361"/>
      <c r="AD107" s="361"/>
      <c r="AE107" s="361"/>
      <c r="AF107" s="361"/>
      <c r="AG107" s="361"/>
      <c r="AH107" s="361"/>
      <c r="AI107" s="361"/>
      <c r="AJ107" s="361"/>
      <c r="AK107" s="361"/>
      <c r="AL107" s="361"/>
      <c r="AM107" s="361"/>
      <c r="AN107" s="361"/>
      <c r="AO107" s="361"/>
      <c r="AP107" s="361"/>
      <c r="AQ107" s="361"/>
      <c r="AR107" s="361"/>
      <c r="AS107" s="361"/>
      <c r="AT107" s="361"/>
      <c r="AU107" s="361"/>
      <c r="AV107" s="361"/>
      <c r="AW107" s="361"/>
      <c r="AX107" s="361"/>
      <c r="AY107" s="361"/>
      <c r="AZ107" s="361"/>
      <c r="BA107" s="361"/>
      <c r="BB107" s="361"/>
      <c r="BC107" s="361"/>
      <c r="BD107" s="361"/>
      <c r="BE107" s="361"/>
      <c r="BF107" s="361"/>
      <c r="BG107" s="361"/>
      <c r="BH107" s="361"/>
      <c r="BI107" s="361"/>
    </row>
    <row r="108" spans="1:61" ht="15.75" customHeight="1" x14ac:dyDescent="0.25">
      <c r="A108" s="361"/>
      <c r="B108" s="361"/>
      <c r="C108" s="361"/>
      <c r="D108" s="361"/>
      <c r="E108" s="361"/>
      <c r="F108" s="361"/>
      <c r="G108" s="361"/>
      <c r="H108" s="361"/>
      <c r="I108" s="361"/>
      <c r="J108" s="361"/>
      <c r="K108" s="361"/>
      <c r="L108" s="361"/>
      <c r="M108" s="361"/>
      <c r="N108" s="361"/>
      <c r="O108" s="361"/>
      <c r="P108" s="361"/>
      <c r="Q108" s="361"/>
      <c r="R108" s="361"/>
      <c r="S108" s="361"/>
      <c r="T108" s="361"/>
      <c r="U108" s="361"/>
      <c r="V108" s="361"/>
      <c r="W108" s="361"/>
      <c r="X108" s="361"/>
      <c r="Y108" s="361"/>
      <c r="Z108" s="361"/>
      <c r="AA108" s="361"/>
      <c r="AB108" s="361"/>
      <c r="AC108" s="361"/>
      <c r="AD108" s="361"/>
      <c r="AE108" s="361"/>
      <c r="AF108" s="361"/>
      <c r="AG108" s="361"/>
      <c r="AH108" s="361"/>
      <c r="AI108" s="361"/>
      <c r="AJ108" s="361"/>
      <c r="AK108" s="361"/>
      <c r="AL108" s="361"/>
      <c r="AM108" s="361"/>
      <c r="AN108" s="361"/>
      <c r="AO108" s="361"/>
      <c r="AP108" s="361"/>
      <c r="AQ108" s="361"/>
      <c r="AR108" s="361"/>
      <c r="AS108" s="361"/>
      <c r="AT108" s="361"/>
      <c r="AU108" s="361"/>
      <c r="AV108" s="361"/>
      <c r="AW108" s="361"/>
      <c r="AX108" s="361"/>
      <c r="AY108" s="361"/>
      <c r="AZ108" s="361"/>
      <c r="BA108" s="361"/>
      <c r="BB108" s="361"/>
      <c r="BC108" s="361"/>
      <c r="BD108" s="361"/>
      <c r="BE108" s="361"/>
      <c r="BF108" s="361"/>
      <c r="BG108" s="361"/>
      <c r="BH108" s="361"/>
      <c r="BI108" s="361"/>
    </row>
    <row r="109" spans="1:61" ht="15.75" customHeight="1" x14ac:dyDescent="0.25">
      <c r="A109" s="361"/>
      <c r="B109" s="361"/>
      <c r="C109" s="361"/>
      <c r="D109" s="361"/>
      <c r="E109" s="361"/>
      <c r="F109" s="361"/>
      <c r="G109" s="361"/>
      <c r="H109" s="361"/>
      <c r="I109" s="361"/>
      <c r="J109" s="361"/>
      <c r="K109" s="361"/>
      <c r="L109" s="361"/>
      <c r="M109" s="361"/>
      <c r="N109" s="361"/>
      <c r="O109" s="361"/>
      <c r="P109" s="361"/>
      <c r="Q109" s="361"/>
      <c r="R109" s="361"/>
      <c r="S109" s="361"/>
      <c r="T109" s="361"/>
      <c r="U109" s="361"/>
      <c r="V109" s="361"/>
      <c r="W109" s="361"/>
      <c r="X109" s="361"/>
      <c r="Y109" s="361"/>
      <c r="Z109" s="361"/>
      <c r="AA109" s="361"/>
      <c r="AB109" s="361"/>
      <c r="AC109" s="361"/>
      <c r="AD109" s="361"/>
      <c r="AE109" s="361"/>
      <c r="AF109" s="361"/>
      <c r="AG109" s="361"/>
      <c r="AH109" s="361"/>
      <c r="AI109" s="361"/>
      <c r="AJ109" s="361"/>
      <c r="AK109" s="361"/>
      <c r="AL109" s="361"/>
      <c r="AM109" s="361"/>
      <c r="AN109" s="361"/>
      <c r="AO109" s="361"/>
      <c r="AP109" s="361"/>
      <c r="AQ109" s="361"/>
      <c r="AR109" s="361"/>
      <c r="AS109" s="361"/>
      <c r="AT109" s="361"/>
      <c r="AU109" s="361"/>
      <c r="AV109" s="361"/>
      <c r="AW109" s="361"/>
      <c r="AX109" s="361"/>
      <c r="AY109" s="361"/>
      <c r="AZ109" s="361"/>
      <c r="BA109" s="361"/>
      <c r="BB109" s="361"/>
      <c r="BC109" s="361"/>
      <c r="BD109" s="361"/>
      <c r="BE109" s="361"/>
      <c r="BF109" s="361"/>
      <c r="BG109" s="361"/>
      <c r="BH109" s="361"/>
      <c r="BI109" s="361"/>
    </row>
    <row r="110" spans="1:61" ht="15.75" customHeight="1" x14ac:dyDescent="0.25">
      <c r="A110" s="361"/>
      <c r="B110" s="361"/>
      <c r="C110" s="361"/>
      <c r="D110" s="361"/>
      <c r="E110" s="361"/>
      <c r="F110" s="361"/>
      <c r="G110" s="361"/>
      <c r="H110" s="361"/>
      <c r="I110" s="361"/>
      <c r="J110" s="361"/>
      <c r="K110" s="361"/>
      <c r="L110" s="361"/>
      <c r="M110" s="361"/>
      <c r="N110" s="361"/>
      <c r="O110" s="361"/>
      <c r="P110" s="361"/>
      <c r="Q110" s="361"/>
      <c r="R110" s="361"/>
      <c r="S110" s="361"/>
      <c r="T110" s="361"/>
      <c r="U110" s="361"/>
      <c r="V110" s="361"/>
      <c r="W110" s="361"/>
      <c r="X110" s="361"/>
      <c r="Y110" s="361"/>
      <c r="Z110" s="361"/>
      <c r="AA110" s="361"/>
      <c r="AB110" s="361"/>
      <c r="AC110" s="361"/>
      <c r="AD110" s="361"/>
      <c r="AE110" s="361"/>
      <c r="AF110" s="361"/>
      <c r="AG110" s="361"/>
      <c r="AH110" s="361"/>
      <c r="AI110" s="361"/>
      <c r="AJ110" s="361"/>
      <c r="AK110" s="361"/>
      <c r="AL110" s="361"/>
      <c r="AM110" s="361"/>
      <c r="AN110" s="361"/>
      <c r="AO110" s="361"/>
      <c r="AP110" s="361"/>
      <c r="AQ110" s="361"/>
      <c r="AR110" s="361"/>
      <c r="AS110" s="361"/>
      <c r="AT110" s="361"/>
      <c r="AU110" s="361"/>
      <c r="AV110" s="361"/>
      <c r="AW110" s="361"/>
      <c r="AX110" s="361"/>
      <c r="AY110" s="361"/>
      <c r="AZ110" s="361"/>
      <c r="BA110" s="361"/>
      <c r="BB110" s="361"/>
      <c r="BC110" s="361"/>
      <c r="BD110" s="361"/>
      <c r="BE110" s="361"/>
      <c r="BF110" s="361"/>
      <c r="BG110" s="361"/>
      <c r="BH110" s="361"/>
      <c r="BI110" s="361"/>
    </row>
    <row r="111" spans="1:61" ht="15.75" customHeight="1" x14ac:dyDescent="0.25">
      <c r="A111" s="361"/>
      <c r="B111" s="361"/>
      <c r="C111" s="361"/>
      <c r="D111" s="361"/>
      <c r="E111" s="361"/>
      <c r="F111" s="361"/>
      <c r="G111" s="361"/>
      <c r="H111" s="361"/>
      <c r="I111" s="361"/>
      <c r="J111" s="361"/>
      <c r="K111" s="361"/>
      <c r="L111" s="361"/>
      <c r="M111" s="361"/>
      <c r="N111" s="361"/>
      <c r="O111" s="361"/>
      <c r="P111" s="361"/>
      <c r="Q111" s="361"/>
      <c r="R111" s="361"/>
      <c r="S111" s="361"/>
      <c r="T111" s="361"/>
      <c r="U111" s="361"/>
      <c r="V111" s="361"/>
      <c r="W111" s="361"/>
      <c r="X111" s="361"/>
      <c r="Y111" s="361"/>
      <c r="Z111" s="361"/>
      <c r="AA111" s="361"/>
      <c r="AB111" s="361"/>
      <c r="AC111" s="361"/>
      <c r="AD111" s="361"/>
      <c r="AE111" s="361"/>
      <c r="AF111" s="361"/>
      <c r="AG111" s="361"/>
      <c r="AH111" s="361"/>
      <c r="AI111" s="361"/>
      <c r="AJ111" s="361"/>
      <c r="AK111" s="361"/>
      <c r="AL111" s="361"/>
      <c r="AM111" s="361"/>
      <c r="AN111" s="361"/>
      <c r="AO111" s="361"/>
      <c r="AP111" s="361"/>
      <c r="AQ111" s="361"/>
      <c r="AR111" s="361"/>
      <c r="AS111" s="361"/>
      <c r="AT111" s="361"/>
      <c r="AU111" s="361"/>
      <c r="AV111" s="361"/>
      <c r="AW111" s="361"/>
      <c r="AX111" s="361"/>
      <c r="AY111" s="361"/>
      <c r="AZ111" s="361"/>
      <c r="BA111" s="361"/>
      <c r="BB111" s="361"/>
      <c r="BC111" s="361"/>
      <c r="BD111" s="361"/>
      <c r="BE111" s="361"/>
      <c r="BF111" s="361"/>
      <c r="BG111" s="361"/>
      <c r="BH111" s="361"/>
      <c r="BI111" s="361"/>
    </row>
    <row r="112" spans="1:61" ht="15.75" customHeight="1" x14ac:dyDescent="0.25">
      <c r="A112" s="361"/>
      <c r="B112" s="361"/>
      <c r="C112" s="361"/>
      <c r="D112" s="361"/>
      <c r="E112" s="361"/>
      <c r="F112" s="361"/>
      <c r="G112" s="361"/>
      <c r="H112" s="361"/>
      <c r="I112" s="361"/>
      <c r="J112" s="361"/>
      <c r="K112" s="361"/>
      <c r="L112" s="361"/>
      <c r="M112" s="361"/>
      <c r="N112" s="361"/>
      <c r="O112" s="361"/>
      <c r="P112" s="361"/>
      <c r="Q112" s="361"/>
      <c r="R112" s="361"/>
      <c r="S112" s="361"/>
      <c r="T112" s="361"/>
      <c r="U112" s="361"/>
      <c r="V112" s="361"/>
      <c r="W112" s="361"/>
      <c r="X112" s="361"/>
      <c r="Y112" s="361"/>
      <c r="Z112" s="361"/>
      <c r="AA112" s="361"/>
      <c r="AB112" s="361"/>
      <c r="AC112" s="361"/>
      <c r="AD112" s="361"/>
      <c r="AE112" s="361"/>
      <c r="AF112" s="361"/>
      <c r="AG112" s="361"/>
      <c r="AH112" s="361"/>
      <c r="AI112" s="361"/>
      <c r="AJ112" s="361"/>
      <c r="AK112" s="361"/>
      <c r="AL112" s="361"/>
      <c r="AM112" s="361"/>
      <c r="AN112" s="361"/>
      <c r="AO112" s="361"/>
      <c r="AP112" s="361"/>
      <c r="AQ112" s="361"/>
      <c r="AR112" s="361"/>
      <c r="AS112" s="361"/>
      <c r="AT112" s="361"/>
      <c r="AU112" s="361"/>
      <c r="AV112" s="361"/>
      <c r="AW112" s="361"/>
      <c r="AX112" s="361"/>
      <c r="AY112" s="361"/>
      <c r="AZ112" s="361"/>
      <c r="BA112" s="361"/>
      <c r="BB112" s="361"/>
      <c r="BC112" s="361"/>
      <c r="BD112" s="361"/>
      <c r="BE112" s="361"/>
      <c r="BF112" s="361"/>
      <c r="BG112" s="361"/>
      <c r="BH112" s="361"/>
      <c r="BI112" s="361"/>
    </row>
    <row r="113" spans="1:61" ht="15.75" customHeight="1" x14ac:dyDescent="0.25">
      <c r="A113" s="361"/>
      <c r="B113" s="361"/>
      <c r="C113" s="361"/>
      <c r="D113" s="361"/>
      <c r="E113" s="361"/>
      <c r="F113" s="361"/>
      <c r="G113" s="361"/>
      <c r="H113" s="361"/>
      <c r="I113" s="361"/>
      <c r="J113" s="361"/>
      <c r="K113" s="361"/>
      <c r="L113" s="361"/>
      <c r="M113" s="361"/>
      <c r="N113" s="361"/>
      <c r="O113" s="361"/>
      <c r="P113" s="361"/>
      <c r="Q113" s="361"/>
      <c r="R113" s="361"/>
      <c r="S113" s="361"/>
      <c r="T113" s="361"/>
      <c r="U113" s="361"/>
      <c r="V113" s="361"/>
      <c r="W113" s="361"/>
      <c r="X113" s="361"/>
      <c r="Y113" s="361"/>
      <c r="Z113" s="361"/>
      <c r="AA113" s="361"/>
      <c r="AB113" s="361"/>
      <c r="AC113" s="361"/>
      <c r="AD113" s="361"/>
      <c r="AE113" s="361"/>
      <c r="AF113" s="361"/>
      <c r="AG113" s="361"/>
      <c r="AH113" s="361"/>
      <c r="AI113" s="361"/>
      <c r="AJ113" s="361"/>
      <c r="AK113" s="361"/>
      <c r="AL113" s="361"/>
      <c r="AM113" s="361"/>
      <c r="AN113" s="361"/>
      <c r="AO113" s="361"/>
      <c r="AP113" s="361"/>
      <c r="AQ113" s="361"/>
      <c r="AR113" s="361"/>
      <c r="AS113" s="361"/>
      <c r="AT113" s="361"/>
      <c r="AU113" s="361"/>
      <c r="AV113" s="361"/>
      <c r="AW113" s="361"/>
      <c r="AX113" s="361"/>
      <c r="AY113" s="361"/>
      <c r="AZ113" s="361"/>
      <c r="BA113" s="361"/>
      <c r="BB113" s="361"/>
      <c r="BC113" s="361"/>
      <c r="BD113" s="361"/>
      <c r="BE113" s="361"/>
      <c r="BF113" s="361"/>
      <c r="BG113" s="361"/>
      <c r="BH113" s="361"/>
      <c r="BI113" s="361"/>
    </row>
    <row r="114" spans="1:61" ht="15.75" customHeight="1" x14ac:dyDescent="0.25">
      <c r="A114" s="361"/>
      <c r="B114" s="361"/>
      <c r="C114" s="361"/>
      <c r="D114" s="361"/>
      <c r="E114" s="361"/>
      <c r="F114" s="361"/>
      <c r="G114" s="361"/>
      <c r="H114" s="361"/>
      <c r="I114" s="361"/>
      <c r="J114" s="361"/>
      <c r="K114" s="361"/>
      <c r="L114" s="361"/>
      <c r="M114" s="361"/>
      <c r="N114" s="361"/>
      <c r="O114" s="361"/>
      <c r="P114" s="361"/>
      <c r="Q114" s="361"/>
      <c r="R114" s="361"/>
      <c r="S114" s="361"/>
      <c r="T114" s="361"/>
      <c r="U114" s="361"/>
      <c r="V114" s="361"/>
      <c r="W114" s="361"/>
      <c r="X114" s="361"/>
      <c r="Y114" s="361"/>
      <c r="Z114" s="361"/>
      <c r="AA114" s="361"/>
      <c r="AB114" s="361"/>
      <c r="AC114" s="361"/>
      <c r="AD114" s="361"/>
      <c r="AE114" s="361"/>
      <c r="AF114" s="361"/>
      <c r="AG114" s="361"/>
      <c r="AH114" s="361"/>
      <c r="AI114" s="361"/>
      <c r="AJ114" s="361"/>
      <c r="AK114" s="361"/>
      <c r="AL114" s="361"/>
      <c r="AM114" s="361"/>
      <c r="AN114" s="361"/>
      <c r="AO114" s="361"/>
      <c r="AP114" s="361"/>
      <c r="AQ114" s="361"/>
      <c r="AR114" s="361"/>
      <c r="AS114" s="361"/>
      <c r="AT114" s="361"/>
      <c r="AU114" s="361"/>
      <c r="AV114" s="361"/>
      <c r="AW114" s="361"/>
      <c r="AX114" s="361"/>
      <c r="AY114" s="361"/>
      <c r="AZ114" s="361"/>
      <c r="BA114" s="361"/>
      <c r="BB114" s="361"/>
      <c r="BC114" s="361"/>
      <c r="BD114" s="361"/>
      <c r="BE114" s="361"/>
      <c r="BF114" s="361"/>
      <c r="BG114" s="361"/>
      <c r="BH114" s="361"/>
      <c r="BI114" s="361"/>
    </row>
    <row r="115" spans="1:61" ht="15.75" customHeight="1" x14ac:dyDescent="0.25">
      <c r="A115" s="361"/>
      <c r="B115" s="361"/>
      <c r="C115" s="361"/>
      <c r="D115" s="361"/>
      <c r="E115" s="361"/>
      <c r="F115" s="361"/>
      <c r="G115" s="361"/>
      <c r="H115" s="361"/>
      <c r="I115" s="361"/>
      <c r="J115" s="361"/>
      <c r="K115" s="361"/>
      <c r="L115" s="361"/>
      <c r="M115" s="361"/>
      <c r="N115" s="361"/>
      <c r="O115" s="361"/>
      <c r="P115" s="361"/>
      <c r="Q115" s="361"/>
      <c r="R115" s="361"/>
      <c r="S115" s="361"/>
      <c r="T115" s="361"/>
      <c r="U115" s="361"/>
      <c r="V115" s="361"/>
      <c r="W115" s="361"/>
      <c r="X115" s="361"/>
      <c r="Y115" s="361"/>
      <c r="Z115" s="361"/>
      <c r="AA115" s="361"/>
      <c r="AB115" s="361"/>
      <c r="AC115" s="361"/>
      <c r="AD115" s="361"/>
      <c r="AE115" s="361"/>
      <c r="AF115" s="361"/>
      <c r="AG115" s="361"/>
      <c r="AH115" s="361"/>
      <c r="AI115" s="361"/>
      <c r="AJ115" s="361"/>
      <c r="AK115" s="361"/>
      <c r="AL115" s="361"/>
      <c r="AM115" s="361"/>
      <c r="AN115" s="361"/>
      <c r="AO115" s="361"/>
      <c r="AP115" s="361"/>
      <c r="AQ115" s="361"/>
      <c r="AR115" s="361"/>
      <c r="AS115" s="361"/>
      <c r="AT115" s="361"/>
      <c r="AU115" s="361"/>
      <c r="AV115" s="361"/>
      <c r="AW115" s="361"/>
      <c r="AX115" s="361"/>
      <c r="AY115" s="361"/>
      <c r="AZ115" s="361"/>
      <c r="BA115" s="361"/>
      <c r="BB115" s="361"/>
      <c r="BC115" s="361"/>
      <c r="BD115" s="361"/>
      <c r="BE115" s="361"/>
      <c r="BF115" s="361"/>
      <c r="BG115" s="361"/>
      <c r="BH115" s="361"/>
      <c r="BI115" s="361"/>
    </row>
    <row r="116" spans="1:61" ht="15.75" customHeight="1" x14ac:dyDescent="0.25">
      <c r="A116" s="361"/>
      <c r="B116" s="361"/>
      <c r="C116" s="361"/>
      <c r="D116" s="361"/>
      <c r="E116" s="361"/>
      <c r="F116" s="361"/>
      <c r="G116" s="361"/>
      <c r="H116" s="361"/>
      <c r="I116" s="361"/>
      <c r="J116" s="361"/>
      <c r="K116" s="361"/>
      <c r="L116" s="361"/>
      <c r="M116" s="361"/>
      <c r="N116" s="361"/>
      <c r="O116" s="361"/>
      <c r="P116" s="361"/>
      <c r="Q116" s="361"/>
      <c r="R116" s="361"/>
      <c r="S116" s="361"/>
      <c r="T116" s="361"/>
      <c r="U116" s="361"/>
      <c r="V116" s="361"/>
      <c r="W116" s="361"/>
      <c r="X116" s="361"/>
      <c r="Y116" s="361"/>
      <c r="Z116" s="361"/>
      <c r="AA116" s="361"/>
      <c r="AB116" s="361"/>
      <c r="AC116" s="361"/>
      <c r="AD116" s="361"/>
      <c r="AE116" s="361"/>
      <c r="AF116" s="361"/>
      <c r="AG116" s="361"/>
      <c r="AH116" s="361"/>
      <c r="AI116" s="361"/>
      <c r="AJ116" s="361"/>
      <c r="AK116" s="361"/>
      <c r="AL116" s="361"/>
      <c r="AM116" s="361"/>
      <c r="AN116" s="361"/>
      <c r="AO116" s="361"/>
      <c r="AP116" s="361"/>
      <c r="AQ116" s="361"/>
      <c r="AR116" s="361"/>
      <c r="AS116" s="361"/>
      <c r="AT116" s="361"/>
      <c r="AU116" s="361"/>
      <c r="AV116" s="361"/>
      <c r="AW116" s="361"/>
      <c r="AX116" s="361"/>
      <c r="AY116" s="361"/>
      <c r="AZ116" s="361"/>
      <c r="BA116" s="361"/>
      <c r="BB116" s="361"/>
      <c r="BC116" s="361"/>
      <c r="BD116" s="361"/>
      <c r="BE116" s="361"/>
      <c r="BF116" s="361"/>
      <c r="BG116" s="361"/>
      <c r="BH116" s="361"/>
      <c r="BI116" s="361"/>
    </row>
    <row r="117" spans="1:61" ht="15.75" customHeight="1" x14ac:dyDescent="0.25">
      <c r="A117" s="361"/>
      <c r="B117" s="361"/>
      <c r="C117" s="361"/>
      <c r="D117" s="361"/>
      <c r="E117" s="361"/>
      <c r="F117" s="361"/>
      <c r="G117" s="361"/>
      <c r="H117" s="361"/>
      <c r="I117" s="361"/>
      <c r="J117" s="361"/>
      <c r="K117" s="361"/>
      <c r="L117" s="361"/>
      <c r="M117" s="361"/>
      <c r="N117" s="361"/>
      <c r="O117" s="361"/>
      <c r="P117" s="361"/>
      <c r="Q117" s="361"/>
      <c r="R117" s="361"/>
      <c r="S117" s="361"/>
      <c r="T117" s="361"/>
      <c r="U117" s="361"/>
      <c r="V117" s="361"/>
      <c r="W117" s="361"/>
      <c r="X117" s="361"/>
      <c r="Y117" s="361"/>
      <c r="Z117" s="361"/>
      <c r="AA117" s="361"/>
      <c r="AB117" s="361"/>
      <c r="AC117" s="361"/>
      <c r="AD117" s="361"/>
      <c r="AE117" s="361"/>
      <c r="AF117" s="361"/>
      <c r="AG117" s="361"/>
      <c r="AH117" s="361"/>
      <c r="AI117" s="361"/>
      <c r="AJ117" s="361"/>
      <c r="AK117" s="361"/>
      <c r="AL117" s="361"/>
      <c r="AM117" s="361"/>
      <c r="AN117" s="361"/>
      <c r="AO117" s="361"/>
      <c r="AP117" s="361"/>
      <c r="AQ117" s="361"/>
      <c r="AR117" s="361"/>
      <c r="AS117" s="361"/>
      <c r="AT117" s="361"/>
      <c r="AU117" s="361"/>
      <c r="AV117" s="361"/>
      <c r="AW117" s="361"/>
      <c r="AX117" s="361"/>
      <c r="AY117" s="361"/>
      <c r="AZ117" s="361"/>
      <c r="BA117" s="361"/>
      <c r="BB117" s="361"/>
      <c r="BC117" s="361"/>
      <c r="BD117" s="361"/>
      <c r="BE117" s="361"/>
      <c r="BF117" s="361"/>
      <c r="BG117" s="361"/>
      <c r="BH117" s="361"/>
      <c r="BI117" s="361"/>
    </row>
    <row r="118" spans="1:61" ht="15.75" customHeight="1" x14ac:dyDescent="0.25">
      <c r="A118" s="361"/>
      <c r="B118" s="361"/>
      <c r="C118" s="361"/>
      <c r="D118" s="361"/>
      <c r="E118" s="361"/>
      <c r="F118" s="361"/>
      <c r="G118" s="361"/>
      <c r="H118" s="361"/>
      <c r="I118" s="361"/>
      <c r="J118" s="361"/>
      <c r="K118" s="361"/>
      <c r="L118" s="361"/>
      <c r="M118" s="361"/>
      <c r="N118" s="361"/>
      <c r="O118" s="361"/>
      <c r="P118" s="361"/>
      <c r="Q118" s="361"/>
      <c r="R118" s="361"/>
      <c r="S118" s="361"/>
      <c r="T118" s="361"/>
      <c r="U118" s="361"/>
      <c r="V118" s="361"/>
      <c r="W118" s="361"/>
      <c r="X118" s="361"/>
      <c r="Y118" s="361"/>
      <c r="Z118" s="361"/>
      <c r="AA118" s="361"/>
      <c r="AB118" s="361"/>
      <c r="AC118" s="361"/>
      <c r="AD118" s="361"/>
      <c r="AE118" s="361"/>
      <c r="AF118" s="361"/>
      <c r="AG118" s="361"/>
      <c r="AH118" s="361"/>
      <c r="AI118" s="361"/>
      <c r="AJ118" s="361"/>
      <c r="AK118" s="361"/>
      <c r="AL118" s="361"/>
      <c r="AM118" s="361"/>
      <c r="AN118" s="361"/>
      <c r="AO118" s="361"/>
      <c r="AP118" s="361"/>
      <c r="AQ118" s="361"/>
      <c r="AR118" s="361"/>
      <c r="AS118" s="361"/>
      <c r="AT118" s="361"/>
      <c r="AU118" s="361"/>
      <c r="AV118" s="361"/>
      <c r="AW118" s="361"/>
      <c r="AX118" s="361"/>
      <c r="AY118" s="361"/>
      <c r="AZ118" s="361"/>
      <c r="BA118" s="361"/>
      <c r="BB118" s="361"/>
      <c r="BC118" s="361"/>
      <c r="BD118" s="361"/>
      <c r="BE118" s="361"/>
      <c r="BF118" s="361"/>
      <c r="BG118" s="361"/>
      <c r="BH118" s="361"/>
      <c r="BI118" s="361"/>
    </row>
    <row r="119" spans="1:61" ht="15.75" customHeight="1" x14ac:dyDescent="0.25">
      <c r="A119" s="361"/>
      <c r="B119" s="361"/>
      <c r="C119" s="361"/>
      <c r="D119" s="361"/>
      <c r="E119" s="361"/>
      <c r="F119" s="361"/>
      <c r="G119" s="361"/>
      <c r="H119" s="361"/>
      <c r="I119" s="361"/>
      <c r="J119" s="361"/>
      <c r="K119" s="361"/>
      <c r="L119" s="361"/>
      <c r="M119" s="361"/>
      <c r="N119" s="361"/>
      <c r="O119" s="361"/>
      <c r="P119" s="361"/>
      <c r="Q119" s="361"/>
      <c r="R119" s="361"/>
      <c r="S119" s="361"/>
      <c r="T119" s="361"/>
      <c r="U119" s="361"/>
      <c r="V119" s="361"/>
      <c r="W119" s="361"/>
      <c r="X119" s="361"/>
      <c r="Y119" s="361"/>
      <c r="Z119" s="361"/>
      <c r="AA119" s="361"/>
      <c r="AB119" s="361"/>
      <c r="AC119" s="361"/>
      <c r="AD119" s="361"/>
      <c r="AE119" s="361"/>
      <c r="AF119" s="361"/>
      <c r="AG119" s="361"/>
      <c r="AH119" s="361"/>
      <c r="AI119" s="361"/>
      <c r="AJ119" s="361"/>
      <c r="AK119" s="361"/>
      <c r="AL119" s="361"/>
      <c r="AM119" s="361"/>
      <c r="AN119" s="361"/>
      <c r="AO119" s="361"/>
      <c r="AP119" s="361"/>
      <c r="AQ119" s="361"/>
      <c r="AR119" s="361"/>
      <c r="AS119" s="361"/>
      <c r="AT119" s="361"/>
      <c r="AU119" s="361"/>
      <c r="AV119" s="361"/>
      <c r="AW119" s="361"/>
      <c r="AX119" s="361"/>
      <c r="AY119" s="361"/>
      <c r="AZ119" s="361"/>
      <c r="BA119" s="361"/>
      <c r="BB119" s="361"/>
      <c r="BC119" s="361"/>
      <c r="BD119" s="361"/>
      <c r="BE119" s="361"/>
      <c r="BF119" s="361"/>
      <c r="BG119" s="361"/>
      <c r="BH119" s="361"/>
      <c r="BI119" s="361"/>
    </row>
    <row r="120" spans="1:61" ht="15.75" customHeight="1" x14ac:dyDescent="0.25">
      <c r="A120" s="361"/>
      <c r="B120" s="361"/>
      <c r="C120" s="361"/>
      <c r="D120" s="361"/>
      <c r="E120" s="361"/>
      <c r="F120" s="361"/>
      <c r="G120" s="361"/>
      <c r="H120" s="361"/>
      <c r="I120" s="361"/>
      <c r="J120" s="361"/>
      <c r="K120" s="361"/>
      <c r="L120" s="361"/>
      <c r="M120" s="361"/>
      <c r="N120" s="361"/>
      <c r="O120" s="361"/>
      <c r="P120" s="361"/>
      <c r="Q120" s="361"/>
      <c r="R120" s="361"/>
      <c r="S120" s="361"/>
      <c r="T120" s="361"/>
      <c r="U120" s="361"/>
      <c r="V120" s="361"/>
      <c r="W120" s="361"/>
      <c r="X120" s="361"/>
      <c r="Y120" s="361"/>
      <c r="Z120" s="361"/>
      <c r="AA120" s="361"/>
      <c r="AB120" s="361"/>
      <c r="AC120" s="361"/>
      <c r="AD120" s="361"/>
      <c r="AE120" s="361"/>
      <c r="AF120" s="361"/>
      <c r="AG120" s="361"/>
      <c r="AH120" s="361"/>
      <c r="AI120" s="361"/>
      <c r="AJ120" s="361"/>
      <c r="AK120" s="361"/>
      <c r="AL120" s="361"/>
      <c r="AM120" s="361"/>
      <c r="AN120" s="361"/>
      <c r="AO120" s="361"/>
      <c r="AP120" s="361"/>
      <c r="AQ120" s="361"/>
      <c r="AR120" s="361"/>
      <c r="AS120" s="361"/>
      <c r="AT120" s="361"/>
      <c r="AU120" s="361"/>
      <c r="AV120" s="361"/>
      <c r="AW120" s="361"/>
      <c r="AX120" s="361"/>
      <c r="AY120" s="361"/>
      <c r="AZ120" s="361"/>
      <c r="BA120" s="361"/>
      <c r="BB120" s="361"/>
      <c r="BC120" s="361"/>
      <c r="BD120" s="361"/>
      <c r="BE120" s="361"/>
      <c r="BF120" s="361"/>
      <c r="BG120" s="361"/>
      <c r="BH120" s="361"/>
      <c r="BI120" s="361"/>
    </row>
    <row r="121" spans="1:61" ht="15.75" customHeight="1" x14ac:dyDescent="0.25">
      <c r="A121" s="361"/>
      <c r="B121" s="361"/>
      <c r="C121" s="361"/>
      <c r="D121" s="361"/>
      <c r="E121" s="361"/>
      <c r="F121" s="361"/>
      <c r="G121" s="361"/>
      <c r="H121" s="361"/>
      <c r="I121" s="361"/>
      <c r="J121" s="361"/>
      <c r="K121" s="361"/>
      <c r="L121" s="361"/>
      <c r="M121" s="361"/>
      <c r="N121" s="361"/>
      <c r="O121" s="361"/>
      <c r="P121" s="361"/>
      <c r="Q121" s="361"/>
      <c r="R121" s="361"/>
      <c r="S121" s="361"/>
      <c r="T121" s="361"/>
      <c r="U121" s="361"/>
      <c r="V121" s="361"/>
      <c r="W121" s="361"/>
      <c r="X121" s="361"/>
      <c r="Y121" s="361"/>
      <c r="Z121" s="361"/>
      <c r="AA121" s="361"/>
      <c r="AB121" s="361"/>
      <c r="AC121" s="361"/>
      <c r="AD121" s="361"/>
      <c r="AE121" s="361"/>
      <c r="AF121" s="361"/>
      <c r="AG121" s="361"/>
      <c r="AH121" s="361"/>
      <c r="AI121" s="361"/>
      <c r="AJ121" s="361"/>
      <c r="AK121" s="361"/>
      <c r="AL121" s="361"/>
      <c r="AM121" s="361"/>
      <c r="AN121" s="361"/>
      <c r="AO121" s="361"/>
      <c r="AP121" s="361"/>
      <c r="AQ121" s="361"/>
      <c r="AR121" s="361"/>
      <c r="AS121" s="361"/>
      <c r="AT121" s="361"/>
      <c r="AU121" s="361"/>
      <c r="AV121" s="361"/>
      <c r="AW121" s="361"/>
      <c r="AX121" s="361"/>
      <c r="AY121" s="361"/>
      <c r="AZ121" s="361"/>
      <c r="BA121" s="361"/>
      <c r="BB121" s="361"/>
      <c r="BC121" s="361"/>
      <c r="BD121" s="361"/>
      <c r="BE121" s="361"/>
      <c r="BF121" s="361"/>
      <c r="BG121" s="361"/>
      <c r="BH121" s="361"/>
      <c r="BI121" s="361"/>
    </row>
    <row r="122" spans="1:61" ht="15.75" customHeight="1" x14ac:dyDescent="0.25">
      <c r="B122" s="361"/>
      <c r="C122" s="361"/>
      <c r="D122" s="361"/>
      <c r="E122" s="361"/>
      <c r="F122" s="361"/>
      <c r="G122" s="361"/>
      <c r="H122" s="361"/>
      <c r="I122" s="361"/>
      <c r="J122" s="361"/>
      <c r="K122" s="361"/>
      <c r="L122" s="361"/>
      <c r="M122" s="361"/>
      <c r="N122" s="361"/>
      <c r="O122" s="361"/>
      <c r="P122" s="361"/>
      <c r="Q122" s="361"/>
      <c r="R122" s="361"/>
      <c r="S122" s="361"/>
      <c r="T122" s="361"/>
      <c r="U122" s="361"/>
      <c r="V122" s="361"/>
      <c r="W122" s="361"/>
      <c r="X122" s="361"/>
      <c r="Y122" s="361"/>
      <c r="Z122" s="361"/>
      <c r="AA122" s="361"/>
      <c r="AB122" s="361"/>
      <c r="AC122" s="361"/>
      <c r="AD122" s="361"/>
      <c r="AE122" s="361"/>
      <c r="AF122" s="361"/>
      <c r="AG122" s="361"/>
      <c r="AH122" s="361"/>
      <c r="AI122" s="361"/>
      <c r="AJ122" s="361"/>
      <c r="AK122" s="361"/>
      <c r="AL122" s="361"/>
      <c r="AM122" s="361"/>
      <c r="AN122" s="361"/>
      <c r="AO122" s="361"/>
      <c r="AP122" s="361"/>
      <c r="AQ122" s="361"/>
      <c r="AR122" s="361"/>
      <c r="AS122" s="361"/>
      <c r="AT122" s="361"/>
      <c r="AU122" s="361"/>
      <c r="AV122" s="361"/>
      <c r="AW122" s="361"/>
      <c r="AX122" s="361"/>
      <c r="AY122" s="361"/>
      <c r="AZ122" s="361"/>
      <c r="BA122" s="361"/>
      <c r="BB122" s="361"/>
      <c r="BC122" s="361"/>
      <c r="BD122" s="361"/>
      <c r="BE122" s="361"/>
      <c r="BF122" s="361"/>
      <c r="BG122" s="361"/>
      <c r="BH122" s="361"/>
      <c r="BI122" s="361"/>
    </row>
    <row r="123" spans="1:61" ht="15.75" customHeight="1" x14ac:dyDescent="0.25">
      <c r="B123" s="361"/>
      <c r="C123" s="361"/>
      <c r="D123" s="361"/>
      <c r="E123" s="361"/>
      <c r="F123" s="361"/>
      <c r="G123" s="361"/>
      <c r="H123" s="361"/>
      <c r="I123" s="361"/>
      <c r="J123" s="361"/>
      <c r="K123" s="361"/>
      <c r="L123" s="361"/>
      <c r="M123" s="361"/>
      <c r="N123" s="361"/>
      <c r="O123" s="361"/>
      <c r="P123" s="361"/>
      <c r="Q123" s="361"/>
      <c r="R123" s="361"/>
      <c r="S123" s="361"/>
      <c r="T123" s="361"/>
      <c r="U123" s="361"/>
      <c r="V123" s="361"/>
      <c r="W123" s="361"/>
      <c r="X123" s="361"/>
      <c r="Y123" s="361"/>
      <c r="Z123" s="361"/>
      <c r="AA123" s="361"/>
      <c r="AB123" s="361"/>
      <c r="AC123" s="361"/>
      <c r="AD123" s="361"/>
      <c r="AE123" s="361"/>
      <c r="AF123" s="361"/>
      <c r="AG123" s="361"/>
      <c r="AH123" s="361"/>
      <c r="AI123" s="361"/>
      <c r="AJ123" s="361"/>
      <c r="AK123" s="361"/>
      <c r="AL123" s="361"/>
      <c r="AM123" s="361"/>
      <c r="AN123" s="361"/>
      <c r="AO123" s="361"/>
      <c r="AP123" s="361"/>
      <c r="AQ123" s="361"/>
      <c r="AR123" s="361"/>
      <c r="AS123" s="361"/>
      <c r="AT123" s="361"/>
      <c r="AU123" s="361"/>
      <c r="AV123" s="361"/>
      <c r="AW123" s="361"/>
      <c r="AX123" s="361"/>
      <c r="AY123" s="361"/>
      <c r="AZ123" s="361"/>
      <c r="BA123" s="361"/>
      <c r="BB123" s="361"/>
      <c r="BC123" s="361"/>
      <c r="BD123" s="361"/>
      <c r="BE123" s="361"/>
      <c r="BF123" s="361"/>
      <c r="BG123" s="361"/>
      <c r="BH123" s="361"/>
      <c r="BI123" s="361"/>
    </row>
    <row r="124" spans="1:61" ht="15.75" customHeight="1" x14ac:dyDescent="0.25">
      <c r="B124" s="361"/>
      <c r="C124" s="361"/>
      <c r="D124" s="361"/>
      <c r="E124" s="361"/>
      <c r="F124" s="361"/>
      <c r="G124" s="361"/>
      <c r="H124" s="361"/>
      <c r="I124" s="361"/>
      <c r="J124" s="361"/>
      <c r="K124" s="361"/>
      <c r="L124" s="361"/>
      <c r="M124" s="361"/>
      <c r="N124" s="361"/>
      <c r="O124" s="361"/>
      <c r="P124" s="361"/>
      <c r="Q124" s="361"/>
      <c r="R124" s="361"/>
      <c r="S124" s="361"/>
      <c r="T124" s="361"/>
      <c r="U124" s="361"/>
      <c r="V124" s="361"/>
      <c r="W124" s="361"/>
      <c r="X124" s="361"/>
      <c r="Y124" s="361"/>
      <c r="Z124" s="361"/>
      <c r="AA124" s="361"/>
      <c r="AB124" s="361"/>
      <c r="AC124" s="361"/>
      <c r="AD124" s="361"/>
      <c r="AE124" s="361"/>
      <c r="AF124" s="361"/>
      <c r="AG124" s="361"/>
      <c r="AH124" s="361"/>
      <c r="AI124" s="361"/>
      <c r="AJ124" s="361"/>
      <c r="AK124" s="361"/>
      <c r="AL124" s="361"/>
      <c r="AM124" s="361"/>
      <c r="AN124" s="361"/>
      <c r="AO124" s="361"/>
      <c r="AP124" s="361"/>
      <c r="AQ124" s="361"/>
      <c r="AR124" s="361"/>
      <c r="AS124" s="361"/>
      <c r="AT124" s="361"/>
      <c r="AU124" s="361"/>
      <c r="AV124" s="361"/>
      <c r="AW124" s="361"/>
      <c r="AX124" s="361"/>
      <c r="AY124" s="361"/>
      <c r="AZ124" s="361"/>
      <c r="BA124" s="361"/>
      <c r="BB124" s="361"/>
      <c r="BC124" s="361"/>
      <c r="BD124" s="361"/>
      <c r="BE124" s="361"/>
      <c r="BF124" s="361"/>
      <c r="BG124" s="361"/>
      <c r="BH124" s="361"/>
      <c r="BI124" s="361"/>
    </row>
    <row r="125" spans="1:61" ht="15.75" customHeight="1" x14ac:dyDescent="0.25">
      <c r="B125" s="361"/>
      <c r="C125" s="361"/>
      <c r="D125" s="361"/>
      <c r="E125" s="361"/>
      <c r="F125" s="361"/>
      <c r="G125" s="361"/>
      <c r="H125" s="361"/>
      <c r="I125" s="361"/>
      <c r="J125" s="361"/>
      <c r="K125" s="361"/>
      <c r="L125" s="361"/>
      <c r="M125" s="361"/>
      <c r="N125" s="361"/>
      <c r="O125" s="361"/>
      <c r="P125" s="361"/>
      <c r="Q125" s="361"/>
      <c r="R125" s="361"/>
      <c r="S125" s="361"/>
      <c r="T125" s="361"/>
      <c r="U125" s="361"/>
      <c r="V125" s="361"/>
      <c r="W125" s="361"/>
      <c r="X125" s="361"/>
      <c r="Y125" s="361"/>
      <c r="Z125" s="361"/>
      <c r="AA125" s="361"/>
      <c r="AB125" s="361"/>
      <c r="AC125" s="361"/>
      <c r="AD125" s="361"/>
      <c r="AE125" s="361"/>
      <c r="AF125" s="361"/>
      <c r="AG125" s="361"/>
      <c r="AH125" s="361"/>
      <c r="AI125" s="361"/>
      <c r="AJ125" s="361"/>
      <c r="AK125" s="361"/>
      <c r="AL125" s="361"/>
      <c r="AM125" s="361"/>
      <c r="AN125" s="361"/>
      <c r="AO125" s="361"/>
      <c r="AP125" s="361"/>
      <c r="AQ125" s="361"/>
      <c r="AR125" s="361"/>
      <c r="AS125" s="361"/>
      <c r="AT125" s="361"/>
      <c r="AU125" s="361"/>
      <c r="AV125" s="361"/>
      <c r="AW125" s="361"/>
      <c r="AX125" s="361"/>
      <c r="AY125" s="361"/>
      <c r="AZ125" s="361"/>
      <c r="BA125" s="361"/>
      <c r="BB125" s="361"/>
      <c r="BC125" s="361"/>
      <c r="BD125" s="361"/>
      <c r="BE125" s="361"/>
      <c r="BF125" s="361"/>
      <c r="BG125" s="361"/>
      <c r="BH125" s="361"/>
      <c r="BI125" s="361"/>
    </row>
    <row r="126" spans="1:61" ht="15.75" customHeight="1" x14ac:dyDescent="0.25">
      <c r="B126" s="361"/>
      <c r="C126" s="361"/>
      <c r="D126" s="361"/>
      <c r="E126" s="361"/>
      <c r="F126" s="361"/>
      <c r="G126" s="361"/>
      <c r="H126" s="361"/>
      <c r="I126" s="361"/>
      <c r="J126" s="361"/>
      <c r="K126" s="361"/>
      <c r="L126" s="361"/>
      <c r="M126" s="361"/>
      <c r="N126" s="361"/>
      <c r="O126" s="361"/>
      <c r="P126" s="361"/>
      <c r="Q126" s="361"/>
      <c r="R126" s="361"/>
      <c r="S126" s="361"/>
      <c r="T126" s="361"/>
      <c r="U126" s="361"/>
      <c r="V126" s="361"/>
      <c r="W126" s="361"/>
      <c r="X126" s="361"/>
      <c r="Y126" s="361"/>
      <c r="Z126" s="361"/>
      <c r="AA126" s="361"/>
      <c r="AB126" s="361"/>
      <c r="AC126" s="361"/>
      <c r="AD126" s="361"/>
      <c r="AE126" s="361"/>
      <c r="AF126" s="361"/>
      <c r="AG126" s="361"/>
      <c r="AH126" s="361"/>
      <c r="AI126" s="361"/>
      <c r="AJ126" s="361"/>
      <c r="AK126" s="361"/>
      <c r="AL126" s="361"/>
      <c r="AM126" s="361"/>
      <c r="AN126" s="361"/>
      <c r="AO126" s="361"/>
      <c r="AP126" s="361"/>
      <c r="AQ126" s="361"/>
      <c r="AR126" s="361"/>
      <c r="AS126" s="361"/>
      <c r="AT126" s="361"/>
      <c r="AU126" s="361"/>
      <c r="AV126" s="361"/>
      <c r="AW126" s="361"/>
      <c r="AX126" s="361"/>
      <c r="AY126" s="361"/>
      <c r="AZ126" s="361"/>
      <c r="BA126" s="361"/>
      <c r="BB126" s="361"/>
      <c r="BC126" s="361"/>
      <c r="BD126" s="361"/>
      <c r="BE126" s="361"/>
      <c r="BF126" s="361"/>
      <c r="BG126" s="361"/>
      <c r="BH126" s="361"/>
      <c r="BI126" s="361"/>
    </row>
    <row r="127" spans="1:61" ht="15.75" customHeight="1" x14ac:dyDescent="0.25">
      <c r="B127" s="361"/>
      <c r="C127" s="361"/>
      <c r="D127" s="361"/>
      <c r="E127" s="361"/>
      <c r="F127" s="361"/>
      <c r="G127" s="361"/>
      <c r="H127" s="361"/>
      <c r="I127" s="361"/>
      <c r="J127" s="361"/>
      <c r="K127" s="361"/>
      <c r="L127" s="361"/>
      <c r="M127" s="361"/>
      <c r="N127" s="361"/>
      <c r="O127" s="361"/>
      <c r="P127" s="361"/>
      <c r="Q127" s="361"/>
      <c r="R127" s="361"/>
      <c r="S127" s="361"/>
      <c r="T127" s="361"/>
      <c r="U127" s="361"/>
      <c r="V127" s="361"/>
      <c r="W127" s="361"/>
      <c r="X127" s="361"/>
      <c r="Y127" s="361"/>
      <c r="Z127" s="361"/>
      <c r="AA127" s="361"/>
      <c r="AB127" s="361"/>
      <c r="AC127" s="361"/>
      <c r="AD127" s="361"/>
      <c r="AE127" s="361"/>
      <c r="AF127" s="361"/>
      <c r="AG127" s="361"/>
      <c r="AH127" s="361"/>
      <c r="AI127" s="361"/>
      <c r="AJ127" s="361"/>
      <c r="AK127" s="361"/>
      <c r="AL127" s="361"/>
      <c r="AM127" s="361"/>
      <c r="AN127" s="361"/>
      <c r="AO127" s="361"/>
      <c r="AP127" s="361"/>
      <c r="AQ127" s="361"/>
      <c r="AR127" s="361"/>
      <c r="AS127" s="361"/>
      <c r="AT127" s="361"/>
      <c r="AU127" s="361"/>
      <c r="AV127" s="361"/>
      <c r="AW127" s="361"/>
      <c r="AX127" s="361"/>
      <c r="AY127" s="361"/>
      <c r="AZ127" s="361"/>
      <c r="BA127" s="361"/>
      <c r="BB127" s="361"/>
      <c r="BC127" s="361"/>
      <c r="BD127" s="361"/>
      <c r="BE127" s="361"/>
      <c r="BF127" s="361"/>
      <c r="BG127" s="361"/>
      <c r="BH127" s="361"/>
      <c r="BI127" s="361"/>
    </row>
    <row r="128" spans="1:61" ht="15.75" customHeight="1" x14ac:dyDescent="0.25">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1"/>
      <c r="AY128" s="361"/>
      <c r="AZ128" s="361"/>
      <c r="BA128" s="361"/>
      <c r="BB128" s="361"/>
      <c r="BC128" s="361"/>
      <c r="BD128" s="361"/>
      <c r="BE128" s="361"/>
      <c r="BF128" s="361"/>
      <c r="BG128" s="361"/>
      <c r="BH128" s="361"/>
      <c r="BI128" s="361"/>
    </row>
    <row r="129" spans="2:61" ht="15.75" customHeight="1" x14ac:dyDescent="0.25">
      <c r="B129" s="361"/>
      <c r="C129" s="361"/>
      <c r="D129" s="361"/>
      <c r="E129" s="361"/>
      <c r="F129" s="361"/>
      <c r="G129" s="361"/>
      <c r="H129" s="361"/>
      <c r="I129" s="361"/>
      <c r="J129" s="361"/>
      <c r="K129" s="361"/>
      <c r="L129" s="361"/>
      <c r="M129" s="361"/>
      <c r="N129" s="361"/>
      <c r="O129" s="361"/>
      <c r="P129" s="361"/>
      <c r="Q129" s="361"/>
      <c r="R129" s="361"/>
      <c r="S129" s="361"/>
      <c r="T129" s="361"/>
      <c r="U129" s="361"/>
      <c r="V129" s="361"/>
      <c r="W129" s="361"/>
      <c r="X129" s="361"/>
      <c r="Y129" s="361"/>
      <c r="Z129" s="361"/>
      <c r="AA129" s="361"/>
      <c r="AB129" s="361"/>
      <c r="AC129" s="361"/>
      <c r="AD129" s="361"/>
      <c r="AE129" s="361"/>
      <c r="AF129" s="361"/>
      <c r="AG129" s="361"/>
      <c r="AH129" s="361"/>
      <c r="AI129" s="361"/>
      <c r="AJ129" s="361"/>
      <c r="AK129" s="361"/>
      <c r="AL129" s="361"/>
      <c r="AM129" s="361"/>
      <c r="AN129" s="361"/>
      <c r="AO129" s="361"/>
      <c r="AP129" s="361"/>
      <c r="AQ129" s="361"/>
      <c r="AR129" s="361"/>
      <c r="AS129" s="361"/>
      <c r="AT129" s="361"/>
      <c r="AU129" s="361"/>
      <c r="AV129" s="361"/>
      <c r="AW129" s="361"/>
      <c r="AX129" s="361"/>
      <c r="AY129" s="361"/>
      <c r="AZ129" s="361"/>
      <c r="BA129" s="361"/>
      <c r="BB129" s="361"/>
      <c r="BC129" s="361"/>
      <c r="BD129" s="361"/>
      <c r="BE129" s="361"/>
      <c r="BF129" s="361"/>
      <c r="BG129" s="361"/>
      <c r="BH129" s="361"/>
      <c r="BI129" s="361"/>
    </row>
    <row r="130" spans="2:61" ht="15.75" customHeight="1" x14ac:dyDescent="0.25">
      <c r="B130" s="361"/>
      <c r="C130" s="361"/>
      <c r="D130" s="361"/>
      <c r="E130" s="361"/>
      <c r="F130" s="361"/>
      <c r="G130" s="361"/>
      <c r="H130" s="361"/>
      <c r="I130" s="361"/>
      <c r="J130" s="361"/>
      <c r="K130" s="361"/>
      <c r="L130" s="361"/>
      <c r="M130" s="361"/>
      <c r="N130" s="361"/>
      <c r="O130" s="361"/>
      <c r="P130" s="361"/>
      <c r="Q130" s="361"/>
      <c r="R130" s="361"/>
      <c r="S130" s="361"/>
      <c r="T130" s="361"/>
      <c r="U130" s="361"/>
      <c r="V130" s="361"/>
      <c r="W130" s="361"/>
      <c r="X130" s="361"/>
      <c r="Y130" s="361"/>
      <c r="Z130" s="361"/>
      <c r="AA130" s="361"/>
      <c r="AB130" s="361"/>
      <c r="AC130" s="361"/>
      <c r="AD130" s="361"/>
      <c r="AE130" s="361"/>
      <c r="AF130" s="361"/>
      <c r="AG130" s="361"/>
      <c r="AH130" s="361"/>
      <c r="AI130" s="361"/>
      <c r="AJ130" s="361"/>
      <c r="AK130" s="361"/>
      <c r="AL130" s="361"/>
      <c r="AM130" s="361"/>
      <c r="AN130" s="361"/>
      <c r="AO130" s="361"/>
      <c r="AP130" s="361"/>
      <c r="AQ130" s="361"/>
      <c r="AR130" s="361"/>
      <c r="AS130" s="361"/>
      <c r="AT130" s="361"/>
      <c r="AU130" s="361"/>
      <c r="AV130" s="361"/>
      <c r="AW130" s="361"/>
      <c r="AX130" s="361"/>
      <c r="AY130" s="361"/>
      <c r="AZ130" s="361"/>
      <c r="BA130" s="361"/>
      <c r="BB130" s="361"/>
      <c r="BC130" s="361"/>
      <c r="BD130" s="361"/>
      <c r="BE130" s="361"/>
      <c r="BF130" s="361"/>
      <c r="BG130" s="361"/>
      <c r="BH130" s="361"/>
      <c r="BI130" s="361"/>
    </row>
    <row r="131" spans="2:61" ht="15.75" customHeight="1" x14ac:dyDescent="0.25">
      <c r="B131" s="361"/>
      <c r="C131" s="361"/>
      <c r="D131" s="361"/>
      <c r="E131" s="361"/>
      <c r="F131" s="361"/>
      <c r="G131" s="361"/>
      <c r="H131" s="361"/>
      <c r="I131" s="361"/>
      <c r="J131" s="361"/>
      <c r="K131" s="361"/>
      <c r="L131" s="361"/>
      <c r="M131" s="361"/>
      <c r="N131" s="361"/>
      <c r="O131" s="361"/>
      <c r="P131" s="361"/>
      <c r="Q131" s="361"/>
      <c r="R131" s="361"/>
      <c r="S131" s="361"/>
      <c r="T131" s="361"/>
      <c r="U131" s="361"/>
      <c r="V131" s="361"/>
      <c r="W131" s="361"/>
      <c r="X131" s="361"/>
      <c r="Y131" s="361"/>
      <c r="Z131" s="361"/>
      <c r="AA131" s="361"/>
      <c r="AB131" s="361"/>
      <c r="AC131" s="361"/>
      <c r="AD131" s="361"/>
      <c r="AE131" s="361"/>
      <c r="AF131" s="361"/>
      <c r="AG131" s="361"/>
      <c r="AH131" s="361"/>
      <c r="AI131" s="361"/>
      <c r="AJ131" s="361"/>
      <c r="AK131" s="361"/>
      <c r="AL131" s="361"/>
      <c r="AM131" s="361"/>
      <c r="AN131" s="361"/>
      <c r="AO131" s="361"/>
      <c r="AP131" s="361"/>
      <c r="AQ131" s="361"/>
      <c r="AR131" s="361"/>
      <c r="AS131" s="361"/>
      <c r="AT131" s="361"/>
      <c r="AU131" s="361"/>
      <c r="AV131" s="361"/>
      <c r="AW131" s="361"/>
      <c r="AX131" s="361"/>
      <c r="AY131" s="361"/>
      <c r="AZ131" s="361"/>
      <c r="BA131" s="361"/>
      <c r="BB131" s="361"/>
      <c r="BC131" s="361"/>
      <c r="BD131" s="361"/>
      <c r="BE131" s="361"/>
      <c r="BF131" s="361"/>
      <c r="BG131" s="361"/>
      <c r="BH131" s="361"/>
      <c r="BI131" s="361"/>
    </row>
    <row r="132" spans="2:61" ht="15.75" customHeight="1" x14ac:dyDescent="0.25">
      <c r="B132" s="361"/>
      <c r="C132" s="361"/>
      <c r="D132" s="361"/>
      <c r="E132" s="361"/>
      <c r="F132" s="361"/>
      <c r="G132" s="361"/>
      <c r="H132" s="361"/>
      <c r="I132" s="361"/>
      <c r="J132" s="361"/>
      <c r="K132" s="361"/>
      <c r="L132" s="361"/>
      <c r="M132" s="361"/>
      <c r="N132" s="361"/>
      <c r="O132" s="361"/>
      <c r="P132" s="361"/>
      <c r="Q132" s="361"/>
      <c r="R132" s="361"/>
      <c r="S132" s="361"/>
      <c r="T132" s="361"/>
      <c r="U132" s="361"/>
      <c r="V132" s="361"/>
      <c r="W132" s="361"/>
      <c r="X132" s="361"/>
      <c r="Y132" s="361"/>
      <c r="Z132" s="361"/>
      <c r="AA132" s="361"/>
      <c r="AB132" s="361"/>
      <c r="AC132" s="361"/>
      <c r="AD132" s="361"/>
      <c r="AE132" s="361"/>
      <c r="AF132" s="361"/>
      <c r="AG132" s="361"/>
      <c r="AH132" s="361"/>
      <c r="AI132" s="361"/>
      <c r="AJ132" s="361"/>
      <c r="AK132" s="361"/>
      <c r="AL132" s="361"/>
      <c r="AM132" s="361"/>
      <c r="AN132" s="361"/>
      <c r="AO132" s="361"/>
      <c r="AP132" s="361"/>
      <c r="AQ132" s="361"/>
      <c r="AR132" s="361"/>
      <c r="AS132" s="361"/>
      <c r="AT132" s="361"/>
      <c r="AU132" s="361"/>
      <c r="AV132" s="361"/>
      <c r="AW132" s="361"/>
      <c r="AX132" s="361"/>
      <c r="AY132" s="361"/>
      <c r="AZ132" s="361"/>
      <c r="BA132" s="361"/>
      <c r="BB132" s="361"/>
      <c r="BC132" s="361"/>
      <c r="BD132" s="361"/>
      <c r="BE132" s="361"/>
      <c r="BF132" s="361"/>
      <c r="BG132" s="361"/>
      <c r="BH132" s="361"/>
      <c r="BI132" s="361"/>
    </row>
    <row r="133" spans="2:61" ht="15.75" customHeight="1" x14ac:dyDescent="0.25">
      <c r="B133" s="361"/>
      <c r="C133" s="361"/>
      <c r="D133" s="361"/>
      <c r="E133" s="361"/>
      <c r="F133" s="361"/>
      <c r="G133" s="361"/>
      <c r="H133" s="361"/>
      <c r="I133" s="361"/>
      <c r="J133" s="361"/>
      <c r="K133" s="361"/>
      <c r="L133" s="361"/>
      <c r="M133" s="361"/>
      <c r="N133" s="361"/>
      <c r="O133" s="361"/>
      <c r="P133" s="361"/>
      <c r="Q133" s="361"/>
      <c r="R133" s="361"/>
      <c r="S133" s="361"/>
      <c r="T133" s="361"/>
      <c r="U133" s="361"/>
      <c r="V133" s="361"/>
      <c r="W133" s="361"/>
      <c r="X133" s="361"/>
      <c r="Y133" s="361"/>
      <c r="Z133" s="361"/>
      <c r="AA133" s="361"/>
      <c r="AB133" s="361"/>
      <c r="AC133" s="361"/>
      <c r="AD133" s="361"/>
      <c r="AE133" s="361"/>
      <c r="AF133" s="361"/>
      <c r="AG133" s="361"/>
      <c r="AH133" s="361"/>
      <c r="AI133" s="361"/>
      <c r="AJ133" s="361"/>
      <c r="AK133" s="361"/>
      <c r="AL133" s="361"/>
      <c r="AM133" s="361"/>
      <c r="AN133" s="361"/>
      <c r="AO133" s="361"/>
      <c r="AP133" s="361"/>
      <c r="AQ133" s="361"/>
      <c r="AR133" s="361"/>
      <c r="AS133" s="361"/>
      <c r="AT133" s="361"/>
      <c r="AU133" s="361"/>
      <c r="AV133" s="361"/>
      <c r="AW133" s="361"/>
      <c r="AX133" s="361"/>
      <c r="AY133" s="361"/>
      <c r="AZ133" s="361"/>
      <c r="BA133" s="361"/>
      <c r="BB133" s="361"/>
      <c r="BC133" s="361"/>
      <c r="BD133" s="361"/>
      <c r="BE133" s="361"/>
      <c r="BF133" s="361"/>
      <c r="BG133" s="361"/>
      <c r="BH133" s="361"/>
      <c r="BI133" s="361"/>
    </row>
    <row r="134" spans="2:61" ht="15.75" customHeight="1" x14ac:dyDescent="0.25">
      <c r="B134" s="361"/>
      <c r="C134" s="361"/>
      <c r="D134" s="361"/>
      <c r="E134" s="361"/>
      <c r="F134" s="361"/>
      <c r="G134" s="361"/>
      <c r="H134" s="361"/>
      <c r="I134" s="361"/>
      <c r="J134" s="361"/>
      <c r="K134" s="361"/>
      <c r="L134" s="361"/>
      <c r="M134" s="361"/>
      <c r="N134" s="361"/>
      <c r="O134" s="361"/>
      <c r="P134" s="361"/>
      <c r="Q134" s="361"/>
      <c r="R134" s="361"/>
      <c r="S134" s="361"/>
      <c r="T134" s="361"/>
      <c r="U134" s="361"/>
      <c r="V134" s="361"/>
      <c r="W134" s="361"/>
      <c r="X134" s="361"/>
      <c r="Y134" s="361"/>
      <c r="Z134" s="361"/>
      <c r="AA134" s="361"/>
      <c r="AB134" s="361"/>
      <c r="AC134" s="361"/>
      <c r="AD134" s="361"/>
      <c r="AE134" s="361"/>
      <c r="AF134" s="361"/>
      <c r="AG134" s="361"/>
      <c r="AH134" s="361"/>
      <c r="AI134" s="361"/>
      <c r="AJ134" s="361"/>
      <c r="AK134" s="361"/>
      <c r="AL134" s="361"/>
      <c r="AM134" s="361"/>
      <c r="AN134" s="361"/>
      <c r="AO134" s="361"/>
      <c r="AP134" s="361"/>
      <c r="AQ134" s="361"/>
      <c r="AR134" s="361"/>
      <c r="AS134" s="361"/>
      <c r="AT134" s="361"/>
      <c r="AU134" s="361"/>
      <c r="AV134" s="361"/>
      <c r="AW134" s="361"/>
      <c r="AX134" s="361"/>
      <c r="AY134" s="361"/>
      <c r="AZ134" s="361"/>
      <c r="BA134" s="361"/>
      <c r="BB134" s="361"/>
      <c r="BC134" s="361"/>
      <c r="BD134" s="361"/>
      <c r="BE134" s="361"/>
      <c r="BF134" s="361"/>
      <c r="BG134" s="361"/>
      <c r="BH134" s="361"/>
      <c r="BI134" s="361"/>
    </row>
    <row r="135" spans="2:61" ht="15.75" customHeight="1" x14ac:dyDescent="0.25">
      <c r="B135" s="361"/>
      <c r="C135" s="361"/>
      <c r="D135" s="361"/>
      <c r="E135" s="361"/>
      <c r="F135" s="361"/>
      <c r="G135" s="361"/>
      <c r="H135" s="361"/>
      <c r="I135" s="361"/>
      <c r="J135" s="361"/>
      <c r="K135" s="361"/>
      <c r="L135" s="361"/>
      <c r="M135" s="361"/>
      <c r="N135" s="361"/>
      <c r="O135" s="361"/>
      <c r="P135" s="361"/>
      <c r="Q135" s="361"/>
      <c r="R135" s="361"/>
      <c r="S135" s="361"/>
      <c r="T135" s="361"/>
      <c r="U135" s="361"/>
      <c r="V135" s="361"/>
      <c r="W135" s="361"/>
      <c r="X135" s="361"/>
      <c r="Y135" s="361"/>
      <c r="Z135" s="361"/>
      <c r="AA135" s="361"/>
      <c r="AB135" s="361"/>
      <c r="AC135" s="361"/>
      <c r="AD135" s="361"/>
      <c r="AE135" s="361"/>
      <c r="AF135" s="361"/>
      <c r="AG135" s="361"/>
      <c r="AH135" s="361"/>
      <c r="AI135" s="361"/>
      <c r="AJ135" s="361"/>
      <c r="AK135" s="361"/>
      <c r="AL135" s="361"/>
      <c r="AM135" s="361"/>
      <c r="AN135" s="361"/>
      <c r="AO135" s="361"/>
      <c r="AP135" s="361"/>
      <c r="AQ135" s="361"/>
      <c r="AR135" s="361"/>
      <c r="AS135" s="361"/>
      <c r="AT135" s="361"/>
      <c r="AU135" s="361"/>
      <c r="AV135" s="361"/>
      <c r="AW135" s="361"/>
      <c r="AX135" s="361"/>
      <c r="AY135" s="361"/>
      <c r="AZ135" s="361"/>
      <c r="BA135" s="361"/>
      <c r="BB135" s="361"/>
      <c r="BC135" s="361"/>
      <c r="BD135" s="361"/>
      <c r="BE135" s="361"/>
      <c r="BF135" s="361"/>
      <c r="BG135" s="361"/>
      <c r="BH135" s="361"/>
      <c r="BI135" s="361"/>
    </row>
    <row r="136" spans="2:61" ht="15.75" customHeight="1" x14ac:dyDescent="0.25">
      <c r="B136" s="361"/>
      <c r="C136" s="361"/>
      <c r="D136" s="361"/>
      <c r="E136" s="361"/>
      <c r="F136" s="361"/>
      <c r="G136" s="361"/>
      <c r="H136" s="361"/>
      <c r="I136" s="361"/>
      <c r="J136" s="361"/>
      <c r="K136" s="361"/>
      <c r="L136" s="361"/>
      <c r="M136" s="361"/>
      <c r="N136" s="361"/>
      <c r="O136" s="361"/>
      <c r="P136" s="361"/>
      <c r="Q136" s="361"/>
      <c r="R136" s="361"/>
      <c r="S136" s="361"/>
      <c r="T136" s="361"/>
      <c r="U136" s="361"/>
      <c r="V136" s="361"/>
      <c r="W136" s="361"/>
      <c r="X136" s="361"/>
      <c r="Y136" s="361"/>
      <c r="Z136" s="361"/>
      <c r="AA136" s="361"/>
      <c r="AB136" s="361"/>
      <c r="AC136" s="361"/>
      <c r="AD136" s="361"/>
      <c r="AE136" s="361"/>
      <c r="AF136" s="361"/>
      <c r="AG136" s="361"/>
      <c r="AH136" s="361"/>
      <c r="AI136" s="361"/>
      <c r="AJ136" s="361"/>
      <c r="AK136" s="361"/>
      <c r="AL136" s="361"/>
      <c r="AM136" s="361"/>
      <c r="AN136" s="361"/>
      <c r="AO136" s="361"/>
      <c r="AP136" s="361"/>
      <c r="AQ136" s="361"/>
      <c r="AR136" s="361"/>
      <c r="AS136" s="361"/>
      <c r="AT136" s="361"/>
      <c r="AU136" s="361"/>
      <c r="AV136" s="361"/>
      <c r="AW136" s="361"/>
      <c r="AX136" s="361"/>
      <c r="AY136" s="361"/>
      <c r="AZ136" s="361"/>
      <c r="BA136" s="361"/>
      <c r="BB136" s="361"/>
      <c r="BC136" s="361"/>
      <c r="BD136" s="361"/>
      <c r="BE136" s="361"/>
      <c r="BF136" s="361"/>
      <c r="BG136" s="361"/>
      <c r="BH136" s="361"/>
      <c r="BI136" s="361"/>
    </row>
    <row r="137" spans="2:61" ht="15.75" customHeight="1" x14ac:dyDescent="0.25">
      <c r="B137" s="361"/>
      <c r="C137" s="361"/>
      <c r="D137" s="361"/>
      <c r="E137" s="361"/>
      <c r="F137" s="361"/>
      <c r="G137" s="361"/>
      <c r="H137" s="361"/>
      <c r="I137" s="361"/>
    </row>
    <row r="138" spans="2:61" ht="15.75" customHeight="1" x14ac:dyDescent="0.25">
      <c r="B138" s="361"/>
      <c r="C138" s="361"/>
      <c r="D138" s="361"/>
      <c r="E138" s="361"/>
      <c r="F138" s="361"/>
      <c r="G138" s="361"/>
      <c r="H138" s="361"/>
      <c r="I138" s="361"/>
    </row>
    <row r="139" spans="2:61" ht="15.75" customHeight="1" x14ac:dyDescent="0.25">
      <c r="B139" s="361"/>
      <c r="C139" s="361"/>
      <c r="D139" s="361"/>
      <c r="E139" s="361"/>
      <c r="F139" s="361"/>
      <c r="G139" s="361"/>
      <c r="H139" s="361"/>
      <c r="I139" s="361"/>
    </row>
    <row r="140" spans="2:61" ht="15.75" customHeight="1" x14ac:dyDescent="0.25">
      <c r="B140" s="361"/>
      <c r="C140" s="361"/>
      <c r="D140" s="361"/>
      <c r="E140" s="361"/>
      <c r="F140" s="361"/>
      <c r="G140" s="361"/>
      <c r="H140" s="361"/>
      <c r="I140" s="361"/>
    </row>
    <row r="141" spans="2:61" ht="15.75" customHeight="1" x14ac:dyDescent="0.2"/>
    <row r="142" spans="2:61" ht="15.75" customHeight="1" x14ac:dyDescent="0.2"/>
    <row r="143" spans="2:61" ht="15.75" customHeight="1" x14ac:dyDescent="0.2"/>
    <row r="144" spans="2:61"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17">
    <mergeCell ref="J46:O51"/>
    <mergeCell ref="P46:U51"/>
    <mergeCell ref="V46:AA51"/>
    <mergeCell ref="AB46:AG51"/>
    <mergeCell ref="AH46:AM51"/>
    <mergeCell ref="AB44:AC45"/>
    <mergeCell ref="AD44:AE45"/>
    <mergeCell ref="AF44:AG45"/>
    <mergeCell ref="AH44:AI45"/>
    <mergeCell ref="AJ44:AK45"/>
    <mergeCell ref="AL44:AM45"/>
    <mergeCell ref="AL42:AM43"/>
    <mergeCell ref="J44:K45"/>
    <mergeCell ref="L44:M45"/>
    <mergeCell ref="N44:O45"/>
    <mergeCell ref="P44:Q45"/>
    <mergeCell ref="R44:S45"/>
    <mergeCell ref="T44:U45"/>
    <mergeCell ref="V44:W45"/>
    <mergeCell ref="X44:Y45"/>
    <mergeCell ref="Z44:AA45"/>
    <mergeCell ref="Z42:AA43"/>
    <mergeCell ref="AB42:AC43"/>
    <mergeCell ref="AD42:AE43"/>
    <mergeCell ref="AF42:AG43"/>
    <mergeCell ref="AH42:AI43"/>
    <mergeCell ref="AJ42:AK43"/>
    <mergeCell ref="J42:K43"/>
    <mergeCell ref="L42:M43"/>
    <mergeCell ref="N42:O43"/>
    <mergeCell ref="P42:Q43"/>
    <mergeCell ref="R42:S43"/>
    <mergeCell ref="T42:U43"/>
    <mergeCell ref="V42:W43"/>
    <mergeCell ref="X42:Y43"/>
    <mergeCell ref="X40:Y41"/>
    <mergeCell ref="AL38:AM39"/>
    <mergeCell ref="J40:K41"/>
    <mergeCell ref="L40:M41"/>
    <mergeCell ref="N40:O41"/>
    <mergeCell ref="P40:Q41"/>
    <mergeCell ref="R40:S41"/>
    <mergeCell ref="T40:U41"/>
    <mergeCell ref="V40:W41"/>
    <mergeCell ref="V38:W39"/>
    <mergeCell ref="X38:Y39"/>
    <mergeCell ref="Z38:AA39"/>
    <mergeCell ref="AB38:AC39"/>
    <mergeCell ref="AD38:AE39"/>
    <mergeCell ref="AF38:AG39"/>
    <mergeCell ref="AJ40:AK41"/>
    <mergeCell ref="AL40:AM41"/>
    <mergeCell ref="Z40:AA41"/>
    <mergeCell ref="AB40:AC41"/>
    <mergeCell ref="AD40:AE41"/>
    <mergeCell ref="AF40:AG41"/>
    <mergeCell ref="AH40:AI41"/>
    <mergeCell ref="AH36:AI37"/>
    <mergeCell ref="AJ36:AK37"/>
    <mergeCell ref="AL36:AM37"/>
    <mergeCell ref="E38:I45"/>
    <mergeCell ref="J38:K39"/>
    <mergeCell ref="L38:M39"/>
    <mergeCell ref="N38:O39"/>
    <mergeCell ref="P38:Q39"/>
    <mergeCell ref="R38:S39"/>
    <mergeCell ref="T38:U39"/>
    <mergeCell ref="V36:W37"/>
    <mergeCell ref="X36:Y37"/>
    <mergeCell ref="Z36:AA37"/>
    <mergeCell ref="AB36:AC37"/>
    <mergeCell ref="AD36:AE37"/>
    <mergeCell ref="AF36:AG37"/>
    <mergeCell ref="J36:K37"/>
    <mergeCell ref="L36:M37"/>
    <mergeCell ref="N36:O37"/>
    <mergeCell ref="P36:Q37"/>
    <mergeCell ref="R36:S37"/>
    <mergeCell ref="T36:U37"/>
    <mergeCell ref="AH38:AI39"/>
    <mergeCell ref="AJ38:AK39"/>
    <mergeCell ref="AL34:AM35"/>
    <mergeCell ref="AL32:AM33"/>
    <mergeCell ref="J34:K35"/>
    <mergeCell ref="L34:M35"/>
    <mergeCell ref="N34:O35"/>
    <mergeCell ref="P34:Q35"/>
    <mergeCell ref="R34:S35"/>
    <mergeCell ref="T34:U35"/>
    <mergeCell ref="V34:W35"/>
    <mergeCell ref="X34:Y35"/>
    <mergeCell ref="Z34:AA35"/>
    <mergeCell ref="Z32:AA33"/>
    <mergeCell ref="AB32:AC33"/>
    <mergeCell ref="AD32:AE33"/>
    <mergeCell ref="AF32:AG33"/>
    <mergeCell ref="AH32:AI33"/>
    <mergeCell ref="AJ32:AK33"/>
    <mergeCell ref="AF28:AG29"/>
    <mergeCell ref="AH28:AI29"/>
    <mergeCell ref="AJ28:AK29"/>
    <mergeCell ref="AL30:AM31"/>
    <mergeCell ref="AO30:AT37"/>
    <mergeCell ref="J32:K33"/>
    <mergeCell ref="L32:M33"/>
    <mergeCell ref="N32:O33"/>
    <mergeCell ref="P32:Q33"/>
    <mergeCell ref="R32:S33"/>
    <mergeCell ref="T32:U33"/>
    <mergeCell ref="V32:W33"/>
    <mergeCell ref="X32:Y33"/>
    <mergeCell ref="Z30:AA31"/>
    <mergeCell ref="AB30:AC31"/>
    <mergeCell ref="AD30:AE31"/>
    <mergeCell ref="AF30:AG31"/>
    <mergeCell ref="AH30:AI31"/>
    <mergeCell ref="AJ30:AK31"/>
    <mergeCell ref="AB34:AC35"/>
    <mergeCell ref="AD34:AE35"/>
    <mergeCell ref="AF34:AG35"/>
    <mergeCell ref="AH34:AI35"/>
    <mergeCell ref="AJ34:AK35"/>
    <mergeCell ref="E30:I37"/>
    <mergeCell ref="J30:K31"/>
    <mergeCell ref="L30:M31"/>
    <mergeCell ref="N30:O31"/>
    <mergeCell ref="P30:Q31"/>
    <mergeCell ref="R30:S31"/>
    <mergeCell ref="T30:U31"/>
    <mergeCell ref="V30:W31"/>
    <mergeCell ref="X30:Y31"/>
    <mergeCell ref="Z24:AA25"/>
    <mergeCell ref="AB24:AC25"/>
    <mergeCell ref="AD24:AE25"/>
    <mergeCell ref="AF24:AG25"/>
    <mergeCell ref="AJ26:AK27"/>
    <mergeCell ref="AL26:AM27"/>
    <mergeCell ref="J28:K29"/>
    <mergeCell ref="L28:M29"/>
    <mergeCell ref="N28:O29"/>
    <mergeCell ref="P28:Q29"/>
    <mergeCell ref="R28:S29"/>
    <mergeCell ref="T28:U29"/>
    <mergeCell ref="V28:W29"/>
    <mergeCell ref="X28:Y29"/>
    <mergeCell ref="X26:Y27"/>
    <mergeCell ref="Z26:AA27"/>
    <mergeCell ref="AB26:AC27"/>
    <mergeCell ref="AD26:AE27"/>
    <mergeCell ref="AF26:AG27"/>
    <mergeCell ref="AH26:AI27"/>
    <mergeCell ref="AL28:AM29"/>
    <mergeCell ref="Z28:AA29"/>
    <mergeCell ref="AB28:AC29"/>
    <mergeCell ref="AD28:AE29"/>
    <mergeCell ref="AO22:AT29"/>
    <mergeCell ref="J24:K25"/>
    <mergeCell ref="L24:M25"/>
    <mergeCell ref="N24:O25"/>
    <mergeCell ref="P24:Q25"/>
    <mergeCell ref="R24:S25"/>
    <mergeCell ref="T24:U25"/>
    <mergeCell ref="V22:W23"/>
    <mergeCell ref="X22:Y23"/>
    <mergeCell ref="Z22:AA23"/>
    <mergeCell ref="AB22:AC23"/>
    <mergeCell ref="AD22:AE23"/>
    <mergeCell ref="AF22:AG23"/>
    <mergeCell ref="AH24:AI25"/>
    <mergeCell ref="AJ24:AK25"/>
    <mergeCell ref="AL24:AM25"/>
    <mergeCell ref="J26:K27"/>
    <mergeCell ref="L26:M27"/>
    <mergeCell ref="N26:O27"/>
    <mergeCell ref="P26:Q27"/>
    <mergeCell ref="R26:S27"/>
    <mergeCell ref="T26:U27"/>
    <mergeCell ref="V26:W27"/>
    <mergeCell ref="V24:W25"/>
    <mergeCell ref="AL20:AM21"/>
    <mergeCell ref="E22:I29"/>
    <mergeCell ref="J22:K23"/>
    <mergeCell ref="L22:M23"/>
    <mergeCell ref="N22:O23"/>
    <mergeCell ref="P22:Q23"/>
    <mergeCell ref="R22:S23"/>
    <mergeCell ref="T22:U23"/>
    <mergeCell ref="V20:W21"/>
    <mergeCell ref="X20:Y21"/>
    <mergeCell ref="Z20:AA21"/>
    <mergeCell ref="AB20:AC21"/>
    <mergeCell ref="AD20:AE21"/>
    <mergeCell ref="AF20:AG21"/>
    <mergeCell ref="J20:K21"/>
    <mergeCell ref="L20:M21"/>
    <mergeCell ref="N20:O21"/>
    <mergeCell ref="P20:Q21"/>
    <mergeCell ref="R20:S21"/>
    <mergeCell ref="T20:U21"/>
    <mergeCell ref="AH22:AI23"/>
    <mergeCell ref="AJ22:AK23"/>
    <mergeCell ref="AL22:AM23"/>
    <mergeCell ref="X24:Y25"/>
    <mergeCell ref="Z18:AA19"/>
    <mergeCell ref="Z16:AA17"/>
    <mergeCell ref="AB16:AC17"/>
    <mergeCell ref="AD16:AE17"/>
    <mergeCell ref="AF16:AG17"/>
    <mergeCell ref="AH16:AI17"/>
    <mergeCell ref="AJ16:AK17"/>
    <mergeCell ref="AH20:AI21"/>
    <mergeCell ref="AJ20:AK21"/>
    <mergeCell ref="AO14:AT21"/>
    <mergeCell ref="J16:K17"/>
    <mergeCell ref="L16:M17"/>
    <mergeCell ref="N16:O17"/>
    <mergeCell ref="P16:Q17"/>
    <mergeCell ref="R16:S17"/>
    <mergeCell ref="T16:U17"/>
    <mergeCell ref="V16:W17"/>
    <mergeCell ref="X16:Y17"/>
    <mergeCell ref="Z14:AA15"/>
    <mergeCell ref="AB14:AC15"/>
    <mergeCell ref="AD14:AE15"/>
    <mergeCell ref="AF14:AG15"/>
    <mergeCell ref="AH14:AI15"/>
    <mergeCell ref="AJ14:AK15"/>
    <mergeCell ref="AB18:AC19"/>
    <mergeCell ref="AD18:AE19"/>
    <mergeCell ref="AF18:AG19"/>
    <mergeCell ref="AH18:AI19"/>
    <mergeCell ref="AJ18:AK19"/>
    <mergeCell ref="AL18:AM19"/>
    <mergeCell ref="AL16:AM17"/>
    <mergeCell ref="J18:K19"/>
    <mergeCell ref="L18:M19"/>
    <mergeCell ref="AH10:AI11"/>
    <mergeCell ref="AL12:AM13"/>
    <mergeCell ref="E14:I21"/>
    <mergeCell ref="J14:K15"/>
    <mergeCell ref="L14:M15"/>
    <mergeCell ref="N14:O15"/>
    <mergeCell ref="P14:Q15"/>
    <mergeCell ref="R14:S15"/>
    <mergeCell ref="T14:U15"/>
    <mergeCell ref="V14:W15"/>
    <mergeCell ref="X14:Y15"/>
    <mergeCell ref="Z12:AA13"/>
    <mergeCell ref="AB12:AC13"/>
    <mergeCell ref="AD12:AE13"/>
    <mergeCell ref="AF12:AG13"/>
    <mergeCell ref="AH12:AI13"/>
    <mergeCell ref="AJ12:AK13"/>
    <mergeCell ref="AL14:AM15"/>
    <mergeCell ref="N18:O19"/>
    <mergeCell ref="P18:Q19"/>
    <mergeCell ref="R18:S19"/>
    <mergeCell ref="T18:U19"/>
    <mergeCell ref="V18:W19"/>
    <mergeCell ref="X18:Y19"/>
    <mergeCell ref="R12:S13"/>
    <mergeCell ref="T12:U13"/>
    <mergeCell ref="V12:W13"/>
    <mergeCell ref="X12:Y13"/>
    <mergeCell ref="X10:Y11"/>
    <mergeCell ref="Z10:AA11"/>
    <mergeCell ref="AB10:AC11"/>
    <mergeCell ref="AD10:AE11"/>
    <mergeCell ref="AF10:AG11"/>
    <mergeCell ref="AO6:AT13"/>
    <mergeCell ref="J8:K9"/>
    <mergeCell ref="L8:M9"/>
    <mergeCell ref="N8:O9"/>
    <mergeCell ref="P8:Q9"/>
    <mergeCell ref="R8:S9"/>
    <mergeCell ref="T8:U9"/>
    <mergeCell ref="V6:W7"/>
    <mergeCell ref="X6:Y7"/>
    <mergeCell ref="Z6:AA7"/>
    <mergeCell ref="AB6:AC7"/>
    <mergeCell ref="AD6:AE7"/>
    <mergeCell ref="AF6:AG7"/>
    <mergeCell ref="AH8:AI9"/>
    <mergeCell ref="AJ8:AK9"/>
    <mergeCell ref="AL8:AM9"/>
    <mergeCell ref="J10:K11"/>
    <mergeCell ref="L10:M11"/>
    <mergeCell ref="N10:O11"/>
    <mergeCell ref="P10:Q11"/>
    <mergeCell ref="R10:S11"/>
    <mergeCell ref="T10:U11"/>
    <mergeCell ref="V10:W11"/>
    <mergeCell ref="V8:W9"/>
    <mergeCell ref="B2:I4"/>
    <mergeCell ref="J2:AM4"/>
    <mergeCell ref="B6:D45"/>
    <mergeCell ref="E6:I13"/>
    <mergeCell ref="J6:K7"/>
    <mergeCell ref="L6:M7"/>
    <mergeCell ref="N6:O7"/>
    <mergeCell ref="P6:Q7"/>
    <mergeCell ref="R6:S7"/>
    <mergeCell ref="T6:U7"/>
    <mergeCell ref="AH6:AI7"/>
    <mergeCell ref="AJ6:AK7"/>
    <mergeCell ref="AL6:AM7"/>
    <mergeCell ref="X8:Y9"/>
    <mergeCell ref="Z8:AA9"/>
    <mergeCell ref="AB8:AC9"/>
    <mergeCell ref="AD8:AE9"/>
    <mergeCell ref="AF8:AG9"/>
    <mergeCell ref="AJ10:AK11"/>
    <mergeCell ref="AL10:AM11"/>
    <mergeCell ref="J12:K13"/>
    <mergeCell ref="L12:M13"/>
    <mergeCell ref="N12:O13"/>
    <mergeCell ref="P12:Q13"/>
  </mergeCells>
  <pageMargins left="0.70866141732283472" right="0.70866141732283472" top="0.74803149606299213" bottom="0.74803149606299213" header="0" footer="0"/>
  <pageSetup scale="34" orientation="portrait" r:id="rId1"/>
  <headerFooter>
    <oddHeader>&amp;L&amp;G&amp;C&amp;"Verdana,Negrita"MATRIZ DE RIESGOS</oddHeader>
    <oddFooter>&amp;RCódigo:E-02-F-014
Versión: 5
Fecha: Ver Isolución</oddFooter>
  </headerFooter>
  <colBreaks count="1" manualBreakCount="1">
    <brk id="46" max="68"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D9C6B-F0D8-46D9-AB06-07EAFBBCAF81}">
  <sheetPr>
    <tabColor rgb="FF002060"/>
  </sheetPr>
  <dimension ref="A1:BI1000"/>
  <sheetViews>
    <sheetView view="pageBreakPreview" zoomScale="25" zoomScaleNormal="40" zoomScaleSheetLayoutView="25" workbookViewId="0">
      <selection activeCell="AU98" sqref="AU98"/>
    </sheetView>
  </sheetViews>
  <sheetFormatPr baseColWidth="10" defaultColWidth="12.625" defaultRowHeight="15" customHeight="1" x14ac:dyDescent="0.2"/>
  <cols>
    <col min="1" max="1" width="9.375" style="217" customWidth="1"/>
    <col min="2" max="18" width="5" style="217" customWidth="1"/>
    <col min="19" max="19" width="7.375" style="217" customWidth="1"/>
    <col min="20" max="23" width="5" style="217" customWidth="1"/>
    <col min="24" max="24" width="7.5" style="217" customWidth="1"/>
    <col min="25" max="26" width="5" style="217" customWidth="1"/>
    <col min="27" max="27" width="9.375" style="217" customWidth="1"/>
    <col min="28" max="28" width="5" style="217" customWidth="1"/>
    <col min="29" max="29" width="6.5" style="217" customWidth="1"/>
    <col min="30" max="33" width="5" style="217" customWidth="1"/>
    <col min="34" max="34" width="7.5" style="217" customWidth="1"/>
    <col min="35" max="39" width="5" style="217" customWidth="1"/>
    <col min="40" max="40" width="9.375" style="217" customWidth="1"/>
    <col min="41" max="46" width="5" style="217" customWidth="1"/>
    <col min="47" max="61" width="9.375" style="217" customWidth="1"/>
    <col min="62" max="16384" width="12.625" style="217"/>
  </cols>
  <sheetData>
    <row r="1" spans="1:61" x14ac:dyDescent="0.25">
      <c r="A1" s="363"/>
      <c r="B1" s="363"/>
      <c r="C1" s="363"/>
      <c r="D1" s="363"/>
      <c r="E1" s="363"/>
      <c r="F1" s="363"/>
      <c r="G1" s="363"/>
      <c r="H1" s="363"/>
      <c r="I1" s="363"/>
      <c r="J1" s="363"/>
      <c r="K1" s="363"/>
      <c r="L1" s="363"/>
      <c r="M1" s="363"/>
      <c r="N1" s="363"/>
      <c r="O1" s="363"/>
      <c r="P1" s="363"/>
      <c r="Q1" s="363"/>
      <c r="R1" s="363"/>
      <c r="S1" s="363"/>
      <c r="T1" s="363"/>
      <c r="U1" s="363"/>
      <c r="V1" s="363"/>
      <c r="W1" s="363"/>
      <c r="X1" s="363"/>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row>
    <row r="2" spans="1:61" ht="18" customHeight="1" x14ac:dyDescent="0.25">
      <c r="A2" s="363"/>
      <c r="B2" s="865" t="s">
        <v>17</v>
      </c>
      <c r="C2" s="866"/>
      <c r="D2" s="866"/>
      <c r="E2" s="866"/>
      <c r="F2" s="866"/>
      <c r="G2" s="866"/>
      <c r="H2" s="866"/>
      <c r="I2" s="866"/>
      <c r="J2" s="867" t="s">
        <v>1</v>
      </c>
      <c r="K2" s="868"/>
      <c r="L2" s="868"/>
      <c r="M2" s="868"/>
      <c r="N2" s="868"/>
      <c r="O2" s="868"/>
      <c r="P2" s="868"/>
      <c r="Q2" s="868"/>
      <c r="R2" s="868"/>
      <c r="S2" s="868"/>
      <c r="T2" s="868"/>
      <c r="U2" s="868"/>
      <c r="V2" s="868"/>
      <c r="W2" s="868"/>
      <c r="X2" s="868"/>
      <c r="Y2" s="868"/>
      <c r="Z2" s="868"/>
      <c r="AA2" s="868"/>
      <c r="AB2" s="868"/>
      <c r="AC2" s="868"/>
      <c r="AD2" s="868"/>
      <c r="AE2" s="868"/>
      <c r="AF2" s="868"/>
      <c r="AG2" s="868"/>
      <c r="AH2" s="868"/>
      <c r="AI2" s="868"/>
      <c r="AJ2" s="868"/>
      <c r="AK2" s="868"/>
      <c r="AL2" s="868"/>
      <c r="AM2" s="868"/>
      <c r="AN2" s="363"/>
      <c r="AO2" s="363"/>
      <c r="AP2" s="363"/>
      <c r="AQ2" s="363"/>
      <c r="AR2" s="363"/>
      <c r="AS2" s="363"/>
      <c r="AT2" s="363"/>
      <c r="AU2" s="363"/>
      <c r="AV2" s="363"/>
      <c r="AW2" s="363"/>
      <c r="AX2" s="363"/>
      <c r="AY2" s="363"/>
      <c r="AZ2" s="363"/>
      <c r="BA2" s="363"/>
      <c r="BB2" s="363"/>
      <c r="BC2" s="363"/>
      <c r="BD2" s="363"/>
      <c r="BE2" s="363"/>
      <c r="BF2" s="363"/>
      <c r="BG2" s="363"/>
      <c r="BH2" s="363"/>
      <c r="BI2" s="363"/>
    </row>
    <row r="3" spans="1:61" ht="18.75" customHeight="1" x14ac:dyDescent="0.25">
      <c r="A3" s="363"/>
      <c r="B3" s="866"/>
      <c r="C3" s="866"/>
      <c r="D3" s="866"/>
      <c r="E3" s="866"/>
      <c r="F3" s="866"/>
      <c r="G3" s="866"/>
      <c r="H3" s="866"/>
      <c r="I3" s="866"/>
      <c r="J3" s="868"/>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866"/>
      <c r="AJ3" s="866"/>
      <c r="AK3" s="866"/>
      <c r="AL3" s="866"/>
      <c r="AM3" s="868"/>
      <c r="AN3" s="363"/>
      <c r="AO3" s="363"/>
      <c r="AP3" s="363"/>
      <c r="AQ3" s="363"/>
      <c r="AR3" s="363"/>
      <c r="AS3" s="363"/>
      <c r="AT3" s="363"/>
      <c r="AU3" s="363"/>
      <c r="AV3" s="363"/>
      <c r="AW3" s="363"/>
      <c r="AX3" s="363"/>
      <c r="AY3" s="363"/>
      <c r="AZ3" s="363"/>
      <c r="BA3" s="363"/>
      <c r="BB3" s="363"/>
      <c r="BC3" s="363"/>
      <c r="BD3" s="363"/>
      <c r="BE3" s="363"/>
      <c r="BF3" s="363"/>
      <c r="BG3" s="363"/>
      <c r="BH3" s="363"/>
      <c r="BI3" s="363"/>
    </row>
    <row r="4" spans="1:61" ht="15" customHeight="1" x14ac:dyDescent="0.25">
      <c r="A4" s="363"/>
      <c r="B4" s="866"/>
      <c r="C4" s="866"/>
      <c r="D4" s="866"/>
      <c r="E4" s="866"/>
      <c r="F4" s="866"/>
      <c r="G4" s="866"/>
      <c r="H4" s="866"/>
      <c r="I4" s="866"/>
      <c r="J4" s="868"/>
      <c r="K4" s="868"/>
      <c r="L4" s="868"/>
      <c r="M4" s="868"/>
      <c r="N4" s="868"/>
      <c r="O4" s="868"/>
      <c r="P4" s="868"/>
      <c r="Q4" s="868"/>
      <c r="R4" s="868"/>
      <c r="S4" s="868"/>
      <c r="T4" s="868"/>
      <c r="U4" s="868"/>
      <c r="V4" s="868"/>
      <c r="W4" s="868"/>
      <c r="X4" s="868"/>
      <c r="Y4" s="868"/>
      <c r="Z4" s="868"/>
      <c r="AA4" s="868"/>
      <c r="AB4" s="868"/>
      <c r="AC4" s="868"/>
      <c r="AD4" s="868"/>
      <c r="AE4" s="868"/>
      <c r="AF4" s="868"/>
      <c r="AG4" s="868"/>
      <c r="AH4" s="868"/>
      <c r="AI4" s="868"/>
      <c r="AJ4" s="868"/>
      <c r="AK4" s="868"/>
      <c r="AL4" s="868"/>
      <c r="AM4" s="868"/>
      <c r="AN4" s="363"/>
      <c r="AO4" s="363"/>
      <c r="AP4" s="363"/>
      <c r="AQ4" s="363"/>
      <c r="AR4" s="363"/>
      <c r="AS4" s="363"/>
      <c r="AT4" s="363"/>
      <c r="AU4" s="363"/>
      <c r="AV4" s="363"/>
      <c r="AW4" s="363"/>
      <c r="AX4" s="363"/>
      <c r="AY4" s="363"/>
      <c r="AZ4" s="363"/>
      <c r="BA4" s="363"/>
      <c r="BB4" s="363"/>
      <c r="BC4" s="363"/>
      <c r="BD4" s="363"/>
      <c r="BE4" s="363"/>
      <c r="BF4" s="363"/>
      <c r="BG4" s="363"/>
      <c r="BH4" s="363"/>
      <c r="BI4" s="363"/>
    </row>
    <row r="5" spans="1:61" ht="15.75" thickBot="1" x14ac:dyDescent="0.3">
      <c r="A5" s="363"/>
      <c r="B5" s="363"/>
      <c r="C5" s="363"/>
      <c r="D5" s="363"/>
      <c r="E5" s="363"/>
      <c r="F5" s="363"/>
      <c r="G5" s="363"/>
      <c r="H5" s="363"/>
      <c r="I5" s="363"/>
      <c r="J5" s="363"/>
      <c r="K5" s="363"/>
      <c r="L5" s="363"/>
      <c r="M5" s="363"/>
      <c r="N5" s="363"/>
      <c r="O5" s="363"/>
      <c r="P5" s="363"/>
      <c r="Q5" s="363"/>
      <c r="R5" s="363"/>
      <c r="S5" s="363"/>
      <c r="T5" s="363"/>
      <c r="U5" s="363"/>
      <c r="V5" s="363"/>
      <c r="W5" s="363"/>
      <c r="X5" s="363"/>
      <c r="Y5" s="363"/>
      <c r="Z5" s="363"/>
      <c r="AA5" s="363"/>
      <c r="AB5" s="363"/>
      <c r="AC5" s="363"/>
      <c r="AD5" s="363"/>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row>
    <row r="6" spans="1:61" ht="15" customHeight="1" x14ac:dyDescent="0.25">
      <c r="A6" s="363"/>
      <c r="B6" s="869" t="s">
        <v>2</v>
      </c>
      <c r="C6" s="868"/>
      <c r="D6" s="870"/>
      <c r="E6" s="871" t="s">
        <v>3</v>
      </c>
      <c r="F6" s="872"/>
      <c r="G6" s="872"/>
      <c r="H6" s="872"/>
      <c r="I6" s="873"/>
      <c r="J6" s="364" t="str">
        <f>IF(AND('[3]Mapa de procesos'!$AC$4="Muy Alta",'[3]Mapa de procesos'!$AE$4="Leve"),CONCATENATE("R1C",'[3]Mapa de procesos'!$S$4),"")</f>
        <v/>
      </c>
      <c r="K6" s="365" t="str">
        <f>IF(AND('[3]Mapa de procesos'!$AC$5="Muy Alta",'[3]Mapa de procesos'!$AE$5="Leve"),CONCATENATE("R1C",'[3]Mapa de procesos'!$S$5),"")</f>
        <v/>
      </c>
      <c r="L6" s="365" t="str">
        <f>IF(AND('[3]Mapa de procesos'!$AC$6="Muy Alta",'[3]Mapa de procesos'!$AE$6="Leve"),CONCATENATE("R1C",'[3]Mapa de procesos'!$S$6),"")</f>
        <v/>
      </c>
      <c r="M6" s="365" t="str">
        <f>IF(AND('[3]Mapa de procesos'!$AC$7="Muy Alta",'[3]Mapa de procesos'!$AE$7="Leve"),CONCATENATE("R1C",'[3]Mapa de procesos'!$S$7),"")</f>
        <v/>
      </c>
      <c r="N6" s="365" t="str">
        <f>IF(AND('[3]Mapa de procesos'!$AC$8="Muy Alta",'[3]Mapa de procesos'!$AE$8="Leve"),CONCATENATE("R1C",'[3]Mapa de procesos'!$S$8),"")</f>
        <v/>
      </c>
      <c r="O6" s="366" t="str">
        <f>IF(AND('[3]Mapa de procesos'!$AC$9="Muy Alta",'[3]Mapa de procesos'!$AE$9="Leve"),CONCATENATE("R1C",'[3]Mapa de procesos'!$S$9),"")</f>
        <v/>
      </c>
      <c r="P6" s="364" t="str">
        <f>IF(AND('[3]Mapa de procesos'!$AC$4="Muy Alta",'[3]Mapa de procesos'!$AE$4="Menor"),CONCATENATE("R1C",'[3]Mapa de procesos'!$S$4),"")</f>
        <v/>
      </c>
      <c r="Q6" s="365" t="str">
        <f>IF(AND('[3]Mapa de procesos'!$AC$5="Muy Alta",'[3]Mapa de procesos'!$AE$5="Menor"),CONCATENATE("R1C",'[3]Mapa de procesos'!$S$5),"")</f>
        <v/>
      </c>
      <c r="R6" s="365" t="str">
        <f>IF(AND('[3]Mapa de procesos'!$AC$6="Muy Alta",'[3]Mapa de procesos'!$AE$6="Menor"),CONCATENATE("R1C",'[3]Mapa de procesos'!$S$6),"")</f>
        <v/>
      </c>
      <c r="S6" s="365" t="str">
        <f>IF(AND('[3]Mapa de procesos'!$AC$7="Muy Alta",'[3]Mapa de procesos'!$AE$7="Menor"),CONCATENATE("R1C",'[3]Mapa de procesos'!$S$7),"")</f>
        <v/>
      </c>
      <c r="T6" s="365" t="str">
        <f>IF(AND('[3]Mapa de procesos'!$AC$8="Muy Alta",'[3]Mapa de procesos'!$AE$8="Menor"),CONCATENATE("R1C",'[3]Mapa de procesos'!$S$8),"")</f>
        <v/>
      </c>
      <c r="U6" s="366" t="str">
        <f>IF(AND('[3]Mapa de procesos'!$AC$9="Muy Alta",'[3]Mapa de procesos'!$AE$9="Menor"),CONCATENATE("R1C",'[3]Mapa de procesos'!$S$9),"")</f>
        <v/>
      </c>
      <c r="V6" s="364" t="str">
        <f>IF(AND('[3]Mapa de procesos'!$AC$4="Muy Alta",'[3]Mapa de procesos'!$AE$4="Moderado"),CONCATENATE("R1C",'[3]Mapa de procesos'!$S$4),"")</f>
        <v/>
      </c>
      <c r="W6" s="365" t="str">
        <f>IF(AND('[3]Mapa de procesos'!$AC$5="Muy Alta",'[3]Mapa de procesos'!$AE$5="Moderado"),CONCATENATE("R1C",'[3]Mapa de procesos'!$S$5),"")</f>
        <v/>
      </c>
      <c r="X6" s="365" t="str">
        <f>IF(AND('[3]Mapa de procesos'!$AC$6="Muy Alta",'[3]Mapa de procesos'!$AE$6="Moderado"),CONCATENATE("R1C",'[3]Mapa de procesos'!$S$6),"")</f>
        <v/>
      </c>
      <c r="Y6" s="365" t="str">
        <f>IF(AND('[3]Mapa de procesos'!$AC$7="Muy Alta",'[3]Mapa de procesos'!$AE$7="Moderado"),CONCATENATE("R1C",'[3]Mapa de procesos'!$S$7),"")</f>
        <v/>
      </c>
      <c r="Z6" s="365" t="str">
        <f>IF(AND('[3]Mapa de procesos'!$AC$8="Muy Alta",'[3]Mapa de procesos'!$AE$8="Moderado"),CONCATENATE("R1C",'[3]Mapa de procesos'!$S$8),"")</f>
        <v/>
      </c>
      <c r="AA6" s="366" t="str">
        <f>IF(AND('[3]Mapa de procesos'!$AC$9="Muy Alta",'[3]Mapa de procesos'!$AE$9="Moderado"),CONCATENATE("R1C",'[3]Mapa de procesos'!$S$9),"")</f>
        <v/>
      </c>
      <c r="AB6" s="364" t="str">
        <f>IF(AND('[3]Mapa de procesos'!$AC$4="Muy Alta",'[3]Mapa de procesos'!$AE$4="Mayor"),CONCATENATE("R1C",'[3]Mapa de procesos'!$S$4),"")</f>
        <v/>
      </c>
      <c r="AC6" s="365" t="str">
        <f>IF(AND('[3]Mapa de procesos'!$AC$5="Muy Alta",'[3]Mapa de procesos'!$AE$5="Mayor"),CONCATENATE("R1C",'[3]Mapa de procesos'!$S$5),"")</f>
        <v/>
      </c>
      <c r="AD6" s="365" t="str">
        <f>IF(AND('[3]Mapa de procesos'!$AC$6="Muy Alta",'[3]Mapa de procesos'!$AE$6="Mayor"),CONCATENATE("R1C",'[3]Mapa de procesos'!$S$6),"")</f>
        <v/>
      </c>
      <c r="AE6" s="365" t="str">
        <f>IF(AND('[3]Mapa de procesos'!$AC$7="Muy Alta",'[3]Mapa de procesos'!$AE$7="Mayor"),CONCATENATE("R1C",'[3]Mapa de procesos'!$S$7),"")</f>
        <v/>
      </c>
      <c r="AF6" s="365" t="str">
        <f>IF(AND('[3]Mapa de procesos'!$AC$8="Muy Alta",'[3]Mapa de procesos'!$AE$8="Mayor"),CONCATENATE("R1C",'[3]Mapa de procesos'!$S$8),"")</f>
        <v/>
      </c>
      <c r="AG6" s="366" t="str">
        <f>IF(AND('[3]Mapa de procesos'!$AC$9="Muy Alta",'[3]Mapa de procesos'!$AE$9="Mayor"),CONCATENATE("R1C",'[3]Mapa de procesos'!$S$9),"")</f>
        <v/>
      </c>
      <c r="AH6" s="367" t="str">
        <f>IF(AND('[3]Mapa de procesos'!$AC$4="Muy Alta",'[3]Mapa de procesos'!$AE$4="Catastrófico"),CONCATENATE("R1C",'[3]Mapa de procesos'!$S$4),"")</f>
        <v/>
      </c>
      <c r="AI6" s="368" t="str">
        <f>IF(AND('[3]Mapa de procesos'!$AC$5="Muy Alta",'[3]Mapa de procesos'!$AE$5="Catastrófico"),CONCATENATE("R1C",'[3]Mapa de procesos'!$S$5),"")</f>
        <v/>
      </c>
      <c r="AJ6" s="368" t="str">
        <f>IF(AND('[3]Mapa de procesos'!$AC$6="Muy Alta",'[3]Mapa de procesos'!$AE$6="Catastrófico"),CONCATENATE("R1C",'[3]Mapa de procesos'!$S$6),"")</f>
        <v/>
      </c>
      <c r="AK6" s="368" t="str">
        <f>IF(AND('[3]Mapa de procesos'!$AC$7="Muy Alta",'[3]Mapa de procesos'!$AE$7="Catastrófico"),CONCATENATE("R1C",'[3]Mapa de procesos'!$S$7),"")</f>
        <v/>
      </c>
      <c r="AL6" s="368" t="str">
        <f>IF(AND('[3]Mapa de procesos'!$AC$8="Muy Alta",'[3]Mapa de procesos'!$AE$8="Catastrófico"),CONCATENATE("R1C",'[3]Mapa de procesos'!$S$8),"")</f>
        <v/>
      </c>
      <c r="AM6" s="369" t="str">
        <f>IF(AND('[3]Mapa de procesos'!$AC$9="Muy Alta",'[3]Mapa de procesos'!$AE$9="Catastrófico"),CONCATENATE("R1C",'[3]Mapa de procesos'!$S$9),"")</f>
        <v/>
      </c>
      <c r="AN6" s="363"/>
      <c r="AO6" s="878" t="s">
        <v>4</v>
      </c>
      <c r="AP6" s="879"/>
      <c r="AQ6" s="879"/>
      <c r="AR6" s="879"/>
      <c r="AS6" s="879"/>
      <c r="AT6" s="880"/>
      <c r="AU6" s="363"/>
      <c r="AV6" s="363"/>
      <c r="AW6" s="363"/>
      <c r="AX6" s="363"/>
      <c r="AY6" s="363"/>
      <c r="AZ6" s="363"/>
      <c r="BA6" s="363"/>
      <c r="BB6" s="363"/>
      <c r="BC6" s="363"/>
      <c r="BD6" s="363"/>
      <c r="BE6" s="363"/>
      <c r="BF6" s="363"/>
      <c r="BG6" s="363"/>
      <c r="BH6" s="363"/>
      <c r="BI6" s="363"/>
    </row>
    <row r="7" spans="1:61" ht="15" customHeight="1" x14ac:dyDescent="0.25">
      <c r="A7" s="363"/>
      <c r="B7" s="868"/>
      <c r="C7" s="866"/>
      <c r="D7" s="870"/>
      <c r="E7" s="874"/>
      <c r="F7" s="866"/>
      <c r="G7" s="866"/>
      <c r="H7" s="866"/>
      <c r="I7" s="870"/>
      <c r="J7" s="370" t="str">
        <f>IF(AND('[3]Mapa de procesos'!$AC$10="Muy Alta",'[3]Mapa de procesos'!$AE$10="Leve"),CONCATENATE("R2C",'[3]Mapa de procesos'!$S$10),"")</f>
        <v/>
      </c>
      <c r="K7" s="371" t="str">
        <f>IF(AND('[3]Mapa de procesos'!$AC$11="Muy Alta",'[3]Mapa de procesos'!$AE$11="Leve"),CONCATENATE("R2C",'[3]Mapa de procesos'!$S$11),"")</f>
        <v/>
      </c>
      <c r="L7" s="371" t="str">
        <f>IF(AND('[3]Mapa de procesos'!$AC$12="Muy Alta",'[3]Mapa de procesos'!$AE$12="Leve"),CONCATENATE("R2C",'[3]Mapa de procesos'!$S$12),"")</f>
        <v/>
      </c>
      <c r="M7" s="371" t="str">
        <f>IF(AND('[3]Mapa de procesos'!$AC$13="Muy Alta",'[3]Mapa de procesos'!$AE$13="Leve"),CONCATENATE("R2C",'[3]Mapa de procesos'!$S$13),"")</f>
        <v/>
      </c>
      <c r="N7" s="371" t="str">
        <f>IF(AND('[3]Mapa de procesos'!$AC$14="Muy Alta",'[3]Mapa de procesos'!$AE$14="Leve"),CONCATENATE("R2C",'[3]Mapa de procesos'!$S$14),"")</f>
        <v/>
      </c>
      <c r="O7" s="372" t="str">
        <f>IF(AND('[3]Mapa de procesos'!$AC$15="Muy Alta",'[3]Mapa de procesos'!$AE$15="Leve"),CONCATENATE("R2C",'[3]Mapa de procesos'!$S$15),"")</f>
        <v/>
      </c>
      <c r="P7" s="370" t="str">
        <f>IF(AND('[3]Mapa de procesos'!$AC$10="Muy Alta",'[3]Mapa de procesos'!$AE$10="Menor"),CONCATENATE("R2C",'[3]Mapa de procesos'!$S$10),"")</f>
        <v/>
      </c>
      <c r="Q7" s="371" t="str">
        <f>IF(AND('[3]Mapa de procesos'!$AC$11="Muy Alta",'[3]Mapa de procesos'!$AE$11="Menor"),CONCATENATE("R2C",'[3]Mapa de procesos'!$S$11),"")</f>
        <v/>
      </c>
      <c r="R7" s="371" t="str">
        <f>IF(AND('[3]Mapa de procesos'!$AC$12="Muy Alta",'[3]Mapa de procesos'!$AE$12="Menor"),CONCATENATE("R2C",'[3]Mapa de procesos'!$S$12),"")</f>
        <v/>
      </c>
      <c r="S7" s="371" t="str">
        <f>IF(AND('[3]Mapa de procesos'!$AC$13="Muy Alta",'[3]Mapa de procesos'!$AE$13="Menor"),CONCATENATE("R2C",'[3]Mapa de procesos'!$S$13),"")</f>
        <v/>
      </c>
      <c r="T7" s="371" t="str">
        <f>IF(AND('[3]Mapa de procesos'!$AC$14="Muy Alta",'[3]Mapa de procesos'!$AE$14="Menor"),CONCATENATE("R2C",'[3]Mapa de procesos'!$S$14),"")</f>
        <v/>
      </c>
      <c r="U7" s="372" t="str">
        <f>IF(AND('[3]Mapa de procesos'!$AC$15="Muy Alta",'[3]Mapa de procesos'!$AE$15="Menor"),CONCATENATE("R2C",'[3]Mapa de procesos'!$S$15),"")</f>
        <v/>
      </c>
      <c r="V7" s="370" t="str">
        <f>IF(AND('[3]Mapa de procesos'!$AC$10="Muy Alta",'[3]Mapa de procesos'!$AE$10="Moderado"),CONCATENATE("R2C",'[3]Mapa de procesos'!$S$10),"")</f>
        <v/>
      </c>
      <c r="W7" s="371" t="str">
        <f>IF(AND('[3]Mapa de procesos'!$AC$11="Muy Alta",'[3]Mapa de procesos'!$AE$11="Moderado"),CONCATENATE("R2C",'[3]Mapa de procesos'!$S$11),"")</f>
        <v/>
      </c>
      <c r="X7" s="371" t="str">
        <f>IF(AND('[3]Mapa de procesos'!$AC$12="Muy Alta",'[3]Mapa de procesos'!$AE$12="Moderado"),CONCATENATE("R2C",'[3]Mapa de procesos'!$S$12),"")</f>
        <v/>
      </c>
      <c r="Y7" s="371" t="str">
        <f>IF(AND('[3]Mapa de procesos'!$AC$13="Muy Alta",'[3]Mapa de procesos'!$AE$13="Moderado"),CONCATENATE("R2C",'[3]Mapa de procesos'!$S$13),"")</f>
        <v/>
      </c>
      <c r="Z7" s="371" t="str">
        <f>IF(AND('[3]Mapa de procesos'!$AC$14="Muy Alta",'[3]Mapa de procesos'!$AE$14="Moderado"),CONCATENATE("R2C",'[3]Mapa de procesos'!$S$14),"")</f>
        <v/>
      </c>
      <c r="AA7" s="372" t="str">
        <f>IF(AND('[3]Mapa de procesos'!$AC$15="Muy Alta",'[3]Mapa de procesos'!$AE$15="Moderado"),CONCATENATE("R2C",'[3]Mapa de procesos'!$S$15),"")</f>
        <v/>
      </c>
      <c r="AB7" s="370" t="str">
        <f>IF(AND('[3]Mapa de procesos'!$AC$10="Muy Alta",'[3]Mapa de procesos'!$AE$10="Mayor"),CONCATENATE("R2C",'[3]Mapa de procesos'!$S$10),"")</f>
        <v/>
      </c>
      <c r="AC7" s="371" t="str">
        <f>IF(AND('[3]Mapa de procesos'!$AC$11="Muy Alta",'[3]Mapa de procesos'!$AE$11="Mayor"),CONCATENATE("R2C",'[3]Mapa de procesos'!$S$11),"")</f>
        <v/>
      </c>
      <c r="AD7" s="371" t="str">
        <f>IF(AND('[3]Mapa de procesos'!$AC$12="Muy Alta",'[3]Mapa de procesos'!$AE$12="Mayor"),CONCATENATE("R2C",'[3]Mapa de procesos'!$S$12),"")</f>
        <v/>
      </c>
      <c r="AE7" s="371" t="str">
        <f>IF(AND('[3]Mapa de procesos'!$AC$13="Muy Alta",'[3]Mapa de procesos'!$AE$13="Mayor"),CONCATENATE("R2C",'[3]Mapa de procesos'!$S$13),"")</f>
        <v/>
      </c>
      <c r="AF7" s="371" t="str">
        <f>IF(AND('[3]Mapa de procesos'!$AC$14="Muy Alta",'[3]Mapa de procesos'!$AE$14="Mayor"),CONCATENATE("R2C",'[3]Mapa de procesos'!$S$14),"")</f>
        <v/>
      </c>
      <c r="AG7" s="372" t="str">
        <f>IF(AND('[3]Mapa de procesos'!$AC$15="Muy Alta",'[3]Mapa de procesos'!$AE$15="Mayor"),CONCATENATE("R2C",'[3]Mapa de procesos'!$S$15),"")</f>
        <v/>
      </c>
      <c r="AH7" s="373" t="str">
        <f>IF(AND('[3]Mapa de procesos'!$AC$10="Muy Alta",'[3]Mapa de procesos'!$AE$10="Catastrófico"),CONCATENATE("R2C",'[3]Mapa de procesos'!$S$10),"")</f>
        <v/>
      </c>
      <c r="AI7" s="374" t="str">
        <f>IF(AND('[3]Mapa de procesos'!$AC$11="Muy Alta",'[3]Mapa de procesos'!$AE$11="Catastrófico"),CONCATENATE("R2C",'[3]Mapa de procesos'!$S$11),"")</f>
        <v/>
      </c>
      <c r="AJ7" s="374" t="str">
        <f>IF(AND('[3]Mapa de procesos'!$AC$12="Muy Alta",'[3]Mapa de procesos'!$AE$12="Catastrófico"),CONCATENATE("R2C",'[3]Mapa de procesos'!$S$12),"")</f>
        <v/>
      </c>
      <c r="AK7" s="374" t="str">
        <f>IF(AND('[3]Mapa de procesos'!$AC$13="Muy Alta",'[3]Mapa de procesos'!$AE$13="Catastrófico"),CONCATENATE("R2C",'[3]Mapa de procesos'!$S$13),"")</f>
        <v/>
      </c>
      <c r="AL7" s="374" t="str">
        <f>IF(AND('[3]Mapa de procesos'!$AC$14="Muy Alta",'[3]Mapa de procesos'!$AE$14="Catastrófico"),CONCATENATE("R2C",'[3]Mapa de procesos'!$S$14),"")</f>
        <v/>
      </c>
      <c r="AM7" s="375" t="str">
        <f>IF(AND('[3]Mapa de procesos'!$AC$15="Muy Alta",'[3]Mapa de procesos'!$AE$15="Catastrófico"),CONCATENATE("R2C",'[3]Mapa de procesos'!$S$15),"")</f>
        <v/>
      </c>
      <c r="AN7" s="363"/>
      <c r="AO7" s="881"/>
      <c r="AP7" s="866"/>
      <c r="AQ7" s="866"/>
      <c r="AR7" s="866"/>
      <c r="AS7" s="866"/>
      <c r="AT7" s="882"/>
      <c r="AU7" s="363"/>
      <c r="AV7" s="363"/>
      <c r="AW7" s="363"/>
      <c r="AX7" s="363"/>
      <c r="AY7" s="363"/>
      <c r="AZ7" s="363"/>
      <c r="BA7" s="363"/>
      <c r="BB7" s="363"/>
      <c r="BC7" s="363"/>
      <c r="BD7" s="363"/>
      <c r="BE7" s="363"/>
      <c r="BF7" s="363"/>
      <c r="BG7" s="363"/>
      <c r="BH7" s="363"/>
      <c r="BI7" s="363"/>
    </row>
    <row r="8" spans="1:61" ht="15" customHeight="1" x14ac:dyDescent="0.25">
      <c r="A8" s="363"/>
      <c r="B8" s="868"/>
      <c r="C8" s="866"/>
      <c r="D8" s="870"/>
      <c r="E8" s="874"/>
      <c r="F8" s="866"/>
      <c r="G8" s="866"/>
      <c r="H8" s="866"/>
      <c r="I8" s="870"/>
      <c r="J8" s="370" t="str">
        <f>IF(AND('[3]Mapa de procesos'!$AC$16="Muy Alta",'[3]Mapa de procesos'!$AE$16="Leve"),CONCATENATE("R3C",'[3]Mapa de procesos'!$S$16),"")</f>
        <v/>
      </c>
      <c r="K8" s="371" t="str">
        <f>IF(AND('[3]Mapa de procesos'!$AC$17="Muy Alta",'[3]Mapa de procesos'!$AE$17="Leve"),CONCATENATE("R3C",'[3]Mapa de procesos'!$S$17),"")</f>
        <v/>
      </c>
      <c r="L8" s="371" t="str">
        <f>IF(AND('[3]Mapa de procesos'!$AC$18="Muy Alta",'[3]Mapa de procesos'!$AE$18="Leve"),CONCATENATE("R3C",'[3]Mapa de procesos'!$S$18),"")</f>
        <v/>
      </c>
      <c r="M8" s="371" t="str">
        <f>IF(AND('[3]Mapa de procesos'!$AC$19="Muy Alta",'[3]Mapa de procesos'!$AE$19="Leve"),CONCATENATE("R3C",'[3]Mapa de procesos'!$S$19),"")</f>
        <v/>
      </c>
      <c r="N8" s="371" t="str">
        <f>IF(AND('[3]Mapa de procesos'!$AC$20="Muy Alta",'[3]Mapa de procesos'!$AE$20="Leve"),CONCATENATE("R3C",'[3]Mapa de procesos'!$S$20),"")</f>
        <v/>
      </c>
      <c r="O8" s="372" t="str">
        <f>IF(AND('[3]Mapa de procesos'!$AC$21="Muy Alta",'[3]Mapa de procesos'!$AE$21="Leve"),CONCATENATE("R3C",'[3]Mapa de procesos'!$S$21),"")</f>
        <v/>
      </c>
      <c r="P8" s="370" t="str">
        <f>IF(AND('[3]Mapa de procesos'!$AC$16="Muy Alta",'[3]Mapa de procesos'!$AE$16="Menor"),CONCATENATE("R3C",'[3]Mapa de procesos'!$S$16),"")</f>
        <v/>
      </c>
      <c r="Q8" s="371" t="str">
        <f>IF(AND('[3]Mapa de procesos'!$AC$17="Muy Alta",'[3]Mapa de procesos'!$AE$17="Menor"),CONCATENATE("R3C",'[3]Mapa de procesos'!$S$17),"")</f>
        <v/>
      </c>
      <c r="R8" s="371" t="str">
        <f>IF(AND('[3]Mapa de procesos'!$AC$18="Muy Alta",'[3]Mapa de procesos'!$AE$18="Menor"),CONCATENATE("R3C",'[3]Mapa de procesos'!$S$18),"")</f>
        <v/>
      </c>
      <c r="S8" s="371" t="str">
        <f>IF(AND('[3]Mapa de procesos'!$AC$19="Muy Alta",'[3]Mapa de procesos'!$AE$19="Menor"),CONCATENATE("R3C",'[3]Mapa de procesos'!$S$19),"")</f>
        <v/>
      </c>
      <c r="T8" s="371" t="str">
        <f>IF(AND('[3]Mapa de procesos'!$AC$20="Muy Alta",'[3]Mapa de procesos'!$AE$20="Menor"),CONCATENATE("R3C",'[3]Mapa de procesos'!$S$20),"")</f>
        <v/>
      </c>
      <c r="U8" s="372" t="str">
        <f>IF(AND('[3]Mapa de procesos'!$AC$21="Muy Alta",'[3]Mapa de procesos'!$AE$21="Menor"),CONCATENATE("R3C",'[3]Mapa de procesos'!$S$21),"")</f>
        <v/>
      </c>
      <c r="V8" s="370" t="str">
        <f>IF(AND('[3]Mapa de procesos'!$AC$16="Muy Alta",'[3]Mapa de procesos'!$AE$16="Moderado"),CONCATENATE("R3C",'[3]Mapa de procesos'!$S$16),"")</f>
        <v/>
      </c>
      <c r="W8" s="371" t="str">
        <f>IF(AND('[3]Mapa de procesos'!$AC$17="Muy Alta",'[3]Mapa de procesos'!$AE$17="Moderado"),CONCATENATE("R3C",'[3]Mapa de procesos'!$S$17),"")</f>
        <v/>
      </c>
      <c r="X8" s="371" t="str">
        <f>IF(AND('[3]Mapa de procesos'!$AC$18="Muy Alta",'[3]Mapa de procesos'!$AE$18="Moderado"),CONCATENATE("R3C",'[3]Mapa de procesos'!$S$18),"")</f>
        <v/>
      </c>
      <c r="Y8" s="371" t="str">
        <f>IF(AND('[3]Mapa de procesos'!$AC$19="Muy Alta",'[3]Mapa de procesos'!$AE$19="Moderado"),CONCATENATE("R3C",'[3]Mapa de procesos'!$S$19),"")</f>
        <v/>
      </c>
      <c r="Z8" s="371" t="str">
        <f>IF(AND('[3]Mapa de procesos'!$AC$20="Muy Alta",'[3]Mapa de procesos'!$AE$20="Moderado"),CONCATENATE("R3C",'[3]Mapa de procesos'!$S$20),"")</f>
        <v/>
      </c>
      <c r="AA8" s="372" t="str">
        <f>IF(AND('[3]Mapa de procesos'!$AC$21="Muy Alta",'[3]Mapa de procesos'!$AE$21="Moderado"),CONCATENATE("R3C",'[3]Mapa de procesos'!$S$21),"")</f>
        <v/>
      </c>
      <c r="AB8" s="370" t="str">
        <f>IF(AND('[3]Mapa de procesos'!$AC$16="Muy Alta",'[3]Mapa de procesos'!$AE$16="Mayor"),CONCATENATE("R3C",'[3]Mapa de procesos'!$S$16),"")</f>
        <v/>
      </c>
      <c r="AC8" s="371" t="str">
        <f>IF(AND('[3]Mapa de procesos'!$AC$17="Muy Alta",'[3]Mapa de procesos'!$AE$17="Mayor"),CONCATENATE("R3C",'[3]Mapa de procesos'!$S$17),"")</f>
        <v/>
      </c>
      <c r="AD8" s="371" t="str">
        <f>IF(AND('[3]Mapa de procesos'!$AC$18="Muy Alta",'[3]Mapa de procesos'!$AE$18="Mayor"),CONCATENATE("R3C",'[3]Mapa de procesos'!$S$18),"")</f>
        <v/>
      </c>
      <c r="AE8" s="371" t="str">
        <f>IF(AND('[3]Mapa de procesos'!$AC$19="Muy Alta",'[3]Mapa de procesos'!$AE$19="Mayor"),CONCATENATE("R3C",'[3]Mapa de procesos'!$S$19),"")</f>
        <v/>
      </c>
      <c r="AF8" s="371" t="str">
        <f>IF(AND('[3]Mapa de procesos'!$AC$20="Muy Alta",'[3]Mapa de procesos'!$AE$20="Mayor"),CONCATENATE("R3C",'[3]Mapa de procesos'!$S$20),"")</f>
        <v/>
      </c>
      <c r="AG8" s="372" t="str">
        <f>IF(AND('[3]Mapa de procesos'!$AC$21="Muy Alta",'[3]Mapa de procesos'!$AE$21="Mayor"),CONCATENATE("R3C",'[3]Mapa de procesos'!$S$21),"")</f>
        <v/>
      </c>
      <c r="AH8" s="373" t="str">
        <f>IF(AND('[3]Mapa de procesos'!$AC$16="Muy Alta",'[3]Mapa de procesos'!$AE$16="Catastrófico"),CONCATENATE("R3C",'[3]Mapa de procesos'!$S$16),"")</f>
        <v/>
      </c>
      <c r="AI8" s="374" t="str">
        <f>IF(AND('[3]Mapa de procesos'!$AC$17="Muy Alta",'[3]Mapa de procesos'!$AE$17="Catastrófico"),CONCATENATE("R3C",'[3]Mapa de procesos'!$S$17),"")</f>
        <v/>
      </c>
      <c r="AJ8" s="374" t="str">
        <f>IF(AND('[3]Mapa de procesos'!$AC$18="Muy Alta",'[3]Mapa de procesos'!$AE$18="Catastrófico"),CONCATENATE("R3C",'[3]Mapa de procesos'!$S$18),"")</f>
        <v/>
      </c>
      <c r="AK8" s="374" t="str">
        <f>IF(AND('[3]Mapa de procesos'!$AC$19="Muy Alta",'[3]Mapa de procesos'!$AE$19="Catastrófico"),CONCATENATE("R3C",'[3]Mapa de procesos'!$S$19),"")</f>
        <v/>
      </c>
      <c r="AL8" s="374" t="str">
        <f>IF(AND('[3]Mapa de procesos'!$AC$20="Muy Alta",'[3]Mapa de procesos'!$AE$20="Catastrófico"),CONCATENATE("R3C",'[3]Mapa de procesos'!$S$20),"")</f>
        <v/>
      </c>
      <c r="AM8" s="375" t="str">
        <f>IF(AND('[3]Mapa de procesos'!$AC$21="Muy Alta",'[3]Mapa de procesos'!$AE$21="Catastrófico"),CONCATENATE("R3C",'[3]Mapa de procesos'!$S$21),"")</f>
        <v/>
      </c>
      <c r="AN8" s="363"/>
      <c r="AO8" s="881"/>
      <c r="AP8" s="866"/>
      <c r="AQ8" s="866"/>
      <c r="AR8" s="866"/>
      <c r="AS8" s="866"/>
      <c r="AT8" s="882"/>
      <c r="AU8" s="363"/>
      <c r="AV8" s="363"/>
      <c r="AW8" s="363"/>
      <c r="AX8" s="363"/>
      <c r="AY8" s="363"/>
      <c r="AZ8" s="363"/>
      <c r="BA8" s="363"/>
      <c r="BB8" s="363"/>
      <c r="BC8" s="363"/>
      <c r="BD8" s="363"/>
      <c r="BE8" s="363"/>
      <c r="BF8" s="363"/>
      <c r="BG8" s="363"/>
      <c r="BH8" s="363"/>
      <c r="BI8" s="363"/>
    </row>
    <row r="9" spans="1:61" ht="15" customHeight="1" x14ac:dyDescent="0.25">
      <c r="A9" s="363"/>
      <c r="B9" s="868"/>
      <c r="C9" s="866"/>
      <c r="D9" s="870"/>
      <c r="E9" s="874"/>
      <c r="F9" s="866"/>
      <c r="G9" s="866"/>
      <c r="H9" s="866"/>
      <c r="I9" s="870"/>
      <c r="J9" s="370" t="str">
        <f>IF(AND('[3]Mapa de procesos'!$AC$22="Muy Alta",'[3]Mapa de procesos'!$AE$22="Leve"),CONCATENATE("R4C",'[3]Mapa de procesos'!$S$22),"")</f>
        <v/>
      </c>
      <c r="K9" s="371" t="str">
        <f>IF(AND('[3]Mapa de procesos'!$AC$23="Muy Alta",'[3]Mapa de procesos'!$AE$23="Leve"),CONCATENATE("R4C",'[3]Mapa de procesos'!$S$23),"")</f>
        <v/>
      </c>
      <c r="L9" s="371" t="str">
        <f>IF(AND('[3]Mapa de procesos'!$AC$24="Muy Alta",'[3]Mapa de procesos'!$AE$24="Leve"),CONCATENATE("R4C",'[3]Mapa de procesos'!$S$24),"")</f>
        <v/>
      </c>
      <c r="M9" s="371" t="str">
        <f>IF(AND('[3]Mapa de procesos'!$AC$25="Muy Alta",'[3]Mapa de procesos'!$AE$25="Leve"),CONCATENATE("R4C",'[3]Mapa de procesos'!$S$25),"")</f>
        <v/>
      </c>
      <c r="N9" s="371" t="str">
        <f>IF(AND('[3]Mapa de procesos'!$AC$26="Muy Alta",'[3]Mapa de procesos'!$AE$26="Leve"),CONCATENATE("R4C",'[3]Mapa de procesos'!$S$26),"")</f>
        <v/>
      </c>
      <c r="O9" s="372" t="str">
        <f>IF(AND('[3]Mapa de procesos'!$AC$27="Muy Alta",'[3]Mapa de procesos'!$AE$27="Leve"),CONCATENATE("R4C",'[3]Mapa de procesos'!$S$27),"")</f>
        <v/>
      </c>
      <c r="P9" s="370" t="str">
        <f>IF(AND('[3]Mapa de procesos'!$AC$22="Muy Alta",'[3]Mapa de procesos'!$AE$22="Menor"),CONCATENATE("R4C",'[3]Mapa de procesos'!$S$22),"")</f>
        <v/>
      </c>
      <c r="Q9" s="371" t="str">
        <f>IF(AND('[3]Mapa de procesos'!$AC$23="Muy Alta",'[3]Mapa de procesos'!$AE$23="Menor"),CONCATENATE("R4C",'[3]Mapa de procesos'!$S$23),"")</f>
        <v/>
      </c>
      <c r="R9" s="371" t="str">
        <f>IF(AND('[3]Mapa de procesos'!$AC$24="Muy Alta",'[3]Mapa de procesos'!$AE$24="Menor"),CONCATENATE("R4C",'[3]Mapa de procesos'!$S$24),"")</f>
        <v/>
      </c>
      <c r="S9" s="371" t="str">
        <f>IF(AND('[3]Mapa de procesos'!$AC$25="Muy Alta",'[3]Mapa de procesos'!$AE$25="Menor"),CONCATENATE("R4C",'[3]Mapa de procesos'!$S$25),"")</f>
        <v/>
      </c>
      <c r="T9" s="371" t="str">
        <f>IF(AND('[3]Mapa de procesos'!$AC$26="Muy Alta",'[3]Mapa de procesos'!$AE$26="Menor"),CONCATENATE("R4C",'[3]Mapa de procesos'!$S$26),"")</f>
        <v/>
      </c>
      <c r="U9" s="372" t="str">
        <f>IF(AND('[3]Mapa de procesos'!$AC$27="Muy Alta",'[3]Mapa de procesos'!$AE$27="Menor"),CONCATENATE("R4C",'[3]Mapa de procesos'!$S$27),"")</f>
        <v/>
      </c>
      <c r="V9" s="370" t="str">
        <f>IF(AND('[3]Mapa de procesos'!$AC$22="Muy Alta",'[3]Mapa de procesos'!$AE$22="Moderado"),CONCATENATE("R4C",'[3]Mapa de procesos'!$S$22),"")</f>
        <v/>
      </c>
      <c r="W9" s="371" t="str">
        <f>IF(AND('[3]Mapa de procesos'!$AC$23="Muy Alta",'[3]Mapa de procesos'!$AE$23="Moderado"),CONCATENATE("R4C",'[3]Mapa de procesos'!$S$23),"")</f>
        <v/>
      </c>
      <c r="X9" s="371" t="str">
        <f>IF(AND('[3]Mapa de procesos'!$AC$24="Muy Alta",'[3]Mapa de procesos'!$AE$24="Moderado"),CONCATENATE("R4C",'[3]Mapa de procesos'!$S$24),"")</f>
        <v/>
      </c>
      <c r="Y9" s="371" t="str">
        <f>IF(AND('[3]Mapa de procesos'!$AC$25="Muy Alta",'[3]Mapa de procesos'!$AE$25="Moderado"),CONCATENATE("R4C",'[3]Mapa de procesos'!$S$25),"")</f>
        <v/>
      </c>
      <c r="Z9" s="371" t="str">
        <f>IF(AND('[3]Mapa de procesos'!$AC$26="Muy Alta",'[3]Mapa de procesos'!$AE$26="Moderado"),CONCATENATE("R4C",'[3]Mapa de procesos'!$S$26),"")</f>
        <v/>
      </c>
      <c r="AA9" s="372" t="str">
        <f>IF(AND('[3]Mapa de procesos'!$AC$27="Muy Alta",'[3]Mapa de procesos'!$AE$27="Moderado"),CONCATENATE("R4C",'[3]Mapa de procesos'!$S$27),"")</f>
        <v/>
      </c>
      <c r="AB9" s="370" t="str">
        <f>IF(AND('[3]Mapa de procesos'!$AC$22="Muy Alta",'[3]Mapa de procesos'!$AE$22="Mayor"),CONCATENATE("R4C",'[3]Mapa de procesos'!$S$22),"")</f>
        <v/>
      </c>
      <c r="AC9" s="371" t="str">
        <f>IF(AND('[3]Mapa de procesos'!$AC$23="Muy Alta",'[3]Mapa de procesos'!$AE$23="Mayor"),CONCATENATE("R4C",'[3]Mapa de procesos'!$S$23),"")</f>
        <v/>
      </c>
      <c r="AD9" s="371" t="str">
        <f>IF(AND('[3]Mapa de procesos'!$AC$24="Muy Alta",'[3]Mapa de procesos'!$AE$24="Mayor"),CONCATENATE("R4C",'[3]Mapa de procesos'!$S$24),"")</f>
        <v/>
      </c>
      <c r="AE9" s="371" t="str">
        <f>IF(AND('[3]Mapa de procesos'!$AC$25="Muy Alta",'[3]Mapa de procesos'!$AE$25="Mayor"),CONCATENATE("R4C",'[3]Mapa de procesos'!$S$25),"")</f>
        <v/>
      </c>
      <c r="AF9" s="371" t="str">
        <f>IF(AND('[3]Mapa de procesos'!$AC$26="Muy Alta",'[3]Mapa de procesos'!$AE$26="Mayor"),CONCATENATE("R4C",'[3]Mapa de procesos'!$S$26),"")</f>
        <v/>
      </c>
      <c r="AG9" s="372" t="str">
        <f>IF(AND('[3]Mapa de procesos'!$AC$27="Muy Alta",'[3]Mapa de procesos'!$AE$27="Mayor"),CONCATENATE("R4C",'[3]Mapa de procesos'!$S$27),"")</f>
        <v/>
      </c>
      <c r="AH9" s="373" t="str">
        <f>IF(AND('[3]Mapa de procesos'!$AC$22="Muy Alta",'[3]Mapa de procesos'!$AE$22="Catastrófico"),CONCATENATE("R4C",'[3]Mapa de procesos'!$S$22),"")</f>
        <v/>
      </c>
      <c r="AI9" s="374" t="str">
        <f>IF(AND('[3]Mapa de procesos'!$AC$23="Muy Alta",'[3]Mapa de procesos'!$AE$23="Catastrófico"),CONCATENATE("R4C",'[3]Mapa de procesos'!$S$23),"")</f>
        <v/>
      </c>
      <c r="AJ9" s="374" t="str">
        <f>IF(AND('[3]Mapa de procesos'!$AC$24="Muy Alta",'[3]Mapa de procesos'!$AE$24="Catastrófico"),CONCATENATE("R4C",'[3]Mapa de procesos'!$S$24),"")</f>
        <v/>
      </c>
      <c r="AK9" s="374" t="str">
        <f>IF(AND('[3]Mapa de procesos'!$AC$25="Muy Alta",'[3]Mapa de procesos'!$AE$25="Catastrófico"),CONCATENATE("R4C",'[3]Mapa de procesos'!$S$25),"")</f>
        <v/>
      </c>
      <c r="AL9" s="374" t="str">
        <f>IF(AND('[3]Mapa de procesos'!$AC$26="Muy Alta",'[3]Mapa de procesos'!$AE$26="Catastrófico"),CONCATENATE("R4C",'[3]Mapa de procesos'!$S$26),"")</f>
        <v/>
      </c>
      <c r="AM9" s="375" t="str">
        <f>IF(AND('[3]Mapa de procesos'!$AC$27="Muy Alta",'[3]Mapa de procesos'!$AE$27="Catastrófico"),CONCATENATE("R4C",'[3]Mapa de procesos'!$S$27),"")</f>
        <v/>
      </c>
      <c r="AN9" s="363"/>
      <c r="AO9" s="881"/>
      <c r="AP9" s="866"/>
      <c r="AQ9" s="866"/>
      <c r="AR9" s="866"/>
      <c r="AS9" s="866"/>
      <c r="AT9" s="882"/>
      <c r="AU9" s="363"/>
      <c r="AV9" s="363"/>
      <c r="AW9" s="363"/>
      <c r="AX9" s="363"/>
      <c r="AY9" s="363"/>
      <c r="AZ9" s="363"/>
      <c r="BA9" s="363"/>
      <c r="BB9" s="363"/>
      <c r="BC9" s="363"/>
      <c r="BD9" s="363"/>
      <c r="BE9" s="363"/>
      <c r="BF9" s="363"/>
      <c r="BG9" s="363"/>
      <c r="BH9" s="363"/>
      <c r="BI9" s="363"/>
    </row>
    <row r="10" spans="1:61" ht="15" customHeight="1" x14ac:dyDescent="0.25">
      <c r="A10" s="363"/>
      <c r="B10" s="868"/>
      <c r="C10" s="866"/>
      <c r="D10" s="870"/>
      <c r="E10" s="874"/>
      <c r="F10" s="866"/>
      <c r="G10" s="866"/>
      <c r="H10" s="866"/>
      <c r="I10" s="870"/>
      <c r="J10" s="370" t="str">
        <f>IF(AND('[3]Mapa de procesos'!$AC$28="Muy Alta",'[3]Mapa de procesos'!$AE$28="Leve"),CONCATENATE("R5C",'[3]Mapa de procesos'!$S$28),"")</f>
        <v/>
      </c>
      <c r="K10" s="371" t="str">
        <f>IF(AND('[3]Mapa de procesos'!$AC$29="Muy Alta",'[3]Mapa de procesos'!$AE$29="Leve"),CONCATENATE("R5C",'[3]Mapa de procesos'!$S$29),"")</f>
        <v/>
      </c>
      <c r="L10" s="371" t="str">
        <f>IF(AND('[3]Mapa de procesos'!$AC$30="Muy Alta",'[3]Mapa de procesos'!$AE$30="Leve"),CONCATENATE("R5C",'[3]Mapa de procesos'!$S$30),"")</f>
        <v/>
      </c>
      <c r="M10" s="371" t="str">
        <f>IF(AND('[3]Mapa de procesos'!$AC$31="Muy Alta",'[3]Mapa de procesos'!$AE$31="Leve"),CONCATENATE("R5C",'[3]Mapa de procesos'!$S$31),"")</f>
        <v/>
      </c>
      <c r="N10" s="371" t="str">
        <f>IF(AND('[3]Mapa de procesos'!$AC$32="Muy Alta",'[3]Mapa de procesos'!$AE$32="Leve"),CONCATENATE("R5C",'[3]Mapa de procesos'!$S$32),"")</f>
        <v/>
      </c>
      <c r="O10" s="372" t="str">
        <f>IF(AND('[3]Mapa de procesos'!$AC$33="Muy Alta",'[3]Mapa de procesos'!$AE$33="Leve"),CONCATENATE("R5C",'[3]Mapa de procesos'!$S$33),"")</f>
        <v/>
      </c>
      <c r="P10" s="370" t="str">
        <f>IF(AND('[3]Mapa de procesos'!$AC$28="Muy Alta",'[3]Mapa de procesos'!$AE$28="Menor"),CONCATENATE("R5C",'[3]Mapa de procesos'!$S$28),"")</f>
        <v/>
      </c>
      <c r="Q10" s="371" t="str">
        <f>IF(AND('[3]Mapa de procesos'!$AC$29="Muy Alta",'[3]Mapa de procesos'!$AE$29="Menor"),CONCATENATE("R5C",'[3]Mapa de procesos'!$S$29),"")</f>
        <v/>
      </c>
      <c r="R10" s="371" t="str">
        <f>IF(AND('[3]Mapa de procesos'!$AC$30="Muy Alta",'[3]Mapa de procesos'!$AE$30="Menor"),CONCATENATE("R5C",'[3]Mapa de procesos'!$S$30),"")</f>
        <v/>
      </c>
      <c r="S10" s="371" t="str">
        <f>IF(AND('[3]Mapa de procesos'!$AC$31="Muy Alta",'[3]Mapa de procesos'!$AE$31="Menor"),CONCATENATE("R5C",'[3]Mapa de procesos'!$S$31),"")</f>
        <v/>
      </c>
      <c r="T10" s="371" t="str">
        <f>IF(AND('[3]Mapa de procesos'!$AC$32="Muy Alta",'[3]Mapa de procesos'!$AE$32="Menor"),CONCATENATE("R5C",'[3]Mapa de procesos'!$S$32),"")</f>
        <v/>
      </c>
      <c r="U10" s="372" t="str">
        <f>IF(AND('[3]Mapa de procesos'!$AC$33="Muy Alta",'[3]Mapa de procesos'!$AE$33="Menor"),CONCATENATE("R5C",'[3]Mapa de procesos'!$S$33),"")</f>
        <v/>
      </c>
      <c r="V10" s="370" t="str">
        <f>IF(AND('[3]Mapa de procesos'!$AC$28="Muy Alta",'[3]Mapa de procesos'!$AE$28="Moderado"),CONCATENATE("R5C",'[3]Mapa de procesos'!$S$28),"")</f>
        <v/>
      </c>
      <c r="W10" s="371" t="str">
        <f>IF(AND('[3]Mapa de procesos'!$AC$29="Muy Alta",'[3]Mapa de procesos'!$AE$29="Moderado"),CONCATENATE("R5C",'[3]Mapa de procesos'!$S$29),"")</f>
        <v/>
      </c>
      <c r="X10" s="371" t="str">
        <f>IF(AND('[3]Mapa de procesos'!$AC$30="Muy Alta",'[3]Mapa de procesos'!$AE$30="Moderado"),CONCATENATE("R5C",'[3]Mapa de procesos'!$S$30),"")</f>
        <v/>
      </c>
      <c r="Y10" s="371" t="str">
        <f>IF(AND('[3]Mapa de procesos'!$AC$31="Muy Alta",'[3]Mapa de procesos'!$AE$31="Moderado"),CONCATENATE("R5C",'[3]Mapa de procesos'!$S$31),"")</f>
        <v/>
      </c>
      <c r="Z10" s="371" t="str">
        <f>IF(AND('[3]Mapa de procesos'!$AC$32="Muy Alta",'[3]Mapa de procesos'!$AE$32="Moderado"),CONCATENATE("R5C",'[3]Mapa de procesos'!$S$32),"")</f>
        <v/>
      </c>
      <c r="AA10" s="372" t="str">
        <f>IF(AND('[3]Mapa de procesos'!$AC$33="Muy Alta",'[3]Mapa de procesos'!$AE$33="Moderado"),CONCATENATE("R5C",'[3]Mapa de procesos'!$S$33),"")</f>
        <v/>
      </c>
      <c r="AB10" s="370" t="str">
        <f>IF(AND('[3]Mapa de procesos'!$AC$28="Muy Alta",'[3]Mapa de procesos'!$AE$28="Mayor"),CONCATENATE("R5C",'[3]Mapa de procesos'!$S$28),"")</f>
        <v/>
      </c>
      <c r="AC10" s="371" t="str">
        <f>IF(AND('[3]Mapa de procesos'!$AC$29="Muy Alta",'[3]Mapa de procesos'!$AE$29="Mayor"),CONCATENATE("R5C",'[3]Mapa de procesos'!$S$29),"")</f>
        <v/>
      </c>
      <c r="AD10" s="371" t="str">
        <f>IF(AND('[3]Mapa de procesos'!$AC$30="Muy Alta",'[3]Mapa de procesos'!$AE$30="Mayor"),CONCATENATE("R5C",'[3]Mapa de procesos'!$S$30),"")</f>
        <v/>
      </c>
      <c r="AE10" s="371" t="str">
        <f>IF(AND('[3]Mapa de procesos'!$AC$31="Muy Alta",'[3]Mapa de procesos'!$AE$31="Mayor"),CONCATENATE("R5C",'[3]Mapa de procesos'!$S$31),"")</f>
        <v/>
      </c>
      <c r="AF10" s="371" t="str">
        <f>IF(AND('[3]Mapa de procesos'!$AC$32="Muy Alta",'[3]Mapa de procesos'!$AE$32="Mayor"),CONCATENATE("R5C",'[3]Mapa de procesos'!$S$32),"")</f>
        <v/>
      </c>
      <c r="AG10" s="372" t="str">
        <f>IF(AND('[3]Mapa de procesos'!$AC$33="Muy Alta",'[3]Mapa de procesos'!$AE$33="Mayor"),CONCATENATE("R5C",'[3]Mapa de procesos'!$S$33),"")</f>
        <v/>
      </c>
      <c r="AH10" s="373" t="str">
        <f>IF(AND('[3]Mapa de procesos'!$AC$28="Muy Alta",'[3]Mapa de procesos'!$AE$28="Catastrófico"),CONCATENATE("R5C",'[3]Mapa de procesos'!$S$28),"")</f>
        <v/>
      </c>
      <c r="AI10" s="374" t="str">
        <f>IF(AND('[3]Mapa de procesos'!$AC$29="Muy Alta",'[3]Mapa de procesos'!$AE$29="Catastrófico"),CONCATENATE("R5C",'[3]Mapa de procesos'!$S$29),"")</f>
        <v/>
      </c>
      <c r="AJ10" s="374" t="str">
        <f>IF(AND('[3]Mapa de procesos'!$AC$30="Muy Alta",'[3]Mapa de procesos'!$AE$30="Catastrófico"),CONCATENATE("R5C",'[3]Mapa de procesos'!$S$30),"")</f>
        <v/>
      </c>
      <c r="AK10" s="374" t="str">
        <f>IF(AND('[3]Mapa de procesos'!$AC$31="Muy Alta",'[3]Mapa de procesos'!$AE$31="Catastrófico"),CONCATENATE("R5C",'[3]Mapa de procesos'!$S$31),"")</f>
        <v/>
      </c>
      <c r="AL10" s="374" t="str">
        <f>IF(AND('[3]Mapa de procesos'!$AC$32="Muy Alta",'[3]Mapa de procesos'!$AE$32="Catastrófico"),CONCATENATE("R5C",'[3]Mapa de procesos'!$S$32),"")</f>
        <v/>
      </c>
      <c r="AM10" s="375" t="str">
        <f>IF(AND('[3]Mapa de procesos'!$AC$33="Muy Alta",'[3]Mapa de procesos'!$AE$33="Catastrófico"),CONCATENATE("R5C",'[3]Mapa de procesos'!$S$33),"")</f>
        <v/>
      </c>
      <c r="AN10" s="363"/>
      <c r="AO10" s="881"/>
      <c r="AP10" s="866"/>
      <c r="AQ10" s="866"/>
      <c r="AR10" s="866"/>
      <c r="AS10" s="866"/>
      <c r="AT10" s="882"/>
      <c r="AU10" s="363"/>
      <c r="AV10" s="363"/>
      <c r="AW10" s="363"/>
      <c r="AX10" s="363"/>
      <c r="AY10" s="363"/>
      <c r="AZ10" s="363"/>
      <c r="BA10" s="363"/>
      <c r="BB10" s="363"/>
      <c r="BC10" s="363"/>
      <c r="BD10" s="363"/>
      <c r="BE10" s="363"/>
      <c r="BF10" s="363"/>
      <c r="BG10" s="363"/>
      <c r="BH10" s="363"/>
      <c r="BI10" s="363"/>
    </row>
    <row r="11" spans="1:61" ht="15" customHeight="1" x14ac:dyDescent="0.25">
      <c r="A11" s="363"/>
      <c r="B11" s="868"/>
      <c r="C11" s="866"/>
      <c r="D11" s="870"/>
      <c r="E11" s="874"/>
      <c r="F11" s="866"/>
      <c r="G11" s="866"/>
      <c r="H11" s="866"/>
      <c r="I11" s="870"/>
      <c r="J11" s="370" t="str">
        <f>IF(AND('[3]Mapa de procesos'!$AC$34="Muy Alta",'[3]Mapa de procesos'!$AE$34="Leve"),CONCATENATE("R6C",'[3]Mapa de procesos'!$S$34),"")</f>
        <v/>
      </c>
      <c r="K11" s="371" t="str">
        <f>IF(AND('[3]Mapa de procesos'!$AC$35="Muy Alta",'[3]Mapa de procesos'!$AE$35="Leve"),CONCATENATE("R6C",'[3]Mapa de procesos'!$S$35),"")</f>
        <v/>
      </c>
      <c r="L11" s="371" t="str">
        <f>IF(AND('[3]Mapa de procesos'!$AC$36="Muy Alta",'[3]Mapa de procesos'!$AE$36="Leve"),CONCATENATE("R6C",'[3]Mapa de procesos'!$S$36),"")</f>
        <v/>
      </c>
      <c r="M11" s="371" t="str">
        <f>IF(AND('[3]Mapa de procesos'!$AC$37="Muy Alta",'[3]Mapa de procesos'!$AE$37="Leve"),CONCATENATE("R6C",'[3]Mapa de procesos'!$S$37),"")</f>
        <v/>
      </c>
      <c r="N11" s="371" t="str">
        <f>IF(AND('[3]Mapa de procesos'!$AC$38="Muy Alta",'[3]Mapa de procesos'!$AE$38="Leve"),CONCATENATE("R6C",'[3]Mapa de procesos'!$S$38),"")</f>
        <v/>
      </c>
      <c r="O11" s="372" t="str">
        <f>IF(AND('[3]Mapa de procesos'!$AC$39="Muy Alta",'[3]Mapa de procesos'!$AE$39="Leve"),CONCATENATE("R6C",'[3]Mapa de procesos'!$S$39),"")</f>
        <v/>
      </c>
      <c r="P11" s="370" t="str">
        <f>IF(AND('[3]Mapa de procesos'!$AC$34="Muy Alta",'[3]Mapa de procesos'!$AE$34="Menor"),CONCATENATE("R6C",'[3]Mapa de procesos'!$S$34),"")</f>
        <v/>
      </c>
      <c r="Q11" s="371" t="str">
        <f>IF(AND('[3]Mapa de procesos'!$AC$35="Muy Alta",'[3]Mapa de procesos'!$AE$35="Menor"),CONCATENATE("R6C",'[3]Mapa de procesos'!$S$35),"")</f>
        <v/>
      </c>
      <c r="R11" s="371" t="str">
        <f>IF(AND('[3]Mapa de procesos'!$AC$36="Muy Alta",'[3]Mapa de procesos'!$AE$36="Menor"),CONCATENATE("R6C",'[3]Mapa de procesos'!$S$36),"")</f>
        <v/>
      </c>
      <c r="S11" s="371" t="str">
        <f>IF(AND('[3]Mapa de procesos'!$AC$37="Muy Alta",'[3]Mapa de procesos'!$AE$37="Menor"),CONCATENATE("R6C",'[3]Mapa de procesos'!$S$37),"")</f>
        <v/>
      </c>
      <c r="T11" s="371" t="str">
        <f>IF(AND('[3]Mapa de procesos'!$AC$38="Muy Alta",'[3]Mapa de procesos'!$AE$38="Menor"),CONCATENATE("R6C",'[3]Mapa de procesos'!$S$38),"")</f>
        <v/>
      </c>
      <c r="U11" s="372" t="str">
        <f>IF(AND('[3]Mapa de procesos'!$AC$39="Muy Alta",'[3]Mapa de procesos'!$AE$39="Menor"),CONCATENATE("R6C",'[3]Mapa de procesos'!$S$39),"")</f>
        <v/>
      </c>
      <c r="V11" s="370" t="str">
        <f>IF(AND('[3]Mapa de procesos'!$AC$34="Muy Alta",'[3]Mapa de procesos'!$AE$34="Moderado"),CONCATENATE("R6C",'[3]Mapa de procesos'!$S$34),"")</f>
        <v/>
      </c>
      <c r="W11" s="371" t="str">
        <f>IF(AND('[3]Mapa de procesos'!$AC$35="Muy Alta",'[3]Mapa de procesos'!$AE$35="Moderado"),CONCATENATE("R6C",'[3]Mapa de procesos'!$S$35),"")</f>
        <v/>
      </c>
      <c r="X11" s="371" t="str">
        <f>IF(AND('[3]Mapa de procesos'!$AC$36="Muy Alta",'[3]Mapa de procesos'!$AE$36="Moderado"),CONCATENATE("R6C",'[3]Mapa de procesos'!$S$36),"")</f>
        <v/>
      </c>
      <c r="Y11" s="371" t="str">
        <f>IF(AND('[3]Mapa de procesos'!$AC$37="Muy Alta",'[3]Mapa de procesos'!$AE$37="Moderado"),CONCATENATE("R6C",'[3]Mapa de procesos'!$S$37),"")</f>
        <v/>
      </c>
      <c r="Z11" s="371" t="str">
        <f>IF(AND('[3]Mapa de procesos'!$AC$38="Muy Alta",'[3]Mapa de procesos'!$AE$38="Moderado"),CONCATENATE("R6C",'[3]Mapa de procesos'!$S$38),"")</f>
        <v/>
      </c>
      <c r="AA11" s="372" t="str">
        <f>IF(AND('[3]Mapa de procesos'!$AC$39="Muy Alta",'[3]Mapa de procesos'!$AE$39="Moderado"),CONCATENATE("R6C",'[3]Mapa de procesos'!$S$39),"")</f>
        <v/>
      </c>
      <c r="AB11" s="370" t="str">
        <f>IF(AND('[3]Mapa de procesos'!$AC$34="Muy Alta",'[3]Mapa de procesos'!$AE$34="Mayor"),CONCATENATE("R6C",'[3]Mapa de procesos'!$S$34),"")</f>
        <v/>
      </c>
      <c r="AC11" s="371" t="str">
        <f>IF(AND('[3]Mapa de procesos'!$AC$35="Muy Alta",'[3]Mapa de procesos'!$AE$35="Mayor"),CONCATENATE("R6C",'[3]Mapa de procesos'!$S$35),"")</f>
        <v/>
      </c>
      <c r="AD11" s="371" t="str">
        <f>IF(AND('[3]Mapa de procesos'!$AC$36="Muy Alta",'[3]Mapa de procesos'!$AE$36="Mayor"),CONCATENATE("R6C",'[3]Mapa de procesos'!$S$36),"")</f>
        <v/>
      </c>
      <c r="AE11" s="371" t="str">
        <f>IF(AND('[3]Mapa de procesos'!$AC$37="Muy Alta",'[3]Mapa de procesos'!$AE$37="Mayor"),CONCATENATE("R6C",'[3]Mapa de procesos'!$S$37),"")</f>
        <v/>
      </c>
      <c r="AF11" s="371" t="str">
        <f>IF(AND('[3]Mapa de procesos'!$AC$38="Muy Alta",'[3]Mapa de procesos'!$AE$38="Mayor"),CONCATENATE("R6C",'[3]Mapa de procesos'!$S$38),"")</f>
        <v/>
      </c>
      <c r="AG11" s="372" t="str">
        <f>IF(AND('[3]Mapa de procesos'!$AC$39="Muy Alta",'[3]Mapa de procesos'!$AE$39="Mayor"),CONCATENATE("R6C",'[3]Mapa de procesos'!$S$39),"")</f>
        <v/>
      </c>
      <c r="AH11" s="373" t="str">
        <f>IF(AND('[3]Mapa de procesos'!$AC$34="Muy Alta",'[3]Mapa de procesos'!$AE$34="Catastrófico"),CONCATENATE("R6C",'[3]Mapa de procesos'!$S$34),"")</f>
        <v/>
      </c>
      <c r="AI11" s="374" t="str">
        <f>IF(AND('[3]Mapa de procesos'!$AC$35="Muy Alta",'[3]Mapa de procesos'!$AE$35="Catastrófico"),CONCATENATE("R6C",'[3]Mapa de procesos'!$S$35),"")</f>
        <v/>
      </c>
      <c r="AJ11" s="374" t="str">
        <f>IF(AND('[3]Mapa de procesos'!$AC$36="Muy Alta",'[3]Mapa de procesos'!$AE$36="Catastrófico"),CONCATENATE("R6C",'[3]Mapa de procesos'!$S$36),"")</f>
        <v/>
      </c>
      <c r="AK11" s="374" t="str">
        <f>IF(AND('[3]Mapa de procesos'!$AC$37="Muy Alta",'[3]Mapa de procesos'!$AE$37="Catastrófico"),CONCATENATE("R6C",'[3]Mapa de procesos'!$S$37),"")</f>
        <v/>
      </c>
      <c r="AL11" s="374" t="str">
        <f>IF(AND('[3]Mapa de procesos'!$AC$38="Muy Alta",'[3]Mapa de procesos'!$AE$38="Catastrófico"),CONCATENATE("R6C",'[3]Mapa de procesos'!$S$38),"")</f>
        <v/>
      </c>
      <c r="AM11" s="375" t="str">
        <f>IF(AND('[3]Mapa de procesos'!$AC$39="Muy Alta",'[3]Mapa de procesos'!$AE$39="Catastrófico"),CONCATENATE("R6C",'[3]Mapa de procesos'!$S$39),"")</f>
        <v/>
      </c>
      <c r="AN11" s="363"/>
      <c r="AO11" s="881"/>
      <c r="AP11" s="866"/>
      <c r="AQ11" s="866"/>
      <c r="AR11" s="866"/>
      <c r="AS11" s="866"/>
      <c r="AT11" s="882"/>
      <c r="AU11" s="363"/>
      <c r="AV11" s="363"/>
      <c r="AW11" s="363"/>
      <c r="AX11" s="363"/>
      <c r="AY11" s="363"/>
      <c r="AZ11" s="363"/>
      <c r="BA11" s="363"/>
      <c r="BB11" s="363"/>
      <c r="BC11" s="363"/>
      <c r="BD11" s="363"/>
      <c r="BE11" s="363"/>
      <c r="BF11" s="363"/>
      <c r="BG11" s="363"/>
      <c r="BH11" s="363"/>
      <c r="BI11" s="363"/>
    </row>
    <row r="12" spans="1:61" ht="15" customHeight="1" x14ac:dyDescent="0.25">
      <c r="A12" s="363"/>
      <c r="B12" s="868"/>
      <c r="C12" s="866"/>
      <c r="D12" s="870"/>
      <c r="E12" s="874"/>
      <c r="F12" s="866"/>
      <c r="G12" s="866"/>
      <c r="H12" s="866"/>
      <c r="I12" s="870"/>
      <c r="J12" s="370" t="str">
        <f>IF(AND('[3]Mapa de procesos'!$AC$40="Muy Alta",'[3]Mapa de procesos'!$AE$40="Leve"),CONCATENATE("R7C",'[3]Mapa de procesos'!$S$40),"")</f>
        <v/>
      </c>
      <c r="K12" s="371" t="str">
        <f>IF(AND('[3]Mapa de procesos'!$AC$41="Muy Alta",'[3]Mapa de procesos'!$AE$41="Leve"),CONCATENATE("R7C",'[3]Mapa de procesos'!$S$41),"")</f>
        <v/>
      </c>
      <c r="L12" s="371" t="str">
        <f>IF(AND('[3]Mapa de procesos'!$AC$42="Muy Alta",'[3]Mapa de procesos'!$AE$42="Leve"),CONCATENATE("R7C",'[3]Mapa de procesos'!$S$42),"")</f>
        <v/>
      </c>
      <c r="M12" s="371" t="str">
        <f>IF(AND('[3]Mapa de procesos'!$AC$43="Muy Alta",'[3]Mapa de procesos'!$AE$43="Leve"),CONCATENATE("R7C",'[3]Mapa de procesos'!$S$43),"")</f>
        <v/>
      </c>
      <c r="N12" s="371" t="str">
        <f>IF(AND('[3]Mapa de procesos'!$AC$44="Muy Alta",'[3]Mapa de procesos'!$AE$44="Leve"),CONCATENATE("R7C",'[3]Mapa de procesos'!$S$44),"")</f>
        <v/>
      </c>
      <c r="O12" s="372" t="str">
        <f>IF(AND('[3]Mapa de procesos'!$AC$45="Muy Alta",'[3]Mapa de procesos'!$AE$45="Leve"),CONCATENATE("R7C",'[3]Mapa de procesos'!$S$45),"")</f>
        <v/>
      </c>
      <c r="P12" s="370" t="str">
        <f>IF(AND('[3]Mapa de procesos'!$AC$40="Muy Alta",'[3]Mapa de procesos'!$AE$40="Menor"),CONCATENATE("R7C",'[3]Mapa de procesos'!$S$40),"")</f>
        <v/>
      </c>
      <c r="Q12" s="371" t="str">
        <f>IF(AND('[3]Mapa de procesos'!$AC$41="Muy Alta",'[3]Mapa de procesos'!$AE$41="Menor"),CONCATENATE("R7C",'[3]Mapa de procesos'!$S$41),"")</f>
        <v/>
      </c>
      <c r="R12" s="371" t="str">
        <f>IF(AND('[3]Mapa de procesos'!$AC$42="Muy Alta",'[3]Mapa de procesos'!$AE$42="Menor"),CONCATENATE("R7C",'[3]Mapa de procesos'!$S$42),"")</f>
        <v/>
      </c>
      <c r="S12" s="371" t="str">
        <f>IF(AND('[3]Mapa de procesos'!$AC$43="Muy Alta",'[3]Mapa de procesos'!$AE$43="Menor"),CONCATENATE("R7C",'[3]Mapa de procesos'!$S$43),"")</f>
        <v/>
      </c>
      <c r="T12" s="371" t="str">
        <f>IF(AND('[3]Mapa de procesos'!$AC$44="Muy Alta",'[3]Mapa de procesos'!$AE$44="Menor"),CONCATENATE("R7C",'[3]Mapa de procesos'!$S$44),"")</f>
        <v/>
      </c>
      <c r="U12" s="372" t="str">
        <f>IF(AND('[3]Mapa de procesos'!$AC$45="Muy Alta",'[3]Mapa de procesos'!$AE$45="Menor"),CONCATENATE("R7C",'[3]Mapa de procesos'!$S$45),"")</f>
        <v/>
      </c>
      <c r="V12" s="370" t="str">
        <f>IF(AND('[3]Mapa de procesos'!$AC$40="Muy Alta",'[3]Mapa de procesos'!$AE$40="Moderado"),CONCATENATE("R7C",'[3]Mapa de procesos'!$S$40),"")</f>
        <v/>
      </c>
      <c r="W12" s="371" t="str">
        <f>IF(AND('[3]Mapa de procesos'!$AC$41="Muy Alta",'[3]Mapa de procesos'!$AE$41="Moderado"),CONCATENATE("R7C",'[3]Mapa de procesos'!$S$41),"")</f>
        <v/>
      </c>
      <c r="X12" s="371" t="str">
        <f>IF(AND('[3]Mapa de procesos'!$AC$42="Muy Alta",'[3]Mapa de procesos'!$AE$42="Moderado"),CONCATENATE("R7C",'[3]Mapa de procesos'!$S$42),"")</f>
        <v/>
      </c>
      <c r="Y12" s="371" t="str">
        <f>IF(AND('[3]Mapa de procesos'!$AC$43="Muy Alta",'[3]Mapa de procesos'!$AE$43="Moderado"),CONCATENATE("R7C",'[3]Mapa de procesos'!$S$43),"")</f>
        <v/>
      </c>
      <c r="Z12" s="371" t="str">
        <f>IF(AND('[3]Mapa de procesos'!$AC$44="Muy Alta",'[3]Mapa de procesos'!$AE$44="Moderado"),CONCATENATE("R7C",'[3]Mapa de procesos'!$S$44),"")</f>
        <v/>
      </c>
      <c r="AA12" s="372" t="str">
        <f>IF(AND('[3]Mapa de procesos'!$AC$45="Muy Alta",'[3]Mapa de procesos'!$AE$45="Moderado"),CONCATENATE("R7C",'[3]Mapa de procesos'!$S$45),"")</f>
        <v/>
      </c>
      <c r="AB12" s="370" t="str">
        <f>IF(AND('[3]Mapa de procesos'!$AC$40="Muy Alta",'[3]Mapa de procesos'!$AE$40="Mayor"),CONCATENATE("R7C",'[3]Mapa de procesos'!$S$40),"")</f>
        <v/>
      </c>
      <c r="AC12" s="371" t="str">
        <f>IF(AND('[3]Mapa de procesos'!$AC$41="Muy Alta",'[3]Mapa de procesos'!$AE$41="Mayor"),CONCATENATE("R7C",'[3]Mapa de procesos'!$S$41),"")</f>
        <v/>
      </c>
      <c r="AD12" s="371" t="str">
        <f>IF(AND('[3]Mapa de procesos'!$AC$42="Muy Alta",'[3]Mapa de procesos'!$AE$42="Mayor"),CONCATENATE("R7C",'[3]Mapa de procesos'!$S$42),"")</f>
        <v/>
      </c>
      <c r="AE12" s="371" t="str">
        <f>IF(AND('[3]Mapa de procesos'!$AC$43="Muy Alta",'[3]Mapa de procesos'!$AE$43="Mayor"),CONCATENATE("R7C",'[3]Mapa de procesos'!$S$43),"")</f>
        <v/>
      </c>
      <c r="AF12" s="371" t="str">
        <f>IF(AND('[3]Mapa de procesos'!$AC$44="Muy Alta",'[3]Mapa de procesos'!$AE$44="Mayor"),CONCATENATE("R7C",'[3]Mapa de procesos'!$S$44),"")</f>
        <v/>
      </c>
      <c r="AG12" s="372" t="str">
        <f>IF(AND('[3]Mapa de procesos'!$AC$45="Muy Alta",'[3]Mapa de procesos'!$AE$45="Mayor"),CONCATENATE("R7C",'[3]Mapa de procesos'!$S$45),"")</f>
        <v/>
      </c>
      <c r="AH12" s="373" t="str">
        <f>IF(AND('[3]Mapa de procesos'!$AC$40="Muy Alta",'[3]Mapa de procesos'!$AE$40="Catastrófico"),CONCATENATE("R7C",'[3]Mapa de procesos'!$S$40),"")</f>
        <v/>
      </c>
      <c r="AI12" s="374" t="str">
        <f>IF(AND('[3]Mapa de procesos'!$AC$41="Muy Alta",'[3]Mapa de procesos'!$AE$41="Catastrófico"),CONCATENATE("R7C",'[3]Mapa de procesos'!$S$41),"")</f>
        <v/>
      </c>
      <c r="AJ12" s="374" t="str">
        <f>IF(AND('[3]Mapa de procesos'!$AC$42="Muy Alta",'[3]Mapa de procesos'!$AE$42="Catastrófico"),CONCATENATE("R7C",'[3]Mapa de procesos'!$S$42),"")</f>
        <v/>
      </c>
      <c r="AK12" s="374" t="str">
        <f>IF(AND('[3]Mapa de procesos'!$AC$43="Muy Alta",'[3]Mapa de procesos'!$AE$43="Catastrófico"),CONCATENATE("R7C",'[3]Mapa de procesos'!$S$43),"")</f>
        <v/>
      </c>
      <c r="AL12" s="374" t="str">
        <f>IF(AND('[3]Mapa de procesos'!$AC$44="Muy Alta",'[3]Mapa de procesos'!$AE$44="Catastrófico"),CONCATENATE("R7C",'[3]Mapa de procesos'!$S$44),"")</f>
        <v/>
      </c>
      <c r="AM12" s="375" t="str">
        <f>IF(AND('[3]Mapa de procesos'!$AC$45="Muy Alta",'[3]Mapa de procesos'!$AE$45="Catastrófico"),CONCATENATE("R7C",'[3]Mapa de procesos'!$S$45),"")</f>
        <v/>
      </c>
      <c r="AN12" s="363"/>
      <c r="AO12" s="881"/>
      <c r="AP12" s="866"/>
      <c r="AQ12" s="866"/>
      <c r="AR12" s="866"/>
      <c r="AS12" s="866"/>
      <c r="AT12" s="882"/>
      <c r="AU12" s="363"/>
      <c r="AV12" s="363"/>
      <c r="AW12" s="363"/>
      <c r="AX12" s="363"/>
      <c r="AY12" s="363"/>
      <c r="AZ12" s="363"/>
      <c r="BA12" s="363"/>
      <c r="BB12" s="363"/>
      <c r="BC12" s="363"/>
      <c r="BD12" s="363"/>
      <c r="BE12" s="363"/>
      <c r="BF12" s="363"/>
      <c r="BG12" s="363"/>
      <c r="BH12" s="363"/>
      <c r="BI12" s="363"/>
    </row>
    <row r="13" spans="1:61" ht="15" customHeight="1" x14ac:dyDescent="0.25">
      <c r="A13" s="363"/>
      <c r="B13" s="868"/>
      <c r="C13" s="866"/>
      <c r="D13" s="870"/>
      <c r="E13" s="874"/>
      <c r="F13" s="866"/>
      <c r="G13" s="866"/>
      <c r="H13" s="866"/>
      <c r="I13" s="870"/>
      <c r="J13" s="370" t="str">
        <f>IF(AND('[3]Mapa de procesos'!$AC$46="Muy Alta",'[3]Mapa de procesos'!$AE$46="Leve"),CONCATENATE("R8C",'[3]Mapa de procesos'!$S$46),"")</f>
        <v/>
      </c>
      <c r="K13" s="371" t="str">
        <f>IF(AND('[3]Mapa de procesos'!$AC$47="Muy Alta",'[3]Mapa de procesos'!$AE$47="Leve"),CONCATENATE("R8C",'[3]Mapa de procesos'!$S$47),"")</f>
        <v/>
      </c>
      <c r="L13" s="371" t="str">
        <f>IF(AND('[3]Mapa de procesos'!$AC$48="Muy Alta",'[3]Mapa de procesos'!$AE$48="Leve"),CONCATENATE("R8C",'[3]Mapa de procesos'!$S$48),"")</f>
        <v/>
      </c>
      <c r="M13" s="371" t="str">
        <f>IF(AND('[3]Mapa de procesos'!$AC$49="Muy Alta",'[3]Mapa de procesos'!$AE$49="Leve"),CONCATENATE("R8C",'[3]Mapa de procesos'!$S$49),"")</f>
        <v/>
      </c>
      <c r="N13" s="371" t="str">
        <f>IF(AND('[3]Mapa de procesos'!$AC$50="Muy Alta",'[3]Mapa de procesos'!$AE$50="Leve"),CONCATENATE("R8C",'[3]Mapa de procesos'!$S$50),"")</f>
        <v/>
      </c>
      <c r="O13" s="372" t="str">
        <f>IF(AND('[3]Mapa de procesos'!$AC$51="Muy Alta",'[3]Mapa de procesos'!$AE$51="Leve"),CONCATENATE("R8C",'[3]Mapa de procesos'!$S$51),"")</f>
        <v/>
      </c>
      <c r="P13" s="370" t="str">
        <f>IF(AND('[3]Mapa de procesos'!$AC$46="Muy Alta",'[3]Mapa de procesos'!$AE$46="Menor"),CONCATENATE("R8C",'[3]Mapa de procesos'!$S$46),"")</f>
        <v/>
      </c>
      <c r="Q13" s="371" t="str">
        <f>IF(AND('[3]Mapa de procesos'!$AC$47="Muy Alta",'[3]Mapa de procesos'!$AE$47="Menor"),CONCATENATE("R8C",'[3]Mapa de procesos'!$S$47),"")</f>
        <v/>
      </c>
      <c r="R13" s="371" t="str">
        <f>IF(AND('[3]Mapa de procesos'!$AC$48="Muy Alta",'[3]Mapa de procesos'!$AE$48="Menor"),CONCATENATE("R8C",'[3]Mapa de procesos'!$S$48),"")</f>
        <v/>
      </c>
      <c r="S13" s="371" t="str">
        <f>IF(AND('[3]Mapa de procesos'!$AC$49="Muy Alta",'[3]Mapa de procesos'!$AE$49="Menor"),CONCATENATE("R8C",'[3]Mapa de procesos'!$S$49),"")</f>
        <v/>
      </c>
      <c r="T13" s="371" t="str">
        <f>IF(AND('[3]Mapa de procesos'!$AC$50="Muy Alta",'[3]Mapa de procesos'!$AE$50="Menor"),CONCATENATE("R8C",'[3]Mapa de procesos'!$S$50),"")</f>
        <v/>
      </c>
      <c r="U13" s="372" t="str">
        <f>IF(AND('[3]Mapa de procesos'!$AC$51="Muy Alta",'[3]Mapa de procesos'!$AE$51="Menor"),CONCATENATE("R8C",'[3]Mapa de procesos'!$S$51),"")</f>
        <v/>
      </c>
      <c r="V13" s="370" t="str">
        <f>IF(AND('[3]Mapa de procesos'!$AC$46="Muy Alta",'[3]Mapa de procesos'!$AE$46="Moderado"),CONCATENATE("R8C",'[3]Mapa de procesos'!$S$46),"")</f>
        <v/>
      </c>
      <c r="W13" s="371" t="str">
        <f>IF(AND('[3]Mapa de procesos'!$AC$47="Muy Alta",'[3]Mapa de procesos'!$AE$47="Moderado"),CONCATENATE("R8C",'[3]Mapa de procesos'!$S$47),"")</f>
        <v/>
      </c>
      <c r="X13" s="371" t="str">
        <f>IF(AND('[3]Mapa de procesos'!$AC$48="Muy Alta",'[3]Mapa de procesos'!$AE$48="Moderado"),CONCATENATE("R8C",'[3]Mapa de procesos'!$S$48),"")</f>
        <v/>
      </c>
      <c r="Y13" s="371" t="str">
        <f>IF(AND('[3]Mapa de procesos'!$AC$49="Muy Alta",'[3]Mapa de procesos'!$AE$49="Moderado"),CONCATENATE("R8C",'[3]Mapa de procesos'!$S$49),"")</f>
        <v/>
      </c>
      <c r="Z13" s="371" t="str">
        <f>IF(AND('[3]Mapa de procesos'!$AC$50="Muy Alta",'[3]Mapa de procesos'!$AE$50="Moderado"),CONCATENATE("R8C",'[3]Mapa de procesos'!$S$50),"")</f>
        <v/>
      </c>
      <c r="AA13" s="372" t="str">
        <f>IF(AND('[3]Mapa de procesos'!$AC$51="Muy Alta",'[3]Mapa de procesos'!$AE$51="Moderado"),CONCATENATE("R8C",'[3]Mapa de procesos'!$S$51),"")</f>
        <v/>
      </c>
      <c r="AB13" s="370" t="str">
        <f>IF(AND('[3]Mapa de procesos'!$AC$46="Muy Alta",'[3]Mapa de procesos'!$AE$46="Mayor"),CONCATENATE("R8C",'[3]Mapa de procesos'!$S$46),"")</f>
        <v/>
      </c>
      <c r="AC13" s="371" t="str">
        <f>IF(AND('[3]Mapa de procesos'!$AC$47="Muy Alta",'[3]Mapa de procesos'!$AE$47="Mayor"),CONCATENATE("R8C",'[3]Mapa de procesos'!$S$47),"")</f>
        <v/>
      </c>
      <c r="AD13" s="371" t="str">
        <f>IF(AND('[3]Mapa de procesos'!$AC$48="Muy Alta",'[3]Mapa de procesos'!$AE$48="Mayor"),CONCATENATE("R8C",'[3]Mapa de procesos'!$S$48),"")</f>
        <v/>
      </c>
      <c r="AE13" s="371" t="str">
        <f>IF(AND('[3]Mapa de procesos'!$AC$49="Muy Alta",'[3]Mapa de procesos'!$AE$49="Mayor"),CONCATENATE("R8C",'[3]Mapa de procesos'!$S$49),"")</f>
        <v/>
      </c>
      <c r="AF13" s="371" t="str">
        <f>IF(AND('[3]Mapa de procesos'!$AC$50="Muy Alta",'[3]Mapa de procesos'!$AE$50="Mayor"),CONCATENATE("R8C",'[3]Mapa de procesos'!$S$50),"")</f>
        <v/>
      </c>
      <c r="AG13" s="372" t="str">
        <f>IF(AND('[3]Mapa de procesos'!$AC$51="Muy Alta",'[3]Mapa de procesos'!$AE$51="Mayor"),CONCATENATE("R8C",'[3]Mapa de procesos'!$S$51),"")</f>
        <v/>
      </c>
      <c r="AH13" s="373" t="str">
        <f>IF(AND('[3]Mapa de procesos'!$AC$46="Muy Alta",'[3]Mapa de procesos'!$AE$46="Catastrófico"),CONCATENATE("R8C",'[3]Mapa de procesos'!$S$46),"")</f>
        <v/>
      </c>
      <c r="AI13" s="374" t="str">
        <f>IF(AND('[3]Mapa de procesos'!$AC$47="Muy Alta",'[3]Mapa de procesos'!$AE$47="Catastrófico"),CONCATENATE("R8C",'[3]Mapa de procesos'!$S$47),"")</f>
        <v/>
      </c>
      <c r="AJ13" s="374" t="str">
        <f>IF(AND('[3]Mapa de procesos'!$AC$48="Muy Alta",'[3]Mapa de procesos'!$AE$48="Catastrófico"),CONCATENATE("R8C",'[3]Mapa de procesos'!$S$48),"")</f>
        <v/>
      </c>
      <c r="AK13" s="374" t="str">
        <f>IF(AND('[3]Mapa de procesos'!$AC$49="Muy Alta",'[3]Mapa de procesos'!$AE$49="Catastrófico"),CONCATENATE("R8C",'[3]Mapa de procesos'!$S$49),"")</f>
        <v/>
      </c>
      <c r="AL13" s="374" t="str">
        <f>IF(AND('[3]Mapa de procesos'!$AC$50="Muy Alta",'[3]Mapa de procesos'!$AE$50="Catastrófico"),CONCATENATE("R8C",'[3]Mapa de procesos'!$S$50),"")</f>
        <v/>
      </c>
      <c r="AM13" s="375" t="str">
        <f>IF(AND('[3]Mapa de procesos'!$AC$51="Muy Alta",'[3]Mapa de procesos'!$AE$51="Catastrófico"),CONCATENATE("R8C",'[3]Mapa de procesos'!$S$51),"")</f>
        <v/>
      </c>
      <c r="AN13" s="363"/>
      <c r="AO13" s="881"/>
      <c r="AP13" s="866"/>
      <c r="AQ13" s="866"/>
      <c r="AR13" s="866"/>
      <c r="AS13" s="866"/>
      <c r="AT13" s="882"/>
      <c r="AU13" s="363"/>
      <c r="AV13" s="363"/>
      <c r="AW13" s="363"/>
      <c r="AX13" s="363"/>
      <c r="AY13" s="363"/>
      <c r="AZ13" s="363"/>
      <c r="BA13" s="363"/>
      <c r="BB13" s="363"/>
      <c r="BC13" s="363"/>
      <c r="BD13" s="363"/>
      <c r="BE13" s="363"/>
      <c r="BF13" s="363"/>
      <c r="BG13" s="363"/>
      <c r="BH13" s="363"/>
      <c r="BI13" s="363"/>
    </row>
    <row r="14" spans="1:61" ht="15" customHeight="1" x14ac:dyDescent="0.25">
      <c r="A14" s="363"/>
      <c r="B14" s="868"/>
      <c r="C14" s="866"/>
      <c r="D14" s="870"/>
      <c r="E14" s="874"/>
      <c r="F14" s="866"/>
      <c r="G14" s="866"/>
      <c r="H14" s="866"/>
      <c r="I14" s="870"/>
      <c r="J14" s="370" t="str">
        <f>IF(AND('[3]Mapa de procesos'!$AC$52="Muy Alta",'[3]Mapa de procesos'!$AE$52="Leve"),CONCATENATE("R9C",'[3]Mapa de procesos'!$S$52),"")</f>
        <v/>
      </c>
      <c r="K14" s="371" t="str">
        <f>IF(AND('[3]Mapa de procesos'!$AC$53="Muy Alta",'[3]Mapa de procesos'!$AE$53="Leve"),CONCATENATE("R9C",'[3]Mapa de procesos'!$S$53),"")</f>
        <v/>
      </c>
      <c r="L14" s="371" t="str">
        <f>IF(AND('[3]Mapa de procesos'!$AC$54="Muy Alta",'[3]Mapa de procesos'!$AE$54="Leve"),CONCATENATE("R9C",'[3]Mapa de procesos'!$S$54),"")</f>
        <v/>
      </c>
      <c r="M14" s="371" t="str">
        <f>IF(AND('[3]Mapa de procesos'!$AC$55="Muy Alta",'[3]Mapa de procesos'!$AE$55="Leve"),CONCATENATE("R9C",'[3]Mapa de procesos'!$S$55),"")</f>
        <v/>
      </c>
      <c r="N14" s="371" t="str">
        <f>IF(AND('[3]Mapa de procesos'!$AC$56="Muy Alta",'[3]Mapa de procesos'!$AE$56="Leve"),CONCATENATE("R9C",'[3]Mapa de procesos'!$S$56),"")</f>
        <v/>
      </c>
      <c r="O14" s="372" t="str">
        <f>IF(AND('[3]Mapa de procesos'!$AC$57="Muy Alta",'[3]Mapa de procesos'!$AE$57="Leve"),CONCATENATE("R9C",'[3]Mapa de procesos'!$S$57),"")</f>
        <v/>
      </c>
      <c r="P14" s="370" t="str">
        <f>IF(AND('[3]Mapa de procesos'!$AC$52="Muy Alta",'[3]Mapa de procesos'!$AE$52="Menor"),CONCATENATE("R9C",'[3]Mapa de procesos'!$S$52),"")</f>
        <v/>
      </c>
      <c r="Q14" s="371" t="str">
        <f>IF(AND('[3]Mapa de procesos'!$AC$53="Muy Alta",'[3]Mapa de procesos'!$AE$53="Menor"),CONCATENATE("R9C",'[3]Mapa de procesos'!$S$53),"")</f>
        <v/>
      </c>
      <c r="R14" s="371" t="str">
        <f>IF(AND('[3]Mapa de procesos'!$AC$54="Muy Alta",'[3]Mapa de procesos'!$AE$54="Menor"),CONCATENATE("R9C",'[3]Mapa de procesos'!$S$54),"")</f>
        <v/>
      </c>
      <c r="S14" s="371" t="str">
        <f>IF(AND('[3]Mapa de procesos'!$AC$55="Muy Alta",'[3]Mapa de procesos'!$AE$55="Menor"),CONCATENATE("R9C",'[3]Mapa de procesos'!$S$55),"")</f>
        <v/>
      </c>
      <c r="T14" s="371" t="str">
        <f>IF(AND('[3]Mapa de procesos'!$AC$56="Muy Alta",'[3]Mapa de procesos'!$AE$56="Menor"),CONCATENATE("R9C",'[3]Mapa de procesos'!$S$56),"")</f>
        <v/>
      </c>
      <c r="U14" s="372" t="str">
        <f>IF(AND('[3]Mapa de procesos'!$AC$57="Muy Alta",'[3]Mapa de procesos'!$AE$57="Menor"),CONCATENATE("R9C",'[3]Mapa de procesos'!$S$57),"")</f>
        <v/>
      </c>
      <c r="V14" s="370" t="str">
        <f>IF(AND('[3]Mapa de procesos'!$AC$52="Muy Alta",'[3]Mapa de procesos'!$AE$52="Moderado"),CONCATENATE("R9C",'[3]Mapa de procesos'!$S$52),"")</f>
        <v/>
      </c>
      <c r="W14" s="371" t="str">
        <f>IF(AND('[3]Mapa de procesos'!$AC$53="Muy Alta",'[3]Mapa de procesos'!$AE$53="Moderado"),CONCATENATE("R9C",'[3]Mapa de procesos'!$S$53),"")</f>
        <v/>
      </c>
      <c r="X14" s="371" t="str">
        <f>IF(AND('[3]Mapa de procesos'!$AC$54="Muy Alta",'[3]Mapa de procesos'!$AE$54="Moderado"),CONCATENATE("R9C",'[3]Mapa de procesos'!$S$54),"")</f>
        <v/>
      </c>
      <c r="Y14" s="371" t="str">
        <f>IF(AND('[3]Mapa de procesos'!$AC$55="Muy Alta",'[3]Mapa de procesos'!$AE$55="Moderado"),CONCATENATE("R9C",'[3]Mapa de procesos'!$S$55),"")</f>
        <v/>
      </c>
      <c r="Z14" s="371" t="str">
        <f>IF(AND('[3]Mapa de procesos'!$AC$56="Muy Alta",'[3]Mapa de procesos'!$AE$56="Moderado"),CONCATENATE("R9C",'[3]Mapa de procesos'!$S$56),"")</f>
        <v/>
      </c>
      <c r="AA14" s="372" t="str">
        <f>IF(AND('[3]Mapa de procesos'!$AC$57="Muy Alta",'[3]Mapa de procesos'!$AE$57="Moderado"),CONCATENATE("R9C",'[3]Mapa de procesos'!$S$57),"")</f>
        <v/>
      </c>
      <c r="AB14" s="370" t="str">
        <f>IF(AND('[3]Mapa de procesos'!$AC$52="Muy Alta",'[3]Mapa de procesos'!$AE$52="Mayor"),CONCATENATE("R9C",'[3]Mapa de procesos'!$S$52),"")</f>
        <v/>
      </c>
      <c r="AC14" s="371" t="str">
        <f>IF(AND('[3]Mapa de procesos'!$AC$53="Muy Alta",'[3]Mapa de procesos'!$AE$53="Mayor"),CONCATENATE("R9C",'[3]Mapa de procesos'!$S$53),"")</f>
        <v/>
      </c>
      <c r="AD14" s="371" t="str">
        <f>IF(AND('[3]Mapa de procesos'!$AC$54="Muy Alta",'[3]Mapa de procesos'!$AE$54="Mayor"),CONCATENATE("R9C",'[3]Mapa de procesos'!$S$54),"")</f>
        <v/>
      </c>
      <c r="AE14" s="371" t="str">
        <f>IF(AND('[3]Mapa de procesos'!$AC$55="Muy Alta",'[3]Mapa de procesos'!$AE$55="Mayor"),CONCATENATE("R9C",'[3]Mapa de procesos'!$S$55),"")</f>
        <v/>
      </c>
      <c r="AF14" s="371" t="str">
        <f>IF(AND('[3]Mapa de procesos'!$AC$56="Muy Alta",'[3]Mapa de procesos'!$AE$56="Mayor"),CONCATENATE("R9C",'[3]Mapa de procesos'!$S$56),"")</f>
        <v/>
      </c>
      <c r="AG14" s="372" t="str">
        <f>IF(AND('[3]Mapa de procesos'!$AC$57="Muy Alta",'[3]Mapa de procesos'!$AE$57="Mayor"),CONCATENATE("R9C",'[3]Mapa de procesos'!$S$57),"")</f>
        <v/>
      </c>
      <c r="AH14" s="373" t="str">
        <f>IF(AND('[3]Mapa de procesos'!$AC$52="Muy Alta",'[3]Mapa de procesos'!$AE$52="Catastrófico"),CONCATENATE("R9C",'[3]Mapa de procesos'!$S$52),"")</f>
        <v/>
      </c>
      <c r="AI14" s="374" t="str">
        <f>IF(AND('[3]Mapa de procesos'!$AC$53="Muy Alta",'[3]Mapa de procesos'!$AE$53="Catastrófico"),CONCATENATE("R9C",'[3]Mapa de procesos'!$S$53),"")</f>
        <v/>
      </c>
      <c r="AJ14" s="374" t="str">
        <f>IF(AND('[3]Mapa de procesos'!$AC$54="Muy Alta",'[3]Mapa de procesos'!$AE$54="Catastrófico"),CONCATENATE("R9C",'[3]Mapa de procesos'!$S$54),"")</f>
        <v/>
      </c>
      <c r="AK14" s="374" t="str">
        <f>IF(AND('[3]Mapa de procesos'!$AC$55="Muy Alta",'[3]Mapa de procesos'!$AE$55="Catastrófico"),CONCATENATE("R9C",'[3]Mapa de procesos'!$S$55),"")</f>
        <v/>
      </c>
      <c r="AL14" s="374" t="str">
        <f>IF(AND('[3]Mapa de procesos'!$AC$56="Muy Alta",'[3]Mapa de procesos'!$AE$56="Catastrófico"),CONCATENATE("R9C",'[3]Mapa de procesos'!$S$56),"")</f>
        <v/>
      </c>
      <c r="AM14" s="375" t="str">
        <f>IF(AND('[3]Mapa de procesos'!$AC$57="Muy Alta",'[3]Mapa de procesos'!$AE$57="Catastrófico"),CONCATENATE("R9C",'[3]Mapa de procesos'!$S$57),"")</f>
        <v/>
      </c>
      <c r="AN14" s="363"/>
      <c r="AO14" s="881"/>
      <c r="AP14" s="866"/>
      <c r="AQ14" s="866"/>
      <c r="AR14" s="866"/>
      <c r="AS14" s="866"/>
      <c r="AT14" s="882"/>
      <c r="AU14" s="363"/>
      <c r="AV14" s="363"/>
      <c r="AW14" s="363"/>
      <c r="AX14" s="363"/>
      <c r="AY14" s="363"/>
      <c r="AZ14" s="363"/>
      <c r="BA14" s="363"/>
      <c r="BB14" s="363"/>
      <c r="BC14" s="363"/>
      <c r="BD14" s="363"/>
      <c r="BE14" s="363"/>
      <c r="BF14" s="363"/>
      <c r="BG14" s="363"/>
      <c r="BH14" s="363"/>
      <c r="BI14" s="363"/>
    </row>
    <row r="15" spans="1:61" ht="15.75" customHeight="1" thickBot="1" x14ac:dyDescent="0.3">
      <c r="A15" s="363"/>
      <c r="B15" s="868"/>
      <c r="C15" s="866"/>
      <c r="D15" s="870"/>
      <c r="E15" s="875"/>
      <c r="F15" s="876"/>
      <c r="G15" s="876"/>
      <c r="H15" s="876"/>
      <c r="I15" s="877"/>
      <c r="J15" s="376" t="str">
        <f>IF(AND('[3]Mapa de procesos'!$AC$58="Muy Alta",'[3]Mapa de procesos'!$AE$58="Leve"),CONCATENATE("R10C",'[3]Mapa de procesos'!$S$58),"")</f>
        <v/>
      </c>
      <c r="K15" s="377" t="str">
        <f>IF(AND('[3]Mapa de procesos'!$AC$59="Muy Alta",'[3]Mapa de procesos'!$AE$59="Leve"),CONCATENATE("R10C",'[3]Mapa de procesos'!$S$59),"")</f>
        <v/>
      </c>
      <c r="L15" s="377" t="str">
        <f>IF(AND('[3]Mapa de procesos'!$AC$60="Muy Alta",'[3]Mapa de procesos'!$AE$60="Leve"),CONCATENATE("R10C",'[3]Mapa de procesos'!$S$60),"")</f>
        <v/>
      </c>
      <c r="M15" s="377" t="str">
        <f>IF(AND('[3]Mapa de procesos'!$AC$61="Muy Alta",'[3]Mapa de procesos'!$AE$61="Leve"),CONCATENATE("R10C",'[3]Mapa de procesos'!$S$61),"")</f>
        <v/>
      </c>
      <c r="N15" s="377" t="str">
        <f>IF(AND('[3]Mapa de procesos'!$AC$62="Muy Alta",'[3]Mapa de procesos'!$AE$62="Leve"),CONCATENATE("R10C",'[3]Mapa de procesos'!$S$62),"")</f>
        <v/>
      </c>
      <c r="O15" s="378" t="str">
        <f>IF(AND('[3]Mapa de procesos'!$AC$63="Muy Alta",'[3]Mapa de procesos'!$AE$63="Leve"),CONCATENATE("R10C",'[3]Mapa de procesos'!$S$63),"")</f>
        <v/>
      </c>
      <c r="P15" s="370" t="str">
        <f>IF(AND('[3]Mapa de procesos'!$AC$58="Muy Alta",'[3]Mapa de procesos'!$AE$58="Menor"),CONCATENATE("R10C",'[3]Mapa de procesos'!$S$58),"")</f>
        <v/>
      </c>
      <c r="Q15" s="371" t="str">
        <f>IF(AND('[3]Mapa de procesos'!$AC$59="Muy Alta",'[3]Mapa de procesos'!$AE$59="Menor"),CONCATENATE("R10C",'[3]Mapa de procesos'!$S$59),"")</f>
        <v/>
      </c>
      <c r="R15" s="371" t="str">
        <f>IF(AND('[3]Mapa de procesos'!$AC$60="Muy Alta",'[3]Mapa de procesos'!$AE$60="Menor"),CONCATENATE("R10C",'[3]Mapa de procesos'!$S$60),"")</f>
        <v/>
      </c>
      <c r="S15" s="371" t="str">
        <f>IF(AND('[3]Mapa de procesos'!$AC$61="Muy Alta",'[3]Mapa de procesos'!$AE$61="Menor"),CONCATENATE("R10C",'[3]Mapa de procesos'!$S$61),"")</f>
        <v/>
      </c>
      <c r="T15" s="371" t="str">
        <f>IF(AND('[3]Mapa de procesos'!$AC$62="Muy Alta",'[3]Mapa de procesos'!$AE$62="Menor"),CONCATENATE("R10C",'[3]Mapa de procesos'!$S$62),"")</f>
        <v/>
      </c>
      <c r="U15" s="372" t="str">
        <f>IF(AND('[3]Mapa de procesos'!$AC$63="Muy Alta",'[3]Mapa de procesos'!$AE$63="Menor"),CONCATENATE("R10C",'[3]Mapa de procesos'!$S$63),"")</f>
        <v/>
      </c>
      <c r="V15" s="376" t="str">
        <f>IF(AND('[3]Mapa de procesos'!$AC$58="Muy Alta",'[3]Mapa de procesos'!$AE$58="Moderado"),CONCATENATE("R10C",'[3]Mapa de procesos'!$S$58),"")</f>
        <v/>
      </c>
      <c r="W15" s="377" t="str">
        <f>IF(AND('[3]Mapa de procesos'!$AC$59="Muy Alta",'[3]Mapa de procesos'!$AE$59="Moderado"),CONCATENATE("R10C",'[3]Mapa de procesos'!$S$59),"")</f>
        <v/>
      </c>
      <c r="X15" s="377" t="str">
        <f>IF(AND('[3]Mapa de procesos'!$AC$60="Muy Alta",'[3]Mapa de procesos'!$AE$60="Moderado"),CONCATENATE("R10C",'[3]Mapa de procesos'!$S$60),"")</f>
        <v/>
      </c>
      <c r="Y15" s="377" t="str">
        <f>IF(AND('[3]Mapa de procesos'!$AC$61="Muy Alta",'[3]Mapa de procesos'!$AE$61="Moderado"),CONCATENATE("R10C",'[3]Mapa de procesos'!$S$61),"")</f>
        <v/>
      </c>
      <c r="Z15" s="377" t="str">
        <f>IF(AND('[3]Mapa de procesos'!$AC$62="Muy Alta",'[3]Mapa de procesos'!$AE$62="Moderado"),CONCATENATE("R10C",'[3]Mapa de procesos'!$S$62),"")</f>
        <v/>
      </c>
      <c r="AA15" s="378" t="str">
        <f>IF(AND('[3]Mapa de procesos'!$AC$63="Muy Alta",'[3]Mapa de procesos'!$AE$63="Moderado"),CONCATENATE("R10C",'[3]Mapa de procesos'!$S$63),"")</f>
        <v/>
      </c>
      <c r="AB15" s="370" t="str">
        <f>IF(AND('[3]Mapa de procesos'!$AC$58="Muy Alta",'[3]Mapa de procesos'!$AE$58="Mayor"),CONCATENATE("R10C",'[3]Mapa de procesos'!$S$58),"")</f>
        <v/>
      </c>
      <c r="AC15" s="371" t="str">
        <f>IF(AND('[3]Mapa de procesos'!$AC$59="Muy Alta",'[3]Mapa de procesos'!$AE$59="Mayor"),CONCATENATE("R10C",'[3]Mapa de procesos'!$S$59),"")</f>
        <v/>
      </c>
      <c r="AD15" s="371" t="str">
        <f>IF(AND('[3]Mapa de procesos'!$AC$60="Muy Alta",'[3]Mapa de procesos'!$AE$60="Mayor"),CONCATENATE("R10C",'[3]Mapa de procesos'!$S$60),"")</f>
        <v/>
      </c>
      <c r="AE15" s="371" t="str">
        <f>IF(AND('[3]Mapa de procesos'!$AC$61="Muy Alta",'[3]Mapa de procesos'!$AE$61="Mayor"),CONCATENATE("R10C",'[3]Mapa de procesos'!$S$61),"")</f>
        <v/>
      </c>
      <c r="AF15" s="371" t="str">
        <f>IF(AND('[3]Mapa de procesos'!$AC$62="Muy Alta",'[3]Mapa de procesos'!$AE$62="Mayor"),CONCATENATE("R10C",'[3]Mapa de procesos'!$S$62),"")</f>
        <v/>
      </c>
      <c r="AG15" s="372" t="str">
        <f>IF(AND('[3]Mapa de procesos'!$AC$63="Muy Alta",'[3]Mapa de procesos'!$AE$63="Mayor"),CONCATENATE("R10C",'[3]Mapa de procesos'!$S$63),"")</f>
        <v/>
      </c>
      <c r="AH15" s="379" t="str">
        <f>IF(AND('[3]Mapa de procesos'!$AC$58="Muy Alta",'[3]Mapa de procesos'!$AE$58="Catastrófico"),CONCATENATE("R10C",'[3]Mapa de procesos'!$S$58),"")</f>
        <v/>
      </c>
      <c r="AI15" s="380" t="str">
        <f>IF(AND('[3]Mapa de procesos'!$AC$59="Muy Alta",'[3]Mapa de procesos'!$AE$59="Catastrófico"),CONCATENATE("R10C",'[3]Mapa de procesos'!$S$59),"")</f>
        <v/>
      </c>
      <c r="AJ15" s="380" t="str">
        <f>IF(AND('[3]Mapa de procesos'!$AC$60="Muy Alta",'[3]Mapa de procesos'!$AE$60="Catastrófico"),CONCATENATE("R10C",'[3]Mapa de procesos'!$S$60),"")</f>
        <v/>
      </c>
      <c r="AK15" s="380" t="str">
        <f>IF(AND('[3]Mapa de procesos'!$AC$61="Muy Alta",'[3]Mapa de procesos'!$AE$61="Catastrófico"),CONCATENATE("R10C",'[3]Mapa de procesos'!$S$61),"")</f>
        <v/>
      </c>
      <c r="AL15" s="380" t="str">
        <f>IF(AND('[3]Mapa de procesos'!$AC$62="Muy Alta",'[3]Mapa de procesos'!$AE$62="Catastrófico"),CONCATENATE("R10C",'[3]Mapa de procesos'!$S$62),"")</f>
        <v/>
      </c>
      <c r="AM15" s="381" t="str">
        <f>IF(AND('[3]Mapa de procesos'!$AC$63="Muy Alta",'[3]Mapa de procesos'!$AE$63="Catastrófico"),CONCATENATE("R10C",'[3]Mapa de procesos'!$S$63),"")</f>
        <v/>
      </c>
      <c r="AN15" s="363"/>
      <c r="AO15" s="883"/>
      <c r="AP15" s="884"/>
      <c r="AQ15" s="884"/>
      <c r="AR15" s="884"/>
      <c r="AS15" s="884"/>
      <c r="AT15" s="885"/>
      <c r="AU15" s="363"/>
      <c r="AV15" s="363"/>
      <c r="AW15" s="363"/>
      <c r="AX15" s="363"/>
      <c r="AY15" s="363"/>
      <c r="AZ15" s="363"/>
      <c r="BA15" s="363"/>
      <c r="BB15" s="363"/>
      <c r="BC15" s="363"/>
      <c r="BD15" s="363"/>
      <c r="BE15" s="363"/>
      <c r="BF15" s="363"/>
      <c r="BG15" s="363"/>
      <c r="BH15" s="363"/>
      <c r="BI15" s="363"/>
    </row>
    <row r="16" spans="1:61" ht="15" customHeight="1" x14ac:dyDescent="0.25">
      <c r="A16" s="363"/>
      <c r="B16" s="868"/>
      <c r="C16" s="866"/>
      <c r="D16" s="870"/>
      <c r="E16" s="871" t="s">
        <v>5</v>
      </c>
      <c r="F16" s="872"/>
      <c r="G16" s="872"/>
      <c r="H16" s="872"/>
      <c r="I16" s="872"/>
      <c r="J16" s="382" t="str">
        <f>IF(AND('[3]Mapa de procesos'!$AC$4="Alta",'[3]Mapa de procesos'!$AE$4="Leve"),CONCATENATE("R1C",'[3]Mapa de procesos'!$S$4),"")</f>
        <v/>
      </c>
      <c r="K16" s="383" t="str">
        <f>IF(AND('[3]Mapa de procesos'!$AC$5="Alta",'[3]Mapa de procesos'!$AE$5="Leve"),CONCATENATE("R1C",'[3]Mapa de procesos'!$S$5),"")</f>
        <v/>
      </c>
      <c r="L16" s="383" t="str">
        <f>IF(AND('[3]Mapa de procesos'!$AC$6="Alta",'[3]Mapa de procesos'!$AE$6="Leve"),CONCATENATE("R1C",'[3]Mapa de procesos'!$S$6),"")</f>
        <v/>
      </c>
      <c r="M16" s="383" t="str">
        <f>IF(AND('[3]Mapa de procesos'!$AC$7="Alta",'[3]Mapa de procesos'!$AE$7="Leve"),CONCATENATE("R1C",'[3]Mapa de procesos'!$S$7),"")</f>
        <v/>
      </c>
      <c r="N16" s="383" t="str">
        <f>IF(AND('[3]Mapa de procesos'!$AC$8="Alta",'[3]Mapa de procesos'!$AE$8="Leve"),CONCATENATE("R1C",'[3]Mapa de procesos'!$S$8),"")</f>
        <v/>
      </c>
      <c r="O16" s="384" t="str">
        <f>IF(AND('[3]Mapa de procesos'!$AC$9="Alta",'[3]Mapa de procesos'!$AE$9="Leve"),CONCATENATE("R1C",'[3]Mapa de procesos'!$S$9),"")</f>
        <v/>
      </c>
      <c r="P16" s="382" t="str">
        <f>IF(AND('[3]Mapa de procesos'!$AC$4="Alta",'[3]Mapa de procesos'!$AE$4="Menor"),CONCATENATE("R1C",'[3]Mapa de procesos'!$S$4),"")</f>
        <v/>
      </c>
      <c r="Q16" s="383" t="str">
        <f>IF(AND('[3]Mapa de procesos'!$AC$5="Alta",'[3]Mapa de procesos'!$AE$5="Menor"),CONCATENATE("R1C",'[3]Mapa de procesos'!$S$5),"")</f>
        <v/>
      </c>
      <c r="R16" s="383" t="str">
        <f>IF(AND('[3]Mapa de procesos'!$AC$6="Alta",'[3]Mapa de procesos'!$AE$6="Menor"),CONCATENATE("R1C",'[3]Mapa de procesos'!$S$6),"")</f>
        <v/>
      </c>
      <c r="S16" s="383" t="str">
        <f>IF(AND('[3]Mapa de procesos'!$AC$7="Alta",'[3]Mapa de procesos'!$AE$7="Menor"),CONCATENATE("R1C",'[3]Mapa de procesos'!$S$7),"")</f>
        <v/>
      </c>
      <c r="T16" s="383" t="str">
        <f>IF(AND('[3]Mapa de procesos'!$AC$8="Alta",'[3]Mapa de procesos'!$AE$8="Menor"),CONCATENATE("R1C",'[3]Mapa de procesos'!$S$8),"")</f>
        <v/>
      </c>
      <c r="U16" s="384" t="str">
        <f>IF(AND('[3]Mapa de procesos'!$AC$9="Alta",'[3]Mapa de procesos'!$AE$9="Menor"),CONCATENATE("R1C",'[3]Mapa de procesos'!$S$9),"")</f>
        <v/>
      </c>
      <c r="V16" s="364" t="str">
        <f>IF(AND('[3]Mapa de procesos'!$AC$4="Alta",'[3]Mapa de procesos'!$AE$4="Moderado"),CONCATENATE("R1C",'[3]Mapa de procesos'!$S$4),"")</f>
        <v/>
      </c>
      <c r="W16" s="365" t="str">
        <f>IF(AND('[3]Mapa de procesos'!$AC$5="Alta",'[3]Mapa de procesos'!$AE$5="Moderado"),CONCATENATE("R1C",'[3]Mapa de procesos'!$S$5),"")</f>
        <v/>
      </c>
      <c r="X16" s="365" t="str">
        <f>IF(AND('[3]Mapa de procesos'!$AC$6="Alta",'[3]Mapa de procesos'!$AE$6="Moderado"),CONCATENATE("R1C",'[3]Mapa de procesos'!$S$6),"")</f>
        <v/>
      </c>
      <c r="Y16" s="365" t="str">
        <f>IF(AND('[3]Mapa de procesos'!$AC$7="Alta",'[3]Mapa de procesos'!$AE$7="Moderado"),CONCATENATE("R1C",'[3]Mapa de procesos'!$S$7),"")</f>
        <v/>
      </c>
      <c r="Z16" s="365" t="str">
        <f>IF(AND('[3]Mapa de procesos'!$AC$8="Alta",'[3]Mapa de procesos'!$AE$8="Moderado"),CONCATENATE("R1C",'[3]Mapa de procesos'!$S$8),"")</f>
        <v/>
      </c>
      <c r="AA16" s="366" t="str">
        <f>IF(AND('[3]Mapa de procesos'!$AC$9="Alta",'[3]Mapa de procesos'!$AE$9="Moderado"),CONCATENATE("R1C",'[3]Mapa de procesos'!$S$9),"")</f>
        <v/>
      </c>
      <c r="AB16" s="364" t="str">
        <f>IF(AND('[3]Mapa de procesos'!$AC$4="Alta",'[3]Mapa de procesos'!$AE$4="Mayor"),CONCATENATE("R1C",'[3]Mapa de procesos'!$S$4),"")</f>
        <v/>
      </c>
      <c r="AC16" s="365" t="str">
        <f>IF(AND('[3]Mapa de procesos'!$AC$5="Alta",'[3]Mapa de procesos'!$AE$5="Mayor"),CONCATENATE("R1C",'[3]Mapa de procesos'!$S$5),"")</f>
        <v/>
      </c>
      <c r="AD16" s="365" t="str">
        <f>IF(AND('[3]Mapa de procesos'!$AC$6="Alta",'[3]Mapa de procesos'!$AE$6="Mayor"),CONCATENATE("R1C",'[3]Mapa de procesos'!$S$6),"")</f>
        <v/>
      </c>
      <c r="AE16" s="365" t="str">
        <f>IF(AND('[3]Mapa de procesos'!$AC$7="Alta",'[3]Mapa de procesos'!$AE$7="Mayor"),CONCATENATE("R1C",'[3]Mapa de procesos'!$S$7),"")</f>
        <v/>
      </c>
      <c r="AF16" s="365" t="str">
        <f>IF(AND('[3]Mapa de procesos'!$AC$8="Alta",'[3]Mapa de procesos'!$AE$8="Mayor"),CONCATENATE("R1C",'[3]Mapa de procesos'!$S$8),"")</f>
        <v/>
      </c>
      <c r="AG16" s="366" t="str">
        <f>IF(AND('[3]Mapa de procesos'!$AC$9="Alta",'[3]Mapa de procesos'!$AE$9="Mayor"),CONCATENATE("R1C",'[3]Mapa de procesos'!$S$9),"")</f>
        <v/>
      </c>
      <c r="AH16" s="367" t="str">
        <f>IF(AND('[3]Mapa de procesos'!$AC$4="Alta",'[3]Mapa de procesos'!$AE$4="Catastrófico"),CONCATENATE("R1C",'[3]Mapa de procesos'!$S$4),"")</f>
        <v/>
      </c>
      <c r="AI16" s="368" t="str">
        <f>IF(AND('[3]Mapa de procesos'!$AC$5="Alta",'[3]Mapa de procesos'!$AE$5="Catastrófico"),CONCATENATE("R1C",'[3]Mapa de procesos'!$S$5),"")</f>
        <v/>
      </c>
      <c r="AJ16" s="368" t="str">
        <f>IF(AND('[3]Mapa de procesos'!$AC$6="Alta",'[3]Mapa de procesos'!$AE$6="Catastrófico"),CONCATENATE("R1C",'[3]Mapa de procesos'!$S$6),"")</f>
        <v/>
      </c>
      <c r="AK16" s="368" t="str">
        <f>IF(AND('[3]Mapa de procesos'!$AC$7="Alta",'[3]Mapa de procesos'!$AE$7="Catastrófico"),CONCATENATE("R1C",'[3]Mapa de procesos'!$S$7),"")</f>
        <v/>
      </c>
      <c r="AL16" s="368" t="str">
        <f>IF(AND('[3]Mapa de procesos'!$AC$8="Alta",'[3]Mapa de procesos'!$AE$8="Catastrófico"),CONCATENATE("R1C",'[3]Mapa de procesos'!$S$8),"")</f>
        <v/>
      </c>
      <c r="AM16" s="369" t="str">
        <f>IF(AND('[3]Mapa de procesos'!$AC$9="Alta",'[3]Mapa de procesos'!$AE$9="Catastrófico"),CONCATENATE("R1C",'[3]Mapa de procesos'!$S$9),"")</f>
        <v/>
      </c>
      <c r="AN16" s="363"/>
      <c r="AO16" s="886" t="s">
        <v>6</v>
      </c>
      <c r="AP16" s="879"/>
      <c r="AQ16" s="879"/>
      <c r="AR16" s="879"/>
      <c r="AS16" s="879"/>
      <c r="AT16" s="880"/>
      <c r="AU16" s="363"/>
      <c r="AV16" s="363"/>
      <c r="AW16" s="363"/>
      <c r="AX16" s="363"/>
      <c r="AY16" s="363"/>
      <c r="AZ16" s="363"/>
      <c r="BA16" s="363"/>
      <c r="BB16" s="363"/>
      <c r="BC16" s="363"/>
      <c r="BD16" s="363"/>
      <c r="BE16" s="363"/>
      <c r="BF16" s="363"/>
      <c r="BG16" s="363"/>
      <c r="BH16" s="363"/>
      <c r="BI16" s="363"/>
    </row>
    <row r="17" spans="1:61" ht="15" customHeight="1" x14ac:dyDescent="0.25">
      <c r="A17" s="363"/>
      <c r="B17" s="868"/>
      <c r="C17" s="866"/>
      <c r="D17" s="870"/>
      <c r="E17" s="874"/>
      <c r="F17" s="866"/>
      <c r="G17" s="866"/>
      <c r="H17" s="866"/>
      <c r="I17" s="866"/>
      <c r="J17" s="385" t="str">
        <f>IF(AND('[3]Mapa de procesos'!$AC$10="Alta",'[3]Mapa de procesos'!$AE$10="Leve"),CONCATENATE("R2C",'[3]Mapa de procesos'!$S$10),"")</f>
        <v/>
      </c>
      <c r="K17" s="386" t="str">
        <f>IF(AND('[3]Mapa de procesos'!$AC$11="Alta",'[3]Mapa de procesos'!$AE$11="Leve"),CONCATENATE("R2C",'[3]Mapa de procesos'!$S$11),"")</f>
        <v/>
      </c>
      <c r="L17" s="386" t="str">
        <f>IF(AND('[3]Mapa de procesos'!$AC$12="Alta",'[3]Mapa de procesos'!$AE$12="Leve"),CONCATENATE("R2C",'[3]Mapa de procesos'!$S$12),"")</f>
        <v/>
      </c>
      <c r="M17" s="386" t="str">
        <f>IF(AND('[3]Mapa de procesos'!$AC$13="Alta",'[3]Mapa de procesos'!$AE$13="Leve"),CONCATENATE("R2C",'[3]Mapa de procesos'!$S$13),"")</f>
        <v/>
      </c>
      <c r="N17" s="386" t="str">
        <f>IF(AND('[3]Mapa de procesos'!$AC$14="Alta",'[3]Mapa de procesos'!$AE$14="Leve"),CONCATENATE("R2C",'[3]Mapa de procesos'!$S$14),"")</f>
        <v/>
      </c>
      <c r="O17" s="387" t="str">
        <f>IF(AND('[3]Mapa de procesos'!$AC$15="Alta",'[3]Mapa de procesos'!$AE$15="Leve"),CONCATENATE("R2C",'[3]Mapa de procesos'!$S$15),"")</f>
        <v/>
      </c>
      <c r="P17" s="385" t="str">
        <f>IF(AND('[3]Mapa de procesos'!$AC$10="Alta",'[3]Mapa de procesos'!$AE$10="Menor"),CONCATENATE("R2C",'[3]Mapa de procesos'!$S$10),"")</f>
        <v/>
      </c>
      <c r="Q17" s="386" t="str">
        <f>IF(AND('[3]Mapa de procesos'!$AC$11="Alta",'[3]Mapa de procesos'!$AE$11="Menor"),CONCATENATE("R2C",'[3]Mapa de procesos'!$S$11),"")</f>
        <v/>
      </c>
      <c r="R17" s="386" t="str">
        <f>IF(AND('[3]Mapa de procesos'!$AC$12="Alta",'[3]Mapa de procesos'!$AE$12="Menor"),CONCATENATE("R2C",'[3]Mapa de procesos'!$S$12),"")</f>
        <v/>
      </c>
      <c r="S17" s="386" t="str">
        <f>IF(AND('[3]Mapa de procesos'!$AC$13="Alta",'[3]Mapa de procesos'!$AE$13="Menor"),CONCATENATE("R2C",'[3]Mapa de procesos'!$S$13),"")</f>
        <v/>
      </c>
      <c r="T17" s="386" t="str">
        <f>IF(AND('[3]Mapa de procesos'!$AC$14="Alta",'[3]Mapa de procesos'!$AE$14="Menor"),CONCATENATE("R2C",'[3]Mapa de procesos'!$S$14),"")</f>
        <v/>
      </c>
      <c r="U17" s="387" t="str">
        <f>IF(AND('[3]Mapa de procesos'!$AC$15="Alta",'[3]Mapa de procesos'!$AE$15="Menor"),CONCATENATE("R2C",'[3]Mapa de procesos'!$S$15),"")</f>
        <v/>
      </c>
      <c r="V17" s="370" t="str">
        <f>IF(AND('[3]Mapa de procesos'!$AC$10="Alta",'[3]Mapa de procesos'!$AE$10="Moderado"),CONCATENATE("R2C",'[3]Mapa de procesos'!$S$10),"")</f>
        <v/>
      </c>
      <c r="W17" s="371" t="str">
        <f>IF(AND('[3]Mapa de procesos'!$AC$11="Alta",'[3]Mapa de procesos'!$AE$11="Moderado"),CONCATENATE("R2C",'[3]Mapa de procesos'!$S$11),"")</f>
        <v/>
      </c>
      <c r="X17" s="371" t="str">
        <f>IF(AND('[3]Mapa de procesos'!$AC$12="Alta",'[3]Mapa de procesos'!$AE$12="Moderado"),CONCATENATE("R2C",'[3]Mapa de procesos'!$S$12),"")</f>
        <v/>
      </c>
      <c r="Y17" s="371" t="str">
        <f>IF(AND('[3]Mapa de procesos'!$AC$13="Alta",'[3]Mapa de procesos'!$AE$13="Moderado"),CONCATENATE("R2C",'[3]Mapa de procesos'!$S$13),"")</f>
        <v/>
      </c>
      <c r="Z17" s="371" t="str">
        <f>IF(AND('[3]Mapa de procesos'!$AC$14="Alta",'[3]Mapa de procesos'!$AE$14="Moderado"),CONCATENATE("R2C",'[3]Mapa de procesos'!$S$14),"")</f>
        <v/>
      </c>
      <c r="AA17" s="372" t="str">
        <f>IF(AND('[3]Mapa de procesos'!$AC$15="Alta",'[3]Mapa de procesos'!$AE$15="Moderado"),CONCATENATE("R2C",'[3]Mapa de procesos'!$S$15),"")</f>
        <v/>
      </c>
      <c r="AB17" s="370" t="str">
        <f>IF(AND('[3]Mapa de procesos'!$AC$10="Alta",'[3]Mapa de procesos'!$AE$10="Mayor"),CONCATENATE("R2C",'[3]Mapa de procesos'!$S$10),"")</f>
        <v/>
      </c>
      <c r="AC17" s="371" t="str">
        <f>IF(AND('[3]Mapa de procesos'!$AC$11="Alta",'[3]Mapa de procesos'!$AE$11="Mayor"),CONCATENATE("R2C",'[3]Mapa de procesos'!$S$11),"")</f>
        <v/>
      </c>
      <c r="AD17" s="371" t="str">
        <f>IF(AND('[3]Mapa de procesos'!$AC$12="Alta",'[3]Mapa de procesos'!$AE$12="Mayor"),CONCATENATE("R2C",'[3]Mapa de procesos'!$S$12),"")</f>
        <v/>
      </c>
      <c r="AE17" s="371" t="str">
        <f>IF(AND('[3]Mapa de procesos'!$AC$13="Alta",'[3]Mapa de procesos'!$AE$13="Mayor"),CONCATENATE("R2C",'[3]Mapa de procesos'!$S$13),"")</f>
        <v/>
      </c>
      <c r="AF17" s="371" t="str">
        <f>IF(AND('[3]Mapa de procesos'!$AC$14="Alta",'[3]Mapa de procesos'!$AE$14="Mayor"),CONCATENATE("R2C",'[3]Mapa de procesos'!$S$14),"")</f>
        <v/>
      </c>
      <c r="AG17" s="372" t="str">
        <f>IF(AND('[3]Mapa de procesos'!$AC$15="Alta",'[3]Mapa de procesos'!$AE$15="Mayor"),CONCATENATE("R2C",'[3]Mapa de procesos'!$S$15),"")</f>
        <v/>
      </c>
      <c r="AH17" s="373" t="str">
        <f>IF(AND('[3]Mapa de procesos'!$AC$10="Alta",'[3]Mapa de procesos'!$AE$10="Catastrófico"),CONCATENATE("R2C",'[3]Mapa de procesos'!$S$10),"")</f>
        <v/>
      </c>
      <c r="AI17" s="374" t="str">
        <f>IF(AND('[3]Mapa de procesos'!$AC$11="Alta",'[3]Mapa de procesos'!$AE$11="Catastrófico"),CONCATENATE("R2C",'[3]Mapa de procesos'!$S$11),"")</f>
        <v/>
      </c>
      <c r="AJ17" s="374" t="str">
        <f>IF(AND('[3]Mapa de procesos'!$AC$12="Alta",'[3]Mapa de procesos'!$AE$12="Catastrófico"),CONCATENATE("R2C",'[3]Mapa de procesos'!$S$12),"")</f>
        <v/>
      </c>
      <c r="AK17" s="374" t="str">
        <f>IF(AND('[3]Mapa de procesos'!$AC$13="Alta",'[3]Mapa de procesos'!$AE$13="Catastrófico"),CONCATENATE("R2C",'[3]Mapa de procesos'!$S$13),"")</f>
        <v/>
      </c>
      <c r="AL17" s="374" t="str">
        <f>IF(AND('[3]Mapa de procesos'!$AC$14="Alta",'[3]Mapa de procesos'!$AE$14="Catastrófico"),CONCATENATE("R2C",'[3]Mapa de procesos'!$S$14),"")</f>
        <v/>
      </c>
      <c r="AM17" s="375" t="str">
        <f>IF(AND('[3]Mapa de procesos'!$AC$15="Alta",'[3]Mapa de procesos'!$AE$15="Catastrófico"),CONCATENATE("R2C",'[3]Mapa de procesos'!$S$15),"")</f>
        <v/>
      </c>
      <c r="AN17" s="363"/>
      <c r="AO17" s="881"/>
      <c r="AP17" s="866"/>
      <c r="AQ17" s="866"/>
      <c r="AR17" s="866"/>
      <c r="AS17" s="866"/>
      <c r="AT17" s="882"/>
      <c r="AU17" s="363"/>
      <c r="AV17" s="363"/>
      <c r="AW17" s="363"/>
      <c r="AX17" s="363"/>
      <c r="AY17" s="363"/>
      <c r="AZ17" s="363"/>
      <c r="BA17" s="363"/>
      <c r="BB17" s="363"/>
      <c r="BC17" s="363"/>
      <c r="BD17" s="363"/>
      <c r="BE17" s="363"/>
      <c r="BF17" s="363"/>
      <c r="BG17" s="363"/>
      <c r="BH17" s="363"/>
      <c r="BI17" s="363"/>
    </row>
    <row r="18" spans="1:61" ht="15" customHeight="1" x14ac:dyDescent="0.25">
      <c r="A18" s="363"/>
      <c r="B18" s="868"/>
      <c r="C18" s="866"/>
      <c r="D18" s="870"/>
      <c r="E18" s="874"/>
      <c r="F18" s="866"/>
      <c r="G18" s="866"/>
      <c r="H18" s="866"/>
      <c r="I18" s="866"/>
      <c r="J18" s="385" t="str">
        <f>IF(AND('[3]Mapa de procesos'!$AC$16="Alta",'[3]Mapa de procesos'!$AE$16="Leve"),CONCATENATE("R3C",'[3]Mapa de procesos'!$S$16),"")</f>
        <v/>
      </c>
      <c r="K18" s="386" t="str">
        <f>IF(AND('[3]Mapa de procesos'!$AC$17="Alta",'[3]Mapa de procesos'!$AE$17="Leve"),CONCATENATE("R3C",'[3]Mapa de procesos'!$S$17),"")</f>
        <v/>
      </c>
      <c r="L18" s="386" t="str">
        <f>IF(AND('[3]Mapa de procesos'!$AC$18="Alta",'[3]Mapa de procesos'!$AE$18="Leve"),CONCATENATE("R3C",'[3]Mapa de procesos'!$S$18),"")</f>
        <v/>
      </c>
      <c r="M18" s="386" t="str">
        <f>IF(AND('[3]Mapa de procesos'!$AC$19="Alta",'[3]Mapa de procesos'!$AE$19="Leve"),CONCATENATE("R3C",'[3]Mapa de procesos'!$S$19),"")</f>
        <v/>
      </c>
      <c r="N18" s="386" t="str">
        <f>IF(AND('[3]Mapa de procesos'!$AC$20="Alta",'[3]Mapa de procesos'!$AE$20="Leve"),CONCATENATE("R3C",'[3]Mapa de procesos'!$S$20),"")</f>
        <v/>
      </c>
      <c r="O18" s="387" t="str">
        <f>IF(AND('[3]Mapa de procesos'!$AC$21="Alta",'[3]Mapa de procesos'!$AE$21="Leve"),CONCATENATE("R3C",'[3]Mapa de procesos'!$S$21),"")</f>
        <v/>
      </c>
      <c r="P18" s="385" t="str">
        <f>IF(AND('[3]Mapa de procesos'!$AC$16="Alta",'[3]Mapa de procesos'!$AE$16="Menor"),CONCATENATE("R3C",'[3]Mapa de procesos'!$S$16),"")</f>
        <v/>
      </c>
      <c r="Q18" s="386" t="str">
        <f>IF(AND('[3]Mapa de procesos'!$AC$17="Alta",'[3]Mapa de procesos'!$AE$17="Menor"),CONCATENATE("R3C",'[3]Mapa de procesos'!$S$17),"")</f>
        <v/>
      </c>
      <c r="R18" s="386" t="str">
        <f>IF(AND('[3]Mapa de procesos'!$AC$18="Alta",'[3]Mapa de procesos'!$AE$18="Menor"),CONCATENATE("R3C",'[3]Mapa de procesos'!$S$18),"")</f>
        <v/>
      </c>
      <c r="S18" s="386" t="str">
        <f>IF(AND('[3]Mapa de procesos'!$AC$19="Alta",'[3]Mapa de procesos'!$AE$19="Menor"),CONCATENATE("R3C",'[3]Mapa de procesos'!$S$19),"")</f>
        <v/>
      </c>
      <c r="T18" s="386" t="str">
        <f>IF(AND('[3]Mapa de procesos'!$AC$20="Alta",'[3]Mapa de procesos'!$AE$20="Menor"),CONCATENATE("R3C",'[3]Mapa de procesos'!$S$20),"")</f>
        <v/>
      </c>
      <c r="U18" s="387" t="str">
        <f>IF(AND('[3]Mapa de procesos'!$AC$21="Alta",'[3]Mapa de procesos'!$AE$21="Menor"),CONCATENATE("R3C",'[3]Mapa de procesos'!$S$21),"")</f>
        <v/>
      </c>
      <c r="V18" s="370" t="str">
        <f>IF(AND('[3]Mapa de procesos'!$AC$16="Alta",'[3]Mapa de procesos'!$AE$16="Moderado"),CONCATENATE("R3C",'[3]Mapa de procesos'!$S$16),"")</f>
        <v/>
      </c>
      <c r="W18" s="371" t="str">
        <f>IF(AND('[3]Mapa de procesos'!$AC$17="Alta",'[3]Mapa de procesos'!$AE$17="Moderado"),CONCATENATE("R3C",'[3]Mapa de procesos'!$S$17),"")</f>
        <v/>
      </c>
      <c r="X18" s="371" t="str">
        <f>IF(AND('[3]Mapa de procesos'!$AC$18="Alta",'[3]Mapa de procesos'!$AE$18="Moderado"),CONCATENATE("R3C",'[3]Mapa de procesos'!$S$18),"")</f>
        <v/>
      </c>
      <c r="Y18" s="371" t="str">
        <f>IF(AND('[3]Mapa de procesos'!$AC$19="Alta",'[3]Mapa de procesos'!$AE$19="Moderado"),CONCATENATE("R3C",'[3]Mapa de procesos'!$S$19),"")</f>
        <v/>
      </c>
      <c r="Z18" s="371" t="str">
        <f>IF(AND('[3]Mapa de procesos'!$AC$20="Alta",'[3]Mapa de procesos'!$AE$20="Moderado"),CONCATENATE("R3C",'[3]Mapa de procesos'!$S$20),"")</f>
        <v/>
      </c>
      <c r="AA18" s="372" t="str">
        <f>IF(AND('[3]Mapa de procesos'!$AC$21="Alta",'[3]Mapa de procesos'!$AE$21="Moderado"),CONCATENATE("R3C",'[3]Mapa de procesos'!$S$21),"")</f>
        <v/>
      </c>
      <c r="AB18" s="370" t="str">
        <f>IF(AND('[3]Mapa de procesos'!$AC$16="Alta",'[3]Mapa de procesos'!$AE$16="Mayor"),CONCATENATE("R3C",'[3]Mapa de procesos'!$S$16),"")</f>
        <v/>
      </c>
      <c r="AC18" s="371" t="str">
        <f>IF(AND('[3]Mapa de procesos'!$AC$17="Alta",'[3]Mapa de procesos'!$AE$17="Mayor"),CONCATENATE("R3C",'[3]Mapa de procesos'!$S$17),"")</f>
        <v/>
      </c>
      <c r="AD18" s="371" t="str">
        <f>IF(AND('[3]Mapa de procesos'!$AC$18="Alta",'[3]Mapa de procesos'!$AE$18="Mayor"),CONCATENATE("R3C",'[3]Mapa de procesos'!$S$18),"")</f>
        <v/>
      </c>
      <c r="AE18" s="371" t="str">
        <f>IF(AND('[3]Mapa de procesos'!$AC$19="Alta",'[3]Mapa de procesos'!$AE$19="Mayor"),CONCATENATE("R3C",'[3]Mapa de procesos'!$S$19),"")</f>
        <v/>
      </c>
      <c r="AF18" s="371" t="str">
        <f>IF(AND('[3]Mapa de procesos'!$AC$20="Alta",'[3]Mapa de procesos'!$AE$20="Mayor"),CONCATENATE("R3C",'[3]Mapa de procesos'!$S$20),"")</f>
        <v/>
      </c>
      <c r="AG18" s="372" t="str">
        <f>IF(AND('[3]Mapa de procesos'!$AC$21="Alta",'[3]Mapa de procesos'!$AE$21="Mayor"),CONCATENATE("R3C",'[3]Mapa de procesos'!$S$21),"")</f>
        <v/>
      </c>
      <c r="AH18" s="373" t="str">
        <f>IF(AND('[3]Mapa de procesos'!$AC$16="Alta",'[3]Mapa de procesos'!$AE$16="Catastrófico"),CONCATENATE("R3C",'[3]Mapa de procesos'!$S$16),"")</f>
        <v/>
      </c>
      <c r="AI18" s="374" t="str">
        <f>IF(AND('[3]Mapa de procesos'!$AC$17="Alta",'[3]Mapa de procesos'!$AE$17="Catastrófico"),CONCATENATE("R3C",'[3]Mapa de procesos'!$S$17),"")</f>
        <v/>
      </c>
      <c r="AJ18" s="374" t="str">
        <f>IF(AND('[3]Mapa de procesos'!$AC$18="Alta",'[3]Mapa de procesos'!$AE$18="Catastrófico"),CONCATENATE("R3C",'[3]Mapa de procesos'!$S$18),"")</f>
        <v/>
      </c>
      <c r="AK18" s="374" t="str">
        <f>IF(AND('[3]Mapa de procesos'!$AC$19="Alta",'[3]Mapa de procesos'!$AE$19="Catastrófico"),CONCATENATE("R3C",'[3]Mapa de procesos'!$S$19),"")</f>
        <v/>
      </c>
      <c r="AL18" s="374" t="str">
        <f>IF(AND('[3]Mapa de procesos'!$AC$20="Alta",'[3]Mapa de procesos'!$AE$20="Catastrófico"),CONCATENATE("R3C",'[3]Mapa de procesos'!$S$20),"")</f>
        <v/>
      </c>
      <c r="AM18" s="375" t="str">
        <f>IF(AND('[3]Mapa de procesos'!$AC$21="Alta",'[3]Mapa de procesos'!$AE$21="Catastrófico"),CONCATENATE("R3C",'[3]Mapa de procesos'!$S$21),"")</f>
        <v/>
      </c>
      <c r="AN18" s="363"/>
      <c r="AO18" s="881"/>
      <c r="AP18" s="866"/>
      <c r="AQ18" s="866"/>
      <c r="AR18" s="866"/>
      <c r="AS18" s="866"/>
      <c r="AT18" s="882"/>
      <c r="AU18" s="363"/>
      <c r="AV18" s="363"/>
      <c r="AW18" s="363"/>
      <c r="AX18" s="363"/>
      <c r="AY18" s="363"/>
      <c r="AZ18" s="363"/>
      <c r="BA18" s="363"/>
      <c r="BB18" s="363"/>
      <c r="BC18" s="363"/>
      <c r="BD18" s="363"/>
      <c r="BE18" s="363"/>
      <c r="BF18" s="363"/>
      <c r="BG18" s="363"/>
      <c r="BH18" s="363"/>
      <c r="BI18" s="363"/>
    </row>
    <row r="19" spans="1:61" ht="15" customHeight="1" x14ac:dyDescent="0.25">
      <c r="A19" s="363"/>
      <c r="B19" s="868"/>
      <c r="C19" s="866"/>
      <c r="D19" s="870"/>
      <c r="E19" s="874"/>
      <c r="F19" s="866"/>
      <c r="G19" s="866"/>
      <c r="H19" s="866"/>
      <c r="I19" s="866"/>
      <c r="J19" s="385" t="str">
        <f>IF(AND('[3]Mapa de procesos'!$AC$22="Alta",'[3]Mapa de procesos'!$AE$22="Leve"),CONCATENATE("R4C",'[3]Mapa de procesos'!$S$22),"")</f>
        <v/>
      </c>
      <c r="K19" s="386" t="str">
        <f>IF(AND('[3]Mapa de procesos'!$AC$23="Alta",'[3]Mapa de procesos'!$AE$23="Leve"),CONCATENATE("R4C",'[3]Mapa de procesos'!$S$23),"")</f>
        <v/>
      </c>
      <c r="L19" s="386" t="str">
        <f>IF(AND('[3]Mapa de procesos'!$AC$24="Alta",'[3]Mapa de procesos'!$AE$24="Leve"),CONCATENATE("R4C",'[3]Mapa de procesos'!$S$24),"")</f>
        <v/>
      </c>
      <c r="M19" s="386" t="str">
        <f>IF(AND('[3]Mapa de procesos'!$AC$25="Alta",'[3]Mapa de procesos'!$AE$25="Leve"),CONCATENATE("R4C",'[3]Mapa de procesos'!$S$25),"")</f>
        <v/>
      </c>
      <c r="N19" s="386" t="str">
        <f>IF(AND('[3]Mapa de procesos'!$AC$26="Alta",'[3]Mapa de procesos'!$AE$26="Leve"),CONCATENATE("R4C",'[3]Mapa de procesos'!$S$26),"")</f>
        <v/>
      </c>
      <c r="O19" s="387" t="str">
        <f>IF(AND('[3]Mapa de procesos'!$AC$27="Alta",'[3]Mapa de procesos'!$AE$27="Leve"),CONCATENATE("R4C",'[3]Mapa de procesos'!$S$27),"")</f>
        <v/>
      </c>
      <c r="P19" s="385" t="str">
        <f>IF(AND('[3]Mapa de procesos'!$AC$22="Alta",'[3]Mapa de procesos'!$AE$22="Menor"),CONCATENATE("R4C",'[3]Mapa de procesos'!$S$22),"")</f>
        <v/>
      </c>
      <c r="Q19" s="386" t="str">
        <f>IF(AND('[3]Mapa de procesos'!$AC$23="Alta",'[3]Mapa de procesos'!$AE$23="Menor"),CONCATENATE("R4C",'[3]Mapa de procesos'!$S$23),"")</f>
        <v/>
      </c>
      <c r="R19" s="386" t="str">
        <f>IF(AND('[3]Mapa de procesos'!$AC$24="Alta",'[3]Mapa de procesos'!$AE$24="Menor"),CONCATENATE("R4C",'[3]Mapa de procesos'!$S$24),"")</f>
        <v/>
      </c>
      <c r="S19" s="386" t="str">
        <f>IF(AND('[3]Mapa de procesos'!$AC$25="Alta",'[3]Mapa de procesos'!$AE$25="Menor"),CONCATENATE("R4C",'[3]Mapa de procesos'!$S$25),"")</f>
        <v/>
      </c>
      <c r="T19" s="386" t="str">
        <f>IF(AND('[3]Mapa de procesos'!$AC$26="Alta",'[3]Mapa de procesos'!$AE$26="Menor"),CONCATENATE("R4C",'[3]Mapa de procesos'!$S$26),"")</f>
        <v/>
      </c>
      <c r="U19" s="387" t="str">
        <f>IF(AND('[3]Mapa de procesos'!$AC$27="Alta",'[3]Mapa de procesos'!$AE$27="Menor"),CONCATENATE("R4C",'[3]Mapa de procesos'!$S$27),"")</f>
        <v/>
      </c>
      <c r="V19" s="370" t="str">
        <f>IF(AND('[3]Mapa de procesos'!$AC$22="Alta",'[3]Mapa de procesos'!$AE$22="Moderado"),CONCATENATE("R4C",'[3]Mapa de procesos'!$S$22),"")</f>
        <v/>
      </c>
      <c r="W19" s="371" t="str">
        <f>IF(AND('[3]Mapa de procesos'!$AC$23="Alta",'[3]Mapa de procesos'!$AE$23="Moderado"),CONCATENATE("R4C",'[3]Mapa de procesos'!$S$23),"")</f>
        <v/>
      </c>
      <c r="X19" s="371" t="str">
        <f>IF(AND('[3]Mapa de procesos'!$AC$24="Alta",'[3]Mapa de procesos'!$AE$24="Moderado"),CONCATENATE("R4C",'[3]Mapa de procesos'!$S$24),"")</f>
        <v/>
      </c>
      <c r="Y19" s="371" t="str">
        <f>IF(AND('[3]Mapa de procesos'!$AC$25="Alta",'[3]Mapa de procesos'!$AE$25="Moderado"),CONCATENATE("R4C",'[3]Mapa de procesos'!$S$25),"")</f>
        <v/>
      </c>
      <c r="Z19" s="371" t="str">
        <f>IF(AND('[3]Mapa de procesos'!$AC$26="Alta",'[3]Mapa de procesos'!$AE$26="Moderado"),CONCATENATE("R4C",'[3]Mapa de procesos'!$S$26),"")</f>
        <v/>
      </c>
      <c r="AA19" s="372" t="str">
        <f>IF(AND('[3]Mapa de procesos'!$AC$27="Alta",'[3]Mapa de procesos'!$AE$27="Moderado"),CONCATENATE("R4C",'[3]Mapa de procesos'!$S$27),"")</f>
        <v/>
      </c>
      <c r="AB19" s="370" t="str">
        <f>IF(AND('[3]Mapa de procesos'!$AC$22="Alta",'[3]Mapa de procesos'!$AE$22="Mayor"),CONCATENATE("R4C",'[3]Mapa de procesos'!$S$22),"")</f>
        <v/>
      </c>
      <c r="AC19" s="371" t="str">
        <f>IF(AND('[3]Mapa de procesos'!$AC$23="Alta",'[3]Mapa de procesos'!$AE$23="Mayor"),CONCATENATE("R4C",'[3]Mapa de procesos'!$S$23),"")</f>
        <v/>
      </c>
      <c r="AD19" s="371" t="str">
        <f>IF(AND('[3]Mapa de procesos'!$AC$24="Alta",'[3]Mapa de procesos'!$AE$24="Mayor"),CONCATENATE("R4C",'[3]Mapa de procesos'!$S$24),"")</f>
        <v/>
      </c>
      <c r="AE19" s="371" t="str">
        <f>IF(AND('[3]Mapa de procesos'!$AC$25="Alta",'[3]Mapa de procesos'!$AE$25="Mayor"),CONCATENATE("R4C",'[3]Mapa de procesos'!$S$25),"")</f>
        <v/>
      </c>
      <c r="AF19" s="371" t="str">
        <f>IF(AND('[3]Mapa de procesos'!$AC$26="Alta",'[3]Mapa de procesos'!$AE$26="Mayor"),CONCATENATE("R4C",'[3]Mapa de procesos'!$S$26),"")</f>
        <v/>
      </c>
      <c r="AG19" s="372" t="str">
        <f>IF(AND('[3]Mapa de procesos'!$AC$27="Alta",'[3]Mapa de procesos'!$AE$27="Mayor"),CONCATENATE("R4C",'[3]Mapa de procesos'!$S$27),"")</f>
        <v/>
      </c>
      <c r="AH19" s="373" t="str">
        <f>IF(AND('[3]Mapa de procesos'!$AC$22="Alta",'[3]Mapa de procesos'!$AE$22="Catastrófico"),CONCATENATE("R4C",'[3]Mapa de procesos'!$S$22),"")</f>
        <v/>
      </c>
      <c r="AI19" s="374" t="str">
        <f>IF(AND('[3]Mapa de procesos'!$AC$23="Alta",'[3]Mapa de procesos'!$AE$23="Catastrófico"),CONCATENATE("R4C",'[3]Mapa de procesos'!$S$23),"")</f>
        <v/>
      </c>
      <c r="AJ19" s="374" t="str">
        <f>IF(AND('[3]Mapa de procesos'!$AC$24="Alta",'[3]Mapa de procesos'!$AE$24="Catastrófico"),CONCATENATE("R4C",'[3]Mapa de procesos'!$S$24),"")</f>
        <v/>
      </c>
      <c r="AK19" s="374" t="str">
        <f>IF(AND('[3]Mapa de procesos'!$AC$25="Alta",'[3]Mapa de procesos'!$AE$25="Catastrófico"),CONCATENATE("R4C",'[3]Mapa de procesos'!$S$25),"")</f>
        <v/>
      </c>
      <c r="AL19" s="374" t="str">
        <f>IF(AND('[3]Mapa de procesos'!$AC$26="Alta",'[3]Mapa de procesos'!$AE$26="Catastrófico"),CONCATENATE("R4C",'[3]Mapa de procesos'!$S$26),"")</f>
        <v/>
      </c>
      <c r="AM19" s="375" t="str">
        <f>IF(AND('[3]Mapa de procesos'!$AC$27="Alta",'[3]Mapa de procesos'!$AE$27="Catastrófico"),CONCATENATE("R4C",'[3]Mapa de procesos'!$S$27),"")</f>
        <v/>
      </c>
      <c r="AN19" s="363"/>
      <c r="AO19" s="881"/>
      <c r="AP19" s="866"/>
      <c r="AQ19" s="866"/>
      <c r="AR19" s="866"/>
      <c r="AS19" s="866"/>
      <c r="AT19" s="882"/>
      <c r="AU19" s="363"/>
      <c r="AV19" s="363"/>
      <c r="AW19" s="363"/>
      <c r="AX19" s="363"/>
      <c r="AY19" s="363"/>
      <c r="AZ19" s="363"/>
      <c r="BA19" s="363"/>
      <c r="BB19" s="363"/>
      <c r="BC19" s="363"/>
      <c r="BD19" s="363"/>
      <c r="BE19" s="363"/>
      <c r="BF19" s="363"/>
      <c r="BG19" s="363"/>
      <c r="BH19" s="363"/>
      <c r="BI19" s="363"/>
    </row>
    <row r="20" spans="1:61" ht="15" customHeight="1" x14ac:dyDescent="0.25">
      <c r="A20" s="363"/>
      <c r="B20" s="868"/>
      <c r="C20" s="866"/>
      <c r="D20" s="870"/>
      <c r="E20" s="874"/>
      <c r="F20" s="866"/>
      <c r="G20" s="866"/>
      <c r="H20" s="866"/>
      <c r="I20" s="866"/>
      <c r="J20" s="385" t="str">
        <f>IF(AND('[3]Mapa de procesos'!$AC$28="Alta",'[3]Mapa de procesos'!$AE$28="Leve"),CONCATENATE("R5C",'[3]Mapa de procesos'!$S$28),"")</f>
        <v/>
      </c>
      <c r="K20" s="386" t="str">
        <f>IF(AND('[3]Mapa de procesos'!$AC$29="Alta",'[3]Mapa de procesos'!$AE$29="Leve"),CONCATENATE("R5C",'[3]Mapa de procesos'!$S$29),"")</f>
        <v/>
      </c>
      <c r="L20" s="386" t="str">
        <f>IF(AND('[3]Mapa de procesos'!$AC$30="Alta",'[3]Mapa de procesos'!$AE$30="Leve"),CONCATENATE("R5C",'[3]Mapa de procesos'!$S$30),"")</f>
        <v/>
      </c>
      <c r="M20" s="386" t="str">
        <f>IF(AND('[3]Mapa de procesos'!$AC$31="Alta",'[3]Mapa de procesos'!$AE$31="Leve"),CONCATENATE("R5C",'[3]Mapa de procesos'!$S$31),"")</f>
        <v/>
      </c>
      <c r="N20" s="386" t="str">
        <f>IF(AND('[3]Mapa de procesos'!$AC$32="Alta",'[3]Mapa de procesos'!$AE$32="Leve"),CONCATENATE("R5C",'[3]Mapa de procesos'!$S$32),"")</f>
        <v/>
      </c>
      <c r="O20" s="387" t="str">
        <f>IF(AND('[3]Mapa de procesos'!$AC$33="Alta",'[3]Mapa de procesos'!$AE$33="Leve"),CONCATENATE("R5C",'[3]Mapa de procesos'!$S$33),"")</f>
        <v/>
      </c>
      <c r="P20" s="385" t="str">
        <f>IF(AND('[3]Mapa de procesos'!$AC$28="Alta",'[3]Mapa de procesos'!$AE$28="Menor"),CONCATENATE("R5C",'[3]Mapa de procesos'!$S$28),"")</f>
        <v/>
      </c>
      <c r="Q20" s="386" t="str">
        <f>IF(AND('[3]Mapa de procesos'!$AC$29="Alta",'[3]Mapa de procesos'!$AE$29="Menor"),CONCATENATE("R5C",'[3]Mapa de procesos'!$S$29),"")</f>
        <v/>
      </c>
      <c r="R20" s="386" t="str">
        <f>IF(AND('[3]Mapa de procesos'!$AC$30="Alta",'[3]Mapa de procesos'!$AE$30="Menor"),CONCATENATE("R5C",'[3]Mapa de procesos'!$S$30),"")</f>
        <v/>
      </c>
      <c r="S20" s="386" t="str">
        <f>IF(AND('[3]Mapa de procesos'!$AC$31="Alta",'[3]Mapa de procesos'!$AE$31="Menor"),CONCATENATE("R5C",'[3]Mapa de procesos'!$S$31),"")</f>
        <v/>
      </c>
      <c r="T20" s="386" t="str">
        <f>IF(AND('[3]Mapa de procesos'!$AC$32="Alta",'[3]Mapa de procesos'!$AE$32="Menor"),CONCATENATE("R5C",'[3]Mapa de procesos'!$S$32),"")</f>
        <v/>
      </c>
      <c r="U20" s="387" t="str">
        <f>IF(AND('[3]Mapa de procesos'!$AC$33="Alta",'[3]Mapa de procesos'!$AE$33="Menor"),CONCATENATE("R5C",'[3]Mapa de procesos'!$S$33),"")</f>
        <v/>
      </c>
      <c r="V20" s="370" t="str">
        <f>IF(AND('[3]Mapa de procesos'!$AC$28="Alta",'[3]Mapa de procesos'!$AE$28="Moderado"),CONCATENATE("R5C",'[3]Mapa de procesos'!$S$28),"")</f>
        <v/>
      </c>
      <c r="W20" s="371" t="str">
        <f>IF(AND('[3]Mapa de procesos'!$AC$29="Alta",'[3]Mapa de procesos'!$AE$29="Moderado"),CONCATENATE("R5C",'[3]Mapa de procesos'!$S$29),"")</f>
        <v/>
      </c>
      <c r="X20" s="371" t="str">
        <f>IF(AND('[3]Mapa de procesos'!$AC$30="Alta",'[3]Mapa de procesos'!$AE$30="Moderado"),CONCATENATE("R5C",'[3]Mapa de procesos'!$S$30),"")</f>
        <v/>
      </c>
      <c r="Y20" s="371" t="str">
        <f>IF(AND('[3]Mapa de procesos'!$AC$31="Alta",'[3]Mapa de procesos'!$AE$31="Moderado"),CONCATENATE("R5C",'[3]Mapa de procesos'!$S$31),"")</f>
        <v/>
      </c>
      <c r="Z20" s="371" t="str">
        <f>IF(AND('[3]Mapa de procesos'!$AC$32="Alta",'[3]Mapa de procesos'!$AE$32="Moderado"),CONCATENATE("R5C",'[3]Mapa de procesos'!$S$32),"")</f>
        <v/>
      </c>
      <c r="AA20" s="372" t="str">
        <f>IF(AND('[3]Mapa de procesos'!$AC$33="Alta",'[3]Mapa de procesos'!$AE$33="Moderado"),CONCATENATE("R5C",'[3]Mapa de procesos'!$S$33),"")</f>
        <v/>
      </c>
      <c r="AB20" s="370" t="str">
        <f>IF(AND('[3]Mapa de procesos'!$AC$28="Alta",'[3]Mapa de procesos'!$AE$28="Mayor"),CONCATENATE("R5C",'[3]Mapa de procesos'!$S$28),"")</f>
        <v/>
      </c>
      <c r="AC20" s="371" t="str">
        <f>IF(AND('[3]Mapa de procesos'!$AC$29="Alta",'[3]Mapa de procesos'!$AE$29="Mayor"),CONCATENATE("R5C",'[3]Mapa de procesos'!$S$29),"")</f>
        <v/>
      </c>
      <c r="AD20" s="371" t="str">
        <f>IF(AND('[3]Mapa de procesos'!$AC$30="Alta",'[3]Mapa de procesos'!$AE$30="Mayor"),CONCATENATE("R5C",'[3]Mapa de procesos'!$S$30),"")</f>
        <v/>
      </c>
      <c r="AE20" s="371" t="str">
        <f>IF(AND('[3]Mapa de procesos'!$AC$31="Alta",'[3]Mapa de procesos'!$AE$31="Mayor"),CONCATENATE("R5C",'[3]Mapa de procesos'!$S$31),"")</f>
        <v/>
      </c>
      <c r="AF20" s="371" t="str">
        <f>IF(AND('[3]Mapa de procesos'!$AC$32="Alta",'[3]Mapa de procesos'!$AE$32="Mayor"),CONCATENATE("R5C",'[3]Mapa de procesos'!$S$32),"")</f>
        <v/>
      </c>
      <c r="AG20" s="372" t="str">
        <f>IF(AND('[3]Mapa de procesos'!$AC$33="Alta",'[3]Mapa de procesos'!$AE$33="Mayor"),CONCATENATE("R5C",'[3]Mapa de procesos'!$S$33),"")</f>
        <v/>
      </c>
      <c r="AH20" s="373" t="str">
        <f>IF(AND('[3]Mapa de procesos'!$AC$28="Alta",'[3]Mapa de procesos'!$AE$28="Catastrófico"),CONCATENATE("R5C",'[3]Mapa de procesos'!$S$28),"")</f>
        <v/>
      </c>
      <c r="AI20" s="374" t="str">
        <f>IF(AND('[3]Mapa de procesos'!$AC$29="Alta",'[3]Mapa de procesos'!$AE$29="Catastrófico"),CONCATENATE("R5C",'[3]Mapa de procesos'!$S$29),"")</f>
        <v/>
      </c>
      <c r="AJ20" s="374" t="str">
        <f>IF(AND('[3]Mapa de procesos'!$AC$30="Alta",'[3]Mapa de procesos'!$AE$30="Catastrófico"),CONCATENATE("R5C",'[3]Mapa de procesos'!$S$30),"")</f>
        <v/>
      </c>
      <c r="AK20" s="374" t="str">
        <f>IF(AND('[3]Mapa de procesos'!$AC$31="Alta",'[3]Mapa de procesos'!$AE$31="Catastrófico"),CONCATENATE("R5C",'[3]Mapa de procesos'!$S$31),"")</f>
        <v/>
      </c>
      <c r="AL20" s="374" t="str">
        <f>IF(AND('[3]Mapa de procesos'!$AC$32="Alta",'[3]Mapa de procesos'!$AE$32="Catastrófico"),CONCATENATE("R5C",'[3]Mapa de procesos'!$S$32),"")</f>
        <v/>
      </c>
      <c r="AM20" s="375" t="str">
        <f>IF(AND('[3]Mapa de procesos'!$AC$33="Alta",'[3]Mapa de procesos'!$AE$33="Catastrófico"),CONCATENATE("R5C",'[3]Mapa de procesos'!$S$33),"")</f>
        <v/>
      </c>
      <c r="AN20" s="363"/>
      <c r="AO20" s="881"/>
      <c r="AP20" s="866"/>
      <c r="AQ20" s="866"/>
      <c r="AR20" s="866"/>
      <c r="AS20" s="866"/>
      <c r="AT20" s="882"/>
      <c r="AU20" s="363"/>
      <c r="AV20" s="363"/>
      <c r="AW20" s="363"/>
      <c r="AX20" s="363"/>
      <c r="AY20" s="363"/>
      <c r="AZ20" s="363"/>
      <c r="BA20" s="363"/>
      <c r="BB20" s="363"/>
      <c r="BC20" s="363"/>
      <c r="BD20" s="363"/>
      <c r="BE20" s="363"/>
      <c r="BF20" s="363"/>
      <c r="BG20" s="363"/>
      <c r="BH20" s="363"/>
      <c r="BI20" s="363"/>
    </row>
    <row r="21" spans="1:61" ht="15" customHeight="1" x14ac:dyDescent="0.25">
      <c r="A21" s="363"/>
      <c r="B21" s="868"/>
      <c r="C21" s="866"/>
      <c r="D21" s="870"/>
      <c r="E21" s="874"/>
      <c r="F21" s="866"/>
      <c r="G21" s="866"/>
      <c r="H21" s="866"/>
      <c r="I21" s="866"/>
      <c r="J21" s="385" t="str">
        <f>IF(AND('[3]Mapa de procesos'!$AC$34="Alta",'[3]Mapa de procesos'!$AE$34="Leve"),CONCATENATE("R6C",'[3]Mapa de procesos'!$S$34),"")</f>
        <v/>
      </c>
      <c r="K21" s="386" t="str">
        <f>IF(AND('[3]Mapa de procesos'!$AC$35="Alta",'[3]Mapa de procesos'!$AE$35="Leve"),CONCATENATE("R6C",'[3]Mapa de procesos'!$S$35),"")</f>
        <v/>
      </c>
      <c r="L21" s="386" t="str">
        <f>IF(AND('[3]Mapa de procesos'!$AC$36="Alta",'[3]Mapa de procesos'!$AE$36="Leve"),CONCATENATE("R6C",'[3]Mapa de procesos'!$S$36),"")</f>
        <v/>
      </c>
      <c r="M21" s="386" t="str">
        <f>IF(AND('[3]Mapa de procesos'!$AC$37="Alta",'[3]Mapa de procesos'!$AE$37="Leve"),CONCATENATE("R6C",'[3]Mapa de procesos'!$S$37),"")</f>
        <v/>
      </c>
      <c r="N21" s="386" t="str">
        <f>IF(AND('[3]Mapa de procesos'!$AC$38="Alta",'[3]Mapa de procesos'!$AE$38="Leve"),CONCATENATE("R6C",'[3]Mapa de procesos'!$S$38),"")</f>
        <v/>
      </c>
      <c r="O21" s="387" t="str">
        <f>IF(AND('[3]Mapa de procesos'!$AC$39="Alta",'[3]Mapa de procesos'!$AE$39="Leve"),CONCATENATE("R6C",'[3]Mapa de procesos'!$S$39),"")</f>
        <v/>
      </c>
      <c r="P21" s="385" t="str">
        <f>IF(AND('[3]Mapa de procesos'!$AC$34="Alta",'[3]Mapa de procesos'!$AE$34="Menor"),CONCATENATE("R6C",'[3]Mapa de procesos'!$S$34),"")</f>
        <v/>
      </c>
      <c r="Q21" s="386" t="str">
        <f>IF(AND('[3]Mapa de procesos'!$AC$35="Alta",'[3]Mapa de procesos'!$AE$35="Menor"),CONCATENATE("R6C",'[3]Mapa de procesos'!$S$35),"")</f>
        <v/>
      </c>
      <c r="R21" s="386" t="str">
        <f>IF(AND('[3]Mapa de procesos'!$AC$36="Alta",'[3]Mapa de procesos'!$AE$36="Menor"),CONCATENATE("R6C",'[3]Mapa de procesos'!$S$36),"")</f>
        <v/>
      </c>
      <c r="S21" s="386" t="str">
        <f>IF(AND('[3]Mapa de procesos'!$AC$37="Alta",'[3]Mapa de procesos'!$AE$37="Menor"),CONCATENATE("R6C",'[3]Mapa de procesos'!$S$37),"")</f>
        <v/>
      </c>
      <c r="T21" s="386" t="str">
        <f>IF(AND('[3]Mapa de procesos'!$AC$38="Alta",'[3]Mapa de procesos'!$AE$38="Menor"),CONCATENATE("R6C",'[3]Mapa de procesos'!$S$38),"")</f>
        <v/>
      </c>
      <c r="U21" s="387" t="str">
        <f>IF(AND('[3]Mapa de procesos'!$AC$39="Alta",'[3]Mapa de procesos'!$AE$39="Menor"),CONCATENATE("R6C",'[3]Mapa de procesos'!$S$39),"")</f>
        <v/>
      </c>
      <c r="V21" s="370" t="str">
        <f>IF(AND('[3]Mapa de procesos'!$AC$34="Alta",'[3]Mapa de procesos'!$AE$34="Moderado"),CONCATENATE("R6C",'[3]Mapa de procesos'!$S$34),"")</f>
        <v/>
      </c>
      <c r="W21" s="371" t="str">
        <f>IF(AND('[3]Mapa de procesos'!$AC$35="Alta",'[3]Mapa de procesos'!$AE$35="Moderado"),CONCATENATE("R6C",'[3]Mapa de procesos'!$S$35),"")</f>
        <v/>
      </c>
      <c r="X21" s="371" t="str">
        <f>IF(AND('[3]Mapa de procesos'!$AC$36="Alta",'[3]Mapa de procesos'!$AE$36="Moderado"),CONCATENATE("R6C",'[3]Mapa de procesos'!$S$36),"")</f>
        <v/>
      </c>
      <c r="Y21" s="371" t="str">
        <f>IF(AND('[3]Mapa de procesos'!$AC$37="Alta",'[3]Mapa de procesos'!$AE$37="Moderado"),CONCATENATE("R6C",'[3]Mapa de procesos'!$S$37),"")</f>
        <v/>
      </c>
      <c r="Z21" s="371" t="str">
        <f>IF(AND('[3]Mapa de procesos'!$AC$38="Alta",'[3]Mapa de procesos'!$AE$38="Moderado"),CONCATENATE("R6C",'[3]Mapa de procesos'!$S$38),"")</f>
        <v/>
      </c>
      <c r="AA21" s="372" t="str">
        <f>IF(AND('[3]Mapa de procesos'!$AC$39="Alta",'[3]Mapa de procesos'!$AE$39="Moderado"),CONCATENATE("R6C",'[3]Mapa de procesos'!$S$39),"")</f>
        <v/>
      </c>
      <c r="AB21" s="370" t="str">
        <f>IF(AND('[3]Mapa de procesos'!$AC$34="Alta",'[3]Mapa de procesos'!$AE$34="Mayor"),CONCATENATE("R6C",'[3]Mapa de procesos'!$S$34),"")</f>
        <v/>
      </c>
      <c r="AC21" s="371" t="str">
        <f>IF(AND('[3]Mapa de procesos'!$AC$35="Alta",'[3]Mapa de procesos'!$AE$35="Mayor"),CONCATENATE("R6C",'[3]Mapa de procesos'!$S$35),"")</f>
        <v/>
      </c>
      <c r="AD21" s="371" t="str">
        <f>IF(AND('[3]Mapa de procesos'!$AC$36="Alta",'[3]Mapa de procesos'!$AE$36="Mayor"),CONCATENATE("R6C",'[3]Mapa de procesos'!$S$36),"")</f>
        <v/>
      </c>
      <c r="AE21" s="371" t="str">
        <f>IF(AND('[3]Mapa de procesos'!$AC$37="Alta",'[3]Mapa de procesos'!$AE$37="Mayor"),CONCATENATE("R6C",'[3]Mapa de procesos'!$S$37),"")</f>
        <v/>
      </c>
      <c r="AF21" s="371" t="str">
        <f>IF(AND('[3]Mapa de procesos'!$AC$38="Alta",'[3]Mapa de procesos'!$AE$38="Mayor"),CONCATENATE("R6C",'[3]Mapa de procesos'!$S$38),"")</f>
        <v/>
      </c>
      <c r="AG21" s="372" t="str">
        <f>IF(AND('[3]Mapa de procesos'!$AC$39="Alta",'[3]Mapa de procesos'!$AE$39="Mayor"),CONCATENATE("R6C",'[3]Mapa de procesos'!$S$39),"")</f>
        <v/>
      </c>
      <c r="AH21" s="373" t="str">
        <f>IF(AND('[3]Mapa de procesos'!$AC$34="Alta",'[3]Mapa de procesos'!$AE$34="Catastrófico"),CONCATENATE("R6C",'[3]Mapa de procesos'!$S$34),"")</f>
        <v/>
      </c>
      <c r="AI21" s="374" t="str">
        <f>IF(AND('[3]Mapa de procesos'!$AC$35="Alta",'[3]Mapa de procesos'!$AE$35="Catastrófico"),CONCATENATE("R6C",'[3]Mapa de procesos'!$S$35),"")</f>
        <v/>
      </c>
      <c r="AJ21" s="374" t="str">
        <f>IF(AND('[3]Mapa de procesos'!$AC$36="Alta",'[3]Mapa de procesos'!$AE$36="Catastrófico"),CONCATENATE("R6C",'[3]Mapa de procesos'!$S$36),"")</f>
        <v/>
      </c>
      <c r="AK21" s="374" t="str">
        <f>IF(AND('[3]Mapa de procesos'!$AC$37="Alta",'[3]Mapa de procesos'!$AE$37="Catastrófico"),CONCATENATE("R6C",'[3]Mapa de procesos'!$S$37),"")</f>
        <v/>
      </c>
      <c r="AL21" s="374" t="str">
        <f>IF(AND('[3]Mapa de procesos'!$AC$38="Alta",'[3]Mapa de procesos'!$AE$38="Catastrófico"),CONCATENATE("R6C",'[3]Mapa de procesos'!$S$38),"")</f>
        <v/>
      </c>
      <c r="AM21" s="375" t="str">
        <f>IF(AND('[3]Mapa de procesos'!$AC$39="Alta",'[3]Mapa de procesos'!$AE$39="Catastrófico"),CONCATENATE("R6C",'[3]Mapa de procesos'!$S$39),"")</f>
        <v/>
      </c>
      <c r="AN21" s="363"/>
      <c r="AO21" s="881"/>
      <c r="AP21" s="866"/>
      <c r="AQ21" s="866"/>
      <c r="AR21" s="866"/>
      <c r="AS21" s="866"/>
      <c r="AT21" s="882"/>
      <c r="AU21" s="363"/>
      <c r="AV21" s="363"/>
      <c r="AW21" s="363"/>
      <c r="AX21" s="363"/>
      <c r="AY21" s="363"/>
      <c r="AZ21" s="363"/>
      <c r="BA21" s="363"/>
      <c r="BB21" s="363"/>
      <c r="BC21" s="363"/>
      <c r="BD21" s="363"/>
      <c r="BE21" s="363"/>
      <c r="BF21" s="363"/>
      <c r="BG21" s="363"/>
      <c r="BH21" s="363"/>
      <c r="BI21" s="363"/>
    </row>
    <row r="22" spans="1:61" ht="15" customHeight="1" x14ac:dyDescent="0.25">
      <c r="A22" s="363"/>
      <c r="B22" s="868"/>
      <c r="C22" s="866"/>
      <c r="D22" s="870"/>
      <c r="E22" s="874"/>
      <c r="F22" s="866"/>
      <c r="G22" s="866"/>
      <c r="H22" s="866"/>
      <c r="I22" s="866"/>
      <c r="J22" s="385" t="str">
        <f>IF(AND('[3]Mapa de procesos'!$AC$40="Alta",'[3]Mapa de procesos'!$AE$40="Leve"),CONCATENATE("R7C",'[3]Mapa de procesos'!$S$40),"")</f>
        <v/>
      </c>
      <c r="K22" s="386" t="str">
        <f>IF(AND('[3]Mapa de procesos'!$AC$41="Alta",'[3]Mapa de procesos'!$AE$41="Leve"),CONCATENATE("R7C",'[3]Mapa de procesos'!$S$41),"")</f>
        <v/>
      </c>
      <c r="L22" s="386" t="str">
        <f>IF(AND('[3]Mapa de procesos'!$AC$42="Alta",'[3]Mapa de procesos'!$AE$42="Leve"),CONCATENATE("R7C",'[3]Mapa de procesos'!$S$42),"")</f>
        <v/>
      </c>
      <c r="M22" s="386" t="str">
        <f>IF(AND('[3]Mapa de procesos'!$AC$43="Alta",'[3]Mapa de procesos'!$AE$43="Leve"),CONCATENATE("R7C",'[3]Mapa de procesos'!$S$43),"")</f>
        <v/>
      </c>
      <c r="N22" s="386" t="str">
        <f>IF(AND('[3]Mapa de procesos'!$AC$44="Alta",'[3]Mapa de procesos'!$AE$44="Leve"),CONCATENATE("R7C",'[3]Mapa de procesos'!$S$44),"")</f>
        <v/>
      </c>
      <c r="O22" s="387" t="str">
        <f>IF(AND('[3]Mapa de procesos'!$AC$45="Alta",'[3]Mapa de procesos'!$AE$45="Leve"),CONCATENATE("R7C",'[3]Mapa de procesos'!$S$45),"")</f>
        <v/>
      </c>
      <c r="P22" s="385" t="str">
        <f>IF(AND('[3]Mapa de procesos'!$AC$40="Alta",'[3]Mapa de procesos'!$AE$40="Menor"),CONCATENATE("R7C",'[3]Mapa de procesos'!$S$40),"")</f>
        <v/>
      </c>
      <c r="Q22" s="386" t="str">
        <f>IF(AND('[3]Mapa de procesos'!$AC$41="Alta",'[3]Mapa de procesos'!$AE$41="Menor"),CONCATENATE("R7C",'[3]Mapa de procesos'!$S$41),"")</f>
        <v/>
      </c>
      <c r="R22" s="386" t="str">
        <f>IF(AND('[3]Mapa de procesos'!$AC$42="Alta",'[3]Mapa de procesos'!$AE$42="Menor"),CONCATENATE("R7C",'[3]Mapa de procesos'!$S$42),"")</f>
        <v/>
      </c>
      <c r="S22" s="386" t="str">
        <f>IF(AND('[3]Mapa de procesos'!$AC$43="Alta",'[3]Mapa de procesos'!$AE$43="Menor"),CONCATENATE("R7C",'[3]Mapa de procesos'!$S$43),"")</f>
        <v/>
      </c>
      <c r="T22" s="386" t="str">
        <f>IF(AND('[3]Mapa de procesos'!$AC$44="Alta",'[3]Mapa de procesos'!$AE$44="Menor"),CONCATENATE("R7C",'[3]Mapa de procesos'!$S$44),"")</f>
        <v/>
      </c>
      <c r="U22" s="387" t="str">
        <f>IF(AND('[3]Mapa de procesos'!$AC$45="Alta",'[3]Mapa de procesos'!$AE$45="Menor"),CONCATENATE("R7C",'[3]Mapa de procesos'!$S$45),"")</f>
        <v/>
      </c>
      <c r="V22" s="370" t="str">
        <f>IF(AND('[3]Mapa de procesos'!$AC$40="Alta",'[3]Mapa de procesos'!$AE$40="Moderado"),CONCATENATE("R7C",'[3]Mapa de procesos'!$S$40),"")</f>
        <v/>
      </c>
      <c r="W22" s="371" t="str">
        <f>IF(AND('[3]Mapa de procesos'!$AC$41="Alta",'[3]Mapa de procesos'!$AE$41="Moderado"),CONCATENATE("R7C",'[3]Mapa de procesos'!$S$41),"")</f>
        <v/>
      </c>
      <c r="X22" s="371" t="str">
        <f>IF(AND('[3]Mapa de procesos'!$AC$42="Alta",'[3]Mapa de procesos'!$AE$42="Moderado"),CONCATENATE("R7C",'[3]Mapa de procesos'!$S$42),"")</f>
        <v/>
      </c>
      <c r="Y22" s="371" t="str">
        <f>IF(AND('[3]Mapa de procesos'!$AC$43="Alta",'[3]Mapa de procesos'!$AE$43="Moderado"),CONCATENATE("R7C",'[3]Mapa de procesos'!$S$43),"")</f>
        <v/>
      </c>
      <c r="Z22" s="371" t="str">
        <f>IF(AND('[3]Mapa de procesos'!$AC$44="Alta",'[3]Mapa de procesos'!$AE$44="Moderado"),CONCATENATE("R7C",'[3]Mapa de procesos'!$S$44),"")</f>
        <v/>
      </c>
      <c r="AA22" s="372" t="str">
        <f>IF(AND('[3]Mapa de procesos'!$AC$45="Alta",'[3]Mapa de procesos'!$AE$45="Moderado"),CONCATENATE("R7C",'[3]Mapa de procesos'!$S$45),"")</f>
        <v/>
      </c>
      <c r="AB22" s="370" t="str">
        <f>IF(AND('[3]Mapa de procesos'!$AC$40="Alta",'[3]Mapa de procesos'!$AE$40="Mayor"),CONCATENATE("R7C",'[3]Mapa de procesos'!$S$40),"")</f>
        <v/>
      </c>
      <c r="AC22" s="371" t="str">
        <f>IF(AND('[3]Mapa de procesos'!$AC$41="Alta",'[3]Mapa de procesos'!$AE$41="Mayor"),CONCATENATE("R7C",'[3]Mapa de procesos'!$S$41),"")</f>
        <v/>
      </c>
      <c r="AD22" s="371" t="str">
        <f>IF(AND('[3]Mapa de procesos'!$AC$42="Alta",'[3]Mapa de procesos'!$AE$42="Mayor"),CONCATENATE("R7C",'[3]Mapa de procesos'!$S$42),"")</f>
        <v/>
      </c>
      <c r="AE22" s="371" t="str">
        <f>IF(AND('[3]Mapa de procesos'!$AC$43="Alta",'[3]Mapa de procesos'!$AE$43="Mayor"),CONCATENATE("R7C",'[3]Mapa de procesos'!$S$43),"")</f>
        <v/>
      </c>
      <c r="AF22" s="371" t="str">
        <f>IF(AND('[3]Mapa de procesos'!$AC$44="Alta",'[3]Mapa de procesos'!$AE$44="Mayor"),CONCATENATE("R7C",'[3]Mapa de procesos'!$S$44),"")</f>
        <v/>
      </c>
      <c r="AG22" s="372" t="str">
        <f>IF(AND('[3]Mapa de procesos'!$AC$45="Alta",'[3]Mapa de procesos'!$AE$45="Mayor"),CONCATENATE("R7C",'[3]Mapa de procesos'!$S$45),"")</f>
        <v/>
      </c>
      <c r="AH22" s="373" t="str">
        <f>IF(AND('[3]Mapa de procesos'!$AC$40="Alta",'[3]Mapa de procesos'!$AE$40="Catastrófico"),CONCATENATE("R7C",'[3]Mapa de procesos'!$S$40),"")</f>
        <v/>
      </c>
      <c r="AI22" s="374" t="str">
        <f>IF(AND('[3]Mapa de procesos'!$AC$41="Alta",'[3]Mapa de procesos'!$AE$41="Catastrófico"),CONCATENATE("R7C",'[3]Mapa de procesos'!$S$41),"")</f>
        <v/>
      </c>
      <c r="AJ22" s="374" t="str">
        <f>IF(AND('[3]Mapa de procesos'!$AC$42="Alta",'[3]Mapa de procesos'!$AE$42="Catastrófico"),CONCATENATE("R7C",'[3]Mapa de procesos'!$S$42),"")</f>
        <v/>
      </c>
      <c r="AK22" s="374" t="str">
        <f>IF(AND('[3]Mapa de procesos'!$AC$43="Alta",'[3]Mapa de procesos'!$AE$43="Catastrófico"),CONCATENATE("R7C",'[3]Mapa de procesos'!$S$43),"")</f>
        <v/>
      </c>
      <c r="AL22" s="374" t="str">
        <f>IF(AND('[3]Mapa de procesos'!$AC$44="Alta",'[3]Mapa de procesos'!$AE$44="Catastrófico"),CONCATENATE("R7C",'[3]Mapa de procesos'!$S$44),"")</f>
        <v/>
      </c>
      <c r="AM22" s="375" t="str">
        <f>IF(AND('[3]Mapa de procesos'!$AC$45="Alta",'[3]Mapa de procesos'!$AE$45="Catastrófico"),CONCATENATE("R7C",'[3]Mapa de procesos'!$S$45),"")</f>
        <v/>
      </c>
      <c r="AN22" s="363"/>
      <c r="AO22" s="881"/>
      <c r="AP22" s="866"/>
      <c r="AQ22" s="866"/>
      <c r="AR22" s="866"/>
      <c r="AS22" s="866"/>
      <c r="AT22" s="882"/>
      <c r="AU22" s="363"/>
      <c r="AV22" s="363"/>
      <c r="AW22" s="363"/>
      <c r="AX22" s="363"/>
      <c r="AY22" s="363"/>
      <c r="AZ22" s="363"/>
      <c r="BA22" s="363"/>
      <c r="BB22" s="363"/>
      <c r="BC22" s="363"/>
      <c r="BD22" s="363"/>
      <c r="BE22" s="363"/>
      <c r="BF22" s="363"/>
      <c r="BG22" s="363"/>
      <c r="BH22" s="363"/>
      <c r="BI22" s="363"/>
    </row>
    <row r="23" spans="1:61" ht="15" customHeight="1" x14ac:dyDescent="0.25">
      <c r="A23" s="363"/>
      <c r="B23" s="868"/>
      <c r="C23" s="866"/>
      <c r="D23" s="870"/>
      <c r="E23" s="874"/>
      <c r="F23" s="866"/>
      <c r="G23" s="866"/>
      <c r="H23" s="866"/>
      <c r="I23" s="866"/>
      <c r="J23" s="385" t="str">
        <f>IF(AND('[3]Mapa de procesos'!$AC$46="Alta",'[3]Mapa de procesos'!$AE$46="Leve"),CONCATENATE("R8C",'[3]Mapa de procesos'!$S$46),"")</f>
        <v/>
      </c>
      <c r="K23" s="386" t="str">
        <f>IF(AND('[3]Mapa de procesos'!$AC$47="Alta",'[3]Mapa de procesos'!$AE$47="Leve"),CONCATENATE("R8C",'[3]Mapa de procesos'!$S$47),"")</f>
        <v/>
      </c>
      <c r="L23" s="386" t="str">
        <f>IF(AND('[3]Mapa de procesos'!$AC$48="Alta",'[3]Mapa de procesos'!$AE$48="Leve"),CONCATENATE("R8C",'[3]Mapa de procesos'!$S$48),"")</f>
        <v/>
      </c>
      <c r="M23" s="386" t="str">
        <f>IF(AND('[3]Mapa de procesos'!$AC$49="Alta",'[3]Mapa de procesos'!$AE$49="Leve"),CONCATENATE("R8C",'[3]Mapa de procesos'!$S$49),"")</f>
        <v/>
      </c>
      <c r="N23" s="386" t="str">
        <f>IF(AND('[3]Mapa de procesos'!$AC$50="Alta",'[3]Mapa de procesos'!$AE$50="Leve"),CONCATENATE("R8C",'[3]Mapa de procesos'!$S$50),"")</f>
        <v/>
      </c>
      <c r="O23" s="387" t="str">
        <f>IF(AND('[3]Mapa de procesos'!$AC$51="Alta",'[3]Mapa de procesos'!$AE$51="Leve"),CONCATENATE("R8C",'[3]Mapa de procesos'!$S$51),"")</f>
        <v/>
      </c>
      <c r="P23" s="385" t="str">
        <f>IF(AND('[3]Mapa de procesos'!$AC$46="Alta",'[3]Mapa de procesos'!$AE$46="Menor"),CONCATENATE("R8C",'[3]Mapa de procesos'!$S$46),"")</f>
        <v/>
      </c>
      <c r="Q23" s="386" t="str">
        <f>IF(AND('[3]Mapa de procesos'!$AC$47="Alta",'[3]Mapa de procesos'!$AE$47="Menor"),CONCATENATE("R8C",'[3]Mapa de procesos'!$S$47),"")</f>
        <v/>
      </c>
      <c r="R23" s="386" t="str">
        <f>IF(AND('[3]Mapa de procesos'!$AC$48="Alta",'[3]Mapa de procesos'!$AE$48="Menor"),CONCATENATE("R8C",'[3]Mapa de procesos'!$S$48),"")</f>
        <v/>
      </c>
      <c r="S23" s="386" t="str">
        <f>IF(AND('[3]Mapa de procesos'!$AC$49="Alta",'[3]Mapa de procesos'!$AE$49="Menor"),CONCATENATE("R8C",'[3]Mapa de procesos'!$S$49),"")</f>
        <v/>
      </c>
      <c r="T23" s="386" t="str">
        <f>IF(AND('[3]Mapa de procesos'!$AC$50="Alta",'[3]Mapa de procesos'!$AE$50="Menor"),CONCATENATE("R8C",'[3]Mapa de procesos'!$S$50),"")</f>
        <v/>
      </c>
      <c r="U23" s="387" t="str">
        <f>IF(AND('[3]Mapa de procesos'!$AC$51="Alta",'[3]Mapa de procesos'!$AE$51="Menor"),CONCATENATE("R8C",'[3]Mapa de procesos'!$S$51),"")</f>
        <v/>
      </c>
      <c r="V23" s="370" t="str">
        <f>IF(AND('[3]Mapa de procesos'!$AC$46="Alta",'[3]Mapa de procesos'!$AE$46="Moderado"),CONCATENATE("R8C",'[3]Mapa de procesos'!$S$46),"")</f>
        <v/>
      </c>
      <c r="W23" s="371" t="str">
        <f>IF(AND('[3]Mapa de procesos'!$AC$47="Alta",'[3]Mapa de procesos'!$AE$47="Moderado"),CONCATENATE("R8C",'[3]Mapa de procesos'!$S$47),"")</f>
        <v/>
      </c>
      <c r="X23" s="371" t="str">
        <f>IF(AND('[3]Mapa de procesos'!$AC$48="Alta",'[3]Mapa de procesos'!$AE$48="Moderado"),CONCATENATE("R8C",'[3]Mapa de procesos'!$S$48),"")</f>
        <v/>
      </c>
      <c r="Y23" s="371" t="str">
        <f>IF(AND('[3]Mapa de procesos'!$AC$49="Alta",'[3]Mapa de procesos'!$AE$49="Moderado"),CONCATENATE("R8C",'[3]Mapa de procesos'!$S$49),"")</f>
        <v/>
      </c>
      <c r="Z23" s="371" t="str">
        <f>IF(AND('[3]Mapa de procesos'!$AC$50="Alta",'[3]Mapa de procesos'!$AE$50="Moderado"),CONCATENATE("R8C",'[3]Mapa de procesos'!$S$50),"")</f>
        <v/>
      </c>
      <c r="AA23" s="372" t="str">
        <f>IF(AND('[3]Mapa de procesos'!$AC$51="Alta",'[3]Mapa de procesos'!$AE$51="Moderado"),CONCATENATE("R8C",'[3]Mapa de procesos'!$S$51),"")</f>
        <v/>
      </c>
      <c r="AB23" s="370" t="str">
        <f>IF(AND('[3]Mapa de procesos'!$AC$46="Alta",'[3]Mapa de procesos'!$AE$46="Mayor"),CONCATENATE("R8C",'[3]Mapa de procesos'!$S$46),"")</f>
        <v/>
      </c>
      <c r="AC23" s="371" t="str">
        <f>IF(AND('[3]Mapa de procesos'!$AC$47="Alta",'[3]Mapa de procesos'!$AE$47="Mayor"),CONCATENATE("R8C",'[3]Mapa de procesos'!$S$47),"")</f>
        <v/>
      </c>
      <c r="AD23" s="371" t="str">
        <f>IF(AND('[3]Mapa de procesos'!$AC$48="Alta",'[3]Mapa de procesos'!$AE$48="Mayor"),CONCATENATE("R8C",'[3]Mapa de procesos'!$S$48),"")</f>
        <v/>
      </c>
      <c r="AE23" s="371" t="str">
        <f>IF(AND('[3]Mapa de procesos'!$AC$49="Alta",'[3]Mapa de procesos'!$AE$49="Mayor"),CONCATENATE("R8C",'[3]Mapa de procesos'!$S$49),"")</f>
        <v/>
      </c>
      <c r="AF23" s="371" t="str">
        <f>IF(AND('[3]Mapa de procesos'!$AC$50="Alta",'[3]Mapa de procesos'!$AE$50="Mayor"),CONCATENATE("R8C",'[3]Mapa de procesos'!$S$50),"")</f>
        <v/>
      </c>
      <c r="AG23" s="372" t="str">
        <f>IF(AND('[3]Mapa de procesos'!$AC$51="Alta",'[3]Mapa de procesos'!$AE$51="Mayor"),CONCATENATE("R8C",'[3]Mapa de procesos'!$S$51),"")</f>
        <v/>
      </c>
      <c r="AH23" s="373" t="str">
        <f>IF(AND('[3]Mapa de procesos'!$AC$46="Alta",'[3]Mapa de procesos'!$AE$46="Catastrófico"),CONCATENATE("R8C",'[3]Mapa de procesos'!$S$46),"")</f>
        <v/>
      </c>
      <c r="AI23" s="374" t="str">
        <f>IF(AND('[3]Mapa de procesos'!$AC$47="Alta",'[3]Mapa de procesos'!$AE$47="Catastrófico"),CONCATENATE("R8C",'[3]Mapa de procesos'!$S$47),"")</f>
        <v/>
      </c>
      <c r="AJ23" s="374" t="str">
        <f>IF(AND('[3]Mapa de procesos'!$AC$48="Alta",'[3]Mapa de procesos'!$AE$48="Catastrófico"),CONCATENATE("R8C",'[3]Mapa de procesos'!$S$48),"")</f>
        <v/>
      </c>
      <c r="AK23" s="374" t="str">
        <f>IF(AND('[3]Mapa de procesos'!$AC$49="Alta",'[3]Mapa de procesos'!$AE$49="Catastrófico"),CONCATENATE("R8C",'[3]Mapa de procesos'!$S$49),"")</f>
        <v/>
      </c>
      <c r="AL23" s="374" t="str">
        <f>IF(AND('[3]Mapa de procesos'!$AC$50="Alta",'[3]Mapa de procesos'!$AE$50="Catastrófico"),CONCATENATE("R8C",'[3]Mapa de procesos'!$S$50),"")</f>
        <v/>
      </c>
      <c r="AM23" s="375" t="str">
        <f>IF(AND('[3]Mapa de procesos'!$AC$51="Alta",'[3]Mapa de procesos'!$AE$51="Catastrófico"),CONCATENATE("R8C",'[3]Mapa de procesos'!$S$51),"")</f>
        <v/>
      </c>
      <c r="AN23" s="363"/>
      <c r="AO23" s="881"/>
      <c r="AP23" s="866"/>
      <c r="AQ23" s="866"/>
      <c r="AR23" s="866"/>
      <c r="AS23" s="866"/>
      <c r="AT23" s="882"/>
      <c r="AU23" s="363"/>
      <c r="AV23" s="363"/>
      <c r="AW23" s="363"/>
      <c r="AX23" s="363"/>
      <c r="AY23" s="363"/>
      <c r="AZ23" s="363"/>
      <c r="BA23" s="363"/>
      <c r="BB23" s="363"/>
      <c r="BC23" s="363"/>
      <c r="BD23" s="363"/>
      <c r="BE23" s="363"/>
      <c r="BF23" s="363"/>
      <c r="BG23" s="363"/>
      <c r="BH23" s="363"/>
      <c r="BI23" s="363"/>
    </row>
    <row r="24" spans="1:61" ht="15" customHeight="1" x14ac:dyDescent="0.25">
      <c r="A24" s="363"/>
      <c r="B24" s="868"/>
      <c r="C24" s="866"/>
      <c r="D24" s="870"/>
      <c r="E24" s="874"/>
      <c r="F24" s="866"/>
      <c r="G24" s="866"/>
      <c r="H24" s="866"/>
      <c r="I24" s="866"/>
      <c r="J24" s="385" t="str">
        <f>IF(AND('[3]Mapa de procesos'!$AC$52="Alta",'[3]Mapa de procesos'!$AE$52="Leve"),CONCATENATE("R9C",'[3]Mapa de procesos'!$S$52),"")</f>
        <v/>
      </c>
      <c r="K24" s="386" t="str">
        <f>IF(AND('[3]Mapa de procesos'!$AC$53="Alta",'[3]Mapa de procesos'!$AE$53="Leve"),CONCATENATE("R9C",'[3]Mapa de procesos'!$S$53),"")</f>
        <v/>
      </c>
      <c r="L24" s="386" t="str">
        <f>IF(AND('[3]Mapa de procesos'!$AC$54="Alta",'[3]Mapa de procesos'!$AE$54="Leve"),CONCATENATE("R9C",'[3]Mapa de procesos'!$S$54),"")</f>
        <v/>
      </c>
      <c r="M24" s="386" t="str">
        <f>IF(AND('[3]Mapa de procesos'!$AC$55="Alta",'[3]Mapa de procesos'!$AE$55="Leve"),CONCATENATE("R9C",'[3]Mapa de procesos'!$S$55),"")</f>
        <v/>
      </c>
      <c r="N24" s="386" t="str">
        <f>IF(AND('[3]Mapa de procesos'!$AC$56="Alta",'[3]Mapa de procesos'!$AE$56="Leve"),CONCATENATE("R9C",'[3]Mapa de procesos'!$S$56),"")</f>
        <v/>
      </c>
      <c r="O24" s="387" t="str">
        <f>IF(AND('[3]Mapa de procesos'!$AC$57="Alta",'[3]Mapa de procesos'!$AE$57="Leve"),CONCATENATE("R9C",'[3]Mapa de procesos'!$S$57),"")</f>
        <v/>
      </c>
      <c r="P24" s="385" t="str">
        <f>IF(AND('[3]Mapa de procesos'!$AC$52="Alta",'[3]Mapa de procesos'!$AE$52="Menor"),CONCATENATE("R9C",'[3]Mapa de procesos'!$S$52),"")</f>
        <v/>
      </c>
      <c r="Q24" s="386" t="str">
        <f>IF(AND('[3]Mapa de procesos'!$AC$53="Alta",'[3]Mapa de procesos'!$AE$53="Menor"),CONCATENATE("R9C",'[3]Mapa de procesos'!$S$53),"")</f>
        <v/>
      </c>
      <c r="R24" s="386" t="str">
        <f>IF(AND('[3]Mapa de procesos'!$AC$54="Alta",'[3]Mapa de procesos'!$AE$54="Menor"),CONCATENATE("R9C",'[3]Mapa de procesos'!$S$54),"")</f>
        <v/>
      </c>
      <c r="S24" s="386" t="str">
        <f>IF(AND('[3]Mapa de procesos'!$AC$55="Alta",'[3]Mapa de procesos'!$AE$55="Menor"),CONCATENATE("R9C",'[3]Mapa de procesos'!$S$55),"")</f>
        <v/>
      </c>
      <c r="T24" s="386" t="str">
        <f>IF(AND('[3]Mapa de procesos'!$AC$56="Alta",'[3]Mapa de procesos'!$AE$56="Menor"),CONCATENATE("R9C",'[3]Mapa de procesos'!$S$56),"")</f>
        <v/>
      </c>
      <c r="U24" s="387" t="str">
        <f>IF(AND('[3]Mapa de procesos'!$AC$57="Alta",'[3]Mapa de procesos'!$AE$57="Menor"),CONCATENATE("R9C",'[3]Mapa de procesos'!$S$57),"")</f>
        <v/>
      </c>
      <c r="V24" s="370" t="str">
        <f>IF(AND('[3]Mapa de procesos'!$AC$52="Alta",'[3]Mapa de procesos'!$AE$52="Moderado"),CONCATENATE("R9C",'[3]Mapa de procesos'!$S$52),"")</f>
        <v/>
      </c>
      <c r="W24" s="371" t="str">
        <f>IF(AND('[3]Mapa de procesos'!$AC$53="Alta",'[3]Mapa de procesos'!$AE$53="Moderado"),CONCATENATE("R9C",'[3]Mapa de procesos'!$S$53),"")</f>
        <v/>
      </c>
      <c r="X24" s="371" t="str">
        <f>IF(AND('[3]Mapa de procesos'!$AC$54="Alta",'[3]Mapa de procesos'!$AE$54="Moderado"),CONCATENATE("R9C",'[3]Mapa de procesos'!$S$54),"")</f>
        <v/>
      </c>
      <c r="Y24" s="371" t="str">
        <f>IF(AND('[3]Mapa de procesos'!$AC$55="Alta",'[3]Mapa de procesos'!$AE$55="Moderado"),CONCATENATE("R9C",'[3]Mapa de procesos'!$S$55),"")</f>
        <v/>
      </c>
      <c r="Z24" s="371" t="str">
        <f>IF(AND('[3]Mapa de procesos'!$AC$56="Alta",'[3]Mapa de procesos'!$AE$56="Moderado"),CONCATENATE("R9C",'[3]Mapa de procesos'!$S$56),"")</f>
        <v/>
      </c>
      <c r="AA24" s="372" t="str">
        <f>IF(AND('[3]Mapa de procesos'!$AC$57="Alta",'[3]Mapa de procesos'!$AE$57="Moderado"),CONCATENATE("R9C",'[3]Mapa de procesos'!$S$57),"")</f>
        <v/>
      </c>
      <c r="AB24" s="370" t="str">
        <f>IF(AND('[3]Mapa de procesos'!$AC$52="Alta",'[3]Mapa de procesos'!$AE$52="Mayor"),CONCATENATE("R9C",'[3]Mapa de procesos'!$S$52),"")</f>
        <v/>
      </c>
      <c r="AC24" s="371" t="str">
        <f>IF(AND('[3]Mapa de procesos'!$AC$53="Alta",'[3]Mapa de procesos'!$AE$53="Mayor"),CONCATENATE("R9C",'[3]Mapa de procesos'!$S$53),"")</f>
        <v/>
      </c>
      <c r="AD24" s="371" t="str">
        <f>IF(AND('[3]Mapa de procesos'!$AC$54="Alta",'[3]Mapa de procesos'!$AE$54="Mayor"),CONCATENATE("R9C",'[3]Mapa de procesos'!$S$54),"")</f>
        <v/>
      </c>
      <c r="AE24" s="371" t="str">
        <f>IF(AND('[3]Mapa de procesos'!$AC$55="Alta",'[3]Mapa de procesos'!$AE$55="Mayor"),CONCATENATE("R9C",'[3]Mapa de procesos'!$S$55),"")</f>
        <v/>
      </c>
      <c r="AF24" s="371" t="str">
        <f>IF(AND('[3]Mapa de procesos'!$AC$56="Alta",'[3]Mapa de procesos'!$AE$56="Mayor"),CONCATENATE("R9C",'[3]Mapa de procesos'!$S$56),"")</f>
        <v/>
      </c>
      <c r="AG24" s="372" t="str">
        <f>IF(AND('[3]Mapa de procesos'!$AC$57="Alta",'[3]Mapa de procesos'!$AE$57="Mayor"),CONCATENATE("R9C",'[3]Mapa de procesos'!$S$57),"")</f>
        <v/>
      </c>
      <c r="AH24" s="373" t="str">
        <f>IF(AND('[3]Mapa de procesos'!$AC$52="Alta",'[3]Mapa de procesos'!$AE$52="Catastrófico"),CONCATENATE("R9C",'[3]Mapa de procesos'!$S$52),"")</f>
        <v/>
      </c>
      <c r="AI24" s="374" t="str">
        <f>IF(AND('[3]Mapa de procesos'!$AC$53="Alta",'[3]Mapa de procesos'!$AE$53="Catastrófico"),CONCATENATE("R9C",'[3]Mapa de procesos'!$S$53),"")</f>
        <v/>
      </c>
      <c r="AJ24" s="374" t="str">
        <f>IF(AND('[3]Mapa de procesos'!$AC$54="Alta",'[3]Mapa de procesos'!$AE$54="Catastrófico"),CONCATENATE("R9C",'[3]Mapa de procesos'!$S$54),"")</f>
        <v/>
      </c>
      <c r="AK24" s="374" t="str">
        <f>IF(AND('[3]Mapa de procesos'!$AC$55="Alta",'[3]Mapa de procesos'!$AE$55="Catastrófico"),CONCATENATE("R9C",'[3]Mapa de procesos'!$S$55),"")</f>
        <v/>
      </c>
      <c r="AL24" s="374" t="str">
        <f>IF(AND('[3]Mapa de procesos'!$AC$56="Alta",'[3]Mapa de procesos'!$AE$56="Catastrófico"),CONCATENATE("R9C",'[3]Mapa de procesos'!$S$56),"")</f>
        <v/>
      </c>
      <c r="AM24" s="375" t="str">
        <f>IF(AND('[3]Mapa de procesos'!$AC$57="Alta",'[3]Mapa de procesos'!$AE$57="Catastrófico"),CONCATENATE("R9C",'[3]Mapa de procesos'!$S$57),"")</f>
        <v/>
      </c>
      <c r="AN24" s="363"/>
      <c r="AO24" s="881"/>
      <c r="AP24" s="866"/>
      <c r="AQ24" s="866"/>
      <c r="AR24" s="866"/>
      <c r="AS24" s="866"/>
      <c r="AT24" s="882"/>
      <c r="AU24" s="363"/>
      <c r="AV24" s="363"/>
      <c r="AW24" s="363"/>
      <c r="AX24" s="363"/>
      <c r="AY24" s="363"/>
      <c r="AZ24" s="363"/>
      <c r="BA24" s="363"/>
      <c r="BB24" s="363"/>
      <c r="BC24" s="363"/>
      <c r="BD24" s="363"/>
      <c r="BE24" s="363"/>
      <c r="BF24" s="363"/>
      <c r="BG24" s="363"/>
      <c r="BH24" s="363"/>
      <c r="BI24" s="363"/>
    </row>
    <row r="25" spans="1:61" ht="15.75" customHeight="1" thickBot="1" x14ac:dyDescent="0.3">
      <c r="A25" s="363"/>
      <c r="B25" s="868"/>
      <c r="C25" s="866"/>
      <c r="D25" s="870"/>
      <c r="E25" s="875"/>
      <c r="F25" s="876"/>
      <c r="G25" s="876"/>
      <c r="H25" s="876"/>
      <c r="I25" s="876"/>
      <c r="J25" s="388" t="str">
        <f>IF(AND('[3]Mapa de procesos'!$AC$58="Alta",'[3]Mapa de procesos'!$AE$58="Leve"),CONCATENATE("R10C",'[3]Mapa de procesos'!$S$58),"")</f>
        <v/>
      </c>
      <c r="K25" s="389" t="str">
        <f>IF(AND('[3]Mapa de procesos'!$AC$59="Alta",'[3]Mapa de procesos'!$AE$59="Leve"),CONCATENATE("R10C",'[3]Mapa de procesos'!$S$59),"")</f>
        <v/>
      </c>
      <c r="L25" s="389" t="str">
        <f>IF(AND('[3]Mapa de procesos'!$AC$60="Alta",'[3]Mapa de procesos'!$AE$60="Leve"),CONCATENATE("R10C",'[3]Mapa de procesos'!$S$60),"")</f>
        <v/>
      </c>
      <c r="M25" s="389" t="str">
        <f>IF(AND('[3]Mapa de procesos'!$AC$61="Alta",'[3]Mapa de procesos'!$AE$61="Leve"),CONCATENATE("R10C",'[3]Mapa de procesos'!$S$61),"")</f>
        <v/>
      </c>
      <c r="N25" s="389" t="str">
        <f>IF(AND('[3]Mapa de procesos'!$AC$62="Alta",'[3]Mapa de procesos'!$AE$62="Leve"),CONCATENATE("R10C",'[3]Mapa de procesos'!$S$62),"")</f>
        <v/>
      </c>
      <c r="O25" s="390" t="str">
        <f>IF(AND('[3]Mapa de procesos'!$AC$63="Alta",'[3]Mapa de procesos'!$AE$63="Leve"),CONCATENATE("R10C",'[3]Mapa de procesos'!$S$63),"")</f>
        <v/>
      </c>
      <c r="P25" s="388" t="str">
        <f>IF(AND('[3]Mapa de procesos'!$AC$58="Alta",'[3]Mapa de procesos'!$AE$58="Menor"),CONCATENATE("R10C",'[3]Mapa de procesos'!$S$58),"")</f>
        <v/>
      </c>
      <c r="Q25" s="389" t="str">
        <f>IF(AND('[3]Mapa de procesos'!$AC$59="Alta",'[3]Mapa de procesos'!$AE$59="Menor"),CONCATENATE("R10C",'[3]Mapa de procesos'!$S$59),"")</f>
        <v/>
      </c>
      <c r="R25" s="389" t="str">
        <f>IF(AND('[3]Mapa de procesos'!$AC$60="Alta",'[3]Mapa de procesos'!$AE$60="Menor"),CONCATENATE("R10C",'[3]Mapa de procesos'!$S$60),"")</f>
        <v/>
      </c>
      <c r="S25" s="389" t="str">
        <f>IF(AND('[3]Mapa de procesos'!$AC$61="Alta",'[3]Mapa de procesos'!$AE$61="Menor"),CONCATENATE("R10C",'[3]Mapa de procesos'!$S$61),"")</f>
        <v/>
      </c>
      <c r="T25" s="389" t="str">
        <f>IF(AND('[3]Mapa de procesos'!$AC$62="Alta",'[3]Mapa de procesos'!$AE$62="Menor"),CONCATENATE("R10C",'[3]Mapa de procesos'!$S$62),"")</f>
        <v/>
      </c>
      <c r="U25" s="390" t="str">
        <f>IF(AND('[3]Mapa de procesos'!$AC$63="Alta",'[3]Mapa de procesos'!$AE$63="Menor"),CONCATENATE("R10C",'[3]Mapa de procesos'!$S$63),"")</f>
        <v/>
      </c>
      <c r="V25" s="376" t="str">
        <f>IF(AND('[3]Mapa de procesos'!$AC$58="Alta",'[3]Mapa de procesos'!$AE$58="Moderado"),CONCATENATE("R10C",'[3]Mapa de procesos'!$S$58),"")</f>
        <v/>
      </c>
      <c r="W25" s="377" t="str">
        <f>IF(AND('[3]Mapa de procesos'!$AC$59="Alta",'[3]Mapa de procesos'!$AE$59="Moderado"),CONCATENATE("R10C",'[3]Mapa de procesos'!$S$59),"")</f>
        <v/>
      </c>
      <c r="X25" s="377" t="str">
        <f>IF(AND('[3]Mapa de procesos'!$AC$60="Alta",'[3]Mapa de procesos'!$AE$60="Moderado"),CONCATENATE("R10C",'[3]Mapa de procesos'!$S$60),"")</f>
        <v/>
      </c>
      <c r="Y25" s="377" t="str">
        <f>IF(AND('[3]Mapa de procesos'!$AC$61="Alta",'[3]Mapa de procesos'!$AE$61="Moderado"),CONCATENATE("R10C",'[3]Mapa de procesos'!$S$61),"")</f>
        <v/>
      </c>
      <c r="Z25" s="377" t="str">
        <f>IF(AND('[3]Mapa de procesos'!$AC$62="Alta",'[3]Mapa de procesos'!$AE$62="Moderado"),CONCATENATE("R10C",'[3]Mapa de procesos'!$S$62),"")</f>
        <v/>
      </c>
      <c r="AA25" s="378" t="str">
        <f>IF(AND('[3]Mapa de procesos'!$AC$63="Alta",'[3]Mapa de procesos'!$AE$63="Moderado"),CONCATENATE("R10C",'[3]Mapa de procesos'!$S$63),"")</f>
        <v/>
      </c>
      <c r="AB25" s="376" t="str">
        <f>IF(AND('[3]Mapa de procesos'!$AC$58="Alta",'[3]Mapa de procesos'!$AE$58="Mayor"),CONCATENATE("R10C",'[3]Mapa de procesos'!$S$58),"")</f>
        <v/>
      </c>
      <c r="AC25" s="377" t="str">
        <f>IF(AND('[3]Mapa de procesos'!$AC$59="Alta",'[3]Mapa de procesos'!$AE$59="Mayor"),CONCATENATE("R10C",'[3]Mapa de procesos'!$S$59),"")</f>
        <v/>
      </c>
      <c r="AD25" s="377" t="str">
        <f>IF(AND('[3]Mapa de procesos'!$AC$60="Alta",'[3]Mapa de procesos'!$AE$60="Mayor"),CONCATENATE("R10C",'[3]Mapa de procesos'!$S$60),"")</f>
        <v/>
      </c>
      <c r="AE25" s="377" t="str">
        <f>IF(AND('[3]Mapa de procesos'!$AC$61="Alta",'[3]Mapa de procesos'!$AE$61="Mayor"),CONCATENATE("R10C",'[3]Mapa de procesos'!$S$61),"")</f>
        <v/>
      </c>
      <c r="AF25" s="377" t="str">
        <f>IF(AND('[3]Mapa de procesos'!$AC$62="Alta",'[3]Mapa de procesos'!$AE$62="Mayor"),CONCATENATE("R10C",'[3]Mapa de procesos'!$S$62),"")</f>
        <v/>
      </c>
      <c r="AG25" s="378" t="str">
        <f>IF(AND('[3]Mapa de procesos'!$AC$63="Alta",'[3]Mapa de procesos'!$AE$63="Mayor"),CONCATENATE("R10C",'[3]Mapa de procesos'!$S$63),"")</f>
        <v/>
      </c>
      <c r="AH25" s="379" t="str">
        <f>IF(AND('[3]Mapa de procesos'!$AC$58="Alta",'[3]Mapa de procesos'!$AE$58="Catastrófico"),CONCATENATE("R10C",'[3]Mapa de procesos'!$S$58),"")</f>
        <v/>
      </c>
      <c r="AI25" s="380" t="str">
        <f>IF(AND('[3]Mapa de procesos'!$AC$59="Alta",'[3]Mapa de procesos'!$AE$59="Catastrófico"),CONCATENATE("R10C",'[3]Mapa de procesos'!$S$59),"")</f>
        <v/>
      </c>
      <c r="AJ25" s="380" t="str">
        <f>IF(AND('[3]Mapa de procesos'!$AC$60="Alta",'[3]Mapa de procesos'!$AE$60="Catastrófico"),CONCATENATE("R10C",'[3]Mapa de procesos'!$S$60),"")</f>
        <v/>
      </c>
      <c r="AK25" s="380" t="str">
        <f>IF(AND('[3]Mapa de procesos'!$AC$61="Alta",'[3]Mapa de procesos'!$AE$61="Catastrófico"),CONCATENATE("R10C",'[3]Mapa de procesos'!$S$61),"")</f>
        <v/>
      </c>
      <c r="AL25" s="380" t="str">
        <f>IF(AND('[3]Mapa de procesos'!$AC$62="Alta",'[3]Mapa de procesos'!$AE$62="Catastrófico"),CONCATENATE("R10C",'[3]Mapa de procesos'!$S$62),"")</f>
        <v/>
      </c>
      <c r="AM25" s="381" t="str">
        <f>IF(AND('[3]Mapa de procesos'!$AC$63="Alta",'[3]Mapa de procesos'!$AE$63="Catastrófico"),CONCATENATE("R10C",'[3]Mapa de procesos'!$S$63),"")</f>
        <v/>
      </c>
      <c r="AN25" s="363"/>
      <c r="AO25" s="883"/>
      <c r="AP25" s="884"/>
      <c r="AQ25" s="884"/>
      <c r="AR25" s="884"/>
      <c r="AS25" s="884"/>
      <c r="AT25" s="885"/>
      <c r="AU25" s="363"/>
      <c r="AV25" s="363"/>
      <c r="AW25" s="363"/>
      <c r="AX25" s="363"/>
      <c r="AY25" s="363"/>
      <c r="AZ25" s="363"/>
      <c r="BA25" s="363"/>
      <c r="BB25" s="363"/>
      <c r="BC25" s="363"/>
      <c r="BD25" s="363"/>
      <c r="BE25" s="363"/>
      <c r="BF25" s="363"/>
      <c r="BG25" s="363"/>
      <c r="BH25" s="363"/>
      <c r="BI25" s="363"/>
    </row>
    <row r="26" spans="1:61" ht="15" customHeight="1" x14ac:dyDescent="0.25">
      <c r="A26" s="363"/>
      <c r="B26" s="868"/>
      <c r="C26" s="866"/>
      <c r="D26" s="870"/>
      <c r="E26" s="871" t="s">
        <v>7</v>
      </c>
      <c r="F26" s="872"/>
      <c r="G26" s="872"/>
      <c r="H26" s="872"/>
      <c r="I26" s="873"/>
      <c r="J26" s="382" t="str">
        <f>IF(AND('[3]Mapa de procesos'!$AC$4="Media",'[3]Mapa de procesos'!$AE$4="Leve"),CONCATENATE("R1C",'[3]Mapa de procesos'!$S$4),"")</f>
        <v/>
      </c>
      <c r="K26" s="383" t="str">
        <f>IF(AND('[3]Mapa de procesos'!$AC$5="Media",'[3]Mapa de procesos'!$AE$5="Leve"),CONCATENATE("R1C",'[3]Mapa de procesos'!$S$5),"")</f>
        <v/>
      </c>
      <c r="L26" s="383" t="str">
        <f>IF(AND('[3]Mapa de procesos'!$AC$6="Media",'[3]Mapa de procesos'!$AE$6="Leve"),CONCATENATE("R1C",'[3]Mapa de procesos'!$S$6),"")</f>
        <v/>
      </c>
      <c r="M26" s="383" t="str">
        <f>IF(AND('[3]Mapa de procesos'!$AC$7="Media",'[3]Mapa de procesos'!$AE$7="Leve"),CONCATENATE("R1C",'[3]Mapa de procesos'!$S$7),"")</f>
        <v/>
      </c>
      <c r="N26" s="383" t="str">
        <f>IF(AND('[3]Mapa de procesos'!$AC$8="Media",'[3]Mapa de procesos'!$AE$8="Leve"),CONCATENATE("R1C",'[3]Mapa de procesos'!$S$8),"")</f>
        <v/>
      </c>
      <c r="O26" s="384" t="str">
        <f>IF(AND('[3]Mapa de procesos'!$AC$9="Media",'[3]Mapa de procesos'!$AE$9="Leve"),CONCATENATE("R1C",'[3]Mapa de procesos'!$S$9),"")</f>
        <v/>
      </c>
      <c r="P26" s="382" t="str">
        <f>IF(AND('[3]Mapa de procesos'!$AC$4="Media",'[3]Mapa de procesos'!$AE$4="Menor"),CONCATENATE("R1C",'[3]Mapa de procesos'!$S$4),"")</f>
        <v/>
      </c>
      <c r="Q26" s="383" t="str">
        <f>IF(AND('[3]Mapa de procesos'!$AC$5="Media",'[3]Mapa de procesos'!$AE$5="Menor"),CONCATENATE("R1C",'[3]Mapa de procesos'!$S$5),"")</f>
        <v/>
      </c>
      <c r="R26" s="383" t="str">
        <f>IF(AND('[3]Mapa de procesos'!$AC$6="Media",'[3]Mapa de procesos'!$AE$6="Menor"),CONCATENATE("R1C",'[3]Mapa de procesos'!$S$6),"")</f>
        <v/>
      </c>
      <c r="S26" s="383" t="str">
        <f>IF(AND('[3]Mapa de procesos'!$AC$7="Media",'[3]Mapa de procesos'!$AE$7="Menor"),CONCATENATE("R1C",'[3]Mapa de procesos'!$S$7),"")</f>
        <v/>
      </c>
      <c r="T26" s="383" t="str">
        <f>IF(AND('[3]Mapa de procesos'!$AC$8="Media",'[3]Mapa de procesos'!$AE$8="Menor"),CONCATENATE("R1C",'[3]Mapa de procesos'!$S$8),"")</f>
        <v/>
      </c>
      <c r="U26" s="384" t="str">
        <f>IF(AND('[3]Mapa de procesos'!$AC$9="Media",'[3]Mapa de procesos'!$AE$9="Menor"),CONCATENATE("R1C",'[3]Mapa de procesos'!$S$9),"")</f>
        <v/>
      </c>
      <c r="V26" s="382" t="str">
        <f>IF(AND('[3]Mapa de procesos'!$AC$4="Media",'[3]Mapa de procesos'!$AE$4="Moderado"),CONCATENATE("R1C",'[3]Mapa de procesos'!$S$4),"")</f>
        <v/>
      </c>
      <c r="W26" s="383" t="str">
        <f>IF(AND('[3]Mapa de procesos'!$AC$5="Media",'[3]Mapa de procesos'!$AE$5="Moderado"),CONCATENATE("R1C",'[3]Mapa de procesos'!$S$5),"")</f>
        <v/>
      </c>
      <c r="X26" s="383" t="str">
        <f>IF(AND('[3]Mapa de procesos'!$AC$6="Media",'[3]Mapa de procesos'!$AE$6="Moderado"),CONCATENATE("R1C",'[3]Mapa de procesos'!$S$6),"")</f>
        <v/>
      </c>
      <c r="Y26" s="383" t="str">
        <f>IF(AND('[3]Mapa de procesos'!$AC$7="Media",'[3]Mapa de procesos'!$AE$7="Moderado"),CONCATENATE("R1C",'[3]Mapa de procesos'!$S$7),"")</f>
        <v/>
      </c>
      <c r="Z26" s="383" t="str">
        <f>IF(AND('[3]Mapa de procesos'!$AC$8="Media",'[3]Mapa de procesos'!$AE$8="Moderado"),CONCATENATE("R1C",'[3]Mapa de procesos'!$S$8),"")</f>
        <v/>
      </c>
      <c r="AA26" s="384" t="str">
        <f>IF(AND('[3]Mapa de procesos'!$AC$9="Media",'[3]Mapa de procesos'!$AE$9="Moderado"),CONCATENATE("R1C",'[3]Mapa de procesos'!$S$9),"")</f>
        <v/>
      </c>
      <c r="AB26" s="364" t="str">
        <f>IF(AND('[3]Mapa de procesos'!$AC$4="Media",'[3]Mapa de procesos'!$AE$4="Mayor"),CONCATENATE("R1C",'[3]Mapa de procesos'!$S$4),"")</f>
        <v/>
      </c>
      <c r="AC26" s="365" t="str">
        <f>IF(AND('[3]Mapa de procesos'!$AC$5="Media",'[3]Mapa de procesos'!$AE$5="Mayor"),CONCATENATE("R1C",'[3]Mapa de procesos'!$S$5),"")</f>
        <v/>
      </c>
      <c r="AD26" s="365" t="str">
        <f>IF(AND('[3]Mapa de procesos'!$AC$6="Media",'[3]Mapa de procesos'!$AE$6="Mayor"),CONCATENATE("R1C",'[3]Mapa de procesos'!$S$6),"")</f>
        <v/>
      </c>
      <c r="AE26" s="365" t="str">
        <f>IF(AND('[3]Mapa de procesos'!$AC$7="Media",'[3]Mapa de procesos'!$AE$7="Mayor"),CONCATENATE("R1C",'[3]Mapa de procesos'!$S$7),"")</f>
        <v/>
      </c>
      <c r="AF26" s="365" t="str">
        <f>IF(AND('[3]Mapa de procesos'!$AC$8="Media",'[3]Mapa de procesos'!$AE$8="Mayor"),CONCATENATE("R1C",'[3]Mapa de procesos'!$S$8),"")</f>
        <v/>
      </c>
      <c r="AG26" s="366" t="str">
        <f>IF(AND('[3]Mapa de procesos'!$AC$9="Media",'[3]Mapa de procesos'!$AE$9="Mayor"),CONCATENATE("R1C",'[3]Mapa de procesos'!$S$9),"")</f>
        <v/>
      </c>
      <c r="AH26" s="367" t="str">
        <f>IF(AND('[3]Mapa de procesos'!$AC$4="Media",'[3]Mapa de procesos'!$AE$4="Catastrófico"),CONCATENATE("R1C",'[3]Mapa de procesos'!$S$4),"")</f>
        <v/>
      </c>
      <c r="AI26" s="368" t="str">
        <f>IF(AND('[3]Mapa de procesos'!$AC$5="Media",'[3]Mapa de procesos'!$AE$5="Catastrófico"),CONCATENATE("R1C",'[3]Mapa de procesos'!$S$5),"")</f>
        <v/>
      </c>
      <c r="AJ26" s="368" t="str">
        <f>IF(AND('[3]Mapa de procesos'!$AC$6="Media",'[3]Mapa de procesos'!$AE$6="Catastrófico"),CONCATENATE("R1C",'[3]Mapa de procesos'!$S$6),"")</f>
        <v/>
      </c>
      <c r="AK26" s="368" t="str">
        <f>IF(AND('[3]Mapa de procesos'!$AC$7="Media",'[3]Mapa de procesos'!$AE$7="Catastrófico"),CONCATENATE("R1C",'[3]Mapa de procesos'!$S$7),"")</f>
        <v/>
      </c>
      <c r="AL26" s="368" t="str">
        <f>IF(AND('[3]Mapa de procesos'!$AC$8="Media",'[3]Mapa de procesos'!$AE$8="Catastrófico"),CONCATENATE("R1C",'[3]Mapa de procesos'!$S$8),"")</f>
        <v/>
      </c>
      <c r="AM26" s="369" t="str">
        <f>IF(AND('[3]Mapa de procesos'!$AC$9="Media",'[3]Mapa de procesos'!$AE$9="Catastrófico"),CONCATENATE("R1C",'[3]Mapa de procesos'!$S$9),"")</f>
        <v/>
      </c>
      <c r="AN26" s="363"/>
      <c r="AO26" s="887" t="s">
        <v>8</v>
      </c>
      <c r="AP26" s="879"/>
      <c r="AQ26" s="879"/>
      <c r="AR26" s="879"/>
      <c r="AS26" s="879"/>
      <c r="AT26" s="880"/>
      <c r="AU26" s="363"/>
      <c r="AV26" s="363"/>
      <c r="AW26" s="363"/>
      <c r="AX26" s="363"/>
      <c r="AY26" s="363"/>
      <c r="AZ26" s="363"/>
      <c r="BA26" s="363"/>
      <c r="BB26" s="363"/>
      <c r="BC26" s="363"/>
      <c r="BD26" s="363"/>
      <c r="BE26" s="363"/>
      <c r="BF26" s="363"/>
      <c r="BG26" s="363"/>
      <c r="BH26" s="363"/>
      <c r="BI26" s="363"/>
    </row>
    <row r="27" spans="1:61" ht="15" customHeight="1" x14ac:dyDescent="0.25">
      <c r="A27" s="363"/>
      <c r="B27" s="868"/>
      <c r="C27" s="866"/>
      <c r="D27" s="870"/>
      <c r="E27" s="874"/>
      <c r="F27" s="866"/>
      <c r="G27" s="866"/>
      <c r="H27" s="866"/>
      <c r="I27" s="870"/>
      <c r="J27" s="385" t="str">
        <f>IF(AND('[3]Mapa de procesos'!$AC$10="Media",'[3]Mapa de procesos'!$AE$10="Leve"),CONCATENATE("R2C",'[3]Mapa de procesos'!$S$10),"")</f>
        <v/>
      </c>
      <c r="K27" s="386" t="str">
        <f>IF(AND('[3]Mapa de procesos'!$AC$11="Media",'[3]Mapa de procesos'!$AE$11="Leve"),CONCATENATE("R2C",'[3]Mapa de procesos'!$S$11),"")</f>
        <v/>
      </c>
      <c r="L27" s="386" t="str">
        <f>IF(AND('[3]Mapa de procesos'!$AC$12="Media",'[3]Mapa de procesos'!$AE$12="Leve"),CONCATENATE("R2C",'[3]Mapa de procesos'!$S$12),"")</f>
        <v/>
      </c>
      <c r="M27" s="386" t="str">
        <f>IF(AND('[3]Mapa de procesos'!$AC$13="Media",'[3]Mapa de procesos'!$AE$13="Leve"),CONCATENATE("R2C",'[3]Mapa de procesos'!$S$13),"")</f>
        <v/>
      </c>
      <c r="N27" s="386" t="str">
        <f>IF(AND('[3]Mapa de procesos'!$AC$14="Media",'[3]Mapa de procesos'!$AE$14="Leve"),CONCATENATE("R2C",'[3]Mapa de procesos'!$S$14),"")</f>
        <v/>
      </c>
      <c r="O27" s="387" t="str">
        <f>IF(AND('[3]Mapa de procesos'!$AC$15="Media",'[3]Mapa de procesos'!$AE$15="Leve"),CONCATENATE("R2C",'[3]Mapa de procesos'!$S$15),"")</f>
        <v/>
      </c>
      <c r="P27" s="385" t="str">
        <f>IF(AND('[3]Mapa de procesos'!$AC$10="Media",'[3]Mapa de procesos'!$AE$10="Menor"),CONCATENATE("R2C",'[3]Mapa de procesos'!$S$10),"")</f>
        <v/>
      </c>
      <c r="Q27" s="386" t="str">
        <f>IF(AND('[3]Mapa de procesos'!$AC$11="Media",'[3]Mapa de procesos'!$AE$11="Menor"),CONCATENATE("R2C",'[3]Mapa de procesos'!$S$11),"")</f>
        <v/>
      </c>
      <c r="R27" s="386" t="str">
        <f>IF(AND('[3]Mapa de procesos'!$AC$12="Media",'[3]Mapa de procesos'!$AE$12="Menor"),CONCATENATE("R2C",'[3]Mapa de procesos'!$S$12),"")</f>
        <v/>
      </c>
      <c r="S27" s="386" t="str">
        <f>IF(AND('[3]Mapa de procesos'!$AC$13="Media",'[3]Mapa de procesos'!$AE$13="Menor"),CONCATENATE("R2C",'[3]Mapa de procesos'!$S$13),"")</f>
        <v/>
      </c>
      <c r="T27" s="386" t="str">
        <f>IF(AND('[3]Mapa de procesos'!$AC$14="Media",'[3]Mapa de procesos'!$AE$14="Menor"),CONCATENATE("R2C",'[3]Mapa de procesos'!$S$14),"")</f>
        <v/>
      </c>
      <c r="U27" s="387" t="str">
        <f>IF(AND('[3]Mapa de procesos'!$AC$15="Media",'[3]Mapa de procesos'!$AE$15="Menor"),CONCATENATE("R2C",'[3]Mapa de procesos'!$S$15),"")</f>
        <v/>
      </c>
      <c r="V27" s="385" t="str">
        <f>IF(AND('[3]Mapa de procesos'!$AC$10="Media",'[3]Mapa de procesos'!$AE$10="Moderado"),CONCATENATE("R2C",'[3]Mapa de procesos'!$S$10),"")</f>
        <v/>
      </c>
      <c r="W27" s="386" t="str">
        <f>IF(AND('[3]Mapa de procesos'!$AC$11="Media",'[3]Mapa de procesos'!$AE$11="Moderado"),CONCATENATE("R2C",'[3]Mapa de procesos'!$S$11),"")</f>
        <v/>
      </c>
      <c r="X27" s="386" t="str">
        <f>IF(AND('[3]Mapa de procesos'!$AC$12="Media",'[3]Mapa de procesos'!$AE$12="Moderado"),CONCATENATE("R2C",'[3]Mapa de procesos'!$S$12),"")</f>
        <v/>
      </c>
      <c r="Y27" s="386" t="str">
        <f>IF(AND('[3]Mapa de procesos'!$AC$13="Media",'[3]Mapa de procesos'!$AE$13="Moderado"),CONCATENATE("R2C",'[3]Mapa de procesos'!$S$13),"")</f>
        <v/>
      </c>
      <c r="Z27" s="386" t="str">
        <f>IF(AND('[3]Mapa de procesos'!$AC$14="Media",'[3]Mapa de procesos'!$AE$14="Moderado"),CONCATENATE("R2C",'[3]Mapa de procesos'!$S$14),"")</f>
        <v/>
      </c>
      <c r="AA27" s="387" t="str">
        <f>IF(AND('[3]Mapa de procesos'!$AC$15="Media",'[3]Mapa de procesos'!$AE$15="Moderado"),CONCATENATE("R2C",'[3]Mapa de procesos'!$S$15),"")</f>
        <v/>
      </c>
      <c r="AB27" s="370" t="str">
        <f>IF(AND('[3]Mapa de procesos'!$AC$10="Media",'[3]Mapa de procesos'!$AE$10="Mayor"),CONCATENATE("R2C",'[3]Mapa de procesos'!$S$10),"")</f>
        <v/>
      </c>
      <c r="AC27" s="371" t="str">
        <f>IF(AND('[3]Mapa de procesos'!$AC$11="Media",'[3]Mapa de procesos'!$AE$11="Mayor"),CONCATENATE("R2C",'[3]Mapa de procesos'!$S$11),"")</f>
        <v/>
      </c>
      <c r="AD27" s="371" t="str">
        <f>IF(AND('[3]Mapa de procesos'!$AC$12="Media",'[3]Mapa de procesos'!$AE$12="Mayor"),CONCATENATE("R2C",'[3]Mapa de procesos'!$S$12),"")</f>
        <v/>
      </c>
      <c r="AE27" s="371" t="str">
        <f>IF(AND('[3]Mapa de procesos'!$AC$13="Media",'[3]Mapa de procesos'!$AE$13="Mayor"),CONCATENATE("R2C",'[3]Mapa de procesos'!$S$13),"")</f>
        <v/>
      </c>
      <c r="AF27" s="371" t="str">
        <f>IF(AND('[3]Mapa de procesos'!$AC$14="Media",'[3]Mapa de procesos'!$AE$14="Mayor"),CONCATENATE("R2C",'[3]Mapa de procesos'!$S$14),"")</f>
        <v/>
      </c>
      <c r="AG27" s="372" t="str">
        <f>IF(AND('[3]Mapa de procesos'!$AC$15="Media",'[3]Mapa de procesos'!$AE$15="Mayor"),CONCATENATE("R2C",'[3]Mapa de procesos'!$S$15),"")</f>
        <v/>
      </c>
      <c r="AH27" s="373" t="str">
        <f>IF(AND('[3]Mapa de procesos'!$AC$10="Media",'[3]Mapa de procesos'!$AE$10="Catastrófico"),CONCATENATE("R2C",'[3]Mapa de procesos'!$S$10),"")</f>
        <v/>
      </c>
      <c r="AI27" s="374" t="str">
        <f>IF(AND('[3]Mapa de procesos'!$AC$11="Media",'[3]Mapa de procesos'!$AE$11="Catastrófico"),CONCATENATE("R2C",'[3]Mapa de procesos'!$S$11),"")</f>
        <v/>
      </c>
      <c r="AJ27" s="374" t="str">
        <f>IF(AND('[3]Mapa de procesos'!$AC$12="Media",'[3]Mapa de procesos'!$AE$12="Catastrófico"),CONCATENATE("R2C",'[3]Mapa de procesos'!$S$12),"")</f>
        <v/>
      </c>
      <c r="AK27" s="374" t="str">
        <f>IF(AND('[3]Mapa de procesos'!$AC$13="Media",'[3]Mapa de procesos'!$AE$13="Catastrófico"),CONCATENATE("R2C",'[3]Mapa de procesos'!$S$13),"")</f>
        <v/>
      </c>
      <c r="AL27" s="374" t="str">
        <f>IF(AND('[3]Mapa de procesos'!$AC$14="Media",'[3]Mapa de procesos'!$AE$14="Catastrófico"),CONCATENATE("R2C",'[3]Mapa de procesos'!$S$14),"")</f>
        <v/>
      </c>
      <c r="AM27" s="375" t="str">
        <f>IF(AND('[3]Mapa de procesos'!$AC$15="Media",'[3]Mapa de procesos'!$AE$15="Catastrófico"),CONCATENATE("R2C",'[3]Mapa de procesos'!$S$15),"")</f>
        <v/>
      </c>
      <c r="AN27" s="363"/>
      <c r="AO27" s="881"/>
      <c r="AP27" s="866"/>
      <c r="AQ27" s="866"/>
      <c r="AR27" s="866"/>
      <c r="AS27" s="866"/>
      <c r="AT27" s="882"/>
      <c r="AU27" s="363"/>
      <c r="AV27" s="363"/>
      <c r="AW27" s="363"/>
      <c r="AX27" s="363"/>
      <c r="AY27" s="363"/>
      <c r="AZ27" s="363"/>
      <c r="BA27" s="363"/>
      <c r="BB27" s="363"/>
      <c r="BC27" s="363"/>
      <c r="BD27" s="363"/>
      <c r="BE27" s="363"/>
      <c r="BF27" s="363"/>
      <c r="BG27" s="363"/>
      <c r="BH27" s="363"/>
      <c r="BI27" s="363"/>
    </row>
    <row r="28" spans="1:61" ht="15" customHeight="1" x14ac:dyDescent="0.25">
      <c r="A28" s="363"/>
      <c r="B28" s="868"/>
      <c r="C28" s="866"/>
      <c r="D28" s="870"/>
      <c r="E28" s="874"/>
      <c r="F28" s="866"/>
      <c r="G28" s="866"/>
      <c r="H28" s="866"/>
      <c r="I28" s="870"/>
      <c r="J28" s="385" t="str">
        <f>IF(AND('[3]Mapa de procesos'!$AC$16="Media",'[3]Mapa de procesos'!$AE$16="Leve"),CONCATENATE("R3C",'[3]Mapa de procesos'!$S$16),"")</f>
        <v/>
      </c>
      <c r="K28" s="386" t="str">
        <f>IF(AND('[3]Mapa de procesos'!$AC$17="Media",'[3]Mapa de procesos'!$AE$17="Leve"),CONCATENATE("R3C",'[3]Mapa de procesos'!$S$17),"")</f>
        <v/>
      </c>
      <c r="L28" s="386" t="str">
        <f>IF(AND('[3]Mapa de procesos'!$AC$18="Media",'[3]Mapa de procesos'!$AE$18="Leve"),CONCATENATE("R3C",'[3]Mapa de procesos'!$S$18),"")</f>
        <v/>
      </c>
      <c r="M28" s="386" t="str">
        <f>IF(AND('[3]Mapa de procesos'!$AC$19="Media",'[3]Mapa de procesos'!$AE$19="Leve"),CONCATENATE("R3C",'[3]Mapa de procesos'!$S$19),"")</f>
        <v/>
      </c>
      <c r="N28" s="386" t="str">
        <f>IF(AND('[3]Mapa de procesos'!$AC$20="Media",'[3]Mapa de procesos'!$AE$20="Leve"),CONCATENATE("R3C",'[3]Mapa de procesos'!$S$20),"")</f>
        <v/>
      </c>
      <c r="O28" s="387" t="str">
        <f>IF(AND('[3]Mapa de procesos'!$AC$21="Media",'[3]Mapa de procesos'!$AE$21="Leve"),CONCATENATE("R3C",'[3]Mapa de procesos'!$S$21),"")</f>
        <v/>
      </c>
      <c r="P28" s="385" t="str">
        <f>IF(AND('[3]Mapa de procesos'!$AC$16="Media",'[3]Mapa de procesos'!$AE$16="Menor"),CONCATENATE("R3C",'[3]Mapa de procesos'!$S$16),"")</f>
        <v/>
      </c>
      <c r="Q28" s="386" t="str">
        <f>IF(AND('[3]Mapa de procesos'!$AC$17="Media",'[3]Mapa de procesos'!$AE$17="Menor"),CONCATENATE("R3C",'[3]Mapa de procesos'!$S$17),"")</f>
        <v/>
      </c>
      <c r="R28" s="386" t="str">
        <f>IF(AND('[3]Mapa de procesos'!$AC$18="Media",'[3]Mapa de procesos'!$AE$18="Menor"),CONCATENATE("R3C",'[3]Mapa de procesos'!$S$18),"")</f>
        <v/>
      </c>
      <c r="S28" s="386" t="str">
        <f>IF(AND('[3]Mapa de procesos'!$AC$19="Media",'[3]Mapa de procesos'!$AE$19="Menor"),CONCATENATE("R3C",'[3]Mapa de procesos'!$S$19),"")</f>
        <v/>
      </c>
      <c r="T28" s="386" t="str">
        <f>IF(AND('[3]Mapa de procesos'!$AC$20="Media",'[3]Mapa de procesos'!$AE$20="Menor"),CONCATENATE("R3C",'[3]Mapa de procesos'!$S$20),"")</f>
        <v/>
      </c>
      <c r="U28" s="387" t="str">
        <f>IF(AND('[3]Mapa de procesos'!$AC$21="Media",'[3]Mapa de procesos'!$AE$21="Menor"),CONCATENATE("R3C",'[3]Mapa de procesos'!$S$21),"")</f>
        <v/>
      </c>
      <c r="V28" s="385" t="str">
        <f>IF(AND('[3]Mapa de procesos'!$AC$16="Media",'[3]Mapa de procesos'!$AE$16="Moderado"),CONCATENATE("R3C",'[3]Mapa de procesos'!$S$16),"")</f>
        <v/>
      </c>
      <c r="W28" s="386" t="str">
        <f>IF(AND('[3]Mapa de procesos'!$AC$17="Media",'[3]Mapa de procesos'!$AE$17="Moderado"),CONCATENATE("R3C",'[3]Mapa de procesos'!$S$17),"")</f>
        <v/>
      </c>
      <c r="X28" s="386" t="str">
        <f>IF(AND('[3]Mapa de procesos'!$AC$18="Media",'[3]Mapa de procesos'!$AE$18="Moderado"),CONCATENATE("R3C",'[3]Mapa de procesos'!$S$18),"")</f>
        <v/>
      </c>
      <c r="Y28" s="386" t="str">
        <f>IF(AND('[3]Mapa de procesos'!$AC$19="Media",'[3]Mapa de procesos'!$AE$19="Moderado"),CONCATENATE("R3C",'[3]Mapa de procesos'!$S$19),"")</f>
        <v/>
      </c>
      <c r="Z28" s="386" t="str">
        <f>IF(AND('[3]Mapa de procesos'!$AC$20="Media",'[3]Mapa de procesos'!$AE$20="Moderado"),CONCATENATE("R3C",'[3]Mapa de procesos'!$S$20),"")</f>
        <v/>
      </c>
      <c r="AA28" s="387" t="str">
        <f>IF(AND('[3]Mapa de procesos'!$AC$21="Media",'[3]Mapa de procesos'!$AE$21="Moderado"),CONCATENATE("R3C",'[3]Mapa de procesos'!$S$21),"")</f>
        <v/>
      </c>
      <c r="AB28" s="370" t="str">
        <f>IF(AND('[3]Mapa de procesos'!$AC$16="Media",'[3]Mapa de procesos'!$AE$16="Mayor"),CONCATENATE("R3C",'[3]Mapa de procesos'!$S$16),"")</f>
        <v/>
      </c>
      <c r="AC28" s="371" t="str">
        <f>IF(AND('[3]Mapa de procesos'!$AC$17="Media",'[3]Mapa de procesos'!$AE$17="Mayor"),CONCATENATE("R3C",'[3]Mapa de procesos'!$S$17),"")</f>
        <v/>
      </c>
      <c r="AD28" s="371" t="str">
        <f>IF(AND('[3]Mapa de procesos'!$AC$18="Media",'[3]Mapa de procesos'!$AE$18="Mayor"),CONCATENATE("R3C",'[3]Mapa de procesos'!$S$18),"")</f>
        <v/>
      </c>
      <c r="AE28" s="371" t="str">
        <f>IF(AND('[3]Mapa de procesos'!$AC$19="Media",'[3]Mapa de procesos'!$AE$19="Mayor"),CONCATENATE("R3C",'[3]Mapa de procesos'!$S$19),"")</f>
        <v/>
      </c>
      <c r="AF28" s="371" t="str">
        <f>IF(AND('[3]Mapa de procesos'!$AC$20="Media",'[3]Mapa de procesos'!$AE$20="Mayor"),CONCATENATE("R3C",'[3]Mapa de procesos'!$S$20),"")</f>
        <v/>
      </c>
      <c r="AG28" s="372" t="str">
        <f>IF(AND('[3]Mapa de procesos'!$AC$21="Media",'[3]Mapa de procesos'!$AE$21="Mayor"),CONCATENATE("R3C",'[3]Mapa de procesos'!$S$21),"")</f>
        <v/>
      </c>
      <c r="AH28" s="373" t="str">
        <f>IF(AND('[3]Mapa de procesos'!$AC$16="Media",'[3]Mapa de procesos'!$AE$16="Catastrófico"),CONCATENATE("R3C",'[3]Mapa de procesos'!$S$16),"")</f>
        <v/>
      </c>
      <c r="AI28" s="374" t="str">
        <f>IF(AND('[3]Mapa de procesos'!$AC$17="Media",'[3]Mapa de procesos'!$AE$17="Catastrófico"),CONCATENATE("R3C",'[3]Mapa de procesos'!$S$17),"")</f>
        <v/>
      </c>
      <c r="AJ28" s="374" t="str">
        <f>IF(AND('[3]Mapa de procesos'!$AC$18="Media",'[3]Mapa de procesos'!$AE$18="Catastrófico"),CONCATENATE("R3C",'[3]Mapa de procesos'!$S$18),"")</f>
        <v/>
      </c>
      <c r="AK28" s="374" t="str">
        <f>IF(AND('[3]Mapa de procesos'!$AC$19="Media",'[3]Mapa de procesos'!$AE$19="Catastrófico"),CONCATENATE("R3C",'[3]Mapa de procesos'!$S$19),"")</f>
        <v/>
      </c>
      <c r="AL28" s="374" t="str">
        <f>IF(AND('[3]Mapa de procesos'!$AC$20="Media",'[3]Mapa de procesos'!$AE$20="Catastrófico"),CONCATENATE("R3C",'[3]Mapa de procesos'!$S$20),"")</f>
        <v/>
      </c>
      <c r="AM28" s="375" t="str">
        <f>IF(AND('[3]Mapa de procesos'!$AC$21="Media",'[3]Mapa de procesos'!$AE$21="Catastrófico"),CONCATENATE("R3C",'[3]Mapa de procesos'!$S$21),"")</f>
        <v/>
      </c>
      <c r="AN28" s="363"/>
      <c r="AO28" s="881"/>
      <c r="AP28" s="866"/>
      <c r="AQ28" s="866"/>
      <c r="AR28" s="866"/>
      <c r="AS28" s="866"/>
      <c r="AT28" s="882"/>
      <c r="AU28" s="363"/>
      <c r="AV28" s="363"/>
      <c r="AW28" s="363"/>
      <c r="AX28" s="363"/>
      <c r="AY28" s="363"/>
      <c r="AZ28" s="363"/>
      <c r="BA28" s="363"/>
      <c r="BB28" s="363"/>
      <c r="BC28" s="363"/>
      <c r="BD28" s="363"/>
      <c r="BE28" s="363"/>
      <c r="BF28" s="363"/>
      <c r="BG28" s="363"/>
      <c r="BH28" s="363"/>
      <c r="BI28" s="363"/>
    </row>
    <row r="29" spans="1:61" ht="15" customHeight="1" x14ac:dyDescent="0.25">
      <c r="A29" s="363"/>
      <c r="B29" s="868"/>
      <c r="C29" s="866"/>
      <c r="D29" s="870"/>
      <c r="E29" s="874"/>
      <c r="F29" s="866"/>
      <c r="G29" s="866"/>
      <c r="H29" s="866"/>
      <c r="I29" s="870"/>
      <c r="J29" s="385" t="str">
        <f>IF(AND('[3]Mapa de procesos'!$AC$22="Media",'[3]Mapa de procesos'!$AE$22="Leve"),CONCATENATE("R4C",'[3]Mapa de procesos'!$S$22),"")</f>
        <v/>
      </c>
      <c r="K29" s="386" t="str">
        <f>IF(AND('[3]Mapa de procesos'!$AC$23="Media",'[3]Mapa de procesos'!$AE$23="Leve"),CONCATENATE("R4C",'[3]Mapa de procesos'!$S$23),"")</f>
        <v/>
      </c>
      <c r="L29" s="386" t="str">
        <f>IF(AND('[3]Mapa de procesos'!$AC$24="Media",'[3]Mapa de procesos'!$AE$24="Leve"),CONCATENATE("R4C",'[3]Mapa de procesos'!$S$24),"")</f>
        <v/>
      </c>
      <c r="M29" s="386" t="str">
        <f>IF(AND('[3]Mapa de procesos'!$AC$25="Media",'[3]Mapa de procesos'!$AE$25="Leve"),CONCATENATE("R4C",'[3]Mapa de procesos'!$S$25),"")</f>
        <v/>
      </c>
      <c r="N29" s="386" t="str">
        <f>IF(AND('[3]Mapa de procesos'!$AC$26="Media",'[3]Mapa de procesos'!$AE$26="Leve"),CONCATENATE("R4C",'[3]Mapa de procesos'!$S$26),"")</f>
        <v/>
      </c>
      <c r="O29" s="387" t="str">
        <f>IF(AND('[3]Mapa de procesos'!$AC$27="Media",'[3]Mapa de procesos'!$AE$27="Leve"),CONCATENATE("R4C",'[3]Mapa de procesos'!$S$27),"")</f>
        <v/>
      </c>
      <c r="P29" s="385" t="str">
        <f>IF(AND('[3]Mapa de procesos'!$AC$22="Media",'[3]Mapa de procesos'!$AE$22="Menor"),CONCATENATE("R4C",'[3]Mapa de procesos'!$S$22),"")</f>
        <v/>
      </c>
      <c r="Q29" s="386" t="str">
        <f>IF(AND('[3]Mapa de procesos'!$AC$23="Media",'[3]Mapa de procesos'!$AE$23="Menor"),CONCATENATE("R4C",'[3]Mapa de procesos'!$S$23),"")</f>
        <v/>
      </c>
      <c r="R29" s="386" t="str">
        <f>IF(AND('[3]Mapa de procesos'!$AC$24="Media",'[3]Mapa de procesos'!$AE$24="Menor"),CONCATENATE("R4C",'[3]Mapa de procesos'!$S$24),"")</f>
        <v/>
      </c>
      <c r="S29" s="386" t="str">
        <f>IF(AND('[3]Mapa de procesos'!$AC$25="Media",'[3]Mapa de procesos'!$AE$25="Menor"),CONCATENATE("R4C",'[3]Mapa de procesos'!$S$25),"")</f>
        <v/>
      </c>
      <c r="T29" s="386" t="str">
        <f>IF(AND('[3]Mapa de procesos'!$AC$26="Media",'[3]Mapa de procesos'!$AE$26="Menor"),CONCATENATE("R4C",'[3]Mapa de procesos'!$S$26),"")</f>
        <v/>
      </c>
      <c r="U29" s="387" t="str">
        <f>IF(AND('[3]Mapa de procesos'!$AC$27="Media",'[3]Mapa de procesos'!$AE$27="Menor"),CONCATENATE("R4C",'[3]Mapa de procesos'!$S$27),"")</f>
        <v/>
      </c>
      <c r="V29" s="385" t="str">
        <f>IF(AND('[3]Mapa de procesos'!$AC$22="Media",'[3]Mapa de procesos'!$AE$22="Moderado"),CONCATENATE("R4C",'[3]Mapa de procesos'!$S$22),"")</f>
        <v/>
      </c>
      <c r="W29" s="386" t="str">
        <f>IF(AND('[3]Mapa de procesos'!$AC$23="Media",'[3]Mapa de procesos'!$AE$23="Moderado"),CONCATENATE("R4C",'[3]Mapa de procesos'!$S$23),"")</f>
        <v/>
      </c>
      <c r="X29" s="386" t="str">
        <f>IF(AND('[3]Mapa de procesos'!$AC$24="Media",'[3]Mapa de procesos'!$AE$24="Moderado"),CONCATENATE("R4C",'[3]Mapa de procesos'!$S$24),"")</f>
        <v/>
      </c>
      <c r="Y29" s="386" t="str">
        <f>IF(AND('[3]Mapa de procesos'!$AC$25="Media",'[3]Mapa de procesos'!$AE$25="Moderado"),CONCATENATE("R4C",'[3]Mapa de procesos'!$S$25),"")</f>
        <v/>
      </c>
      <c r="Z29" s="386" t="str">
        <f>IF(AND('[3]Mapa de procesos'!$AC$26="Media",'[3]Mapa de procesos'!$AE$26="Moderado"),CONCATENATE("R4C",'[3]Mapa de procesos'!$S$26),"")</f>
        <v/>
      </c>
      <c r="AA29" s="387" t="str">
        <f>IF(AND('[3]Mapa de procesos'!$AC$27="Media",'[3]Mapa de procesos'!$AE$27="Moderado"),CONCATENATE("R4C",'[3]Mapa de procesos'!$S$27),"")</f>
        <v/>
      </c>
      <c r="AB29" s="370" t="str">
        <f>IF(AND('[3]Mapa de procesos'!$AC$22="Media",'[3]Mapa de procesos'!$AE$22="Mayor"),CONCATENATE("R4C",'[3]Mapa de procesos'!$S$22),"")</f>
        <v/>
      </c>
      <c r="AC29" s="371" t="str">
        <f>IF(AND('[3]Mapa de procesos'!$AC$23="Media",'[3]Mapa de procesos'!$AE$23="Mayor"),CONCATENATE("R4C",'[3]Mapa de procesos'!$S$23),"")</f>
        <v/>
      </c>
      <c r="AD29" s="371" t="str">
        <f>IF(AND('[3]Mapa de procesos'!$AC$24="Media",'[3]Mapa de procesos'!$AE$24="Mayor"),CONCATENATE("R4C",'[3]Mapa de procesos'!$S$24),"")</f>
        <v/>
      </c>
      <c r="AE29" s="371" t="str">
        <f>IF(AND('[3]Mapa de procesos'!$AC$25="Media",'[3]Mapa de procesos'!$AE$25="Mayor"),CONCATENATE("R4C",'[3]Mapa de procesos'!$S$25),"")</f>
        <v/>
      </c>
      <c r="AF29" s="371" t="str">
        <f>IF(AND('[3]Mapa de procesos'!$AC$26="Media",'[3]Mapa de procesos'!$AE$26="Mayor"),CONCATENATE("R4C",'[3]Mapa de procesos'!$S$26),"")</f>
        <v/>
      </c>
      <c r="AG29" s="372" t="str">
        <f>IF(AND('[3]Mapa de procesos'!$AC$27="Media",'[3]Mapa de procesos'!$AE$27="Mayor"),CONCATENATE("R4C",'[3]Mapa de procesos'!$S$27),"")</f>
        <v/>
      </c>
      <c r="AH29" s="373" t="str">
        <f>IF(AND('[3]Mapa de procesos'!$AC$22="Media",'[3]Mapa de procesos'!$AE$22="Catastrófico"),CONCATENATE("R4C",'[3]Mapa de procesos'!$S$22),"")</f>
        <v/>
      </c>
      <c r="AI29" s="374" t="str">
        <f>IF(AND('[3]Mapa de procesos'!$AC$23="Media",'[3]Mapa de procesos'!$AE$23="Catastrófico"),CONCATENATE("R4C",'[3]Mapa de procesos'!$S$23),"")</f>
        <v/>
      </c>
      <c r="AJ29" s="374" t="str">
        <f>IF(AND('[3]Mapa de procesos'!$AC$24="Media",'[3]Mapa de procesos'!$AE$24="Catastrófico"),CONCATENATE("R4C",'[3]Mapa de procesos'!$S$24),"")</f>
        <v/>
      </c>
      <c r="AK29" s="374" t="str">
        <f>IF(AND('[3]Mapa de procesos'!$AC$25="Media",'[3]Mapa de procesos'!$AE$25="Catastrófico"),CONCATENATE("R4C",'[3]Mapa de procesos'!$S$25),"")</f>
        <v/>
      </c>
      <c r="AL29" s="374" t="str">
        <f>IF(AND('[3]Mapa de procesos'!$AC$26="Media",'[3]Mapa de procesos'!$AE$26="Catastrófico"),CONCATENATE("R4C",'[3]Mapa de procesos'!$S$26),"")</f>
        <v/>
      </c>
      <c r="AM29" s="375" t="str">
        <f>IF(AND('[3]Mapa de procesos'!$AC$27="Media",'[3]Mapa de procesos'!$AE$27="Catastrófico"),CONCATENATE("R4C",'[3]Mapa de procesos'!$S$27),"")</f>
        <v/>
      </c>
      <c r="AN29" s="363"/>
      <c r="AO29" s="881"/>
      <c r="AP29" s="866"/>
      <c r="AQ29" s="866"/>
      <c r="AR29" s="866"/>
      <c r="AS29" s="866"/>
      <c r="AT29" s="882"/>
      <c r="AU29" s="363"/>
      <c r="AV29" s="363"/>
      <c r="AW29" s="363"/>
      <c r="AX29" s="363"/>
      <c r="AY29" s="363"/>
      <c r="AZ29" s="363"/>
      <c r="BA29" s="363"/>
      <c r="BB29" s="363"/>
      <c r="BC29" s="363"/>
      <c r="BD29" s="363"/>
      <c r="BE29" s="363"/>
      <c r="BF29" s="363"/>
      <c r="BG29" s="363"/>
      <c r="BH29" s="363"/>
      <c r="BI29" s="363"/>
    </row>
    <row r="30" spans="1:61" ht="15" customHeight="1" x14ac:dyDescent="0.25">
      <c r="A30" s="363"/>
      <c r="B30" s="868"/>
      <c r="C30" s="866"/>
      <c r="D30" s="870"/>
      <c r="E30" s="874"/>
      <c r="F30" s="866"/>
      <c r="G30" s="866"/>
      <c r="H30" s="866"/>
      <c r="I30" s="870"/>
      <c r="J30" s="385" t="str">
        <f>IF(AND('[3]Mapa de procesos'!$AC$28="Media",'[3]Mapa de procesos'!$AE$28="Leve"),CONCATENATE("R5C",'[3]Mapa de procesos'!$S$28),"")</f>
        <v/>
      </c>
      <c r="K30" s="386" t="str">
        <f>IF(AND('[3]Mapa de procesos'!$AC$29="Media",'[3]Mapa de procesos'!$AE$29="Leve"),CONCATENATE("R5C",'[3]Mapa de procesos'!$S$29),"")</f>
        <v/>
      </c>
      <c r="L30" s="386" t="str">
        <f>IF(AND('[3]Mapa de procesos'!$AC$30="Media",'[3]Mapa de procesos'!$AE$30="Leve"),CONCATENATE("R5C",'[3]Mapa de procesos'!$S$30),"")</f>
        <v/>
      </c>
      <c r="M30" s="386" t="str">
        <f>IF(AND('[3]Mapa de procesos'!$AC$31="Media",'[3]Mapa de procesos'!$AE$31="Leve"),CONCATENATE("R5C",'[3]Mapa de procesos'!$S$31),"")</f>
        <v/>
      </c>
      <c r="N30" s="386" t="str">
        <f>IF(AND('[3]Mapa de procesos'!$AC$32="Media",'[3]Mapa de procesos'!$AE$32="Leve"),CONCATENATE("R5C",'[3]Mapa de procesos'!$S$32),"")</f>
        <v/>
      </c>
      <c r="O30" s="387" t="str">
        <f>IF(AND('[3]Mapa de procesos'!$AC$33="Media",'[3]Mapa de procesos'!$AE$33="Leve"),CONCATENATE("R5C",'[3]Mapa de procesos'!$S$33),"")</f>
        <v/>
      </c>
      <c r="P30" s="385" t="str">
        <f>IF(AND('[3]Mapa de procesos'!$AC$28="Media",'[3]Mapa de procesos'!$AE$28="Menor"),CONCATENATE("R5C",'[3]Mapa de procesos'!$S$28),"")</f>
        <v/>
      </c>
      <c r="Q30" s="386" t="str">
        <f>IF(AND('[3]Mapa de procesos'!$AC$29="Media",'[3]Mapa de procesos'!$AE$29="Menor"),CONCATENATE("R5C",'[3]Mapa de procesos'!$S$29),"")</f>
        <v/>
      </c>
      <c r="R30" s="386" t="str">
        <f>IF(AND('[3]Mapa de procesos'!$AC$30="Media",'[3]Mapa de procesos'!$AE$30="Menor"),CONCATENATE("R5C",'[3]Mapa de procesos'!$S$30),"")</f>
        <v/>
      </c>
      <c r="S30" s="386" t="str">
        <f>IF(AND('[3]Mapa de procesos'!$AC$31="Media",'[3]Mapa de procesos'!$AE$31="Menor"),CONCATENATE("R5C",'[3]Mapa de procesos'!$S$31),"")</f>
        <v/>
      </c>
      <c r="T30" s="386" t="str">
        <f>IF(AND('[3]Mapa de procesos'!$AC$32="Media",'[3]Mapa de procesos'!$AE$32="Menor"),CONCATENATE("R5C",'[3]Mapa de procesos'!$S$32),"")</f>
        <v/>
      </c>
      <c r="U30" s="387" t="str">
        <f>IF(AND('[3]Mapa de procesos'!$AC$33="Media",'[3]Mapa de procesos'!$AE$33="Menor"),CONCATENATE("R5C",'[3]Mapa de procesos'!$S$33),"")</f>
        <v/>
      </c>
      <c r="V30" s="385" t="str">
        <f>IF(AND('[3]Mapa de procesos'!$AC$28="Media",'[3]Mapa de procesos'!$AE$28="Moderado"),CONCATENATE("R5C",'[3]Mapa de procesos'!$S$28),"")</f>
        <v/>
      </c>
      <c r="W30" s="386" t="str">
        <f>IF(AND('[3]Mapa de procesos'!$AC$29="Media",'[3]Mapa de procesos'!$AE$29="Moderado"),CONCATENATE("R5C",'[3]Mapa de procesos'!$S$29),"")</f>
        <v/>
      </c>
      <c r="X30" s="386" t="str">
        <f>IF(AND('[3]Mapa de procesos'!$AC$30="Media",'[3]Mapa de procesos'!$AE$30="Moderado"),CONCATENATE("R5C",'[3]Mapa de procesos'!$S$30),"")</f>
        <v/>
      </c>
      <c r="Y30" s="386" t="str">
        <f>IF(AND('[3]Mapa de procesos'!$AC$31="Media",'[3]Mapa de procesos'!$AE$31="Moderado"),CONCATENATE("R5C",'[3]Mapa de procesos'!$S$31),"")</f>
        <v/>
      </c>
      <c r="Z30" s="386" t="str">
        <f>IF(AND('[3]Mapa de procesos'!$AC$32="Media",'[3]Mapa de procesos'!$AE$32="Moderado"),CONCATENATE("R5C",'[3]Mapa de procesos'!$S$32),"")</f>
        <v/>
      </c>
      <c r="AA30" s="387" t="str">
        <f>IF(AND('[3]Mapa de procesos'!$AC$33="Media",'[3]Mapa de procesos'!$AE$33="Moderado"),CONCATENATE("R5C",'[3]Mapa de procesos'!$S$33),"")</f>
        <v/>
      </c>
      <c r="AB30" s="370" t="str">
        <f>IF(AND('[3]Mapa de procesos'!$AC$28="Media",'[3]Mapa de procesos'!$AE$28="Mayor"),CONCATENATE("R5C",'[3]Mapa de procesos'!$S$28),"")</f>
        <v/>
      </c>
      <c r="AC30" s="371" t="str">
        <f>IF(AND('[3]Mapa de procesos'!$AC$29="Media",'[3]Mapa de procesos'!$AE$29="Mayor"),CONCATENATE("R5C",'[3]Mapa de procesos'!$S$29),"")</f>
        <v/>
      </c>
      <c r="AD30" s="371" t="str">
        <f>IF(AND('[3]Mapa de procesos'!$AC$30="Media",'[3]Mapa de procesos'!$AE$30="Mayor"),CONCATENATE("R5C",'[3]Mapa de procesos'!$S$30),"")</f>
        <v/>
      </c>
      <c r="AE30" s="371" t="str">
        <f>IF(AND('[3]Mapa de procesos'!$AC$31="Media",'[3]Mapa de procesos'!$AE$31="Mayor"),CONCATENATE("R5C",'[3]Mapa de procesos'!$S$31),"")</f>
        <v/>
      </c>
      <c r="AF30" s="371" t="str">
        <f>IF(AND('[3]Mapa de procesos'!$AC$32="Media",'[3]Mapa de procesos'!$AE$32="Mayor"),CONCATENATE("R5C",'[3]Mapa de procesos'!$S$32),"")</f>
        <v/>
      </c>
      <c r="AG30" s="372" t="str">
        <f>IF(AND('[3]Mapa de procesos'!$AC$33="Media",'[3]Mapa de procesos'!$AE$33="Mayor"),CONCATENATE("R5C",'[3]Mapa de procesos'!$S$33),"")</f>
        <v/>
      </c>
      <c r="AH30" s="373" t="str">
        <f>IF(AND('[3]Mapa de procesos'!$AC$28="Media",'[3]Mapa de procesos'!$AE$28="Catastrófico"),CONCATENATE("R5C",'[3]Mapa de procesos'!$S$28),"")</f>
        <v/>
      </c>
      <c r="AI30" s="374" t="str">
        <f>IF(AND('[3]Mapa de procesos'!$AC$29="Media",'[3]Mapa de procesos'!$AE$29="Catastrófico"),CONCATENATE("R5C",'[3]Mapa de procesos'!$S$29),"")</f>
        <v/>
      </c>
      <c r="AJ30" s="374" t="str">
        <f>IF(AND('[3]Mapa de procesos'!$AC$30="Media",'[3]Mapa de procesos'!$AE$30="Catastrófico"),CONCATENATE("R5C",'[3]Mapa de procesos'!$S$30),"")</f>
        <v/>
      </c>
      <c r="AK30" s="374" t="str">
        <f>IF(AND('[3]Mapa de procesos'!$AC$31="Media",'[3]Mapa de procesos'!$AE$31="Catastrófico"),CONCATENATE("R5C",'[3]Mapa de procesos'!$S$31),"")</f>
        <v/>
      </c>
      <c r="AL30" s="374" t="str">
        <f>IF(AND('[3]Mapa de procesos'!$AC$32="Media",'[3]Mapa de procesos'!$AE$32="Catastrófico"),CONCATENATE("R5C",'[3]Mapa de procesos'!$S$32),"")</f>
        <v/>
      </c>
      <c r="AM30" s="375" t="str">
        <f>IF(AND('[3]Mapa de procesos'!$AC$33="Media",'[3]Mapa de procesos'!$AE$33="Catastrófico"),CONCATENATE("R5C",'[3]Mapa de procesos'!$S$33),"")</f>
        <v/>
      </c>
      <c r="AN30" s="363"/>
      <c r="AO30" s="881"/>
      <c r="AP30" s="866"/>
      <c r="AQ30" s="866"/>
      <c r="AR30" s="866"/>
      <c r="AS30" s="866"/>
      <c r="AT30" s="882"/>
      <c r="AU30" s="363"/>
      <c r="AV30" s="363"/>
      <c r="AW30" s="363"/>
      <c r="AX30" s="363"/>
      <c r="AY30" s="363"/>
      <c r="AZ30" s="363"/>
      <c r="BA30" s="363"/>
      <c r="BB30" s="363"/>
      <c r="BC30" s="363"/>
      <c r="BD30" s="363"/>
      <c r="BE30" s="363"/>
      <c r="BF30" s="363"/>
      <c r="BG30" s="363"/>
      <c r="BH30" s="363"/>
      <c r="BI30" s="363"/>
    </row>
    <row r="31" spans="1:61" ht="15" customHeight="1" x14ac:dyDescent="0.25">
      <c r="A31" s="363"/>
      <c r="B31" s="868"/>
      <c r="C31" s="866"/>
      <c r="D31" s="870"/>
      <c r="E31" s="874"/>
      <c r="F31" s="866"/>
      <c r="G31" s="866"/>
      <c r="H31" s="866"/>
      <c r="I31" s="870"/>
      <c r="J31" s="385" t="str">
        <f>IF(AND('[3]Mapa de procesos'!$AC$34="Media",'[3]Mapa de procesos'!$AE$34="Leve"),CONCATENATE("R6C",'[3]Mapa de procesos'!$S$34),"")</f>
        <v/>
      </c>
      <c r="K31" s="386" t="str">
        <f>IF(AND('[3]Mapa de procesos'!$AC$35="Media",'[3]Mapa de procesos'!$AE$35="Leve"),CONCATENATE("R6C",'[3]Mapa de procesos'!$S$35),"")</f>
        <v/>
      </c>
      <c r="L31" s="386" t="str">
        <f>IF(AND('[3]Mapa de procesos'!$AC$36="Media",'[3]Mapa de procesos'!$AE$36="Leve"),CONCATENATE("R6C",'[3]Mapa de procesos'!$S$36),"")</f>
        <v/>
      </c>
      <c r="M31" s="386" t="str">
        <f>IF(AND('[3]Mapa de procesos'!$AC$37="Media",'[3]Mapa de procesos'!$AE$37="Leve"),CONCATENATE("R6C",'[3]Mapa de procesos'!$S$37),"")</f>
        <v/>
      </c>
      <c r="N31" s="386" t="str">
        <f>IF(AND('[3]Mapa de procesos'!$AC$38="Media",'[3]Mapa de procesos'!$AE$38="Leve"),CONCATENATE("R6C",'[3]Mapa de procesos'!$S$38),"")</f>
        <v/>
      </c>
      <c r="O31" s="387" t="str">
        <f>IF(AND('[3]Mapa de procesos'!$AC$39="Media",'[3]Mapa de procesos'!$AE$39="Leve"),CONCATENATE("R6C",'[3]Mapa de procesos'!$S$39),"")</f>
        <v/>
      </c>
      <c r="P31" s="385" t="str">
        <f>IF(AND('[3]Mapa de procesos'!$AC$34="Media",'[3]Mapa de procesos'!$AE$34="Menor"),CONCATENATE("R6C",'[3]Mapa de procesos'!$S$34),"")</f>
        <v/>
      </c>
      <c r="Q31" s="386" t="str">
        <f>IF(AND('[3]Mapa de procesos'!$AC$35="Media",'[3]Mapa de procesos'!$AE$35="Menor"),CONCATENATE("R6C",'[3]Mapa de procesos'!$S$35),"")</f>
        <v/>
      </c>
      <c r="R31" s="386" t="str">
        <f>IF(AND('[3]Mapa de procesos'!$AC$36="Media",'[3]Mapa de procesos'!$AE$36="Menor"),CONCATENATE("R6C",'[3]Mapa de procesos'!$S$36),"")</f>
        <v/>
      </c>
      <c r="S31" s="386" t="str">
        <f>IF(AND('[3]Mapa de procesos'!$AC$37="Media",'[3]Mapa de procesos'!$AE$37="Menor"),CONCATENATE("R6C",'[3]Mapa de procesos'!$S$37),"")</f>
        <v/>
      </c>
      <c r="T31" s="386" t="str">
        <f>IF(AND('[3]Mapa de procesos'!$AC$38="Media",'[3]Mapa de procesos'!$AE$38="Menor"),CONCATENATE("R6C",'[3]Mapa de procesos'!$S$38),"")</f>
        <v/>
      </c>
      <c r="U31" s="387" t="str">
        <f>IF(AND('[3]Mapa de procesos'!$AC$39="Media",'[3]Mapa de procesos'!$AE$39="Menor"),CONCATENATE("R6C",'[3]Mapa de procesos'!$S$39),"")</f>
        <v/>
      </c>
      <c r="V31" s="385" t="str">
        <f>IF(AND('[3]Mapa de procesos'!$AC$34="Media",'[3]Mapa de procesos'!$AE$34="Moderado"),CONCATENATE("R6C",'[3]Mapa de procesos'!$S$34),"")</f>
        <v/>
      </c>
      <c r="W31" s="386" t="str">
        <f>IF(AND('[3]Mapa de procesos'!$AC$35="Media",'[3]Mapa de procesos'!$AE$35="Moderado"),CONCATENATE("R6C",'[3]Mapa de procesos'!$S$35),"")</f>
        <v/>
      </c>
      <c r="X31" s="386" t="str">
        <f>IF(AND('[3]Mapa de procesos'!$AC$36="Media",'[3]Mapa de procesos'!$AE$36="Moderado"),CONCATENATE("R6C",'[3]Mapa de procesos'!$S$36),"")</f>
        <v/>
      </c>
      <c r="Y31" s="386" t="str">
        <f>IF(AND('[3]Mapa de procesos'!$AC$37="Media",'[3]Mapa de procesos'!$AE$37="Moderado"),CONCATENATE("R6C",'[3]Mapa de procesos'!$S$37),"")</f>
        <v/>
      </c>
      <c r="Z31" s="386" t="str">
        <f>IF(AND('[3]Mapa de procesos'!$AC$38="Media",'[3]Mapa de procesos'!$AE$38="Moderado"),CONCATENATE("R6C",'[3]Mapa de procesos'!$S$38),"")</f>
        <v/>
      </c>
      <c r="AA31" s="387" t="str">
        <f>IF(AND('[3]Mapa de procesos'!$AC$39="Media",'[3]Mapa de procesos'!$AE$39="Moderado"),CONCATENATE("R6C",'[3]Mapa de procesos'!$S$39),"")</f>
        <v/>
      </c>
      <c r="AB31" s="370" t="str">
        <f>IF(AND('[3]Mapa de procesos'!$AC$34="Media",'[3]Mapa de procesos'!$AE$34="Mayor"),CONCATENATE("R6C",'[3]Mapa de procesos'!$S$34),"")</f>
        <v/>
      </c>
      <c r="AC31" s="371" t="str">
        <f>IF(AND('[3]Mapa de procesos'!$AC$35="Media",'[3]Mapa de procesos'!$AE$35="Mayor"),CONCATENATE("R6C",'[3]Mapa de procesos'!$S$35),"")</f>
        <v/>
      </c>
      <c r="AD31" s="371" t="str">
        <f>IF(AND('[3]Mapa de procesos'!$AC$36="Media",'[3]Mapa de procesos'!$AE$36="Mayor"),CONCATENATE("R6C",'[3]Mapa de procesos'!$S$36),"")</f>
        <v/>
      </c>
      <c r="AE31" s="371" t="str">
        <f>IF(AND('[3]Mapa de procesos'!$AC$37="Media",'[3]Mapa de procesos'!$AE$37="Mayor"),CONCATENATE("R6C",'[3]Mapa de procesos'!$S$37),"")</f>
        <v/>
      </c>
      <c r="AF31" s="371" t="str">
        <f>IF(AND('[3]Mapa de procesos'!$AC$38="Media",'[3]Mapa de procesos'!$AE$38="Mayor"),CONCATENATE("R6C",'[3]Mapa de procesos'!$S$38),"")</f>
        <v/>
      </c>
      <c r="AG31" s="372" t="str">
        <f>IF(AND('[3]Mapa de procesos'!$AC$39="Media",'[3]Mapa de procesos'!$AE$39="Mayor"),CONCATENATE("R6C",'[3]Mapa de procesos'!$S$39),"")</f>
        <v/>
      </c>
      <c r="AH31" s="373" t="str">
        <f>IF(AND('[3]Mapa de procesos'!$AC$34="Media",'[3]Mapa de procesos'!$AE$34="Catastrófico"),CONCATENATE("R6C",'[3]Mapa de procesos'!$S$34),"")</f>
        <v/>
      </c>
      <c r="AI31" s="374" t="str">
        <f>IF(AND('[3]Mapa de procesos'!$AC$35="Media",'[3]Mapa de procesos'!$AE$35="Catastrófico"),CONCATENATE("R6C",'[3]Mapa de procesos'!$S$35),"")</f>
        <v/>
      </c>
      <c r="AJ31" s="374" t="str">
        <f>IF(AND('[3]Mapa de procesos'!$AC$36="Media",'[3]Mapa de procesos'!$AE$36="Catastrófico"),CONCATENATE("R6C",'[3]Mapa de procesos'!$S$36),"")</f>
        <v/>
      </c>
      <c r="AK31" s="374" t="str">
        <f>IF(AND('[3]Mapa de procesos'!$AC$37="Media",'[3]Mapa de procesos'!$AE$37="Catastrófico"),CONCATENATE("R6C",'[3]Mapa de procesos'!$S$37),"")</f>
        <v/>
      </c>
      <c r="AL31" s="374" t="str">
        <f>IF(AND('[3]Mapa de procesos'!$AC$38="Media",'[3]Mapa de procesos'!$AE$38="Catastrófico"),CONCATENATE("R6C",'[3]Mapa de procesos'!$S$38),"")</f>
        <v/>
      </c>
      <c r="AM31" s="375" t="str">
        <f>IF(AND('[3]Mapa de procesos'!$AC$39="Media",'[3]Mapa de procesos'!$AE$39="Catastrófico"),CONCATENATE("R6C",'[3]Mapa de procesos'!$S$39),"")</f>
        <v/>
      </c>
      <c r="AN31" s="363"/>
      <c r="AO31" s="881"/>
      <c r="AP31" s="866"/>
      <c r="AQ31" s="866"/>
      <c r="AR31" s="866"/>
      <c r="AS31" s="866"/>
      <c r="AT31" s="882"/>
      <c r="AU31" s="363"/>
      <c r="AV31" s="363"/>
      <c r="AW31" s="363"/>
      <c r="AX31" s="363"/>
      <c r="AY31" s="363"/>
      <c r="AZ31" s="363"/>
      <c r="BA31" s="363"/>
      <c r="BB31" s="363"/>
      <c r="BC31" s="363"/>
      <c r="BD31" s="363"/>
      <c r="BE31" s="363"/>
      <c r="BF31" s="363"/>
      <c r="BG31" s="363"/>
      <c r="BH31" s="363"/>
      <c r="BI31" s="363"/>
    </row>
    <row r="32" spans="1:61" ht="15" customHeight="1" x14ac:dyDescent="0.25">
      <c r="A32" s="363"/>
      <c r="B32" s="868"/>
      <c r="C32" s="866"/>
      <c r="D32" s="870"/>
      <c r="E32" s="874"/>
      <c r="F32" s="866"/>
      <c r="G32" s="866"/>
      <c r="H32" s="866"/>
      <c r="I32" s="870"/>
      <c r="J32" s="385" t="str">
        <f>IF(AND('[3]Mapa de procesos'!$AC$40="Media",'[3]Mapa de procesos'!$AE$40="Leve"),CONCATENATE("R7C",'[3]Mapa de procesos'!$S$40),"")</f>
        <v/>
      </c>
      <c r="K32" s="386" t="str">
        <f>IF(AND('[3]Mapa de procesos'!$AC$41="Media",'[3]Mapa de procesos'!$AE$41="Leve"),CONCATENATE("R7C",'[3]Mapa de procesos'!$S$41),"")</f>
        <v/>
      </c>
      <c r="L32" s="386" t="str">
        <f>IF(AND('[3]Mapa de procesos'!$AC$42="Media",'[3]Mapa de procesos'!$AE$42="Leve"),CONCATENATE("R7C",'[3]Mapa de procesos'!$S$42),"")</f>
        <v/>
      </c>
      <c r="M32" s="386" t="str">
        <f>IF(AND('[3]Mapa de procesos'!$AC$43="Media",'[3]Mapa de procesos'!$AE$43="Leve"),CONCATENATE("R7C",'[3]Mapa de procesos'!$S$43),"")</f>
        <v/>
      </c>
      <c r="N32" s="386" t="str">
        <f>IF(AND('[3]Mapa de procesos'!$AC$44="Media",'[3]Mapa de procesos'!$AE$44="Leve"),CONCATENATE("R7C",'[3]Mapa de procesos'!$S$44),"")</f>
        <v/>
      </c>
      <c r="O32" s="387" t="str">
        <f>IF(AND('[3]Mapa de procesos'!$AC$45="Media",'[3]Mapa de procesos'!$AE$45="Leve"),CONCATENATE("R7C",'[3]Mapa de procesos'!$S$45),"")</f>
        <v/>
      </c>
      <c r="P32" s="385" t="str">
        <f>IF(AND('[3]Mapa de procesos'!$AC$40="Media",'[3]Mapa de procesos'!$AE$40="Menor"),CONCATENATE("R7C",'[3]Mapa de procesos'!$S$40),"")</f>
        <v/>
      </c>
      <c r="Q32" s="386" t="str">
        <f>IF(AND('[3]Mapa de procesos'!$AC$41="Media",'[3]Mapa de procesos'!$AE$41="Menor"),CONCATENATE("R7C",'[3]Mapa de procesos'!$S$41),"")</f>
        <v/>
      </c>
      <c r="R32" s="386" t="str">
        <f>IF(AND('[3]Mapa de procesos'!$AC$42="Media",'[3]Mapa de procesos'!$AE$42="Menor"),CONCATENATE("R7C",'[3]Mapa de procesos'!$S$42),"")</f>
        <v/>
      </c>
      <c r="S32" s="386" t="str">
        <f>IF(AND('[3]Mapa de procesos'!$AC$43="Media",'[3]Mapa de procesos'!$AE$43="Menor"),CONCATENATE("R7C",'[3]Mapa de procesos'!$S$43),"")</f>
        <v/>
      </c>
      <c r="T32" s="386" t="str">
        <f>IF(AND('[3]Mapa de procesos'!$AC$44="Media",'[3]Mapa de procesos'!$AE$44="Menor"),CONCATENATE("R7C",'[3]Mapa de procesos'!$S$44),"")</f>
        <v/>
      </c>
      <c r="U32" s="387" t="str">
        <f>IF(AND('[3]Mapa de procesos'!$AC$45="Media",'[3]Mapa de procesos'!$AE$45="Menor"),CONCATENATE("R7C",'[3]Mapa de procesos'!$S$45),"")</f>
        <v/>
      </c>
      <c r="V32" s="385" t="str">
        <f>IF(AND('[3]Mapa de procesos'!$AC$40="Media",'[3]Mapa de procesos'!$AE$40="Moderado"),CONCATENATE("R7C",'[3]Mapa de procesos'!$S$40),"")</f>
        <v/>
      </c>
      <c r="W32" s="386" t="str">
        <f>IF(AND('[3]Mapa de procesos'!$AC$41="Media",'[3]Mapa de procesos'!$AE$41="Moderado"),CONCATENATE("R7C",'[3]Mapa de procesos'!$S$41),"")</f>
        <v/>
      </c>
      <c r="X32" s="386" t="str">
        <f>IF(AND('[3]Mapa de procesos'!$AC$42="Media",'[3]Mapa de procesos'!$AE$42="Moderado"),CONCATENATE("R7C",'[3]Mapa de procesos'!$S$42),"")</f>
        <v/>
      </c>
      <c r="Y32" s="386" t="str">
        <f>IF(AND('[3]Mapa de procesos'!$AC$43="Media",'[3]Mapa de procesos'!$AE$43="Moderado"),CONCATENATE("R7C",'[3]Mapa de procesos'!$S$43),"")</f>
        <v/>
      </c>
      <c r="Z32" s="386" t="str">
        <f>IF(AND('[3]Mapa de procesos'!$AC$44="Media",'[3]Mapa de procesos'!$AE$44="Moderado"),CONCATENATE("R7C",'[3]Mapa de procesos'!$S$44),"")</f>
        <v/>
      </c>
      <c r="AA32" s="387" t="str">
        <f>IF(AND('[3]Mapa de procesos'!$AC$45="Media",'[3]Mapa de procesos'!$AE$45="Moderado"),CONCATENATE("R7C",'[3]Mapa de procesos'!$S$45),"")</f>
        <v/>
      </c>
      <c r="AB32" s="370" t="str">
        <f>IF(AND('[3]Mapa de procesos'!$AC$40="Media",'[3]Mapa de procesos'!$AE$40="Mayor"),CONCATENATE("R7C",'[3]Mapa de procesos'!$S$40),"")</f>
        <v/>
      </c>
      <c r="AC32" s="371" t="str">
        <f>IF(AND('[3]Mapa de procesos'!$AC$41="Media",'[3]Mapa de procesos'!$AE$41="Mayor"),CONCATENATE("R7C",'[3]Mapa de procesos'!$S$41),"")</f>
        <v/>
      </c>
      <c r="AD32" s="371" t="str">
        <f>IF(AND('[3]Mapa de procesos'!$AC$42="Media",'[3]Mapa de procesos'!$AE$42="Mayor"),CONCATENATE("R7C",'[3]Mapa de procesos'!$S$42),"")</f>
        <v/>
      </c>
      <c r="AE32" s="371" t="str">
        <f>IF(AND('[3]Mapa de procesos'!$AC$43="Media",'[3]Mapa de procesos'!$AE$43="Mayor"),CONCATENATE("R7C",'[3]Mapa de procesos'!$S$43),"")</f>
        <v/>
      </c>
      <c r="AF32" s="371" t="str">
        <f>IF(AND('[3]Mapa de procesos'!$AC$44="Media",'[3]Mapa de procesos'!$AE$44="Mayor"),CONCATENATE("R7C",'[3]Mapa de procesos'!$S$44),"")</f>
        <v/>
      </c>
      <c r="AG32" s="372" t="str">
        <f>IF(AND('[3]Mapa de procesos'!$AC$45="Media",'[3]Mapa de procesos'!$AE$45="Mayor"),CONCATENATE("R7C",'[3]Mapa de procesos'!$S$45),"")</f>
        <v/>
      </c>
      <c r="AH32" s="373" t="str">
        <f>IF(AND('[3]Mapa de procesos'!$AC$40="Media",'[3]Mapa de procesos'!$AE$40="Catastrófico"),CONCATENATE("R7C",'[3]Mapa de procesos'!$S$40),"")</f>
        <v/>
      </c>
      <c r="AI32" s="374" t="str">
        <f>IF(AND('[3]Mapa de procesos'!$AC$41="Media",'[3]Mapa de procesos'!$AE$41="Catastrófico"),CONCATENATE("R7C",'[3]Mapa de procesos'!$S$41),"")</f>
        <v/>
      </c>
      <c r="AJ32" s="374" t="str">
        <f>IF(AND('[3]Mapa de procesos'!$AC$42="Media",'[3]Mapa de procesos'!$AE$42="Catastrófico"),CONCATENATE("R7C",'[3]Mapa de procesos'!$S$42),"")</f>
        <v/>
      </c>
      <c r="AK32" s="374" t="str">
        <f>IF(AND('[3]Mapa de procesos'!$AC$43="Media",'[3]Mapa de procesos'!$AE$43="Catastrófico"),CONCATENATE("R7C",'[3]Mapa de procesos'!$S$43),"")</f>
        <v/>
      </c>
      <c r="AL32" s="374" t="str">
        <f>IF(AND('[3]Mapa de procesos'!$AC$44="Media",'[3]Mapa de procesos'!$AE$44="Catastrófico"),CONCATENATE("R7C",'[3]Mapa de procesos'!$S$44),"")</f>
        <v/>
      </c>
      <c r="AM32" s="375" t="str">
        <f>IF(AND('[3]Mapa de procesos'!$AC$45="Media",'[3]Mapa de procesos'!$AE$45="Catastrófico"),CONCATENATE("R7C",'[3]Mapa de procesos'!$S$45),"")</f>
        <v/>
      </c>
      <c r="AN32" s="363"/>
      <c r="AO32" s="881"/>
      <c r="AP32" s="866"/>
      <c r="AQ32" s="866"/>
      <c r="AR32" s="866"/>
      <c r="AS32" s="866"/>
      <c r="AT32" s="882"/>
      <c r="AU32" s="363"/>
      <c r="AV32" s="363"/>
      <c r="AW32" s="363"/>
      <c r="AX32" s="363"/>
      <c r="AY32" s="363"/>
      <c r="AZ32" s="363"/>
      <c r="BA32" s="363"/>
      <c r="BB32" s="363"/>
      <c r="BC32" s="363"/>
      <c r="BD32" s="363"/>
      <c r="BE32" s="363"/>
      <c r="BF32" s="363"/>
      <c r="BG32" s="363"/>
      <c r="BH32" s="363"/>
      <c r="BI32" s="363"/>
    </row>
    <row r="33" spans="1:61" ht="15" customHeight="1" x14ac:dyDescent="0.25">
      <c r="A33" s="363"/>
      <c r="B33" s="868"/>
      <c r="C33" s="866"/>
      <c r="D33" s="870"/>
      <c r="E33" s="874"/>
      <c r="F33" s="866"/>
      <c r="G33" s="866"/>
      <c r="H33" s="866"/>
      <c r="I33" s="870"/>
      <c r="J33" s="385" t="str">
        <f>IF(AND('[3]Mapa de procesos'!$AC$46="Media",'[3]Mapa de procesos'!$AE$46="Leve"),CONCATENATE("R8C",'[3]Mapa de procesos'!$S$46),"")</f>
        <v/>
      </c>
      <c r="K33" s="386" t="str">
        <f>IF(AND('[3]Mapa de procesos'!$AC$47="Media",'[3]Mapa de procesos'!$AE$47="Leve"),CONCATENATE("R8C",'[3]Mapa de procesos'!$S$47),"")</f>
        <v/>
      </c>
      <c r="L33" s="386" t="str">
        <f>IF(AND('[3]Mapa de procesos'!$AC$48="Media",'[3]Mapa de procesos'!$AE$48="Leve"),CONCATENATE("R8C",'[3]Mapa de procesos'!$S$48),"")</f>
        <v/>
      </c>
      <c r="M33" s="386" t="str">
        <f>IF(AND('[3]Mapa de procesos'!$AC$49="Media",'[3]Mapa de procesos'!$AE$49="Leve"),CONCATENATE("R8C",'[3]Mapa de procesos'!$S$49),"")</f>
        <v/>
      </c>
      <c r="N33" s="386" t="str">
        <f>IF(AND('[3]Mapa de procesos'!$AC$50="Media",'[3]Mapa de procesos'!$AE$50="Leve"),CONCATENATE("R8C",'[3]Mapa de procesos'!$S$50),"")</f>
        <v/>
      </c>
      <c r="O33" s="387" t="str">
        <f>IF(AND('[3]Mapa de procesos'!$AC$51="Media",'[3]Mapa de procesos'!$AE$51="Leve"),CONCATENATE("R8C",'[3]Mapa de procesos'!$S$51),"")</f>
        <v/>
      </c>
      <c r="P33" s="385" t="str">
        <f>IF(AND('[3]Mapa de procesos'!$AC$46="Media",'[3]Mapa de procesos'!$AE$46="Menor"),CONCATENATE("R8C",'[3]Mapa de procesos'!$S$46),"")</f>
        <v/>
      </c>
      <c r="Q33" s="386" t="str">
        <f>IF(AND('[3]Mapa de procesos'!$AC$47="Media",'[3]Mapa de procesos'!$AE$47="Menor"),CONCATENATE("R8C",'[3]Mapa de procesos'!$S$47),"")</f>
        <v/>
      </c>
      <c r="R33" s="386" t="str">
        <f>IF(AND('[3]Mapa de procesos'!$AC$48="Media",'[3]Mapa de procesos'!$AE$48="Menor"),CONCATENATE("R8C",'[3]Mapa de procesos'!$S$48),"")</f>
        <v/>
      </c>
      <c r="S33" s="386" t="str">
        <f>IF(AND('[3]Mapa de procesos'!$AC$49="Media",'[3]Mapa de procesos'!$AE$49="Menor"),CONCATENATE("R8C",'[3]Mapa de procesos'!$S$49),"")</f>
        <v/>
      </c>
      <c r="T33" s="386" t="str">
        <f>IF(AND('[3]Mapa de procesos'!$AC$50="Media",'[3]Mapa de procesos'!$AE$50="Menor"),CONCATENATE("R8C",'[3]Mapa de procesos'!$S$50),"")</f>
        <v/>
      </c>
      <c r="U33" s="387" t="str">
        <f>IF(AND('[3]Mapa de procesos'!$AC$51="Media",'[3]Mapa de procesos'!$AE$51="Menor"),CONCATENATE("R8C",'[3]Mapa de procesos'!$S$51),"")</f>
        <v/>
      </c>
      <c r="V33" s="385" t="str">
        <f>IF(AND('[3]Mapa de procesos'!$AC$46="Media",'[3]Mapa de procesos'!$AE$46="Moderado"),CONCATENATE("R8C",'[3]Mapa de procesos'!$S$46),"")</f>
        <v/>
      </c>
      <c r="W33" s="386" t="str">
        <f>IF(AND('[3]Mapa de procesos'!$AC$47="Media",'[3]Mapa de procesos'!$AE$47="Moderado"),CONCATENATE("R8C",'[3]Mapa de procesos'!$S$47),"")</f>
        <v/>
      </c>
      <c r="X33" s="386" t="str">
        <f>IF(AND('[3]Mapa de procesos'!$AC$48="Media",'[3]Mapa de procesos'!$AE$48="Moderado"),CONCATENATE("R8C",'[3]Mapa de procesos'!$S$48),"")</f>
        <v/>
      </c>
      <c r="Y33" s="386" t="str">
        <f>IF(AND('[3]Mapa de procesos'!$AC$49="Media",'[3]Mapa de procesos'!$AE$49="Moderado"),CONCATENATE("R8C",'[3]Mapa de procesos'!$S$49),"")</f>
        <v/>
      </c>
      <c r="Z33" s="386" t="str">
        <f>IF(AND('[3]Mapa de procesos'!$AC$50="Media",'[3]Mapa de procesos'!$AE$50="Moderado"),CONCATENATE("R8C",'[3]Mapa de procesos'!$S$50),"")</f>
        <v/>
      </c>
      <c r="AA33" s="387" t="str">
        <f>IF(AND('[3]Mapa de procesos'!$AC$51="Media",'[3]Mapa de procesos'!$AE$51="Moderado"),CONCATENATE("R8C",'[3]Mapa de procesos'!$S$51),"")</f>
        <v/>
      </c>
      <c r="AB33" s="370" t="str">
        <f>IF(AND('[3]Mapa de procesos'!$AC$46="Media",'[3]Mapa de procesos'!$AE$46="Mayor"),CONCATENATE("R8C",'[3]Mapa de procesos'!$S$46),"")</f>
        <v/>
      </c>
      <c r="AC33" s="371" t="str">
        <f>IF(AND('[3]Mapa de procesos'!$AC$47="Media",'[3]Mapa de procesos'!$AE$47="Mayor"),CONCATENATE("R8C",'[3]Mapa de procesos'!$S$47),"")</f>
        <v/>
      </c>
      <c r="AD33" s="371" t="str">
        <f>IF(AND('[3]Mapa de procesos'!$AC$48="Media",'[3]Mapa de procesos'!$AE$48="Mayor"),CONCATENATE("R8C",'[3]Mapa de procesos'!$S$48),"")</f>
        <v/>
      </c>
      <c r="AE33" s="371" t="str">
        <f>IF(AND('[3]Mapa de procesos'!$AC$49="Media",'[3]Mapa de procesos'!$AE$49="Mayor"),CONCATENATE("R8C",'[3]Mapa de procesos'!$S$49),"")</f>
        <v/>
      </c>
      <c r="AF33" s="371" t="str">
        <f>IF(AND('[3]Mapa de procesos'!$AC$50="Media",'[3]Mapa de procesos'!$AE$50="Mayor"),CONCATENATE("R8C",'[3]Mapa de procesos'!$S$50),"")</f>
        <v/>
      </c>
      <c r="AG33" s="372" t="str">
        <f>IF(AND('[3]Mapa de procesos'!$AC$51="Media",'[3]Mapa de procesos'!$AE$51="Mayor"),CONCATENATE("R8C",'[3]Mapa de procesos'!$S$51),"")</f>
        <v/>
      </c>
      <c r="AH33" s="373" t="str">
        <f>IF(AND('[3]Mapa de procesos'!$AC$46="Media",'[3]Mapa de procesos'!$AE$46="Catastrófico"),CONCATENATE("R8C",'[3]Mapa de procesos'!$S$46),"")</f>
        <v/>
      </c>
      <c r="AI33" s="374" t="str">
        <f>IF(AND('[3]Mapa de procesos'!$AC$47="Media",'[3]Mapa de procesos'!$AE$47="Catastrófico"),CONCATENATE("R8C",'[3]Mapa de procesos'!$S$47),"")</f>
        <v/>
      </c>
      <c r="AJ33" s="374" t="str">
        <f>IF(AND('[3]Mapa de procesos'!$AC$48="Media",'[3]Mapa de procesos'!$AE$48="Catastrófico"),CONCATENATE("R8C",'[3]Mapa de procesos'!$S$48),"")</f>
        <v/>
      </c>
      <c r="AK33" s="374" t="str">
        <f>IF(AND('[3]Mapa de procesos'!$AC$49="Media",'[3]Mapa de procesos'!$AE$49="Catastrófico"),CONCATENATE("R8C",'[3]Mapa de procesos'!$S$49),"")</f>
        <v/>
      </c>
      <c r="AL33" s="374" t="str">
        <f>IF(AND('[3]Mapa de procesos'!$AC$50="Media",'[3]Mapa de procesos'!$AE$50="Catastrófico"),CONCATENATE("R8C",'[3]Mapa de procesos'!$S$50),"")</f>
        <v/>
      </c>
      <c r="AM33" s="375" t="str">
        <f>IF(AND('[3]Mapa de procesos'!$AC$51="Media",'[3]Mapa de procesos'!$AE$51="Catastrófico"),CONCATENATE("R8C",'[3]Mapa de procesos'!$S$51),"")</f>
        <v/>
      </c>
      <c r="AN33" s="363"/>
      <c r="AO33" s="881"/>
      <c r="AP33" s="866"/>
      <c r="AQ33" s="866"/>
      <c r="AR33" s="866"/>
      <c r="AS33" s="866"/>
      <c r="AT33" s="882"/>
      <c r="AU33" s="363"/>
      <c r="AV33" s="363"/>
      <c r="AW33" s="363"/>
      <c r="AX33" s="363"/>
      <c r="AY33" s="363"/>
      <c r="AZ33" s="363"/>
      <c r="BA33" s="363"/>
      <c r="BB33" s="363"/>
      <c r="BC33" s="363"/>
      <c r="BD33" s="363"/>
      <c r="BE33" s="363"/>
      <c r="BF33" s="363"/>
      <c r="BG33" s="363"/>
      <c r="BH33" s="363"/>
      <c r="BI33" s="363"/>
    </row>
    <row r="34" spans="1:61" ht="15" customHeight="1" x14ac:dyDescent="0.25">
      <c r="A34" s="363"/>
      <c r="B34" s="868"/>
      <c r="C34" s="866"/>
      <c r="D34" s="870"/>
      <c r="E34" s="874"/>
      <c r="F34" s="866"/>
      <c r="G34" s="866"/>
      <c r="H34" s="866"/>
      <c r="I34" s="870"/>
      <c r="J34" s="385" t="str">
        <f>IF(AND('[3]Mapa de procesos'!$AC$52="Media",'[3]Mapa de procesos'!$AE$52="Leve"),CONCATENATE("R9C",'[3]Mapa de procesos'!$S$52),"")</f>
        <v/>
      </c>
      <c r="K34" s="386" t="str">
        <f>IF(AND('[3]Mapa de procesos'!$AC$53="Media",'[3]Mapa de procesos'!$AE$53="Leve"),CONCATENATE("R9C",'[3]Mapa de procesos'!$S$53),"")</f>
        <v/>
      </c>
      <c r="L34" s="386" t="str">
        <f>IF(AND('[3]Mapa de procesos'!$AC$54="Media",'[3]Mapa de procesos'!$AE$54="Leve"),CONCATENATE("R9C",'[3]Mapa de procesos'!$S$54),"")</f>
        <v/>
      </c>
      <c r="M34" s="386" t="str">
        <f>IF(AND('[3]Mapa de procesos'!$AC$55="Media",'[3]Mapa de procesos'!$AE$55="Leve"),CONCATENATE("R9C",'[3]Mapa de procesos'!$S$55),"")</f>
        <v/>
      </c>
      <c r="N34" s="386" t="str">
        <f>IF(AND('[3]Mapa de procesos'!$AC$56="Media",'[3]Mapa de procesos'!$AE$56="Leve"),CONCATENATE("R9C",'[3]Mapa de procesos'!$S$56),"")</f>
        <v/>
      </c>
      <c r="O34" s="387" t="str">
        <f>IF(AND('[3]Mapa de procesos'!$AC$57="Media",'[3]Mapa de procesos'!$AE$57="Leve"),CONCATENATE("R9C",'[3]Mapa de procesos'!$S$57),"")</f>
        <v/>
      </c>
      <c r="P34" s="385" t="str">
        <f>IF(AND('[3]Mapa de procesos'!$AC$52="Media",'[3]Mapa de procesos'!$AE$52="Menor"),CONCATENATE("R9C",'[3]Mapa de procesos'!$S$52),"")</f>
        <v/>
      </c>
      <c r="Q34" s="386" t="str">
        <f>IF(AND('[3]Mapa de procesos'!$AC$53="Media",'[3]Mapa de procesos'!$AE$53="Menor"),CONCATENATE("R9C",'[3]Mapa de procesos'!$S$53),"")</f>
        <v/>
      </c>
      <c r="R34" s="386" t="str">
        <f>IF(AND('[3]Mapa de procesos'!$AC$54="Media",'[3]Mapa de procesos'!$AE$54="Menor"),CONCATENATE("R9C",'[3]Mapa de procesos'!$S$54),"")</f>
        <v/>
      </c>
      <c r="S34" s="386" t="str">
        <f>IF(AND('[3]Mapa de procesos'!$AC$55="Media",'[3]Mapa de procesos'!$AE$55="Menor"),CONCATENATE("R9C",'[3]Mapa de procesos'!$S$55),"")</f>
        <v/>
      </c>
      <c r="T34" s="386" t="str">
        <f>IF(AND('[3]Mapa de procesos'!$AC$56="Media",'[3]Mapa de procesos'!$AE$56="Menor"),CONCATENATE("R9C",'[3]Mapa de procesos'!$S$56),"")</f>
        <v/>
      </c>
      <c r="U34" s="387" t="str">
        <f>IF(AND('[3]Mapa de procesos'!$AC$57="Media",'[3]Mapa de procesos'!$AE$57="Menor"),CONCATENATE("R9C",'[3]Mapa de procesos'!$S$57),"")</f>
        <v/>
      </c>
      <c r="V34" s="385" t="str">
        <f>IF(AND('[3]Mapa de procesos'!$AC$52="Media",'[3]Mapa de procesos'!$AE$52="Moderado"),CONCATENATE("R9C",'[3]Mapa de procesos'!$S$52),"")</f>
        <v/>
      </c>
      <c r="W34" s="386" t="str">
        <f>IF(AND('[3]Mapa de procesos'!$AC$53="Media",'[3]Mapa de procesos'!$AE$53="Moderado"),CONCATENATE("R9C",'[3]Mapa de procesos'!$S$53),"")</f>
        <v/>
      </c>
      <c r="X34" s="386" t="str">
        <f>IF(AND('[3]Mapa de procesos'!$AC$54="Media",'[3]Mapa de procesos'!$AE$54="Moderado"),CONCATENATE("R9C",'[3]Mapa de procesos'!$S$54),"")</f>
        <v/>
      </c>
      <c r="Y34" s="386" t="str">
        <f>IF(AND('[3]Mapa de procesos'!$AC$55="Media",'[3]Mapa de procesos'!$AE$55="Moderado"),CONCATENATE("R9C",'[3]Mapa de procesos'!$S$55),"")</f>
        <v/>
      </c>
      <c r="Z34" s="386" t="str">
        <f>IF(AND('[3]Mapa de procesos'!$AC$56="Media",'[3]Mapa de procesos'!$AE$56="Moderado"),CONCATENATE("R9C",'[3]Mapa de procesos'!$S$56),"")</f>
        <v/>
      </c>
      <c r="AA34" s="387" t="str">
        <f>IF(AND('[3]Mapa de procesos'!$AC$57="Media",'[3]Mapa de procesos'!$AE$57="Moderado"),CONCATENATE("R9C",'[3]Mapa de procesos'!$S$57),"")</f>
        <v/>
      </c>
      <c r="AB34" s="370" t="str">
        <f>IF(AND('[3]Mapa de procesos'!$AC$52="Media",'[3]Mapa de procesos'!$AE$52="Mayor"),CONCATENATE("R9C",'[3]Mapa de procesos'!$S$52),"")</f>
        <v/>
      </c>
      <c r="AC34" s="371" t="str">
        <f>IF(AND('[3]Mapa de procesos'!$AC$53="Media",'[3]Mapa de procesos'!$AE$53="Mayor"),CONCATENATE("R9C",'[3]Mapa de procesos'!$S$53),"")</f>
        <v/>
      </c>
      <c r="AD34" s="371" t="str">
        <f>IF(AND('[3]Mapa de procesos'!$AC$54="Media",'[3]Mapa de procesos'!$AE$54="Mayor"),CONCATENATE("R9C",'[3]Mapa de procesos'!$S$54),"")</f>
        <v/>
      </c>
      <c r="AE34" s="371" t="str">
        <f>IF(AND('[3]Mapa de procesos'!$AC$55="Media",'[3]Mapa de procesos'!$AE$55="Mayor"),CONCATENATE("R9C",'[3]Mapa de procesos'!$S$55),"")</f>
        <v/>
      </c>
      <c r="AF34" s="371" t="str">
        <f>IF(AND('[3]Mapa de procesos'!$AC$56="Media",'[3]Mapa de procesos'!$AE$56="Mayor"),CONCATENATE("R9C",'[3]Mapa de procesos'!$S$56),"")</f>
        <v/>
      </c>
      <c r="AG34" s="372" t="str">
        <f>IF(AND('[3]Mapa de procesos'!$AC$57="Media",'[3]Mapa de procesos'!$AE$57="Mayor"),CONCATENATE("R9C",'[3]Mapa de procesos'!$S$57),"")</f>
        <v/>
      </c>
      <c r="AH34" s="373" t="str">
        <f>IF(AND('[3]Mapa de procesos'!$AC$52="Media",'[3]Mapa de procesos'!$AE$52="Catastrófico"),CONCATENATE("R9C",'[3]Mapa de procesos'!$S$52),"")</f>
        <v/>
      </c>
      <c r="AI34" s="374" t="str">
        <f>IF(AND('[3]Mapa de procesos'!$AC$53="Media",'[3]Mapa de procesos'!$AE$53="Catastrófico"),CONCATENATE("R9C",'[3]Mapa de procesos'!$S$53),"")</f>
        <v/>
      </c>
      <c r="AJ34" s="374" t="str">
        <f>IF(AND('[3]Mapa de procesos'!$AC$54="Media",'[3]Mapa de procesos'!$AE$54="Catastrófico"),CONCATENATE("R9C",'[3]Mapa de procesos'!$S$54),"")</f>
        <v/>
      </c>
      <c r="AK34" s="374" t="str">
        <f>IF(AND('[3]Mapa de procesos'!$AC$55="Media",'[3]Mapa de procesos'!$AE$55="Catastrófico"),CONCATENATE("R9C",'[3]Mapa de procesos'!$S$55),"")</f>
        <v/>
      </c>
      <c r="AL34" s="374" t="str">
        <f>IF(AND('[3]Mapa de procesos'!$AC$56="Media",'[3]Mapa de procesos'!$AE$56="Catastrófico"),CONCATENATE("R9C",'[3]Mapa de procesos'!$S$56),"")</f>
        <v/>
      </c>
      <c r="AM34" s="375" t="str">
        <f>IF(AND('[3]Mapa de procesos'!$AC$57="Media",'[3]Mapa de procesos'!$AE$57="Catastrófico"),CONCATENATE("R9C",'[3]Mapa de procesos'!$S$57),"")</f>
        <v/>
      </c>
      <c r="AN34" s="363"/>
      <c r="AO34" s="881"/>
      <c r="AP34" s="866"/>
      <c r="AQ34" s="866"/>
      <c r="AR34" s="866"/>
      <c r="AS34" s="866"/>
      <c r="AT34" s="882"/>
      <c r="AU34" s="363"/>
      <c r="AV34" s="363"/>
      <c r="AW34" s="363"/>
      <c r="AX34" s="363"/>
      <c r="AY34" s="363"/>
      <c r="AZ34" s="363"/>
      <c r="BA34" s="363"/>
      <c r="BB34" s="363"/>
      <c r="BC34" s="363"/>
      <c r="BD34" s="363"/>
      <c r="BE34" s="363"/>
      <c r="BF34" s="363"/>
      <c r="BG34" s="363"/>
      <c r="BH34" s="363"/>
      <c r="BI34" s="363"/>
    </row>
    <row r="35" spans="1:61" ht="15.75" customHeight="1" thickBot="1" x14ac:dyDescent="0.3">
      <c r="A35" s="363"/>
      <c r="B35" s="868"/>
      <c r="C35" s="866"/>
      <c r="D35" s="870"/>
      <c r="E35" s="875"/>
      <c r="F35" s="876"/>
      <c r="G35" s="876"/>
      <c r="H35" s="876"/>
      <c r="I35" s="877"/>
      <c r="J35" s="385" t="str">
        <f>IF(AND('[3]Mapa de procesos'!$AC$58="Media",'[3]Mapa de procesos'!$AE$58="Leve"),CONCATENATE("R10C",'[3]Mapa de procesos'!$S$58),"")</f>
        <v/>
      </c>
      <c r="K35" s="386" t="str">
        <f>IF(AND('[3]Mapa de procesos'!$AC$59="Media",'[3]Mapa de procesos'!$AE$59="Leve"),CONCATENATE("R10C",'[3]Mapa de procesos'!$S$59),"")</f>
        <v/>
      </c>
      <c r="L35" s="386" t="str">
        <f>IF(AND('[3]Mapa de procesos'!$AC$60="Media",'[3]Mapa de procesos'!$AE$60="Leve"),CONCATENATE("R10C",'[3]Mapa de procesos'!$S$60),"")</f>
        <v/>
      </c>
      <c r="M35" s="386" t="str">
        <f>IF(AND('[3]Mapa de procesos'!$AC$61="Media",'[3]Mapa de procesos'!$AE$61="Leve"),CONCATENATE("R10C",'[3]Mapa de procesos'!$S$61),"")</f>
        <v/>
      </c>
      <c r="N35" s="386" t="str">
        <f>IF(AND('[3]Mapa de procesos'!$AC$62="Media",'[3]Mapa de procesos'!$AE$62="Leve"),CONCATENATE("R10C",'[3]Mapa de procesos'!$S$62),"")</f>
        <v/>
      </c>
      <c r="O35" s="387" t="str">
        <f>IF(AND('[3]Mapa de procesos'!$AC$63="Media",'[3]Mapa de procesos'!$AE$63="Leve"),CONCATENATE("R10C",'[3]Mapa de procesos'!$S$63),"")</f>
        <v/>
      </c>
      <c r="P35" s="385" t="str">
        <f>IF(AND('[3]Mapa de procesos'!$AC$58="Media",'[3]Mapa de procesos'!$AE$58="Menor"),CONCATENATE("R10C",'[3]Mapa de procesos'!$S$58),"")</f>
        <v/>
      </c>
      <c r="Q35" s="386" t="str">
        <f>IF(AND('[3]Mapa de procesos'!$AC$59="Media",'[3]Mapa de procesos'!$AE$59="Menor"),CONCATENATE("R10C",'[3]Mapa de procesos'!$S$59),"")</f>
        <v/>
      </c>
      <c r="R35" s="386" t="str">
        <f>IF(AND('[3]Mapa de procesos'!$AC$60="Media",'[3]Mapa de procesos'!$AE$60="Menor"),CONCATENATE("R10C",'[3]Mapa de procesos'!$S$60),"")</f>
        <v/>
      </c>
      <c r="S35" s="386" t="str">
        <f>IF(AND('[3]Mapa de procesos'!$AC$61="Media",'[3]Mapa de procesos'!$AE$61="Menor"),CONCATENATE("R10C",'[3]Mapa de procesos'!$S$61),"")</f>
        <v/>
      </c>
      <c r="T35" s="386" t="str">
        <f>IF(AND('[3]Mapa de procesos'!$AC$62="Media",'[3]Mapa de procesos'!$AE$62="Menor"),CONCATENATE("R10C",'[3]Mapa de procesos'!$S$62),"")</f>
        <v/>
      </c>
      <c r="U35" s="387" t="str">
        <f>IF(AND('[3]Mapa de procesos'!$AC$63="Media",'[3]Mapa de procesos'!$AE$63="Menor"),CONCATENATE("R10C",'[3]Mapa de procesos'!$S$63),"")</f>
        <v/>
      </c>
      <c r="V35" s="385" t="str">
        <f>IF(AND('[3]Mapa de procesos'!$AC$58="Media",'[3]Mapa de procesos'!$AE$58="Moderado"),CONCATENATE("R10C",'[3]Mapa de procesos'!$S$58),"")</f>
        <v/>
      </c>
      <c r="W35" s="386" t="str">
        <f>IF(AND('[3]Mapa de procesos'!$AC$59="Media",'[3]Mapa de procesos'!$AE$59="Moderado"),CONCATENATE("R10C",'[3]Mapa de procesos'!$S$59),"")</f>
        <v/>
      </c>
      <c r="X35" s="386" t="str">
        <f>IF(AND('[3]Mapa de procesos'!$AC$60="Media",'[3]Mapa de procesos'!$AE$60="Moderado"),CONCATENATE("R10C",'[3]Mapa de procesos'!$S$60),"")</f>
        <v/>
      </c>
      <c r="Y35" s="386" t="str">
        <f>IF(AND('[3]Mapa de procesos'!$AC$61="Media",'[3]Mapa de procesos'!$AE$61="Moderado"),CONCATENATE("R10C",'[3]Mapa de procesos'!$S$61),"")</f>
        <v/>
      </c>
      <c r="Z35" s="386" t="str">
        <f>IF(AND('[3]Mapa de procesos'!$AC$62="Media",'[3]Mapa de procesos'!$AE$62="Moderado"),CONCATENATE("R10C",'[3]Mapa de procesos'!$S$62),"")</f>
        <v/>
      </c>
      <c r="AA35" s="387" t="str">
        <f>IF(AND('[3]Mapa de procesos'!$AC$63="Media",'[3]Mapa de procesos'!$AE$63="Moderado"),CONCATENATE("R10C",'[3]Mapa de procesos'!$S$63),"")</f>
        <v/>
      </c>
      <c r="AB35" s="376" t="str">
        <f>IF(AND('[3]Mapa de procesos'!$AC$58="Media",'[3]Mapa de procesos'!$AE$58="Mayor"),CONCATENATE("R10C",'[3]Mapa de procesos'!$S$58),"")</f>
        <v/>
      </c>
      <c r="AC35" s="377" t="str">
        <f>IF(AND('[3]Mapa de procesos'!$AC$59="Media",'[3]Mapa de procesos'!$AE$59="Mayor"),CONCATENATE("R10C",'[3]Mapa de procesos'!$S$59),"")</f>
        <v/>
      </c>
      <c r="AD35" s="377" t="str">
        <f>IF(AND('[3]Mapa de procesos'!$AC$60="Media",'[3]Mapa de procesos'!$AE$60="Mayor"),CONCATENATE("R10C",'[3]Mapa de procesos'!$S$60),"")</f>
        <v/>
      </c>
      <c r="AE35" s="377" t="str">
        <f>IF(AND('[3]Mapa de procesos'!$AC$61="Media",'[3]Mapa de procesos'!$AE$61="Mayor"),CONCATENATE("R10C",'[3]Mapa de procesos'!$S$61),"")</f>
        <v/>
      </c>
      <c r="AF35" s="377" t="str">
        <f>IF(AND('[3]Mapa de procesos'!$AC$62="Media",'[3]Mapa de procesos'!$AE$62="Mayor"),CONCATENATE("R10C",'[3]Mapa de procesos'!$S$62),"")</f>
        <v/>
      </c>
      <c r="AG35" s="378" t="str">
        <f>IF(AND('[3]Mapa de procesos'!$AC$63="Media",'[3]Mapa de procesos'!$AE$63="Mayor"),CONCATENATE("R10C",'[3]Mapa de procesos'!$S$63),"")</f>
        <v/>
      </c>
      <c r="AH35" s="379" t="str">
        <f>IF(AND('[3]Mapa de procesos'!$AC$58="Media",'[3]Mapa de procesos'!$AE$58="Catastrófico"),CONCATENATE("R10C",'[3]Mapa de procesos'!$S$58),"")</f>
        <v/>
      </c>
      <c r="AI35" s="380" t="str">
        <f>IF(AND('[3]Mapa de procesos'!$AC$59="Media",'[3]Mapa de procesos'!$AE$59="Catastrófico"),CONCATENATE("R10C",'[3]Mapa de procesos'!$S$59),"")</f>
        <v/>
      </c>
      <c r="AJ35" s="380" t="str">
        <f>IF(AND('[3]Mapa de procesos'!$AC$60="Media",'[3]Mapa de procesos'!$AE$60="Catastrófico"),CONCATENATE("R10C",'[3]Mapa de procesos'!$S$60),"")</f>
        <v/>
      </c>
      <c r="AK35" s="380" t="str">
        <f>IF(AND('[3]Mapa de procesos'!$AC$61="Media",'[3]Mapa de procesos'!$AE$61="Catastrófico"),CONCATENATE("R10C",'[3]Mapa de procesos'!$S$61),"")</f>
        <v/>
      </c>
      <c r="AL35" s="380" t="str">
        <f>IF(AND('[3]Mapa de procesos'!$AC$62="Media",'[3]Mapa de procesos'!$AE$62="Catastrófico"),CONCATENATE("R10C",'[3]Mapa de procesos'!$S$62),"")</f>
        <v/>
      </c>
      <c r="AM35" s="381" t="str">
        <f>IF(AND('[3]Mapa de procesos'!$AC$63="Media",'[3]Mapa de procesos'!$AE$63="Catastrófico"),CONCATENATE("R10C",'[3]Mapa de procesos'!$S$63),"")</f>
        <v/>
      </c>
      <c r="AN35" s="363"/>
      <c r="AO35" s="883"/>
      <c r="AP35" s="884"/>
      <c r="AQ35" s="884"/>
      <c r="AR35" s="884"/>
      <c r="AS35" s="884"/>
      <c r="AT35" s="885"/>
      <c r="AU35" s="363"/>
      <c r="AV35" s="363"/>
      <c r="AW35" s="363"/>
      <c r="AX35" s="363"/>
      <c r="AY35" s="363"/>
      <c r="AZ35" s="363"/>
      <c r="BA35" s="363"/>
      <c r="BB35" s="363"/>
      <c r="BC35" s="363"/>
      <c r="BD35" s="363"/>
      <c r="BE35" s="363"/>
      <c r="BF35" s="363"/>
      <c r="BG35" s="363"/>
      <c r="BH35" s="363"/>
      <c r="BI35" s="363"/>
    </row>
    <row r="36" spans="1:61" ht="15" customHeight="1" x14ac:dyDescent="0.25">
      <c r="A36" s="363"/>
      <c r="B36" s="868"/>
      <c r="C36" s="866"/>
      <c r="D36" s="870"/>
      <c r="E36" s="871" t="s">
        <v>9</v>
      </c>
      <c r="F36" s="872"/>
      <c r="G36" s="872"/>
      <c r="H36" s="872"/>
      <c r="I36" s="872"/>
      <c r="J36" s="391" t="str">
        <f>IF(AND('[3]Mapa de procesos'!$AC$4="Baja",'[3]Mapa de procesos'!$AE$4="Leve"),CONCATENATE("R1C",'[3]Mapa de procesos'!$S$4),"")</f>
        <v/>
      </c>
      <c r="K36" s="392" t="str">
        <f>IF(AND('[3]Mapa de procesos'!$AC$5="Baja",'[3]Mapa de procesos'!$AE$5="Leve"),CONCATENATE("R1C",'[3]Mapa de procesos'!$S$5),"")</f>
        <v/>
      </c>
      <c r="L36" s="392" t="str">
        <f>IF(AND('[3]Mapa de procesos'!$AC$6="Baja",'[3]Mapa de procesos'!$AE$6="Leve"),CONCATENATE("R1C",'[3]Mapa de procesos'!$S$6),"")</f>
        <v/>
      </c>
      <c r="M36" s="392" t="str">
        <f>IF(AND('[3]Mapa de procesos'!$AC$7="Baja",'[3]Mapa de procesos'!$AE$7="Leve"),CONCATENATE("R1C",'[3]Mapa de procesos'!$S$7),"")</f>
        <v/>
      </c>
      <c r="N36" s="392" t="str">
        <f>IF(AND('[3]Mapa de procesos'!$AC$8="Baja",'[3]Mapa de procesos'!$AE$8="Leve"),CONCATENATE("R1C",'[3]Mapa de procesos'!$S$8),"")</f>
        <v/>
      </c>
      <c r="O36" s="393" t="str">
        <f>IF(AND('[3]Mapa de procesos'!$AC$9="Baja",'[3]Mapa de procesos'!$AE$9="Leve"),CONCATENATE("R1C",'[3]Mapa de procesos'!$S$9),"")</f>
        <v/>
      </c>
      <c r="P36" s="382" t="str">
        <f>IF(AND('[3]Mapa de procesos'!$AC$4="Baja",'[3]Mapa de procesos'!$AE$4="Menor"),CONCATENATE("R1C",'[3]Mapa de procesos'!$S$4),"")</f>
        <v/>
      </c>
      <c r="Q36" s="383" t="str">
        <f>IF(AND('[3]Mapa de procesos'!$AC$5="Baja",'[3]Mapa de procesos'!$AE$5="Menor"),CONCATENATE("R1C",'[3]Mapa de procesos'!$S$5),"")</f>
        <v/>
      </c>
      <c r="R36" s="383" t="str">
        <f>IF(AND('[3]Mapa de procesos'!$AC$6="Baja",'[3]Mapa de procesos'!$AE$6="Menor"),CONCATENATE("R1C",'[3]Mapa de procesos'!$S$6),"")</f>
        <v/>
      </c>
      <c r="S36" s="383" t="str">
        <f>IF(AND('[3]Mapa de procesos'!$AC$7="Baja",'[3]Mapa de procesos'!$AE$7="Menor"),CONCATENATE("R1C",'[3]Mapa de procesos'!$S$7),"")</f>
        <v/>
      </c>
      <c r="T36" s="383" t="str">
        <f>IF(AND('[3]Mapa de procesos'!$AC$8="Baja",'[3]Mapa de procesos'!$AE$8="Menor"),CONCATENATE("R1C",'[3]Mapa de procesos'!$S$8),"")</f>
        <v/>
      </c>
      <c r="U36" s="384" t="str">
        <f>IF(AND('[3]Mapa de procesos'!$AC$9="Baja",'[3]Mapa de procesos'!$AE$9="Menor"),CONCATENATE("R1C",'[3]Mapa de procesos'!$S$9),"")</f>
        <v/>
      </c>
      <c r="V36" s="382" t="str">
        <f>IF(AND('[3]Mapa de procesos'!$AC$4="Baja",'[3]Mapa de procesos'!$AE$4="Moderado"),CONCATENATE("R1C",'[3]Mapa de procesos'!$S$4),"")</f>
        <v/>
      </c>
      <c r="W36" s="383" t="str">
        <f>IF(AND('[3]Mapa de procesos'!$AC$5="Baja",'[3]Mapa de procesos'!$AE$5="Moderado"),CONCATENATE("R1C",'[3]Mapa de procesos'!$S$5),"")</f>
        <v/>
      </c>
      <c r="X36" s="383" t="str">
        <f>IF(AND('[3]Mapa de procesos'!$AC$6="Baja",'[3]Mapa de procesos'!$AE$6="Moderado"),CONCATENATE("R1C",'[3]Mapa de procesos'!$S$6),"")</f>
        <v/>
      </c>
      <c r="Y36" s="383" t="str">
        <f>IF(AND('[3]Mapa de procesos'!$AC$7="Baja",'[3]Mapa de procesos'!$AE$7="Moderado"),CONCATENATE("R1C",'[3]Mapa de procesos'!$S$7),"")</f>
        <v/>
      </c>
      <c r="Z36" s="383" t="str">
        <f>IF(AND('[3]Mapa de procesos'!$AC$8="Baja",'[3]Mapa de procesos'!$AE$8="Moderado"),CONCATENATE("R1C",'[3]Mapa de procesos'!$S$8),"")</f>
        <v/>
      </c>
      <c r="AA36" s="384" t="str">
        <f>IF(AND('[3]Mapa de procesos'!$AC$9="Baja",'[3]Mapa de procesos'!$AE$9="Moderado"),CONCATENATE("R1C",'[3]Mapa de procesos'!$S$9),"")</f>
        <v/>
      </c>
      <c r="AB36" s="364" t="str">
        <f>IF(AND('[3]Mapa de procesos'!$AC$4="Baja",'[3]Mapa de procesos'!$AE$4="Mayor"),CONCATENATE("R1C",'[3]Mapa de procesos'!$S$4),"")</f>
        <v/>
      </c>
      <c r="AC36" s="365" t="str">
        <f>IF(AND('[3]Mapa de procesos'!$AC$5="Baja",'[3]Mapa de procesos'!$AE$5="Mayor"),CONCATENATE("R1C",'[3]Mapa de procesos'!$S$5),"")</f>
        <v/>
      </c>
      <c r="AD36" s="365" t="str">
        <f>IF(AND('[3]Mapa de procesos'!$AC$6="Baja",'[3]Mapa de procesos'!$AE$6="Mayor"),CONCATENATE("R1C",'[3]Mapa de procesos'!$S$6),"")</f>
        <v/>
      </c>
      <c r="AE36" s="365" t="str">
        <f>IF(AND('[3]Mapa de procesos'!$AC$7="Baja",'[3]Mapa de procesos'!$AE$7="Mayor"),CONCATENATE("R1C",'[3]Mapa de procesos'!$S$7),"")</f>
        <v/>
      </c>
      <c r="AF36" s="365" t="str">
        <f>IF(AND('[3]Mapa de procesos'!$AC$8="Baja",'[3]Mapa de procesos'!$AE$8="Mayor"),CONCATENATE("R1C",'[3]Mapa de procesos'!$S$8),"")</f>
        <v/>
      </c>
      <c r="AG36" s="366" t="str">
        <f>IF(AND('[3]Mapa de procesos'!$AC$9="Baja",'[3]Mapa de procesos'!$AE$9="Mayor"),CONCATENATE("R1C",'[3]Mapa de procesos'!$S$9),"")</f>
        <v/>
      </c>
      <c r="AH36" s="367" t="str">
        <f>IF(AND('[3]Mapa de procesos'!$AC$4="Baja",'[3]Mapa de procesos'!$AE$4="Catastrófico"),CONCATENATE("R1C",'[3]Mapa de procesos'!$S$4),"")</f>
        <v/>
      </c>
      <c r="AI36" s="368" t="str">
        <f>IF(AND('[3]Mapa de procesos'!$AC$5="Baja",'[3]Mapa de procesos'!$AE$5="Catastrófico"),CONCATENATE("R1C",'[3]Mapa de procesos'!$S$5),"")</f>
        <v/>
      </c>
      <c r="AJ36" s="368" t="str">
        <f>IF(AND('[3]Mapa de procesos'!$AC$6="Baja",'[3]Mapa de procesos'!$AE$6="Catastrófico"),CONCATENATE("R1C",'[3]Mapa de procesos'!$S$6),"")</f>
        <v/>
      </c>
      <c r="AK36" s="368" t="str">
        <f>IF(AND('[3]Mapa de procesos'!$AC$7="Baja",'[3]Mapa de procesos'!$AE$7="Catastrófico"),CONCATENATE("R1C",'[3]Mapa de procesos'!$S$7),"")</f>
        <v/>
      </c>
      <c r="AL36" s="368" t="str">
        <f>IF(AND('[3]Mapa de procesos'!$AC$8="Baja",'[3]Mapa de procesos'!$AE$8="Catastrófico"),CONCATENATE("R1C",'[3]Mapa de procesos'!$S$8),"")</f>
        <v/>
      </c>
      <c r="AM36" s="369" t="str">
        <f>IF(AND('[3]Mapa de procesos'!$AC$9="Baja",'[3]Mapa de procesos'!$AE$9="Catastrófico"),CONCATENATE("R1C",'[3]Mapa de procesos'!$S$9),"")</f>
        <v/>
      </c>
      <c r="AN36" s="363"/>
      <c r="AO36" s="888" t="s">
        <v>10</v>
      </c>
      <c r="AP36" s="879"/>
      <c r="AQ36" s="879"/>
      <c r="AR36" s="879"/>
      <c r="AS36" s="879"/>
      <c r="AT36" s="880"/>
      <c r="AU36" s="363"/>
      <c r="AV36" s="363"/>
      <c r="AW36" s="363"/>
      <c r="AX36" s="363"/>
      <c r="AY36" s="363"/>
      <c r="AZ36" s="363"/>
      <c r="BA36" s="363"/>
      <c r="BB36" s="363"/>
      <c r="BC36" s="363"/>
      <c r="BD36" s="363"/>
      <c r="BE36" s="363"/>
      <c r="BF36" s="363"/>
      <c r="BG36" s="363"/>
      <c r="BH36" s="363"/>
      <c r="BI36" s="363"/>
    </row>
    <row r="37" spans="1:61" ht="15" customHeight="1" x14ac:dyDescent="0.25">
      <c r="A37" s="363"/>
      <c r="B37" s="868"/>
      <c r="C37" s="866"/>
      <c r="D37" s="870"/>
      <c r="E37" s="874"/>
      <c r="F37" s="866"/>
      <c r="G37" s="866"/>
      <c r="H37" s="866"/>
      <c r="I37" s="866"/>
      <c r="J37" s="394" t="str">
        <f>IF(AND('[3]Mapa de procesos'!$AC$10="Baja",'[3]Mapa de procesos'!$AE$10="Leve"),CONCATENATE("R2C",'[3]Mapa de procesos'!$S$10),"")</f>
        <v/>
      </c>
      <c r="K37" s="395" t="str">
        <f>IF(AND('[3]Mapa de procesos'!$AC$11="Baja",'[3]Mapa de procesos'!$AE$11="Leve"),CONCATENATE("R2C",'[3]Mapa de procesos'!$S$11),"")</f>
        <v/>
      </c>
      <c r="L37" s="395" t="str">
        <f>IF(AND('[3]Mapa de procesos'!$AC$12="Baja",'[3]Mapa de procesos'!$AE$12="Leve"),CONCATENATE("R2C",'[3]Mapa de procesos'!$S$12),"")</f>
        <v/>
      </c>
      <c r="M37" s="395" t="str">
        <f>IF(AND('[3]Mapa de procesos'!$AC$13="Baja",'[3]Mapa de procesos'!$AE$13="Leve"),CONCATENATE("R2C",'[3]Mapa de procesos'!$S$13),"")</f>
        <v/>
      </c>
      <c r="N37" s="395" t="str">
        <f>IF(AND('[3]Mapa de procesos'!$AC$14="Baja",'[3]Mapa de procesos'!$AE$14="Leve"),CONCATENATE("R2C",'[3]Mapa de procesos'!$S$14),"")</f>
        <v/>
      </c>
      <c r="O37" s="396" t="str">
        <f>IF(AND('[3]Mapa de procesos'!$AC$15="Baja",'[3]Mapa de procesos'!$AE$15="Leve"),CONCATENATE("R2C",'[3]Mapa de procesos'!$S$15),"")</f>
        <v/>
      </c>
      <c r="P37" s="385" t="str">
        <f>IF(AND('[3]Mapa de procesos'!$AC$10="Baja",'[3]Mapa de procesos'!$AE$10="Menor"),CONCATENATE("R2C",'[3]Mapa de procesos'!$S$10),"")</f>
        <v/>
      </c>
      <c r="Q37" s="386" t="str">
        <f>IF(AND('[3]Mapa de procesos'!$AC$11="Baja",'[3]Mapa de procesos'!$AE$11="Menor"),CONCATENATE("R2C",'[3]Mapa de procesos'!$S$11),"")</f>
        <v/>
      </c>
      <c r="R37" s="386" t="str">
        <f>IF(AND('[3]Mapa de procesos'!$AC$12="Baja",'[3]Mapa de procesos'!$AE$12="Menor"),CONCATENATE("R2C",'[3]Mapa de procesos'!$S$12),"")</f>
        <v/>
      </c>
      <c r="S37" s="386" t="str">
        <f>IF(AND('[3]Mapa de procesos'!$AC$13="Baja",'[3]Mapa de procesos'!$AE$13="Menor"),CONCATENATE("R2C",'[3]Mapa de procesos'!$S$13),"")</f>
        <v/>
      </c>
      <c r="T37" s="386" t="str">
        <f>IF(AND('[3]Mapa de procesos'!$AC$14="Baja",'[3]Mapa de procesos'!$AE$14="Menor"),CONCATENATE("R2C",'[3]Mapa de procesos'!$S$14),"")</f>
        <v/>
      </c>
      <c r="U37" s="387" t="str">
        <f>IF(AND('[3]Mapa de procesos'!$AC$15="Baja",'[3]Mapa de procesos'!$AE$15="Menor"),CONCATENATE("R2C",'[3]Mapa de procesos'!$S$15),"")</f>
        <v/>
      </c>
      <c r="V37" s="385" t="str">
        <f>IF(AND('[3]Mapa de procesos'!$AC$10="Baja",'[3]Mapa de procesos'!$AE$10="Moderado"),CONCATENATE("R2C",'[3]Mapa de procesos'!$S$10),"")</f>
        <v/>
      </c>
      <c r="W37" s="386" t="str">
        <f>IF(AND('[3]Mapa de procesos'!$AC$11="Baja",'[3]Mapa de procesos'!$AE$11="Moderado"),CONCATENATE("R2C",'[3]Mapa de procesos'!$S$11),"")</f>
        <v/>
      </c>
      <c r="X37" s="386" t="str">
        <f>IF(AND('[3]Mapa de procesos'!$AC$12="Baja",'[3]Mapa de procesos'!$AE$12="Moderado"),CONCATENATE("R2C",'[3]Mapa de procesos'!$S$12),"")</f>
        <v/>
      </c>
      <c r="Y37" s="386" t="str">
        <f>IF(AND('[3]Mapa de procesos'!$AC$13="Baja",'[3]Mapa de procesos'!$AE$13="Moderado"),CONCATENATE("R2C",'[3]Mapa de procesos'!$S$13),"")</f>
        <v/>
      </c>
      <c r="Z37" s="386" t="str">
        <f>IF(AND('[3]Mapa de procesos'!$AC$14="Baja",'[3]Mapa de procesos'!$AE$14="Moderado"),CONCATENATE("R2C",'[3]Mapa de procesos'!$S$14),"")</f>
        <v/>
      </c>
      <c r="AA37" s="387" t="str">
        <f>IF(AND('[3]Mapa de procesos'!$AC$15="Baja",'[3]Mapa de procesos'!$AE$15="Moderado"),CONCATENATE("R2C",'[3]Mapa de procesos'!$S$15),"")</f>
        <v/>
      </c>
      <c r="AB37" s="370" t="str">
        <f>IF(AND('[3]Mapa de procesos'!$AC$10="Baja",'[3]Mapa de procesos'!$AE$10="Mayor"),CONCATENATE("R2C",'[3]Mapa de procesos'!$S$10),"")</f>
        <v/>
      </c>
      <c r="AC37" s="371" t="str">
        <f>IF(AND('[3]Mapa de procesos'!$AC$11="Baja",'[3]Mapa de procesos'!$AE$11="Mayor"),CONCATENATE("R2C",'[3]Mapa de procesos'!$S$11),"")</f>
        <v/>
      </c>
      <c r="AD37" s="371" t="str">
        <f>IF(AND('[3]Mapa de procesos'!$AC$12="Baja",'[3]Mapa de procesos'!$AE$12="Mayor"),CONCATENATE("R2C",'[3]Mapa de procesos'!$S$12),"")</f>
        <v/>
      </c>
      <c r="AE37" s="371" t="str">
        <f>IF(AND('[3]Mapa de procesos'!$AC$13="Baja",'[3]Mapa de procesos'!$AE$13="Mayor"),CONCATENATE("R2C",'[3]Mapa de procesos'!$S$13),"")</f>
        <v/>
      </c>
      <c r="AF37" s="371" t="str">
        <f>IF(AND('[3]Mapa de procesos'!$AC$14="Baja",'[3]Mapa de procesos'!$AE$14="Mayor"),CONCATENATE("R2C",'[3]Mapa de procesos'!$S$14),"")</f>
        <v/>
      </c>
      <c r="AG37" s="372" t="str">
        <f>IF(AND('[3]Mapa de procesos'!$AC$15="Baja",'[3]Mapa de procesos'!$AE$15="Mayor"),CONCATENATE("R2C",'[3]Mapa de procesos'!$S$15),"")</f>
        <v/>
      </c>
      <c r="AH37" s="373" t="str">
        <f>IF(AND('[3]Mapa de procesos'!$AC$10="Baja",'[3]Mapa de procesos'!$AE$10="Catastrófico"),CONCATENATE("R2C",'[3]Mapa de procesos'!$S$10),"")</f>
        <v/>
      </c>
      <c r="AI37" s="374" t="str">
        <f>IF(AND('[3]Mapa de procesos'!$AC$11="Baja",'[3]Mapa de procesos'!$AE$11="Catastrófico"),CONCATENATE("R2C",'[3]Mapa de procesos'!$S$11),"")</f>
        <v/>
      </c>
      <c r="AJ37" s="374" t="str">
        <f>IF(AND('[3]Mapa de procesos'!$AC$12="Baja",'[3]Mapa de procesos'!$AE$12="Catastrófico"),CONCATENATE("R2C",'[3]Mapa de procesos'!$S$12),"")</f>
        <v/>
      </c>
      <c r="AK37" s="374" t="str">
        <f>IF(AND('[3]Mapa de procesos'!$AC$13="Baja",'[3]Mapa de procesos'!$AE$13="Catastrófico"),CONCATENATE("R2C",'[3]Mapa de procesos'!$S$13),"")</f>
        <v/>
      </c>
      <c r="AL37" s="374" t="str">
        <f>IF(AND('[3]Mapa de procesos'!$AC$14="Baja",'[3]Mapa de procesos'!$AE$14="Catastrófico"),CONCATENATE("R2C",'[3]Mapa de procesos'!$S$14),"")</f>
        <v/>
      </c>
      <c r="AM37" s="375" t="str">
        <f>IF(AND('[3]Mapa de procesos'!$AC$15="Baja",'[3]Mapa de procesos'!$AE$15="Catastrófico"),CONCATENATE("R2C",'[3]Mapa de procesos'!$S$15),"")</f>
        <v/>
      </c>
      <c r="AN37" s="363"/>
      <c r="AO37" s="881"/>
      <c r="AP37" s="866"/>
      <c r="AQ37" s="866"/>
      <c r="AR37" s="866"/>
      <c r="AS37" s="866"/>
      <c r="AT37" s="882"/>
      <c r="AU37" s="363"/>
      <c r="AV37" s="363"/>
      <c r="AW37" s="363"/>
      <c r="AX37" s="363"/>
      <c r="AY37" s="363"/>
      <c r="AZ37" s="363"/>
      <c r="BA37" s="363"/>
      <c r="BB37" s="363"/>
      <c r="BC37" s="363"/>
      <c r="BD37" s="363"/>
      <c r="BE37" s="363"/>
      <c r="BF37" s="363"/>
      <c r="BG37" s="363"/>
      <c r="BH37" s="363"/>
      <c r="BI37" s="363"/>
    </row>
    <row r="38" spans="1:61" ht="15" customHeight="1" x14ac:dyDescent="0.25">
      <c r="A38" s="363"/>
      <c r="B38" s="868"/>
      <c r="C38" s="866"/>
      <c r="D38" s="870"/>
      <c r="E38" s="874"/>
      <c r="F38" s="866"/>
      <c r="G38" s="866"/>
      <c r="H38" s="866"/>
      <c r="I38" s="866"/>
      <c r="J38" s="394" t="str">
        <f>IF(AND('[3]Mapa de procesos'!$AC$16="Baja",'[3]Mapa de procesos'!$AE$16="Leve"),CONCATENATE("R3C",'[3]Mapa de procesos'!$S$16),"")</f>
        <v/>
      </c>
      <c r="K38" s="395" t="str">
        <f>IF(AND('[3]Mapa de procesos'!$AC$17="Baja",'[3]Mapa de procesos'!$AE$17="Leve"),CONCATENATE("R3C",'[3]Mapa de procesos'!$S$17),"")</f>
        <v/>
      </c>
      <c r="L38" s="395" t="str">
        <f>IF(AND('[3]Mapa de procesos'!$AC$18="Baja",'[3]Mapa de procesos'!$AE$18="Leve"),CONCATENATE("R3C",'[3]Mapa de procesos'!$S$18),"")</f>
        <v/>
      </c>
      <c r="M38" s="395" t="str">
        <f>IF(AND('[3]Mapa de procesos'!$AC$19="Baja",'[3]Mapa de procesos'!$AE$19="Leve"),CONCATENATE("R3C",'[3]Mapa de procesos'!$S$19),"")</f>
        <v/>
      </c>
      <c r="N38" s="395" t="str">
        <f>IF(AND('[3]Mapa de procesos'!$AC$20="Baja",'[3]Mapa de procesos'!$AE$20="Leve"),CONCATENATE("R3C",'[3]Mapa de procesos'!$S$20),"")</f>
        <v/>
      </c>
      <c r="O38" s="396" t="str">
        <f>IF(AND('[3]Mapa de procesos'!$AC$21="Baja",'[3]Mapa de procesos'!$AE$21="Leve"),CONCATENATE("R3C",'[3]Mapa de procesos'!$S$21),"")</f>
        <v/>
      </c>
      <c r="P38" s="385" t="str">
        <f>IF(AND('[3]Mapa de procesos'!$AC$16="Baja",'[3]Mapa de procesos'!$AE$16="Menor"),CONCATENATE("R3C",'[3]Mapa de procesos'!$S$16),"")</f>
        <v/>
      </c>
      <c r="Q38" s="386" t="str">
        <f>IF(AND('[3]Mapa de procesos'!$AC$17="Baja",'[3]Mapa de procesos'!$AE$17="Menor"),CONCATENATE("R3C",'[3]Mapa de procesos'!$S$17),"")</f>
        <v/>
      </c>
      <c r="R38" s="386" t="str">
        <f>IF(AND('[3]Mapa de procesos'!$AC$18="Baja",'[3]Mapa de procesos'!$AE$18="Menor"),CONCATENATE("R3C",'[3]Mapa de procesos'!$S$18),"")</f>
        <v/>
      </c>
      <c r="S38" s="386" t="str">
        <f>IF(AND('[3]Mapa de procesos'!$AC$19="Baja",'[3]Mapa de procesos'!$AE$19="Menor"),CONCATENATE("R3C",'[3]Mapa de procesos'!$S$19),"")</f>
        <v/>
      </c>
      <c r="T38" s="386" t="str">
        <f>IF(AND('[3]Mapa de procesos'!$AC$20="Baja",'[3]Mapa de procesos'!$AE$20="Menor"),CONCATENATE("R3C",'[3]Mapa de procesos'!$S$20),"")</f>
        <v/>
      </c>
      <c r="U38" s="387" t="str">
        <f>IF(AND('[3]Mapa de procesos'!$AC$21="Baja",'[3]Mapa de procesos'!$AE$21="Menor"),CONCATENATE("R3C",'[3]Mapa de procesos'!$S$21),"")</f>
        <v/>
      </c>
      <c r="V38" s="385" t="str">
        <f>IF(AND('[3]Mapa de procesos'!$AC$16="Baja",'[3]Mapa de procesos'!$AE$16="Moderado"),CONCATENATE("R3C",'[3]Mapa de procesos'!$S$16),"")</f>
        <v/>
      </c>
      <c r="W38" s="386" t="str">
        <f>IF(AND('[3]Mapa de procesos'!$AC$17="Baja",'[3]Mapa de procesos'!$AE$17="Moderado"),CONCATENATE("R3C",'[3]Mapa de procesos'!$S$17),"")</f>
        <v/>
      </c>
      <c r="X38" s="386" t="str">
        <f>IF(AND('[3]Mapa de procesos'!$AC$18="Baja",'[3]Mapa de procesos'!$AE$18="Moderado"),CONCATENATE("R3C",'[3]Mapa de procesos'!$S$18),"")</f>
        <v/>
      </c>
      <c r="Y38" s="386" t="str">
        <f>IF(AND('[3]Mapa de procesos'!$AC$19="Baja",'[3]Mapa de procesos'!$AE$19="Moderado"),CONCATENATE("R3C",'[3]Mapa de procesos'!$S$19),"")</f>
        <v/>
      </c>
      <c r="Z38" s="386" t="str">
        <f>IF(AND('[3]Mapa de procesos'!$AC$20="Baja",'[3]Mapa de procesos'!$AE$20="Moderado"),CONCATENATE("R3C",'[3]Mapa de procesos'!$S$20),"")</f>
        <v/>
      </c>
      <c r="AA38" s="387" t="str">
        <f>IF(AND('[3]Mapa de procesos'!$AC$21="Baja",'[3]Mapa de procesos'!$AE$21="Moderado"),CONCATENATE("R3C",'[3]Mapa de procesos'!$S$21),"")</f>
        <v/>
      </c>
      <c r="AB38" s="370" t="str">
        <f>IF(AND('[3]Mapa de procesos'!$AC$16="Baja",'[3]Mapa de procesos'!$AE$16="Mayor"),CONCATENATE("R3C",'[3]Mapa de procesos'!$S$16),"")</f>
        <v/>
      </c>
      <c r="AC38" s="371" t="str">
        <f>IF(AND('[3]Mapa de procesos'!$AC$17="Baja",'[3]Mapa de procesos'!$AE$17="Mayor"),CONCATENATE("R3C",'[3]Mapa de procesos'!$S$17),"")</f>
        <v/>
      </c>
      <c r="AD38" s="371" t="str">
        <f>IF(AND('[3]Mapa de procesos'!$AC$18="Baja",'[3]Mapa de procesos'!$AE$18="Mayor"),CONCATENATE("R3C",'[3]Mapa de procesos'!$S$18),"")</f>
        <v/>
      </c>
      <c r="AE38" s="371" t="str">
        <f>IF(AND('[3]Mapa de procesos'!$AC$19="Baja",'[3]Mapa de procesos'!$AE$19="Mayor"),CONCATENATE("R3C",'[3]Mapa de procesos'!$S$19),"")</f>
        <v/>
      </c>
      <c r="AF38" s="371" t="str">
        <f>IF(AND('[3]Mapa de procesos'!$AC$20="Baja",'[3]Mapa de procesos'!$AE$20="Mayor"),CONCATENATE("R3C",'[3]Mapa de procesos'!$S$20),"")</f>
        <v/>
      </c>
      <c r="AG38" s="372" t="str">
        <f>IF(AND('[3]Mapa de procesos'!$AC$21="Baja",'[3]Mapa de procesos'!$AE$21="Mayor"),CONCATENATE("R3C",'[3]Mapa de procesos'!$S$21),"")</f>
        <v/>
      </c>
      <c r="AH38" s="373" t="str">
        <f>IF(AND('[3]Mapa de procesos'!$AC$16="Baja",'[3]Mapa de procesos'!$AE$16="Catastrófico"),CONCATENATE("R3C",'[3]Mapa de procesos'!$S$16),"")</f>
        <v/>
      </c>
      <c r="AI38" s="374" t="str">
        <f>IF(AND('[3]Mapa de procesos'!$AC$17="Baja",'[3]Mapa de procesos'!$AE$17="Catastrófico"),CONCATENATE("R3C",'[3]Mapa de procesos'!$S$17),"")</f>
        <v/>
      </c>
      <c r="AJ38" s="374" t="str">
        <f>IF(AND('[3]Mapa de procesos'!$AC$18="Baja",'[3]Mapa de procesos'!$AE$18="Catastrófico"),CONCATENATE("R3C",'[3]Mapa de procesos'!$S$18),"")</f>
        <v/>
      </c>
      <c r="AK38" s="374" t="str">
        <f>IF(AND('[3]Mapa de procesos'!$AC$19="Baja",'[3]Mapa de procesos'!$AE$19="Catastrófico"),CONCATENATE("R3C",'[3]Mapa de procesos'!$S$19),"")</f>
        <v/>
      </c>
      <c r="AL38" s="374" t="str">
        <f>IF(AND('[3]Mapa de procesos'!$AC$20="Baja",'[3]Mapa de procesos'!$AE$20="Catastrófico"),CONCATENATE("R3C",'[3]Mapa de procesos'!$S$20),"")</f>
        <v/>
      </c>
      <c r="AM38" s="375" t="str">
        <f>IF(AND('[3]Mapa de procesos'!$AC$21="Baja",'[3]Mapa de procesos'!$AE$21="Catastrófico"),CONCATENATE("R3C",'[3]Mapa de procesos'!$S$21),"")</f>
        <v/>
      </c>
      <c r="AN38" s="363"/>
      <c r="AO38" s="881"/>
      <c r="AP38" s="866"/>
      <c r="AQ38" s="866"/>
      <c r="AR38" s="866"/>
      <c r="AS38" s="866"/>
      <c r="AT38" s="882"/>
      <c r="AU38" s="363"/>
      <c r="AV38" s="363"/>
      <c r="AW38" s="363"/>
      <c r="AX38" s="363"/>
      <c r="AY38" s="363"/>
      <c r="AZ38" s="363"/>
      <c r="BA38" s="363"/>
      <c r="BB38" s="363"/>
      <c r="BC38" s="363"/>
      <c r="BD38" s="363"/>
      <c r="BE38" s="363"/>
      <c r="BF38" s="363"/>
      <c r="BG38" s="363"/>
      <c r="BH38" s="363"/>
      <c r="BI38" s="363"/>
    </row>
    <row r="39" spans="1:61" ht="15" customHeight="1" x14ac:dyDescent="0.25">
      <c r="A39" s="363"/>
      <c r="B39" s="868"/>
      <c r="C39" s="866"/>
      <c r="D39" s="870"/>
      <c r="E39" s="874"/>
      <c r="F39" s="866"/>
      <c r="G39" s="866"/>
      <c r="H39" s="866"/>
      <c r="I39" s="866"/>
      <c r="J39" s="394" t="str">
        <f>IF(AND('[3]Mapa de procesos'!$AC$22="Baja",'[3]Mapa de procesos'!$AE$22="Leve"),CONCATENATE("R4C",'[3]Mapa de procesos'!$S$22),"")</f>
        <v/>
      </c>
      <c r="K39" s="395" t="str">
        <f>IF(AND('[3]Mapa de procesos'!$AC$23="Baja",'[3]Mapa de procesos'!$AE$23="Leve"),CONCATENATE("R4C",'[3]Mapa de procesos'!$S$23),"")</f>
        <v/>
      </c>
      <c r="L39" s="395" t="str">
        <f>IF(AND('[3]Mapa de procesos'!$AC$24="Baja",'[3]Mapa de procesos'!$AE$24="Leve"),CONCATENATE("R4C",'[3]Mapa de procesos'!$S$24),"")</f>
        <v/>
      </c>
      <c r="M39" s="395" t="str">
        <f>IF(AND('[3]Mapa de procesos'!$AC$25="Baja",'[3]Mapa de procesos'!$AE$25="Leve"),CONCATENATE("R4C",'[3]Mapa de procesos'!$S$25),"")</f>
        <v/>
      </c>
      <c r="N39" s="395" t="str">
        <f>IF(AND('[3]Mapa de procesos'!$AC$26="Baja",'[3]Mapa de procesos'!$AE$26="Leve"),CONCATENATE("R4C",'[3]Mapa de procesos'!$S$26),"")</f>
        <v/>
      </c>
      <c r="O39" s="396" t="str">
        <f>IF(AND('[3]Mapa de procesos'!$AC$27="Baja",'[3]Mapa de procesos'!$AE$27="Leve"),CONCATENATE("R4C",'[3]Mapa de procesos'!$S$27),"")</f>
        <v/>
      </c>
      <c r="P39" s="385" t="str">
        <f>IF(AND('[3]Mapa de procesos'!$AC$22="Baja",'[3]Mapa de procesos'!$AE$22="Menor"),CONCATENATE("R4C",'[3]Mapa de procesos'!$S$22),"")</f>
        <v/>
      </c>
      <c r="Q39" s="386" t="str">
        <f>IF(AND('[3]Mapa de procesos'!$AC$23="Baja",'[3]Mapa de procesos'!$AE$23="Menor"),CONCATENATE("R4C",'[3]Mapa de procesos'!$S$23),"")</f>
        <v/>
      </c>
      <c r="R39" s="386" t="str">
        <f>IF(AND('[3]Mapa de procesos'!$AC$24="Baja",'[3]Mapa de procesos'!$AE$24="Menor"),CONCATENATE("R4C",'[3]Mapa de procesos'!$S$24),"")</f>
        <v/>
      </c>
      <c r="S39" s="386" t="str">
        <f>IF(AND('[3]Mapa de procesos'!$AC$25="Baja",'[3]Mapa de procesos'!$AE$25="Menor"),CONCATENATE("R4C",'[3]Mapa de procesos'!$S$25),"")</f>
        <v/>
      </c>
      <c r="T39" s="386" t="str">
        <f>IF(AND('[3]Mapa de procesos'!$AC$26="Baja",'[3]Mapa de procesos'!$AE$26="Menor"),CONCATENATE("R4C",'[3]Mapa de procesos'!$S$26),"")</f>
        <v/>
      </c>
      <c r="U39" s="387" t="str">
        <f>IF(AND('[3]Mapa de procesos'!$AC$27="Baja",'[3]Mapa de procesos'!$AE$27="Menor"),CONCATENATE("R4C",'[3]Mapa de procesos'!$S$27),"")</f>
        <v/>
      </c>
      <c r="V39" s="385" t="str">
        <f>IF(AND('[3]Mapa de procesos'!$AC$22="Baja",'[3]Mapa de procesos'!$AE$22="Moderado"),CONCATENATE("R4C",'[3]Mapa de procesos'!$S$22),"")</f>
        <v/>
      </c>
      <c r="W39" s="386" t="str">
        <f>IF(AND('[3]Mapa de procesos'!$AC$23="Baja",'[3]Mapa de procesos'!$AE$23="Moderado"),CONCATENATE("R4C",'[3]Mapa de procesos'!$S$23),"")</f>
        <v/>
      </c>
      <c r="X39" s="386" t="str">
        <f>IF(AND('[3]Mapa de procesos'!$AC$24="Baja",'[3]Mapa de procesos'!$AE$24="Moderado"),CONCATENATE("R4C",'[3]Mapa de procesos'!$S$24),"")</f>
        <v/>
      </c>
      <c r="Y39" s="386" t="str">
        <f>IF(AND('[3]Mapa de procesos'!$AC$25="Baja",'[3]Mapa de procesos'!$AE$25="Moderado"),CONCATENATE("R4C",'[3]Mapa de procesos'!$S$25),"")</f>
        <v/>
      </c>
      <c r="Z39" s="386" t="str">
        <f>IF(AND('[3]Mapa de procesos'!$AC$26="Baja",'[3]Mapa de procesos'!$AE$26="Moderado"),CONCATENATE("R4C",'[3]Mapa de procesos'!$S$26),"")</f>
        <v/>
      </c>
      <c r="AA39" s="387" t="str">
        <f>IF(AND('[3]Mapa de procesos'!$AC$27="Baja",'[3]Mapa de procesos'!$AE$27="Moderado"),CONCATENATE("R4C",'[3]Mapa de procesos'!$S$27),"")</f>
        <v/>
      </c>
      <c r="AB39" s="370" t="str">
        <f>IF(AND('[3]Mapa de procesos'!$AC$22="Baja",'[3]Mapa de procesos'!$AE$22="Mayor"),CONCATENATE("R4C",'[3]Mapa de procesos'!$S$22),"")</f>
        <v/>
      </c>
      <c r="AC39" s="371" t="str">
        <f>IF(AND('[3]Mapa de procesos'!$AC$23="Baja",'[3]Mapa de procesos'!$AE$23="Mayor"),CONCATENATE("R4C",'[3]Mapa de procesos'!$S$23),"")</f>
        <v/>
      </c>
      <c r="AD39" s="371" t="str">
        <f>IF(AND('[3]Mapa de procesos'!$AC$24="Baja",'[3]Mapa de procesos'!$AE$24="Mayor"),CONCATENATE("R4C",'[3]Mapa de procesos'!$S$24),"")</f>
        <v/>
      </c>
      <c r="AE39" s="371" t="str">
        <f>IF(AND('[3]Mapa de procesos'!$AC$25="Baja",'[3]Mapa de procesos'!$AE$25="Mayor"),CONCATENATE("R4C",'[3]Mapa de procesos'!$S$25),"")</f>
        <v/>
      </c>
      <c r="AF39" s="371" t="str">
        <f>IF(AND('[3]Mapa de procesos'!$AC$26="Baja",'[3]Mapa de procesos'!$AE$26="Mayor"),CONCATENATE("R4C",'[3]Mapa de procesos'!$S$26),"")</f>
        <v/>
      </c>
      <c r="AG39" s="372" t="str">
        <f>IF(AND('[3]Mapa de procesos'!$AC$27="Baja",'[3]Mapa de procesos'!$AE$27="Mayor"),CONCATENATE("R4C",'[3]Mapa de procesos'!$S$27),"")</f>
        <v/>
      </c>
      <c r="AH39" s="373" t="str">
        <f>IF(AND('[3]Mapa de procesos'!$AC$22="Baja",'[3]Mapa de procesos'!$AE$22="Catastrófico"),CONCATENATE("R4C",'[3]Mapa de procesos'!$S$22),"")</f>
        <v/>
      </c>
      <c r="AI39" s="374" t="str">
        <f>IF(AND('[3]Mapa de procesos'!$AC$23="Baja",'[3]Mapa de procesos'!$AE$23="Catastrófico"),CONCATENATE("R4C",'[3]Mapa de procesos'!$S$23),"")</f>
        <v/>
      </c>
      <c r="AJ39" s="374" t="str">
        <f>IF(AND('[3]Mapa de procesos'!$AC$24="Baja",'[3]Mapa de procesos'!$AE$24="Catastrófico"),CONCATENATE("R4C",'[3]Mapa de procesos'!$S$24),"")</f>
        <v/>
      </c>
      <c r="AK39" s="374" t="str">
        <f>IF(AND('[3]Mapa de procesos'!$AC$25="Baja",'[3]Mapa de procesos'!$AE$25="Catastrófico"),CONCATENATE("R4C",'[3]Mapa de procesos'!$S$25),"")</f>
        <v/>
      </c>
      <c r="AL39" s="374" t="str">
        <f>IF(AND('[3]Mapa de procesos'!$AC$26="Baja",'[3]Mapa de procesos'!$AE$26="Catastrófico"),CONCATENATE("R4C",'[3]Mapa de procesos'!$S$26),"")</f>
        <v/>
      </c>
      <c r="AM39" s="375" t="str">
        <f>IF(AND('[3]Mapa de procesos'!$AC$27="Baja",'[3]Mapa de procesos'!$AE$27="Catastrófico"),CONCATENATE("R4C",'[3]Mapa de procesos'!$S$27),"")</f>
        <v/>
      </c>
      <c r="AN39" s="363"/>
      <c r="AO39" s="881"/>
      <c r="AP39" s="866"/>
      <c r="AQ39" s="866"/>
      <c r="AR39" s="866"/>
      <c r="AS39" s="866"/>
      <c r="AT39" s="882"/>
      <c r="AU39" s="363"/>
      <c r="AV39" s="363"/>
      <c r="AW39" s="363"/>
      <c r="AX39" s="363"/>
      <c r="AY39" s="363"/>
      <c r="AZ39" s="363"/>
      <c r="BA39" s="363"/>
      <c r="BB39" s="363"/>
      <c r="BC39" s="363"/>
      <c r="BD39" s="363"/>
      <c r="BE39" s="363"/>
      <c r="BF39" s="363"/>
      <c r="BG39" s="363"/>
      <c r="BH39" s="363"/>
      <c r="BI39" s="363"/>
    </row>
    <row r="40" spans="1:61" ht="15" customHeight="1" x14ac:dyDescent="0.25">
      <c r="A40" s="363"/>
      <c r="B40" s="868"/>
      <c r="C40" s="866"/>
      <c r="D40" s="870"/>
      <c r="E40" s="874"/>
      <c r="F40" s="866"/>
      <c r="G40" s="866"/>
      <c r="H40" s="866"/>
      <c r="I40" s="866"/>
      <c r="J40" s="394" t="str">
        <f>IF(AND('[3]Mapa de procesos'!$AC$28="Baja",'[3]Mapa de procesos'!$AE$28="Leve"),CONCATENATE("R5C",'[3]Mapa de procesos'!$S$28),"")</f>
        <v/>
      </c>
      <c r="K40" s="395" t="str">
        <f>IF(AND('[3]Mapa de procesos'!$AC$29="Baja",'[3]Mapa de procesos'!$AE$29="Leve"),CONCATENATE("R5C",'[3]Mapa de procesos'!$S$29),"")</f>
        <v/>
      </c>
      <c r="L40" s="395" t="str">
        <f>IF(AND('[3]Mapa de procesos'!$AC$30="Baja",'[3]Mapa de procesos'!$AE$30="Leve"),CONCATENATE("R5C",'[3]Mapa de procesos'!$S$30),"")</f>
        <v/>
      </c>
      <c r="M40" s="395" t="str">
        <f>IF(AND('[3]Mapa de procesos'!$AC$31="Baja",'[3]Mapa de procesos'!$AE$31="Leve"),CONCATENATE("R5C",'[3]Mapa de procesos'!$S$31),"")</f>
        <v/>
      </c>
      <c r="N40" s="395" t="str">
        <f>IF(AND('[3]Mapa de procesos'!$AC$32="Baja",'[3]Mapa de procesos'!$AE$32="Leve"),CONCATENATE("R5C",'[3]Mapa de procesos'!$S$32),"")</f>
        <v/>
      </c>
      <c r="O40" s="396" t="str">
        <f>IF(AND('[3]Mapa de procesos'!$AC$33="Baja",'[3]Mapa de procesos'!$AE$33="Leve"),CONCATENATE("R5C",'[3]Mapa de procesos'!$S$33),"")</f>
        <v/>
      </c>
      <c r="P40" s="385" t="str">
        <f>IF(AND('[3]Mapa de procesos'!$AC$28="Baja",'[3]Mapa de procesos'!$AE$28="Menor"),CONCATENATE("R5C",'[3]Mapa de procesos'!$S$28),"")</f>
        <v/>
      </c>
      <c r="Q40" s="386" t="str">
        <f>IF(AND('[3]Mapa de procesos'!$AC$29="Baja",'[3]Mapa de procesos'!$AE$29="Menor"),CONCATENATE("R5C",'[3]Mapa de procesos'!$S$29),"")</f>
        <v/>
      </c>
      <c r="R40" s="386" t="str">
        <f>IF(AND('[3]Mapa de procesos'!$AC$30="Baja",'[3]Mapa de procesos'!$AE$30="Menor"),CONCATENATE("R5C",'[3]Mapa de procesos'!$S$30),"")</f>
        <v/>
      </c>
      <c r="S40" s="386" t="str">
        <f>IF(AND('[3]Mapa de procesos'!$AC$31="Baja",'[3]Mapa de procesos'!$AE$31="Menor"),CONCATENATE("R5C",'[3]Mapa de procesos'!$S$31),"")</f>
        <v/>
      </c>
      <c r="T40" s="386" t="str">
        <f>IF(AND('[3]Mapa de procesos'!$AC$32="Baja",'[3]Mapa de procesos'!$AE$32="Menor"),CONCATENATE("R5C",'[3]Mapa de procesos'!$S$32),"")</f>
        <v/>
      </c>
      <c r="U40" s="387" t="str">
        <f>IF(AND('[3]Mapa de procesos'!$AC$33="Baja",'[3]Mapa de procesos'!$AE$33="Menor"),CONCATENATE("R5C",'[3]Mapa de procesos'!$S$33),"")</f>
        <v/>
      </c>
      <c r="V40" s="385" t="str">
        <f>IF(AND('[3]Mapa de procesos'!$AC$28="Baja",'[3]Mapa de procesos'!$AE$28="Moderado"),CONCATENATE("R5C",'[3]Mapa de procesos'!$S$28),"")</f>
        <v/>
      </c>
      <c r="W40" s="386" t="str">
        <f>IF(AND('[3]Mapa de procesos'!$AC$29="Baja",'[3]Mapa de procesos'!$AE$29="Moderado"),CONCATENATE("R5C",'[3]Mapa de procesos'!$S$29),"")</f>
        <v/>
      </c>
      <c r="X40" s="386" t="str">
        <f>IF(AND('[3]Mapa de procesos'!$AC$30="Baja",'[3]Mapa de procesos'!$AE$30="Moderado"),CONCATENATE("R5C",'[3]Mapa de procesos'!$S$30),"")</f>
        <v/>
      </c>
      <c r="Y40" s="386" t="str">
        <f>IF(AND('[3]Mapa de procesos'!$AC$31="Baja",'[3]Mapa de procesos'!$AE$31="Moderado"),CONCATENATE("R5C",'[3]Mapa de procesos'!$S$31),"")</f>
        <v/>
      </c>
      <c r="Z40" s="386" t="str">
        <f>IF(AND('[3]Mapa de procesos'!$AC$32="Baja",'[3]Mapa de procesos'!$AE$32="Moderado"),CONCATENATE("R5C",'[3]Mapa de procesos'!$S$32),"")</f>
        <v/>
      </c>
      <c r="AA40" s="387" t="str">
        <f>IF(AND('[3]Mapa de procesos'!$AC$33="Baja",'[3]Mapa de procesos'!$AE$33="Moderado"),CONCATENATE("R5C",'[3]Mapa de procesos'!$S$33),"")</f>
        <v/>
      </c>
      <c r="AB40" s="370" t="str">
        <f>IF(AND('[3]Mapa de procesos'!$AC$28="Baja",'[3]Mapa de procesos'!$AE$28="Mayor"),CONCATENATE("R5C",'[3]Mapa de procesos'!$S$28),"")</f>
        <v/>
      </c>
      <c r="AC40" s="371" t="str">
        <f>IF(AND('[3]Mapa de procesos'!$AC$29="Baja",'[3]Mapa de procesos'!$AE$29="Mayor"),CONCATENATE("R5C",'[3]Mapa de procesos'!$S$29),"")</f>
        <v/>
      </c>
      <c r="AD40" s="371" t="str">
        <f>IF(AND('[3]Mapa de procesos'!$AC$30="Baja",'[3]Mapa de procesos'!$AE$30="Mayor"),CONCATENATE("R5C",'[3]Mapa de procesos'!$S$30),"")</f>
        <v/>
      </c>
      <c r="AE40" s="371" t="str">
        <f>IF(AND('[3]Mapa de procesos'!$AC$31="Baja",'[3]Mapa de procesos'!$AE$31="Mayor"),CONCATENATE("R5C",'[3]Mapa de procesos'!$S$31),"")</f>
        <v/>
      </c>
      <c r="AF40" s="371" t="str">
        <f>IF(AND('[3]Mapa de procesos'!$AC$32="Baja",'[3]Mapa de procesos'!$AE$32="Mayor"),CONCATENATE("R5C",'[3]Mapa de procesos'!$S$32),"")</f>
        <v/>
      </c>
      <c r="AG40" s="372" t="str">
        <f>IF(AND('[3]Mapa de procesos'!$AC$33="Baja",'[3]Mapa de procesos'!$AE$33="Mayor"),CONCATENATE("R5C",'[3]Mapa de procesos'!$S$33),"")</f>
        <v/>
      </c>
      <c r="AH40" s="373" t="str">
        <f>IF(AND('[3]Mapa de procesos'!$AC$28="Baja",'[3]Mapa de procesos'!$AE$28="Catastrófico"),CONCATENATE("R5C",'[3]Mapa de procesos'!$S$28),"")</f>
        <v/>
      </c>
      <c r="AI40" s="374" t="str">
        <f>IF(AND('[3]Mapa de procesos'!$AC$29="Baja",'[3]Mapa de procesos'!$AE$29="Catastrófico"),CONCATENATE("R5C",'[3]Mapa de procesos'!$S$29),"")</f>
        <v/>
      </c>
      <c r="AJ40" s="374" t="str">
        <f>IF(AND('[3]Mapa de procesos'!$AC$30="Baja",'[3]Mapa de procesos'!$AE$30="Catastrófico"),CONCATENATE("R5C",'[3]Mapa de procesos'!$S$30),"")</f>
        <v/>
      </c>
      <c r="AK40" s="374" t="str">
        <f>IF(AND('[3]Mapa de procesos'!$AC$31="Baja",'[3]Mapa de procesos'!$AE$31="Catastrófico"),CONCATENATE("R5C",'[3]Mapa de procesos'!$S$31),"")</f>
        <v/>
      </c>
      <c r="AL40" s="374" t="str">
        <f>IF(AND('[3]Mapa de procesos'!$AC$32="Baja",'[3]Mapa de procesos'!$AE$32="Catastrófico"),CONCATENATE("R5C",'[3]Mapa de procesos'!$S$32),"")</f>
        <v/>
      </c>
      <c r="AM40" s="375" t="str">
        <f>IF(AND('[3]Mapa de procesos'!$AC$33="Baja",'[3]Mapa de procesos'!$AE$33="Catastrófico"),CONCATENATE("R5C",'[3]Mapa de procesos'!$S$33),"")</f>
        <v/>
      </c>
      <c r="AN40" s="363"/>
      <c r="AO40" s="881"/>
      <c r="AP40" s="866"/>
      <c r="AQ40" s="866"/>
      <c r="AR40" s="866"/>
      <c r="AS40" s="866"/>
      <c r="AT40" s="882"/>
      <c r="AU40" s="363"/>
      <c r="AV40" s="363"/>
      <c r="AW40" s="363"/>
      <c r="AX40" s="363"/>
      <c r="AY40" s="363"/>
      <c r="AZ40" s="363"/>
      <c r="BA40" s="363"/>
      <c r="BB40" s="363"/>
      <c r="BC40" s="363"/>
      <c r="BD40" s="363"/>
      <c r="BE40" s="363"/>
      <c r="BF40" s="363"/>
      <c r="BG40" s="363"/>
      <c r="BH40" s="363"/>
      <c r="BI40" s="363"/>
    </row>
    <row r="41" spans="1:61" ht="15" customHeight="1" x14ac:dyDescent="0.25">
      <c r="A41" s="363"/>
      <c r="B41" s="868"/>
      <c r="C41" s="866"/>
      <c r="D41" s="870"/>
      <c r="E41" s="874"/>
      <c r="F41" s="866"/>
      <c r="G41" s="866"/>
      <c r="H41" s="866"/>
      <c r="I41" s="866"/>
      <c r="J41" s="394" t="str">
        <f>IF(AND('[3]Mapa de procesos'!$AC$34="Baja",'[3]Mapa de procesos'!$AE$34="Leve"),CONCATENATE("R6C",'[3]Mapa de procesos'!$S$34),"")</f>
        <v/>
      </c>
      <c r="K41" s="395" t="str">
        <f>IF(AND('[3]Mapa de procesos'!$AC$35="Baja",'[3]Mapa de procesos'!$AE$35="Leve"),CONCATENATE("R6C",'[3]Mapa de procesos'!$S$35),"")</f>
        <v/>
      </c>
      <c r="L41" s="395" t="str">
        <f>IF(AND('[3]Mapa de procesos'!$AC$36="Baja",'[3]Mapa de procesos'!$AE$36="Leve"),CONCATENATE("R6C",'[3]Mapa de procesos'!$S$36),"")</f>
        <v/>
      </c>
      <c r="M41" s="395" t="str">
        <f>IF(AND('[3]Mapa de procesos'!$AC$37="Baja",'[3]Mapa de procesos'!$AE$37="Leve"),CONCATENATE("R6C",'[3]Mapa de procesos'!$S$37),"")</f>
        <v/>
      </c>
      <c r="N41" s="395" t="str">
        <f>IF(AND('[3]Mapa de procesos'!$AC$38="Baja",'[3]Mapa de procesos'!$AE$38="Leve"),CONCATENATE("R6C",'[3]Mapa de procesos'!$S$38),"")</f>
        <v/>
      </c>
      <c r="O41" s="396" t="str">
        <f>IF(AND('[3]Mapa de procesos'!$AC$39="Baja",'[3]Mapa de procesos'!$AE$39="Leve"),CONCATENATE("R6C",'[3]Mapa de procesos'!$S$39),"")</f>
        <v/>
      </c>
      <c r="P41" s="385" t="str">
        <f>IF(AND('[3]Mapa de procesos'!$AC$34="Baja",'[3]Mapa de procesos'!$AE$34="Menor"),CONCATENATE("R6C",'[3]Mapa de procesos'!$S$34),"")</f>
        <v/>
      </c>
      <c r="Q41" s="386" t="str">
        <f>IF(AND('[3]Mapa de procesos'!$AC$35="Baja",'[3]Mapa de procesos'!$AE$35="Menor"),CONCATENATE("R6C",'[3]Mapa de procesos'!$S$35),"")</f>
        <v/>
      </c>
      <c r="R41" s="386" t="str">
        <f>IF(AND('[3]Mapa de procesos'!$AC$36="Baja",'[3]Mapa de procesos'!$AE$36="Menor"),CONCATENATE("R6C",'[3]Mapa de procesos'!$S$36),"")</f>
        <v/>
      </c>
      <c r="S41" s="386" t="str">
        <f>IF(AND('[3]Mapa de procesos'!$AC$37="Baja",'[3]Mapa de procesos'!$AE$37="Menor"),CONCATENATE("R6C",'[3]Mapa de procesos'!$S$37),"")</f>
        <v/>
      </c>
      <c r="T41" s="386" t="str">
        <f>IF(AND('[3]Mapa de procesos'!$AC$38="Baja",'[3]Mapa de procesos'!$AE$38="Menor"),CONCATENATE("R6C",'[3]Mapa de procesos'!$S$38),"")</f>
        <v/>
      </c>
      <c r="U41" s="387" t="str">
        <f>IF(AND('[3]Mapa de procesos'!$AC$39="Baja",'[3]Mapa de procesos'!$AE$39="Menor"),CONCATENATE("R6C",'[3]Mapa de procesos'!$S$39),"")</f>
        <v/>
      </c>
      <c r="V41" s="385" t="str">
        <f>IF(AND('[3]Mapa de procesos'!$AC$34="Baja",'[3]Mapa de procesos'!$AE$34="Moderado"),CONCATENATE("R6C",'[3]Mapa de procesos'!$S$34),"")</f>
        <v/>
      </c>
      <c r="W41" s="386" t="str">
        <f>IF(AND('[3]Mapa de procesos'!$AC$35="Baja",'[3]Mapa de procesos'!$AE$35="Moderado"),CONCATENATE("R6C",'[3]Mapa de procesos'!$S$35),"")</f>
        <v/>
      </c>
      <c r="X41" s="386" t="str">
        <f>IF(AND('[3]Mapa de procesos'!$AC$36="Baja",'[3]Mapa de procesos'!$AE$36="Moderado"),CONCATENATE("R6C",'[3]Mapa de procesos'!$S$36),"")</f>
        <v/>
      </c>
      <c r="Y41" s="386" t="str">
        <f>IF(AND('[3]Mapa de procesos'!$AC$37="Baja",'[3]Mapa de procesos'!$AE$37="Moderado"),CONCATENATE("R6C",'[3]Mapa de procesos'!$S$37),"")</f>
        <v/>
      </c>
      <c r="Z41" s="386" t="str">
        <f>IF(AND('[3]Mapa de procesos'!$AC$38="Baja",'[3]Mapa de procesos'!$AE$38="Moderado"),CONCATENATE("R6C",'[3]Mapa de procesos'!$S$38),"")</f>
        <v/>
      </c>
      <c r="AA41" s="387" t="str">
        <f>IF(AND('[3]Mapa de procesos'!$AC$39="Baja",'[3]Mapa de procesos'!$AE$39="Moderado"),CONCATENATE("R6C",'[3]Mapa de procesos'!$S$39),"")</f>
        <v/>
      </c>
      <c r="AB41" s="370" t="str">
        <f>IF(AND('[3]Mapa de procesos'!$AC$34="Baja",'[3]Mapa de procesos'!$AE$34="Mayor"),CONCATENATE("R6C",'[3]Mapa de procesos'!$S$34),"")</f>
        <v/>
      </c>
      <c r="AC41" s="371" t="str">
        <f>IF(AND('[3]Mapa de procesos'!$AC$35="Baja",'[3]Mapa de procesos'!$AE$35="Mayor"),CONCATENATE("R6C",'[3]Mapa de procesos'!$S$35),"")</f>
        <v/>
      </c>
      <c r="AD41" s="371" t="str">
        <f>IF(AND('[3]Mapa de procesos'!$AC$36="Baja",'[3]Mapa de procesos'!$AE$36="Mayor"),CONCATENATE("R6C",'[3]Mapa de procesos'!$S$36),"")</f>
        <v/>
      </c>
      <c r="AE41" s="371" t="str">
        <f>IF(AND('[3]Mapa de procesos'!$AC$37="Baja",'[3]Mapa de procesos'!$AE$37="Mayor"),CONCATENATE("R6C",'[3]Mapa de procesos'!$S$37),"")</f>
        <v/>
      </c>
      <c r="AF41" s="371" t="str">
        <f>IF(AND('[3]Mapa de procesos'!$AC$38="Baja",'[3]Mapa de procesos'!$AE$38="Mayor"),CONCATENATE("R6C",'[3]Mapa de procesos'!$S$38),"")</f>
        <v/>
      </c>
      <c r="AG41" s="372" t="str">
        <f>IF(AND('[3]Mapa de procesos'!$AC$39="Baja",'[3]Mapa de procesos'!$AE$39="Mayor"),CONCATENATE("R6C",'[3]Mapa de procesos'!$S$39),"")</f>
        <v/>
      </c>
      <c r="AH41" s="373" t="str">
        <f>IF(AND('[3]Mapa de procesos'!$AC$34="Baja",'[3]Mapa de procesos'!$AE$34="Catastrófico"),CONCATENATE("R6C",'[3]Mapa de procesos'!$S$34),"")</f>
        <v/>
      </c>
      <c r="AI41" s="374" t="str">
        <f>IF(AND('[3]Mapa de procesos'!$AC$35="Baja",'[3]Mapa de procesos'!$AE$35="Catastrófico"),CONCATENATE("R6C",'[3]Mapa de procesos'!$S$35),"")</f>
        <v/>
      </c>
      <c r="AJ41" s="374" t="str">
        <f>IF(AND('[3]Mapa de procesos'!$AC$36="Baja",'[3]Mapa de procesos'!$AE$36="Catastrófico"),CONCATENATE("R6C",'[3]Mapa de procesos'!$S$36),"")</f>
        <v/>
      </c>
      <c r="AK41" s="374" t="str">
        <f>IF(AND('[3]Mapa de procesos'!$AC$37="Baja",'[3]Mapa de procesos'!$AE$37="Catastrófico"),CONCATENATE("R6C",'[3]Mapa de procesos'!$S$37),"")</f>
        <v/>
      </c>
      <c r="AL41" s="374" t="str">
        <f>IF(AND('[3]Mapa de procesos'!$AC$38="Baja",'[3]Mapa de procesos'!$AE$38="Catastrófico"),CONCATENATE("R6C",'[3]Mapa de procesos'!$S$38),"")</f>
        <v/>
      </c>
      <c r="AM41" s="375" t="str">
        <f>IF(AND('[3]Mapa de procesos'!$AC$39="Baja",'[3]Mapa de procesos'!$AE$39="Catastrófico"),CONCATENATE("R6C",'[3]Mapa de procesos'!$S$39),"")</f>
        <v/>
      </c>
      <c r="AN41" s="363"/>
      <c r="AO41" s="881"/>
      <c r="AP41" s="866"/>
      <c r="AQ41" s="866"/>
      <c r="AR41" s="866"/>
      <c r="AS41" s="866"/>
      <c r="AT41" s="882"/>
      <c r="AU41" s="363"/>
      <c r="AV41" s="363"/>
      <c r="AW41" s="363"/>
      <c r="AX41" s="363"/>
      <c r="AY41" s="363"/>
      <c r="AZ41" s="363"/>
      <c r="BA41" s="363"/>
      <c r="BB41" s="363"/>
      <c r="BC41" s="363"/>
      <c r="BD41" s="363"/>
      <c r="BE41" s="363"/>
      <c r="BF41" s="363"/>
      <c r="BG41" s="363"/>
      <c r="BH41" s="363"/>
      <c r="BI41" s="363"/>
    </row>
    <row r="42" spans="1:61" ht="15" customHeight="1" x14ac:dyDescent="0.25">
      <c r="A42" s="363"/>
      <c r="B42" s="868"/>
      <c r="C42" s="866"/>
      <c r="D42" s="870"/>
      <c r="E42" s="874"/>
      <c r="F42" s="866"/>
      <c r="G42" s="866"/>
      <c r="H42" s="866"/>
      <c r="I42" s="866"/>
      <c r="J42" s="394" t="str">
        <f>IF(AND('[3]Mapa de procesos'!$AC$40="Baja",'[3]Mapa de procesos'!$AE$40="Leve"),CONCATENATE("R7C",'[3]Mapa de procesos'!$S$40),"")</f>
        <v/>
      </c>
      <c r="K42" s="395" t="str">
        <f>IF(AND('[3]Mapa de procesos'!$AC$41="Baja",'[3]Mapa de procesos'!$AE$41="Leve"),CONCATENATE("R7C",'[3]Mapa de procesos'!$S$41),"")</f>
        <v/>
      </c>
      <c r="L42" s="395" t="str">
        <f>IF(AND('[3]Mapa de procesos'!$AC$42="Baja",'[3]Mapa de procesos'!$AE$42="Leve"),CONCATENATE("R7C",'[3]Mapa de procesos'!$S$42),"")</f>
        <v/>
      </c>
      <c r="M42" s="395" t="str">
        <f>IF(AND('[3]Mapa de procesos'!$AC$43="Baja",'[3]Mapa de procesos'!$AE$43="Leve"),CONCATENATE("R7C",'[3]Mapa de procesos'!$S$43),"")</f>
        <v/>
      </c>
      <c r="N42" s="395" t="str">
        <f>IF(AND('[3]Mapa de procesos'!$AC$44="Baja",'[3]Mapa de procesos'!$AE$44="Leve"),CONCATENATE("R7C",'[3]Mapa de procesos'!$S$44),"")</f>
        <v/>
      </c>
      <c r="O42" s="396" t="str">
        <f>IF(AND('[3]Mapa de procesos'!$AC$45="Baja",'[3]Mapa de procesos'!$AE$45="Leve"),CONCATENATE("R7C",'[3]Mapa de procesos'!$S$45),"")</f>
        <v/>
      </c>
      <c r="P42" s="385" t="str">
        <f>IF(AND('[3]Mapa de procesos'!$AC$40="Baja",'[3]Mapa de procesos'!$AE$40="Menor"),CONCATENATE("R7C",'[3]Mapa de procesos'!$S$40),"")</f>
        <v/>
      </c>
      <c r="Q42" s="386" t="str">
        <f>IF(AND('[3]Mapa de procesos'!$AC$41="Baja",'[3]Mapa de procesos'!$AE$41="Menor"),CONCATENATE("R7C",'[3]Mapa de procesos'!$S$41),"")</f>
        <v/>
      </c>
      <c r="R42" s="386" t="str">
        <f>IF(AND('[3]Mapa de procesos'!$AC$42="Baja",'[3]Mapa de procesos'!$AE$42="Menor"),CONCATENATE("R7C",'[3]Mapa de procesos'!$S$42),"")</f>
        <v/>
      </c>
      <c r="S42" s="386" t="str">
        <f>IF(AND('[3]Mapa de procesos'!$AC$43="Baja",'[3]Mapa de procesos'!$AE$43="Menor"),CONCATENATE("R7C",'[3]Mapa de procesos'!$S$43),"")</f>
        <v/>
      </c>
      <c r="T42" s="386" t="str">
        <f>IF(AND('[3]Mapa de procesos'!$AC$44="Baja",'[3]Mapa de procesos'!$AE$44="Menor"),CONCATENATE("R7C",'[3]Mapa de procesos'!$S$44),"")</f>
        <v/>
      </c>
      <c r="U42" s="387" t="str">
        <f>IF(AND('[3]Mapa de procesos'!$AC$45="Baja",'[3]Mapa de procesos'!$AE$45="Menor"),CONCATENATE("R7C",'[3]Mapa de procesos'!$S$45),"")</f>
        <v/>
      </c>
      <c r="V42" s="385" t="str">
        <f>IF(AND('[3]Mapa de procesos'!$AC$40="Baja",'[3]Mapa de procesos'!$AE$40="Moderado"),CONCATENATE("R7C",'[3]Mapa de procesos'!$S$40),"")</f>
        <v/>
      </c>
      <c r="W42" s="386" t="str">
        <f>IF(AND('[3]Mapa de procesos'!$AC$41="Baja",'[3]Mapa de procesos'!$AE$41="Moderado"),CONCATENATE("R7C",'[3]Mapa de procesos'!$S$41),"")</f>
        <v/>
      </c>
      <c r="X42" s="386" t="str">
        <f>IF(AND('[3]Mapa de procesos'!$AC$42="Baja",'[3]Mapa de procesos'!$AE$42="Moderado"),CONCATENATE("R7C",'[3]Mapa de procesos'!$S$42),"")</f>
        <v/>
      </c>
      <c r="Y42" s="386" t="str">
        <f>IF(AND('[3]Mapa de procesos'!$AC$43="Baja",'[3]Mapa de procesos'!$AE$43="Moderado"),CONCATENATE("R7C",'[3]Mapa de procesos'!$S$43),"")</f>
        <v/>
      </c>
      <c r="Z42" s="386" t="str">
        <f>IF(AND('[3]Mapa de procesos'!$AC$44="Baja",'[3]Mapa de procesos'!$AE$44="Moderado"),CONCATENATE("R7C",'[3]Mapa de procesos'!$S$44),"")</f>
        <v/>
      </c>
      <c r="AA42" s="387" t="str">
        <f>IF(AND('[3]Mapa de procesos'!$AC$45="Baja",'[3]Mapa de procesos'!$AE$45="Moderado"),CONCATENATE("R7C",'[3]Mapa de procesos'!$S$45),"")</f>
        <v/>
      </c>
      <c r="AB42" s="370" t="str">
        <f>IF(AND('[3]Mapa de procesos'!$AC$40="Baja",'[3]Mapa de procesos'!$AE$40="Mayor"),CONCATENATE("R7C",'[3]Mapa de procesos'!$S$40),"")</f>
        <v/>
      </c>
      <c r="AC42" s="371" t="str">
        <f>IF(AND('[3]Mapa de procesos'!$AC$41="Baja",'[3]Mapa de procesos'!$AE$41="Mayor"),CONCATENATE("R7C",'[3]Mapa de procesos'!$S$41),"")</f>
        <v/>
      </c>
      <c r="AD42" s="371" t="str">
        <f>IF(AND('[3]Mapa de procesos'!$AC$42="Baja",'[3]Mapa de procesos'!$AE$42="Mayor"),CONCATENATE("R7C",'[3]Mapa de procesos'!$S$42),"")</f>
        <v/>
      </c>
      <c r="AE42" s="371" t="str">
        <f>IF(AND('[3]Mapa de procesos'!$AC$43="Baja",'[3]Mapa de procesos'!$AE$43="Mayor"),CONCATENATE("R7C",'[3]Mapa de procesos'!$S$43),"")</f>
        <v/>
      </c>
      <c r="AF42" s="371" t="str">
        <f>IF(AND('[3]Mapa de procesos'!$AC$44="Baja",'[3]Mapa de procesos'!$AE$44="Mayor"),CONCATENATE("R7C",'[3]Mapa de procesos'!$S$44),"")</f>
        <v/>
      </c>
      <c r="AG42" s="372" t="str">
        <f>IF(AND('[3]Mapa de procesos'!$AC$45="Baja",'[3]Mapa de procesos'!$AE$45="Mayor"),CONCATENATE("R7C",'[3]Mapa de procesos'!$S$45),"")</f>
        <v/>
      </c>
      <c r="AH42" s="373" t="str">
        <f>IF(AND('[3]Mapa de procesos'!$AC$40="Baja",'[3]Mapa de procesos'!$AE$40="Catastrófico"),CONCATENATE("R7C",'[3]Mapa de procesos'!$S$40),"")</f>
        <v/>
      </c>
      <c r="AI42" s="374" t="str">
        <f>IF(AND('[3]Mapa de procesos'!$AC$41="Baja",'[3]Mapa de procesos'!$AE$41="Catastrófico"),CONCATENATE("R7C",'[3]Mapa de procesos'!$S$41),"")</f>
        <v/>
      </c>
      <c r="AJ42" s="374" t="str">
        <f>IF(AND('[3]Mapa de procesos'!$AC$42="Baja",'[3]Mapa de procesos'!$AE$42="Catastrófico"),CONCATENATE("R7C",'[3]Mapa de procesos'!$S$42),"")</f>
        <v/>
      </c>
      <c r="AK42" s="374" t="str">
        <f>IF(AND('[3]Mapa de procesos'!$AC$43="Baja",'[3]Mapa de procesos'!$AE$43="Catastrófico"),CONCATENATE("R7C",'[3]Mapa de procesos'!$S$43),"")</f>
        <v/>
      </c>
      <c r="AL42" s="374" t="str">
        <f>IF(AND('[3]Mapa de procesos'!$AC$44="Baja",'[3]Mapa de procesos'!$AE$44="Catastrófico"),CONCATENATE("R7C",'[3]Mapa de procesos'!$S$44),"")</f>
        <v/>
      </c>
      <c r="AM42" s="375" t="str">
        <f>IF(AND('[3]Mapa de procesos'!$AC$45="Baja",'[3]Mapa de procesos'!$AE$45="Catastrófico"),CONCATENATE("R7C",'[3]Mapa de procesos'!$S$45),"")</f>
        <v/>
      </c>
      <c r="AN42" s="363"/>
      <c r="AO42" s="881"/>
      <c r="AP42" s="866"/>
      <c r="AQ42" s="866"/>
      <c r="AR42" s="866"/>
      <c r="AS42" s="866"/>
      <c r="AT42" s="882"/>
      <c r="AU42" s="363"/>
      <c r="AV42" s="363"/>
      <c r="AW42" s="363"/>
      <c r="AX42" s="363"/>
      <c r="AY42" s="363"/>
      <c r="AZ42" s="363"/>
      <c r="BA42" s="363"/>
      <c r="BB42" s="363"/>
      <c r="BC42" s="363"/>
      <c r="BD42" s="363"/>
      <c r="BE42" s="363"/>
      <c r="BF42" s="363"/>
      <c r="BG42" s="363"/>
      <c r="BH42" s="363"/>
      <c r="BI42" s="363"/>
    </row>
    <row r="43" spans="1:61" ht="15" customHeight="1" x14ac:dyDescent="0.25">
      <c r="A43" s="363"/>
      <c r="B43" s="868"/>
      <c r="C43" s="866"/>
      <c r="D43" s="870"/>
      <c r="E43" s="874"/>
      <c r="F43" s="866"/>
      <c r="G43" s="866"/>
      <c r="H43" s="866"/>
      <c r="I43" s="866"/>
      <c r="J43" s="394" t="str">
        <f>IF(AND('[3]Mapa de procesos'!$AC$46="Baja",'[3]Mapa de procesos'!$AE$46="Leve"),CONCATENATE("R8C",'[3]Mapa de procesos'!$S$46),"")</f>
        <v/>
      </c>
      <c r="K43" s="395" t="str">
        <f>IF(AND('[3]Mapa de procesos'!$AC$47="Baja",'[3]Mapa de procesos'!$AE$47="Leve"),CONCATENATE("R8C",'[3]Mapa de procesos'!$S$47),"")</f>
        <v/>
      </c>
      <c r="L43" s="395" t="str">
        <f>IF(AND('[3]Mapa de procesos'!$AC$48="Baja",'[3]Mapa de procesos'!$AE$48="Leve"),CONCATENATE("R8C",'[3]Mapa de procesos'!$S$48),"")</f>
        <v/>
      </c>
      <c r="M43" s="395" t="str">
        <f>IF(AND('[3]Mapa de procesos'!$AC$49="Baja",'[3]Mapa de procesos'!$AE$49="Leve"),CONCATENATE("R8C",'[3]Mapa de procesos'!$S$49),"")</f>
        <v/>
      </c>
      <c r="N43" s="395" t="str">
        <f>IF(AND('[3]Mapa de procesos'!$AC$50="Baja",'[3]Mapa de procesos'!$AE$50="Leve"),CONCATENATE("R8C",'[3]Mapa de procesos'!$S$50),"")</f>
        <v/>
      </c>
      <c r="O43" s="396" t="str">
        <f>IF(AND('[3]Mapa de procesos'!$AC$51="Baja",'[3]Mapa de procesos'!$AE$51="Leve"),CONCATENATE("R8C",'[3]Mapa de procesos'!$S$51),"")</f>
        <v/>
      </c>
      <c r="P43" s="385" t="str">
        <f>IF(AND('[3]Mapa de procesos'!$AC$46="Baja",'[3]Mapa de procesos'!$AE$46="Menor"),CONCATENATE("R8C",'[3]Mapa de procesos'!$S$46),"")</f>
        <v/>
      </c>
      <c r="Q43" s="386" t="str">
        <f>IF(AND('[3]Mapa de procesos'!$AC$47="Baja",'[3]Mapa de procesos'!$AE$47="Menor"),CONCATENATE("R8C",'[3]Mapa de procesos'!$S$47),"")</f>
        <v/>
      </c>
      <c r="R43" s="386" t="str">
        <f>IF(AND('[3]Mapa de procesos'!$AC$48="Baja",'[3]Mapa de procesos'!$AE$48="Menor"),CONCATENATE("R8C",'[3]Mapa de procesos'!$S$48),"")</f>
        <v/>
      </c>
      <c r="S43" s="386" t="str">
        <f>IF(AND('[3]Mapa de procesos'!$AC$49="Baja",'[3]Mapa de procesos'!$AE$49="Menor"),CONCATENATE("R8C",'[3]Mapa de procesos'!$S$49),"")</f>
        <v/>
      </c>
      <c r="T43" s="386" t="str">
        <f>IF(AND('[3]Mapa de procesos'!$AC$50="Baja",'[3]Mapa de procesos'!$AE$50="Menor"),CONCATENATE("R8C",'[3]Mapa de procesos'!$S$50),"")</f>
        <v/>
      </c>
      <c r="U43" s="387" t="str">
        <f>IF(AND('[3]Mapa de procesos'!$AC$51="Baja",'[3]Mapa de procesos'!$AE$51="Menor"),CONCATENATE("R8C",'[3]Mapa de procesos'!$S$51),"")</f>
        <v/>
      </c>
      <c r="V43" s="385" t="str">
        <f>IF(AND('[3]Mapa de procesos'!$AC$46="Baja",'[3]Mapa de procesos'!$AE$46="Moderado"),CONCATENATE("R8C",'[3]Mapa de procesos'!$S$46),"")</f>
        <v/>
      </c>
      <c r="W43" s="386" t="str">
        <f>IF(AND('[3]Mapa de procesos'!$AC$47="Baja",'[3]Mapa de procesos'!$AE$47="Moderado"),CONCATENATE("R8C",'[3]Mapa de procesos'!$S$47),"")</f>
        <v/>
      </c>
      <c r="X43" s="386" t="str">
        <f>IF(AND('[3]Mapa de procesos'!$AC$48="Baja",'[3]Mapa de procesos'!$AE$48="Moderado"),CONCATENATE("R8C",'[3]Mapa de procesos'!$S$48),"")</f>
        <v/>
      </c>
      <c r="Y43" s="386" t="str">
        <f>IF(AND('[3]Mapa de procesos'!$AC$49="Baja",'[3]Mapa de procesos'!$AE$49="Moderado"),CONCATENATE("R8C",'[3]Mapa de procesos'!$S$49),"")</f>
        <v/>
      </c>
      <c r="Z43" s="386" t="str">
        <f>IF(AND('[3]Mapa de procesos'!$AC$50="Baja",'[3]Mapa de procesos'!$AE$50="Moderado"),CONCATENATE("R8C",'[3]Mapa de procesos'!$S$50),"")</f>
        <v/>
      </c>
      <c r="AA43" s="387" t="str">
        <f>IF(AND('[3]Mapa de procesos'!$AC$51="Baja",'[3]Mapa de procesos'!$AE$51="Moderado"),CONCATENATE("R8C",'[3]Mapa de procesos'!$S$51),"")</f>
        <v/>
      </c>
      <c r="AB43" s="370" t="str">
        <f>IF(AND('[3]Mapa de procesos'!$AC$46="Baja",'[3]Mapa de procesos'!$AE$46="Mayor"),CONCATENATE("R8C",'[3]Mapa de procesos'!$S$46),"")</f>
        <v/>
      </c>
      <c r="AC43" s="371" t="str">
        <f>IF(AND('[3]Mapa de procesos'!$AC$47="Baja",'[3]Mapa de procesos'!$AE$47="Mayor"),CONCATENATE("R8C",'[3]Mapa de procesos'!$S$47),"")</f>
        <v/>
      </c>
      <c r="AD43" s="371" t="str">
        <f>IF(AND('[3]Mapa de procesos'!$AC$48="Baja",'[3]Mapa de procesos'!$AE$48="Mayor"),CONCATENATE("R8C",'[3]Mapa de procesos'!$S$48),"")</f>
        <v/>
      </c>
      <c r="AE43" s="371" t="str">
        <f>IF(AND('[3]Mapa de procesos'!$AC$49="Baja",'[3]Mapa de procesos'!$AE$49="Mayor"),CONCATENATE("R8C",'[3]Mapa de procesos'!$S$49),"")</f>
        <v/>
      </c>
      <c r="AF43" s="371" t="str">
        <f>IF(AND('[3]Mapa de procesos'!$AC$50="Baja",'[3]Mapa de procesos'!$AE$50="Mayor"),CONCATENATE("R8C",'[3]Mapa de procesos'!$S$50),"")</f>
        <v/>
      </c>
      <c r="AG43" s="372" t="str">
        <f>IF(AND('[3]Mapa de procesos'!$AC$51="Baja",'[3]Mapa de procesos'!$AE$51="Mayor"),CONCATENATE("R8C",'[3]Mapa de procesos'!$S$51),"")</f>
        <v/>
      </c>
      <c r="AH43" s="373" t="str">
        <f>IF(AND('[3]Mapa de procesos'!$AC$46="Baja",'[3]Mapa de procesos'!$AE$46="Catastrófico"),CONCATENATE("R8C",'[3]Mapa de procesos'!$S$46),"")</f>
        <v/>
      </c>
      <c r="AI43" s="374" t="str">
        <f>IF(AND('[3]Mapa de procesos'!$AC$47="Baja",'[3]Mapa de procesos'!$AE$47="Catastrófico"),CONCATENATE("R8C",'[3]Mapa de procesos'!$S$47),"")</f>
        <v/>
      </c>
      <c r="AJ43" s="374" t="str">
        <f>IF(AND('[3]Mapa de procesos'!$AC$48="Baja",'[3]Mapa de procesos'!$AE$48="Catastrófico"),CONCATENATE("R8C",'[3]Mapa de procesos'!$S$48),"")</f>
        <v/>
      </c>
      <c r="AK43" s="374" t="str">
        <f>IF(AND('[3]Mapa de procesos'!$AC$49="Baja",'[3]Mapa de procesos'!$AE$49="Catastrófico"),CONCATENATE("R8C",'[3]Mapa de procesos'!$S$49),"")</f>
        <v/>
      </c>
      <c r="AL43" s="374" t="str">
        <f>IF(AND('[3]Mapa de procesos'!$AC$50="Baja",'[3]Mapa de procesos'!$AE$50="Catastrófico"),CONCATENATE("R8C",'[3]Mapa de procesos'!$S$50),"")</f>
        <v/>
      </c>
      <c r="AM43" s="375" t="str">
        <f>IF(AND('[3]Mapa de procesos'!$AC$51="Baja",'[3]Mapa de procesos'!$AE$51="Catastrófico"),CONCATENATE("R8C",'[3]Mapa de procesos'!$S$51),"")</f>
        <v/>
      </c>
      <c r="AN43" s="363"/>
      <c r="AO43" s="881"/>
      <c r="AP43" s="866"/>
      <c r="AQ43" s="866"/>
      <c r="AR43" s="866"/>
      <c r="AS43" s="866"/>
      <c r="AT43" s="882"/>
      <c r="AU43" s="363"/>
      <c r="AV43" s="363"/>
      <c r="AW43" s="363"/>
      <c r="AX43" s="363"/>
      <c r="AY43" s="363"/>
      <c r="AZ43" s="363"/>
      <c r="BA43" s="363"/>
      <c r="BB43" s="363"/>
      <c r="BC43" s="363"/>
      <c r="BD43" s="363"/>
      <c r="BE43" s="363"/>
      <c r="BF43" s="363"/>
      <c r="BG43" s="363"/>
      <c r="BH43" s="363"/>
      <c r="BI43" s="363"/>
    </row>
    <row r="44" spans="1:61" ht="15" customHeight="1" x14ac:dyDescent="0.25">
      <c r="A44" s="363"/>
      <c r="B44" s="868"/>
      <c r="C44" s="866"/>
      <c r="D44" s="870"/>
      <c r="E44" s="874"/>
      <c r="F44" s="866"/>
      <c r="G44" s="866"/>
      <c r="H44" s="866"/>
      <c r="I44" s="866"/>
      <c r="J44" s="394" t="str">
        <f>IF(AND('[3]Mapa de procesos'!$AC$52="Baja",'[3]Mapa de procesos'!$AE$52="Leve"),CONCATENATE("R9C",'[3]Mapa de procesos'!$S$52),"")</f>
        <v/>
      </c>
      <c r="K44" s="395" t="str">
        <f>IF(AND('[3]Mapa de procesos'!$AC$53="Baja",'[3]Mapa de procesos'!$AE$53="Leve"),CONCATENATE("R9C",'[3]Mapa de procesos'!$S$53),"")</f>
        <v/>
      </c>
      <c r="L44" s="395" t="str">
        <f>IF(AND('[3]Mapa de procesos'!$AC$54="Baja",'[3]Mapa de procesos'!$AE$54="Leve"),CONCATENATE("R9C",'[3]Mapa de procesos'!$S$54),"")</f>
        <v/>
      </c>
      <c r="M44" s="395" t="str">
        <f>IF(AND('[3]Mapa de procesos'!$AC$55="Baja",'[3]Mapa de procesos'!$AE$55="Leve"),CONCATENATE("R9C",'[3]Mapa de procesos'!$S$55),"")</f>
        <v/>
      </c>
      <c r="N44" s="395" t="str">
        <f>IF(AND('[3]Mapa de procesos'!$AC$56="Baja",'[3]Mapa de procesos'!$AE$56="Leve"),CONCATENATE("R9C",'[3]Mapa de procesos'!$S$56),"")</f>
        <v/>
      </c>
      <c r="O44" s="396" t="str">
        <f>IF(AND('[3]Mapa de procesos'!$AC$57="Baja",'[3]Mapa de procesos'!$AE$57="Leve"),CONCATENATE("R9C",'[3]Mapa de procesos'!$S$57),"")</f>
        <v/>
      </c>
      <c r="P44" s="385" t="str">
        <f>IF(AND('[3]Mapa de procesos'!$AC$52="Baja",'[3]Mapa de procesos'!$AE$52="Menor"),CONCATENATE("R9C",'[3]Mapa de procesos'!$S$52),"")</f>
        <v/>
      </c>
      <c r="Q44" s="386" t="str">
        <f>IF(AND('[3]Mapa de procesos'!$AC$53="Baja",'[3]Mapa de procesos'!$AE$53="Menor"),CONCATENATE("R9C",'[3]Mapa de procesos'!$S$53),"")</f>
        <v/>
      </c>
      <c r="R44" s="386" t="str">
        <f>IF(AND('[3]Mapa de procesos'!$AC$54="Baja",'[3]Mapa de procesos'!$AE$54="Menor"),CONCATENATE("R9C",'[3]Mapa de procesos'!$S$54),"")</f>
        <v/>
      </c>
      <c r="S44" s="386" t="str">
        <f>IF(AND('[3]Mapa de procesos'!$AC$55="Baja",'[3]Mapa de procesos'!$AE$55="Menor"),CONCATENATE("R9C",'[3]Mapa de procesos'!$S$55),"")</f>
        <v/>
      </c>
      <c r="T44" s="386" t="str">
        <f>IF(AND('[3]Mapa de procesos'!$AC$56="Baja",'[3]Mapa de procesos'!$AE$56="Menor"),CONCATENATE("R9C",'[3]Mapa de procesos'!$S$56),"")</f>
        <v/>
      </c>
      <c r="U44" s="387" t="str">
        <f>IF(AND('[3]Mapa de procesos'!$AC$57="Baja",'[3]Mapa de procesos'!$AE$57="Menor"),CONCATENATE("R9C",'[3]Mapa de procesos'!$S$57),"")</f>
        <v/>
      </c>
      <c r="V44" s="385" t="str">
        <f>IF(AND('[3]Mapa de procesos'!$AC$52="Baja",'[3]Mapa de procesos'!$AE$52="Moderado"),CONCATENATE("R9C",'[3]Mapa de procesos'!$S$52),"")</f>
        <v/>
      </c>
      <c r="W44" s="386" t="str">
        <f>IF(AND('[3]Mapa de procesos'!$AC$53="Baja",'[3]Mapa de procesos'!$AE$53="Moderado"),CONCATENATE("R9C",'[3]Mapa de procesos'!$S$53),"")</f>
        <v/>
      </c>
      <c r="X44" s="386" t="str">
        <f>IF(AND('[3]Mapa de procesos'!$AC$54="Baja",'[3]Mapa de procesos'!$AE$54="Moderado"),CONCATENATE("R9C",'[3]Mapa de procesos'!$S$54),"")</f>
        <v/>
      </c>
      <c r="Y44" s="386" t="str">
        <f>IF(AND('[3]Mapa de procesos'!$AC$55="Baja",'[3]Mapa de procesos'!$AE$55="Moderado"),CONCATENATE("R9C",'[3]Mapa de procesos'!$S$55),"")</f>
        <v/>
      </c>
      <c r="Z44" s="386" t="str">
        <f>IF(AND('[3]Mapa de procesos'!$AC$56="Baja",'[3]Mapa de procesos'!$AE$56="Moderado"),CONCATENATE("R9C",'[3]Mapa de procesos'!$S$56),"")</f>
        <v/>
      </c>
      <c r="AA44" s="387" t="str">
        <f>IF(AND('[3]Mapa de procesos'!$AC$57="Baja",'[3]Mapa de procesos'!$AE$57="Moderado"),CONCATENATE("R9C",'[3]Mapa de procesos'!$S$57),"")</f>
        <v/>
      </c>
      <c r="AB44" s="370" t="str">
        <f>IF(AND('[3]Mapa de procesos'!$AC$52="Baja",'[3]Mapa de procesos'!$AE$52="Mayor"),CONCATENATE("R9C",'[3]Mapa de procesos'!$S$52),"")</f>
        <v/>
      </c>
      <c r="AC44" s="371" t="str">
        <f>IF(AND('[3]Mapa de procesos'!$AC$53="Baja",'[3]Mapa de procesos'!$AE$53="Mayor"),CONCATENATE("R9C",'[3]Mapa de procesos'!$S$53),"")</f>
        <v/>
      </c>
      <c r="AD44" s="371" t="str">
        <f>IF(AND('[3]Mapa de procesos'!$AC$54="Baja",'[3]Mapa de procesos'!$AE$54="Mayor"),CONCATENATE("R9C",'[3]Mapa de procesos'!$S$54),"")</f>
        <v/>
      </c>
      <c r="AE44" s="371" t="str">
        <f>IF(AND('[3]Mapa de procesos'!$AC$55="Baja",'[3]Mapa de procesos'!$AE$55="Mayor"),CONCATENATE("R9C",'[3]Mapa de procesos'!$S$55),"")</f>
        <v/>
      </c>
      <c r="AF44" s="371" t="str">
        <f>IF(AND('[3]Mapa de procesos'!$AC$56="Baja",'[3]Mapa de procesos'!$AE$56="Mayor"),CONCATENATE("R9C",'[3]Mapa de procesos'!$S$56),"")</f>
        <v/>
      </c>
      <c r="AG44" s="372" t="str">
        <f>IF(AND('[3]Mapa de procesos'!$AC$57="Baja",'[3]Mapa de procesos'!$AE$57="Mayor"),CONCATENATE("R9C",'[3]Mapa de procesos'!$S$57),"")</f>
        <v/>
      </c>
      <c r="AH44" s="373" t="str">
        <f>IF(AND('[3]Mapa de procesos'!$AC$52="Baja",'[3]Mapa de procesos'!$AE$52="Catastrófico"),CONCATENATE("R9C",'[3]Mapa de procesos'!$S$52),"")</f>
        <v/>
      </c>
      <c r="AI44" s="374" t="str">
        <f>IF(AND('[3]Mapa de procesos'!$AC$53="Baja",'[3]Mapa de procesos'!$AE$53="Catastrófico"),CONCATENATE("R9C",'[3]Mapa de procesos'!$S$53),"")</f>
        <v/>
      </c>
      <c r="AJ44" s="374" t="str">
        <f>IF(AND('[3]Mapa de procesos'!$AC$54="Baja",'[3]Mapa de procesos'!$AE$54="Catastrófico"),CONCATENATE("R9C",'[3]Mapa de procesos'!$S$54),"")</f>
        <v/>
      </c>
      <c r="AK44" s="374" t="str">
        <f>IF(AND('[3]Mapa de procesos'!$AC$55="Baja",'[3]Mapa de procesos'!$AE$55="Catastrófico"),CONCATENATE("R9C",'[3]Mapa de procesos'!$S$55),"")</f>
        <v/>
      </c>
      <c r="AL44" s="374" t="str">
        <f>IF(AND('[3]Mapa de procesos'!$AC$56="Baja",'[3]Mapa de procesos'!$AE$56="Catastrófico"),CONCATENATE("R9C",'[3]Mapa de procesos'!$S$56),"")</f>
        <v/>
      </c>
      <c r="AM44" s="375" t="str">
        <f>IF(AND('[3]Mapa de procesos'!$AC$57="Baja",'[3]Mapa de procesos'!$AE$57="Catastrófico"),CONCATENATE("R9C",'[3]Mapa de procesos'!$S$57),"")</f>
        <v/>
      </c>
      <c r="AN44" s="363"/>
      <c r="AO44" s="881"/>
      <c r="AP44" s="866"/>
      <c r="AQ44" s="866"/>
      <c r="AR44" s="866"/>
      <c r="AS44" s="866"/>
      <c r="AT44" s="882"/>
      <c r="AU44" s="363"/>
      <c r="AV44" s="363"/>
      <c r="AW44" s="363"/>
      <c r="AX44" s="363"/>
      <c r="AY44" s="363"/>
      <c r="AZ44" s="363"/>
      <c r="BA44" s="363"/>
      <c r="BB44" s="363"/>
      <c r="BC44" s="363"/>
      <c r="BD44" s="363"/>
      <c r="BE44" s="363"/>
      <c r="BF44" s="363"/>
      <c r="BG44" s="363"/>
      <c r="BH44" s="363"/>
      <c r="BI44" s="363"/>
    </row>
    <row r="45" spans="1:61" ht="15.75" customHeight="1" thickBot="1" x14ac:dyDescent="0.3">
      <c r="A45" s="363"/>
      <c r="B45" s="868"/>
      <c r="C45" s="866"/>
      <c r="D45" s="870"/>
      <c r="E45" s="875"/>
      <c r="F45" s="876"/>
      <c r="G45" s="876"/>
      <c r="H45" s="876"/>
      <c r="I45" s="876"/>
      <c r="J45" s="397" t="str">
        <f>IF(AND('[3]Mapa de procesos'!$AC$58="Baja",'[3]Mapa de procesos'!$AE$58="Leve"),CONCATENATE("R10C",'[3]Mapa de procesos'!$S$58),"")</f>
        <v/>
      </c>
      <c r="K45" s="398" t="str">
        <f>IF(AND('[3]Mapa de procesos'!$AC$59="Baja",'[3]Mapa de procesos'!$AE$59="Leve"),CONCATENATE("R10C",'[3]Mapa de procesos'!$S$59),"")</f>
        <v/>
      </c>
      <c r="L45" s="398" t="str">
        <f>IF(AND('[3]Mapa de procesos'!$AC$60="Baja",'[3]Mapa de procesos'!$AE$60="Leve"),CONCATENATE("R10C",'[3]Mapa de procesos'!$S$60),"")</f>
        <v/>
      </c>
      <c r="M45" s="398" t="str">
        <f>IF(AND('[3]Mapa de procesos'!$AC$61="Baja",'[3]Mapa de procesos'!$AE$61="Leve"),CONCATENATE("R10C",'[3]Mapa de procesos'!$S$61),"")</f>
        <v/>
      </c>
      <c r="N45" s="398" t="str">
        <f>IF(AND('[3]Mapa de procesos'!$AC$62="Baja",'[3]Mapa de procesos'!$AE$62="Leve"),CONCATENATE("R10C",'[3]Mapa de procesos'!$S$62),"")</f>
        <v/>
      </c>
      <c r="O45" s="399" t="str">
        <f>IF(AND('[3]Mapa de procesos'!$AC$63="Baja",'[3]Mapa de procesos'!$AE$63="Leve"),CONCATENATE("R10C",'[3]Mapa de procesos'!$S$63),"")</f>
        <v/>
      </c>
      <c r="P45" s="385" t="str">
        <f>IF(AND('[3]Mapa de procesos'!$AC$58="Baja",'[3]Mapa de procesos'!$AE$58="Menor"),CONCATENATE("R10C",'[3]Mapa de procesos'!$S$58),"")</f>
        <v/>
      </c>
      <c r="Q45" s="386" t="str">
        <f>IF(AND('[3]Mapa de procesos'!$AC$59="Baja",'[3]Mapa de procesos'!$AE$59="Menor"),CONCATENATE("R10C",'[3]Mapa de procesos'!$S$59),"")</f>
        <v/>
      </c>
      <c r="R45" s="386" t="str">
        <f>IF(AND('[3]Mapa de procesos'!$AC$60="Baja",'[3]Mapa de procesos'!$AE$60="Menor"),CONCATENATE("R10C",'[3]Mapa de procesos'!$S$60),"")</f>
        <v/>
      </c>
      <c r="S45" s="386" t="str">
        <f>IF(AND('[3]Mapa de procesos'!$AC$61="Baja",'[3]Mapa de procesos'!$AE$61="Menor"),CONCATENATE("R10C",'[3]Mapa de procesos'!$S$61),"")</f>
        <v/>
      </c>
      <c r="T45" s="386" t="str">
        <f>IF(AND('[3]Mapa de procesos'!$AC$62="Baja",'[3]Mapa de procesos'!$AE$62="Menor"),CONCATENATE("R10C",'[3]Mapa de procesos'!$S$62),"")</f>
        <v/>
      </c>
      <c r="U45" s="387" t="str">
        <f>IF(AND('[3]Mapa de procesos'!$AC$63="Baja",'[3]Mapa de procesos'!$AE$63="Menor"),CONCATENATE("R10C",'[3]Mapa de procesos'!$S$63),"")</f>
        <v/>
      </c>
      <c r="V45" s="388" t="str">
        <f>IF(AND('[3]Mapa de procesos'!$AC$58="Baja",'[3]Mapa de procesos'!$AE$58="Moderado"),CONCATENATE("R10C",'[3]Mapa de procesos'!$S$58),"")</f>
        <v/>
      </c>
      <c r="W45" s="389" t="str">
        <f>IF(AND('[3]Mapa de procesos'!$AC$59="Baja",'[3]Mapa de procesos'!$AE$59="Moderado"),CONCATENATE("R10C",'[3]Mapa de procesos'!$S$59),"")</f>
        <v/>
      </c>
      <c r="X45" s="389" t="str">
        <f>IF(AND('[3]Mapa de procesos'!$AC$60="Baja",'[3]Mapa de procesos'!$AE$60="Moderado"),CONCATENATE("R10C",'[3]Mapa de procesos'!$S$60),"")</f>
        <v/>
      </c>
      <c r="Y45" s="389" t="str">
        <f>IF(AND('[3]Mapa de procesos'!$AC$61="Baja",'[3]Mapa de procesos'!$AE$61="Moderado"),CONCATENATE("R10C",'[3]Mapa de procesos'!$S$61),"")</f>
        <v/>
      </c>
      <c r="Z45" s="389" t="str">
        <f>IF(AND('[3]Mapa de procesos'!$AC$62="Baja",'[3]Mapa de procesos'!$AE$62="Moderado"),CONCATENATE("R10C",'[3]Mapa de procesos'!$S$62),"")</f>
        <v/>
      </c>
      <c r="AA45" s="390" t="str">
        <f>IF(AND('[3]Mapa de procesos'!$AC$63="Baja",'[3]Mapa de procesos'!$AE$63="Moderado"),CONCATENATE("R10C",'[3]Mapa de procesos'!$S$63),"")</f>
        <v/>
      </c>
      <c r="AB45" s="376" t="str">
        <f>IF(AND('[3]Mapa de procesos'!$AC$58="Baja",'[3]Mapa de procesos'!$AE$58="Mayor"),CONCATENATE("R10C",'[3]Mapa de procesos'!$S$58),"")</f>
        <v/>
      </c>
      <c r="AC45" s="377" t="str">
        <f>IF(AND('[3]Mapa de procesos'!$AC$59="Baja",'[3]Mapa de procesos'!$AE$59="Mayor"),CONCATENATE("R10C",'[3]Mapa de procesos'!$S$59),"")</f>
        <v/>
      </c>
      <c r="AD45" s="377" t="str">
        <f>IF(AND('[3]Mapa de procesos'!$AC$60="Baja",'[3]Mapa de procesos'!$AE$60="Mayor"),CONCATENATE("R10C",'[3]Mapa de procesos'!$S$60),"")</f>
        <v/>
      </c>
      <c r="AE45" s="377" t="str">
        <f>IF(AND('[3]Mapa de procesos'!$AC$61="Baja",'[3]Mapa de procesos'!$AE$61="Mayor"),CONCATENATE("R10C",'[3]Mapa de procesos'!$S$61),"")</f>
        <v/>
      </c>
      <c r="AF45" s="377" t="str">
        <f>IF(AND('[3]Mapa de procesos'!$AC$62="Baja",'[3]Mapa de procesos'!$AE$62="Mayor"),CONCATENATE("R10C",'[3]Mapa de procesos'!$S$62),"")</f>
        <v/>
      </c>
      <c r="AG45" s="378" t="str">
        <f>IF(AND('[3]Mapa de procesos'!$AC$63="Baja",'[3]Mapa de procesos'!$AE$63="Mayor"),CONCATENATE("R10C",'[3]Mapa de procesos'!$S$63),"")</f>
        <v/>
      </c>
      <c r="AH45" s="379" t="str">
        <f>IF(AND('[3]Mapa de procesos'!$AC$58="Baja",'[3]Mapa de procesos'!$AE$58="Catastrófico"),CONCATENATE("R10C",'[3]Mapa de procesos'!$S$58),"")</f>
        <v/>
      </c>
      <c r="AI45" s="380" t="str">
        <f>IF(AND('[3]Mapa de procesos'!$AC$59="Baja",'[3]Mapa de procesos'!$AE$59="Catastrófico"),CONCATENATE("R10C",'[3]Mapa de procesos'!$S$59),"")</f>
        <v/>
      </c>
      <c r="AJ45" s="380" t="str">
        <f>IF(AND('[3]Mapa de procesos'!$AC$60="Baja",'[3]Mapa de procesos'!$AE$60="Catastrófico"),CONCATENATE("R10C",'[3]Mapa de procesos'!$S$60),"")</f>
        <v/>
      </c>
      <c r="AK45" s="380" t="str">
        <f>IF(AND('[3]Mapa de procesos'!$AC$61="Baja",'[3]Mapa de procesos'!$AE$61="Catastrófico"),CONCATENATE("R10C",'[3]Mapa de procesos'!$S$61),"")</f>
        <v/>
      </c>
      <c r="AL45" s="380" t="str">
        <f>IF(AND('[3]Mapa de procesos'!$AC$62="Baja",'[3]Mapa de procesos'!$AE$62="Catastrófico"),CONCATENATE("R10C",'[3]Mapa de procesos'!$S$62),"")</f>
        <v/>
      </c>
      <c r="AM45" s="381" t="str">
        <f>IF(AND('[3]Mapa de procesos'!$AC$63="Baja",'[3]Mapa de procesos'!$AE$63="Catastrófico"),CONCATENATE("R10C",'[3]Mapa de procesos'!$S$63),"")</f>
        <v/>
      </c>
      <c r="AN45" s="363"/>
      <c r="AO45" s="883"/>
      <c r="AP45" s="884"/>
      <c r="AQ45" s="884"/>
      <c r="AR45" s="884"/>
      <c r="AS45" s="884"/>
      <c r="AT45" s="885"/>
    </row>
    <row r="46" spans="1:61" ht="46.5" customHeight="1" x14ac:dyDescent="0.35">
      <c r="A46" s="363"/>
      <c r="B46" s="868"/>
      <c r="C46" s="866"/>
      <c r="D46" s="870"/>
      <c r="E46" s="871" t="s">
        <v>11</v>
      </c>
      <c r="F46" s="872"/>
      <c r="G46" s="872"/>
      <c r="H46" s="872"/>
      <c r="I46" s="873"/>
      <c r="J46" s="391" t="str">
        <f>IF(AND('[3]Mapa de procesos'!$AC$4="Muy Baja",'[3]Mapa de procesos'!$AE$4="Leve"),CONCATENATE("R1C",'[3]Mapa de procesos'!$S$4),"")</f>
        <v/>
      </c>
      <c r="K46" s="392" t="str">
        <f>IF(AND('[3]Mapa de procesos'!$AC$5="Muy Baja",'[3]Mapa de procesos'!$AE$5="Leve"),CONCATENATE("R1C",'[3]Mapa de procesos'!$S$5),"")</f>
        <v/>
      </c>
      <c r="L46" s="392" t="str">
        <f>IF(AND('[3]Mapa de procesos'!$AC$6="Muy Baja",'[3]Mapa de procesos'!$AE$6="Leve"),CONCATENATE("R1C",'[3]Mapa de procesos'!$S$6),"")</f>
        <v/>
      </c>
      <c r="M46" s="392" t="str">
        <f>IF(AND('[3]Mapa de procesos'!$AC$7="Muy Baja",'[3]Mapa de procesos'!$AE$7="Leve"),CONCATENATE("R1C",'[3]Mapa de procesos'!$S$7),"")</f>
        <v/>
      </c>
      <c r="N46" s="392" t="str">
        <f>IF(AND('[3]Mapa de procesos'!$AC$8="Muy Baja",'[3]Mapa de procesos'!$AE$8="Leve"),CONCATENATE("R1C",'[3]Mapa de procesos'!$S$8),"")</f>
        <v/>
      </c>
      <c r="O46" s="393" t="str">
        <f>IF(AND('[3]Mapa de procesos'!$AC$9="Muy Baja",'[3]Mapa de procesos'!$AE$9="Leve"),CONCATENATE("R1C",'[3]Mapa de procesos'!$S$9),"")</f>
        <v/>
      </c>
      <c r="P46" s="391" t="str">
        <f>IF(AND('[3]Mapa de procesos'!$AC$4="Muy Baja",'[3]Mapa de procesos'!$AE$4="Menor"),CONCATENATE("R1C",'[3]Mapa de procesos'!$S$4),"")</f>
        <v/>
      </c>
      <c r="Q46" s="392" t="str">
        <f>IF(AND('[3]Mapa de procesos'!$AC$5="Muy Baja",'[3]Mapa de procesos'!$AE$5="Menor"),CONCATENATE("R1C",'[3]Mapa de procesos'!$S$5),"")</f>
        <v/>
      </c>
      <c r="R46" s="392" t="str">
        <f>IF(AND('[3]Mapa de procesos'!$AC$6="Muy Baja",'[3]Mapa de procesos'!$AE$6="Menor"),CONCATENATE("R1C",'[3]Mapa de procesos'!$S$6),"")</f>
        <v/>
      </c>
      <c r="S46" s="392" t="str">
        <f>IF(AND('[3]Mapa de procesos'!$AC$7="Muy Baja",'[3]Mapa de procesos'!$AE$7="Menor"),CONCATENATE("R1C",'[3]Mapa de procesos'!$S$7),"")</f>
        <v/>
      </c>
      <c r="T46" s="392" t="str">
        <f>IF(AND('[3]Mapa de procesos'!$AC$8="Muy Baja",'[3]Mapa de procesos'!$AE$8="Menor"),CONCATENATE("R1C",'[3]Mapa de procesos'!$S$8),"")</f>
        <v/>
      </c>
      <c r="U46" s="393" t="str">
        <f>IF(AND('[3]Mapa de procesos'!$AC$9="Muy Baja",'[3]Mapa de procesos'!$AE$9="Menor"),CONCATENATE("R1C",'[3]Mapa de procesos'!$S$9),"")</f>
        <v/>
      </c>
      <c r="V46" s="382" t="str">
        <f>IF(AND('[3]Mapa de procesos'!$AC$4="Muy Baja",'[3]Mapa de procesos'!$AE$4="Moderado"),CONCATENATE("R1C",'[3]Mapa de procesos'!$S$4),"")</f>
        <v/>
      </c>
      <c r="W46" s="400" t="str">
        <f>IF(AND('[3]Mapa de procesos'!$AC$5="Muy Baja",'[3]Mapa de procesos'!$AE$5="Moderado"),CONCATENATE("R1C",'[3]Mapa de procesos'!$S$5),"")</f>
        <v/>
      </c>
      <c r="X46" s="383" t="str">
        <f>IF(AND('[3]Mapa de procesos'!$AC$6="Muy Baja",'[3]Mapa de procesos'!$AE$6="Moderado"),CONCATENATE("R1C",'[3]Mapa de procesos'!$S$6),"")</f>
        <v/>
      </c>
      <c r="Y46" s="383" t="str">
        <f>IF(AND('[3]Mapa de procesos'!$AC$7="Muy Baja",'[3]Mapa de procesos'!$AE$7="Moderado"),CONCATENATE("R1C",'[3]Mapa de procesos'!$S$7),"")</f>
        <v/>
      </c>
      <c r="Z46" s="383" t="str">
        <f>IF(AND('[3]Mapa de procesos'!$AC$8="Muy Baja",'[3]Mapa de procesos'!$AE$8="Moderado"),CONCATENATE("R1C",'[3]Mapa de procesos'!$S$8),"")</f>
        <v/>
      </c>
      <c r="AA46" s="384" t="str">
        <f>IF(AND('[3]Mapa de procesos'!$AC$9="Muy Baja",'[3]Mapa de procesos'!$AE$9="Moderado"),CONCATENATE("R1C",'[3]Mapa de procesos'!$S$9),"")</f>
        <v/>
      </c>
      <c r="AB46" s="364" t="str">
        <f>IF(AND('[3]Mapa de procesos'!$AC$4="Muy Baja",'[3]Mapa de procesos'!$AE$4="Mayor"),CONCATENATE("R1C",'[3]Mapa de procesos'!$S$4),"")</f>
        <v/>
      </c>
      <c r="AC46" s="365" t="str">
        <f>IF(AND('[3]Mapa de procesos'!$AC$5="Muy Baja",'[3]Mapa de procesos'!$AE$5="Mayor"),CONCATENATE("R1C",'[3]Mapa de procesos'!$S$5),"")</f>
        <v/>
      </c>
      <c r="AD46" s="365" t="str">
        <f>IF(AND('[3]Mapa de procesos'!$AC$6="Muy Baja",'[3]Mapa de procesos'!$AE$6="Mayor"),CONCATENATE("R1C",'[3]Mapa de procesos'!$S$6),"")</f>
        <v/>
      </c>
      <c r="AE46" s="365" t="str">
        <f>IF(AND('[3]Mapa de procesos'!$AC$7="Muy Baja",'[3]Mapa de procesos'!$AE$7="Mayor"),CONCATENATE("R1C",'[3]Mapa de procesos'!$S$7),"")</f>
        <v/>
      </c>
      <c r="AF46" s="365" t="str">
        <f>IF(AND('[3]Mapa de procesos'!$AC$8="Muy Baja",'[3]Mapa de procesos'!$AE$8="Mayor"),CONCATENATE("R1C",'[3]Mapa de procesos'!$S$8),"")</f>
        <v/>
      </c>
      <c r="AG46" s="366" t="str">
        <f>IF(AND('[3]Mapa de procesos'!$AC$9="Muy Baja",'[3]Mapa de procesos'!$AE$9="Mayor"),CONCATENATE("R1C",'[3]Mapa de procesos'!$S$9),"")</f>
        <v/>
      </c>
      <c r="AH46" s="367" t="str">
        <f>IF(AND('[3]Mapa de procesos'!$AC$4="Muy Baja",'[3]Mapa de procesos'!$AE$4="Catastrófico"),CONCATENATE("R1C",'[3]Mapa de procesos'!$S$4),"")</f>
        <v/>
      </c>
      <c r="AI46" s="368" t="str">
        <f>IF(AND('[3]Mapa de procesos'!$AC$5="Muy Baja",'[3]Mapa de procesos'!$AE$5="Catastrófico"),CONCATENATE("R1C",'[3]Mapa de procesos'!$S$5),"")</f>
        <v/>
      </c>
      <c r="AJ46" s="368" t="str">
        <f>IF(AND('[3]Mapa de procesos'!$AC$6="Muy Baja",'[3]Mapa de procesos'!$AE$6="Catastrófico"),CONCATENATE("R1C",'[3]Mapa de procesos'!$S$6),"")</f>
        <v/>
      </c>
      <c r="AK46" s="368" t="str">
        <f>IF(AND('[3]Mapa de procesos'!$AC$7="Muy Baja",'[3]Mapa de procesos'!$AE$7="Catastrófico"),CONCATENATE("R1C",'[3]Mapa de procesos'!$S$7),"")</f>
        <v/>
      </c>
      <c r="AL46" s="368" t="str">
        <f>IF(AND('[3]Mapa de procesos'!$AC$8="Muy Baja",'[3]Mapa de procesos'!$AE$8="Catastrófico"),CONCATENATE("R1C",'[3]Mapa de procesos'!$S$8),"")</f>
        <v/>
      </c>
      <c r="AM46" s="369" t="str">
        <f>IF(AND('[3]Mapa de procesos'!$AC$9="Muy Baja",'[3]Mapa de procesos'!$AE$9="Catastrófico"),CONCATENATE("R1C",'[3]Mapa de procesos'!$S$9),"")</f>
        <v/>
      </c>
      <c r="AN46" s="363"/>
      <c r="AO46" s="363"/>
      <c r="AP46" s="363"/>
      <c r="AQ46" s="363"/>
      <c r="AR46" s="363"/>
      <c r="AS46" s="363"/>
      <c r="AT46" s="363"/>
      <c r="AU46" s="363"/>
      <c r="AV46" s="363"/>
      <c r="AW46" s="363"/>
      <c r="AX46" s="363"/>
      <c r="AY46" s="363"/>
      <c r="AZ46" s="363"/>
      <c r="BA46" s="363"/>
      <c r="BB46" s="363"/>
      <c r="BC46" s="363"/>
      <c r="BD46" s="363"/>
      <c r="BE46" s="363"/>
      <c r="BF46" s="363"/>
      <c r="BG46" s="363"/>
      <c r="BH46" s="363"/>
      <c r="BI46" s="363"/>
    </row>
    <row r="47" spans="1:61" ht="46.5" customHeight="1" x14ac:dyDescent="0.25">
      <c r="A47" s="363"/>
      <c r="B47" s="868"/>
      <c r="C47" s="866"/>
      <c r="D47" s="870"/>
      <c r="E47" s="874"/>
      <c r="F47" s="866"/>
      <c r="G47" s="866"/>
      <c r="H47" s="866"/>
      <c r="I47" s="870"/>
      <c r="J47" s="394" t="str">
        <f>IF(AND('[3]Mapa de procesos'!$AC$10="Muy Baja",'[3]Mapa de procesos'!$AE$10="Leve"),CONCATENATE("R2C",'[3]Mapa de procesos'!$S$10),"")</f>
        <v/>
      </c>
      <c r="K47" s="395" t="str">
        <f>IF(AND('[3]Mapa de procesos'!$AC$11="Muy Baja",'[3]Mapa de procesos'!$AE$11="Leve"),CONCATENATE("R2C",'[3]Mapa de procesos'!$S$11),"")</f>
        <v/>
      </c>
      <c r="L47" s="395" t="str">
        <f>IF(AND('[3]Mapa de procesos'!$AC$12="Muy Baja",'[3]Mapa de procesos'!$AE$12="Leve"),CONCATENATE("R2C",'[3]Mapa de procesos'!$S$12),"")</f>
        <v/>
      </c>
      <c r="M47" s="395" t="str">
        <f>IF(AND('[3]Mapa de procesos'!$AC$13="Muy Baja",'[3]Mapa de procesos'!$AE$13="Leve"),CONCATENATE("R2C",'[3]Mapa de procesos'!$S$13),"")</f>
        <v/>
      </c>
      <c r="N47" s="395" t="str">
        <f>IF(AND('[3]Mapa de procesos'!$AC$14="Muy Baja",'[3]Mapa de procesos'!$AE$14="Leve"),CONCATENATE("R2C",'[3]Mapa de procesos'!$S$14),"")</f>
        <v/>
      </c>
      <c r="O47" s="396" t="str">
        <f>IF(AND('[3]Mapa de procesos'!$AC$15="Muy Baja",'[3]Mapa de procesos'!$AE$15="Leve"),CONCATENATE("R2C",'[3]Mapa de procesos'!$S$15),"")</f>
        <v/>
      </c>
      <c r="P47" s="394" t="str">
        <f>IF(AND('[3]Mapa de procesos'!$AC$10="Muy Baja",'[3]Mapa de procesos'!$AE$10="Menor"),CONCATENATE("R2C",'[3]Mapa de procesos'!$S$10),"")</f>
        <v/>
      </c>
      <c r="Q47" s="395" t="str">
        <f>IF(AND('[3]Mapa de procesos'!$AC$11="Muy Baja",'[3]Mapa de procesos'!$AE$11="Menor"),CONCATENATE("R2C",'[3]Mapa de procesos'!$S$11),"")</f>
        <v/>
      </c>
      <c r="R47" s="395" t="str">
        <f>IF(AND('[3]Mapa de procesos'!$AC$12="Muy Baja",'[3]Mapa de procesos'!$AE$12="Menor"),CONCATENATE("R2C",'[3]Mapa de procesos'!$S$12),"")</f>
        <v/>
      </c>
      <c r="S47" s="395" t="str">
        <f>IF(AND('[3]Mapa de procesos'!$AC$13="Muy Baja",'[3]Mapa de procesos'!$AE$13="Menor"),CONCATENATE("R2C",'[3]Mapa de procesos'!$S$13),"")</f>
        <v/>
      </c>
      <c r="T47" s="395" t="str">
        <f>IF(AND('[3]Mapa de procesos'!$AC$14="Muy Baja",'[3]Mapa de procesos'!$AE$14="Menor"),CONCATENATE("R2C",'[3]Mapa de procesos'!$S$14),"")</f>
        <v/>
      </c>
      <c r="U47" s="396" t="str">
        <f>IF(AND('[3]Mapa de procesos'!$AC$15="Muy Baja",'[3]Mapa de procesos'!$AE$15="Menor"),CONCATENATE("R2C",'[3]Mapa de procesos'!$S$15),"")</f>
        <v/>
      </c>
      <c r="V47" s="385" t="str">
        <f>IF(AND('[3]Mapa de procesos'!$AC$10="Muy Baja",'[3]Mapa de procesos'!$AE$10="Moderado"),CONCATENATE("R2C",'[3]Mapa de procesos'!$S$10),"")</f>
        <v/>
      </c>
      <c r="W47" s="386" t="str">
        <f>IF(AND('[3]Mapa de procesos'!$AC$11="Muy Baja",'[3]Mapa de procesos'!$AE$11="Moderado"),CONCATENATE("R2C",'[3]Mapa de procesos'!$S$11),"")</f>
        <v/>
      </c>
      <c r="X47" s="386" t="str">
        <f>IF(AND('[3]Mapa de procesos'!$AC$12="Muy Baja",'[3]Mapa de procesos'!$AE$12="Moderado"),CONCATENATE("R2C",'[3]Mapa de procesos'!$S$12),"")</f>
        <v/>
      </c>
      <c r="Y47" s="386" t="str">
        <f>IF(AND('[3]Mapa de procesos'!$AC$13="Muy Baja",'[3]Mapa de procesos'!$AE$13="Moderado"),CONCATENATE("R2C",'[3]Mapa de procesos'!$S$13),"")</f>
        <v/>
      </c>
      <c r="Z47" s="386" t="str">
        <f>IF(AND('[3]Mapa de procesos'!$AC$14="Muy Baja",'[3]Mapa de procesos'!$AE$14="Moderado"),CONCATENATE("R2C",'[3]Mapa de procesos'!$S$14),"")</f>
        <v/>
      </c>
      <c r="AA47" s="387" t="str">
        <f>IF(AND('[3]Mapa de procesos'!$AC$15="Muy Baja",'[3]Mapa de procesos'!$AE$15="Moderado"),CONCATENATE("R2C",'[3]Mapa de procesos'!$S$15),"")</f>
        <v/>
      </c>
      <c r="AB47" s="370" t="str">
        <f>IF(AND('[3]Mapa de procesos'!$AC$10="Muy Baja",'[3]Mapa de procesos'!$AE$10="Mayor"),CONCATENATE("R2C",'[3]Mapa de procesos'!$S$10),"")</f>
        <v/>
      </c>
      <c r="AC47" s="371" t="str">
        <f>IF(AND('[3]Mapa de procesos'!$AC$11="Muy Baja",'[3]Mapa de procesos'!$AE$11="Mayor"),CONCATENATE("R2C",'[3]Mapa de procesos'!$S$11),"")</f>
        <v/>
      </c>
      <c r="AD47" s="371" t="str">
        <f>IF(AND('[3]Mapa de procesos'!$AC$12="Muy Baja",'[3]Mapa de procesos'!$AE$12="Mayor"),CONCATENATE("R2C",'[3]Mapa de procesos'!$S$12),"")</f>
        <v/>
      </c>
      <c r="AE47" s="371" t="str">
        <f>IF(AND('[3]Mapa de procesos'!$AC$13="Muy Baja",'[3]Mapa de procesos'!$AE$13="Mayor"),CONCATENATE("R2C",'[3]Mapa de procesos'!$S$13),"")</f>
        <v/>
      </c>
      <c r="AF47" s="371" t="str">
        <f>IF(AND('[3]Mapa de procesos'!$AC$14="Muy Baja",'[3]Mapa de procesos'!$AE$14="Mayor"),CONCATENATE("R2C",'[3]Mapa de procesos'!$S$14),"")</f>
        <v/>
      </c>
      <c r="AG47" s="372" t="str">
        <f>IF(AND('[3]Mapa de procesos'!$AC$15="Muy Baja",'[3]Mapa de procesos'!$AE$15="Mayor"),CONCATENATE("R2C",'[3]Mapa de procesos'!$S$15),"")</f>
        <v/>
      </c>
      <c r="AH47" s="373" t="str">
        <f>IF(AND('[3]Mapa de procesos'!$AC$10="Muy Baja",'[3]Mapa de procesos'!$AE$10="Catastrófico"),CONCATENATE("R2C",'[3]Mapa de procesos'!$S$10),"")</f>
        <v/>
      </c>
      <c r="AI47" s="374" t="str">
        <f>IF(AND('[3]Mapa de procesos'!$AC$11="Muy Baja",'[3]Mapa de procesos'!$AE$11="Catastrófico"),CONCATENATE("R2C",'[3]Mapa de procesos'!$S$11),"")</f>
        <v/>
      </c>
      <c r="AJ47" s="374" t="str">
        <f>IF(AND('[3]Mapa de procesos'!$AC$12="Muy Baja",'[3]Mapa de procesos'!$AE$12="Catastrófico"),CONCATENATE("R2C",'[3]Mapa de procesos'!$S$12),"")</f>
        <v/>
      </c>
      <c r="AK47" s="374" t="str">
        <f>IF(AND('[3]Mapa de procesos'!$AC$13="Muy Baja",'[3]Mapa de procesos'!$AE$13="Catastrófico"),CONCATENATE("R2C",'[3]Mapa de procesos'!$S$13),"")</f>
        <v/>
      </c>
      <c r="AL47" s="374" t="str">
        <f>IF(AND('[3]Mapa de procesos'!$AC$14="Muy Baja",'[3]Mapa de procesos'!$AE$14="Catastrófico"),CONCATENATE("R2C",'[3]Mapa de procesos'!$S$14),"")</f>
        <v/>
      </c>
      <c r="AM47" s="375" t="str">
        <f>IF(AND('[3]Mapa de procesos'!$AC$15="Muy Baja",'[3]Mapa de procesos'!$AE$15="Catastrófico"),CONCATENATE("R2C",'[3]Mapa de procesos'!$S$15),"")</f>
        <v/>
      </c>
      <c r="AN47" s="363"/>
      <c r="AO47" s="363"/>
      <c r="AP47" s="363"/>
      <c r="AQ47" s="363"/>
      <c r="AR47" s="363"/>
      <c r="AS47" s="363"/>
      <c r="AT47" s="363"/>
      <c r="AU47" s="363"/>
      <c r="AV47" s="363"/>
      <c r="AW47" s="363"/>
      <c r="AX47" s="363"/>
      <c r="AY47" s="363"/>
      <c r="AZ47" s="363"/>
      <c r="BA47" s="363"/>
      <c r="BB47" s="363"/>
      <c r="BC47" s="363"/>
      <c r="BD47" s="363"/>
      <c r="BE47" s="363"/>
      <c r="BF47" s="363"/>
      <c r="BG47" s="363"/>
      <c r="BH47" s="363"/>
      <c r="BI47" s="363"/>
    </row>
    <row r="48" spans="1:61" ht="15" customHeight="1" x14ac:dyDescent="0.25">
      <c r="A48" s="363"/>
      <c r="B48" s="868"/>
      <c r="C48" s="866"/>
      <c r="D48" s="870"/>
      <c r="E48" s="874"/>
      <c r="F48" s="866"/>
      <c r="G48" s="866"/>
      <c r="H48" s="866"/>
      <c r="I48" s="870"/>
      <c r="J48" s="394" t="str">
        <f>IF(AND('[3]Mapa de procesos'!$AC$16="Muy Baja",'[3]Mapa de procesos'!$AE$16="Leve"),CONCATENATE("R3C",'[3]Mapa de procesos'!$S$16),"")</f>
        <v/>
      </c>
      <c r="K48" s="395" t="str">
        <f>IF(AND('[3]Mapa de procesos'!$AC$17="Muy Baja",'[3]Mapa de procesos'!$AE$17="Leve"),CONCATENATE("R3C",'[3]Mapa de procesos'!$S$17),"")</f>
        <v/>
      </c>
      <c r="L48" s="395" t="str">
        <f>IF(AND('[3]Mapa de procesos'!$AC$18="Muy Baja",'[3]Mapa de procesos'!$AE$18="Leve"),CONCATENATE("R3C",'[3]Mapa de procesos'!$S$18),"")</f>
        <v/>
      </c>
      <c r="M48" s="395" t="str">
        <f>IF(AND('[3]Mapa de procesos'!$AC$19="Muy Baja",'[3]Mapa de procesos'!$AE$19="Leve"),CONCATENATE("R3C",'[3]Mapa de procesos'!$S$19),"")</f>
        <v/>
      </c>
      <c r="N48" s="395" t="str">
        <f>IF(AND('[3]Mapa de procesos'!$AC$20="Muy Baja",'[3]Mapa de procesos'!$AE$20="Leve"),CONCATENATE("R3C",'[3]Mapa de procesos'!$S$20),"")</f>
        <v/>
      </c>
      <c r="O48" s="396" t="str">
        <f>IF(AND('[3]Mapa de procesos'!$AC$21="Muy Baja",'[3]Mapa de procesos'!$AE$21="Leve"),CONCATENATE("R3C",'[3]Mapa de procesos'!$S$21),"")</f>
        <v/>
      </c>
      <c r="P48" s="394" t="str">
        <f>IF(AND('[3]Mapa de procesos'!$AC$16="Muy Baja",'[3]Mapa de procesos'!$AE$16="Menor"),CONCATENATE("R3C",'[3]Mapa de procesos'!$S$16),"")</f>
        <v/>
      </c>
      <c r="Q48" s="395" t="str">
        <f>IF(AND('[3]Mapa de procesos'!$AC$17="Muy Baja",'[3]Mapa de procesos'!$AE$17="Menor"),CONCATENATE("R3C",'[3]Mapa de procesos'!$S$17),"")</f>
        <v/>
      </c>
      <c r="R48" s="395" t="str">
        <f>IF(AND('[3]Mapa de procesos'!$AC$18="Muy Baja",'[3]Mapa de procesos'!$AE$18="Menor"),CONCATENATE("R3C",'[3]Mapa de procesos'!$S$18),"")</f>
        <v/>
      </c>
      <c r="S48" s="395" t="str">
        <f>IF(AND('[3]Mapa de procesos'!$AC$19="Muy Baja",'[3]Mapa de procesos'!$AE$19="Menor"),CONCATENATE("R3C",'[3]Mapa de procesos'!$S$19),"")</f>
        <v/>
      </c>
      <c r="T48" s="395" t="str">
        <f>IF(AND('[3]Mapa de procesos'!$AC$20="Muy Baja",'[3]Mapa de procesos'!$AE$20="Menor"),CONCATENATE("R3C",'[3]Mapa de procesos'!$S$20),"")</f>
        <v/>
      </c>
      <c r="U48" s="396" t="str">
        <f>IF(AND('[3]Mapa de procesos'!$AC$21="Muy Baja",'[3]Mapa de procesos'!$AE$21="Menor"),CONCATENATE("R3C",'[3]Mapa de procesos'!$S$21),"")</f>
        <v/>
      </c>
      <c r="V48" s="385" t="str">
        <f>IF(AND('[3]Mapa de procesos'!$AC$16="Muy Baja",'[3]Mapa de procesos'!$AE$16="Moderado"),CONCATENATE("R3C",'[3]Mapa de procesos'!$S$16),"")</f>
        <v/>
      </c>
      <c r="W48" s="386" t="str">
        <f>IF(AND('[3]Mapa de procesos'!$AC$17="Muy Baja",'[3]Mapa de procesos'!$AE$17="Moderado"),CONCATENATE("R3C",'[3]Mapa de procesos'!$S$17),"")</f>
        <v/>
      </c>
      <c r="X48" s="386" t="str">
        <f>IF(AND('[3]Mapa de procesos'!$AC$18="Muy Baja",'[3]Mapa de procesos'!$AE$18="Moderado"),CONCATENATE("R3C",'[3]Mapa de procesos'!$S$18),"")</f>
        <v/>
      </c>
      <c r="Y48" s="386" t="str">
        <f>IF(AND('[3]Mapa de procesos'!$AC$19="Muy Baja",'[3]Mapa de procesos'!$AE$19="Moderado"),CONCATENATE("R3C",'[3]Mapa de procesos'!$S$19),"")</f>
        <v/>
      </c>
      <c r="Z48" s="386" t="str">
        <f>IF(AND('[3]Mapa de procesos'!$AC$20="Muy Baja",'[3]Mapa de procesos'!$AE$20="Moderado"),CONCATENATE("R3C",'[3]Mapa de procesos'!$S$20),"")</f>
        <v/>
      </c>
      <c r="AA48" s="387" t="str">
        <f>IF(AND('[3]Mapa de procesos'!$AC$21="Muy Baja",'[3]Mapa de procesos'!$AE$21="Moderado"),CONCATENATE("R3C",'[3]Mapa de procesos'!$S$21),"")</f>
        <v/>
      </c>
      <c r="AB48" s="370" t="str">
        <f>IF(AND('[3]Mapa de procesos'!$AC$16="Muy Baja",'[3]Mapa de procesos'!$AE$16="Mayor"),CONCATENATE("R3C",'[3]Mapa de procesos'!$S$16),"")</f>
        <v/>
      </c>
      <c r="AC48" s="371" t="str">
        <f>IF(AND('[3]Mapa de procesos'!$AC$17="Muy Baja",'[3]Mapa de procesos'!$AE$17="Mayor"),CONCATENATE("R3C",'[3]Mapa de procesos'!$S$17),"")</f>
        <v/>
      </c>
      <c r="AD48" s="371" t="str">
        <f>IF(AND('[3]Mapa de procesos'!$AC$18="Muy Baja",'[3]Mapa de procesos'!$AE$18="Mayor"),CONCATENATE("R3C",'[3]Mapa de procesos'!$S$18),"")</f>
        <v/>
      </c>
      <c r="AE48" s="371" t="str">
        <f>IF(AND('[3]Mapa de procesos'!$AC$19="Muy Baja",'[3]Mapa de procesos'!$AE$19="Mayor"),CONCATENATE("R3C",'[3]Mapa de procesos'!$S$19),"")</f>
        <v/>
      </c>
      <c r="AF48" s="371" t="str">
        <f>IF(AND('[3]Mapa de procesos'!$AC$20="Muy Baja",'[3]Mapa de procesos'!$AE$20="Mayor"),CONCATENATE("R3C",'[3]Mapa de procesos'!$S$20),"")</f>
        <v/>
      </c>
      <c r="AG48" s="372" t="str">
        <f>IF(AND('[3]Mapa de procesos'!$AC$21="Muy Baja",'[3]Mapa de procesos'!$AE$21="Mayor"),CONCATENATE("R3C",'[3]Mapa de procesos'!$S$21),"")</f>
        <v/>
      </c>
      <c r="AH48" s="373" t="str">
        <f>IF(AND('[3]Mapa de procesos'!$AC$16="Muy Baja",'[3]Mapa de procesos'!$AE$16="Catastrófico"),CONCATENATE("R3C",'[3]Mapa de procesos'!$S$16),"")</f>
        <v/>
      </c>
      <c r="AI48" s="374" t="str">
        <f>IF(AND('[3]Mapa de procesos'!$AC$17="Muy Baja",'[3]Mapa de procesos'!$AE$17="Catastrófico"),CONCATENATE("R3C",'[3]Mapa de procesos'!$S$17),"")</f>
        <v/>
      </c>
      <c r="AJ48" s="374" t="str">
        <f>IF(AND('[3]Mapa de procesos'!$AC$18="Muy Baja",'[3]Mapa de procesos'!$AE$18="Catastrófico"),CONCATENATE("R3C",'[3]Mapa de procesos'!$S$18),"")</f>
        <v/>
      </c>
      <c r="AK48" s="374" t="str">
        <f>IF(AND('[3]Mapa de procesos'!$AC$19="Muy Baja",'[3]Mapa de procesos'!$AE$19="Catastrófico"),CONCATENATE("R3C",'[3]Mapa de procesos'!$S$19),"")</f>
        <v/>
      </c>
      <c r="AL48" s="374" t="str">
        <f>IF(AND('[3]Mapa de procesos'!$AC$20="Muy Baja",'[3]Mapa de procesos'!$AE$20="Catastrófico"),CONCATENATE("R3C",'[3]Mapa de procesos'!$S$20),"")</f>
        <v/>
      </c>
      <c r="AM48" s="375" t="str">
        <f>IF(AND('[3]Mapa de procesos'!$AC$21="Muy Baja",'[3]Mapa de procesos'!$AE$21="Catastrófico"),CONCATENATE("R3C",'[3]Mapa de procesos'!$S$21),"")</f>
        <v/>
      </c>
      <c r="AN48" s="363"/>
      <c r="AO48" s="363"/>
      <c r="AP48" s="363"/>
      <c r="AQ48" s="363"/>
      <c r="AR48" s="363"/>
      <c r="AS48" s="363"/>
      <c r="AT48" s="363"/>
      <c r="AU48" s="363"/>
      <c r="AV48" s="363"/>
      <c r="AW48" s="363"/>
      <c r="AX48" s="363"/>
      <c r="AY48" s="363"/>
      <c r="AZ48" s="363"/>
      <c r="BA48" s="363"/>
      <c r="BB48" s="363"/>
      <c r="BC48" s="363"/>
      <c r="BD48" s="363"/>
      <c r="BE48" s="363"/>
      <c r="BF48" s="363"/>
      <c r="BG48" s="363"/>
      <c r="BH48" s="363"/>
      <c r="BI48" s="363"/>
    </row>
    <row r="49" spans="1:61" ht="15" customHeight="1" x14ac:dyDescent="0.25">
      <c r="A49" s="363"/>
      <c r="B49" s="868"/>
      <c r="C49" s="866"/>
      <c r="D49" s="870"/>
      <c r="E49" s="874"/>
      <c r="F49" s="866"/>
      <c r="G49" s="866"/>
      <c r="H49" s="866"/>
      <c r="I49" s="870"/>
      <c r="J49" s="394" t="str">
        <f>IF(AND('[3]Mapa de procesos'!$AC$22="Muy Baja",'[3]Mapa de procesos'!$AE$22="Leve"),CONCATENATE("R4C",'[3]Mapa de procesos'!$S$22),"")</f>
        <v/>
      </c>
      <c r="K49" s="395" t="str">
        <f>IF(AND('[3]Mapa de procesos'!$AC$23="Muy Baja",'[3]Mapa de procesos'!$AE$23="Leve"),CONCATENATE("R4C",'[3]Mapa de procesos'!$S$23),"")</f>
        <v/>
      </c>
      <c r="L49" s="395" t="str">
        <f>IF(AND('[3]Mapa de procesos'!$AC$24="Muy Baja",'[3]Mapa de procesos'!$AE$24="Leve"),CONCATENATE("R4C",'[3]Mapa de procesos'!$S$24),"")</f>
        <v/>
      </c>
      <c r="M49" s="395" t="str">
        <f>IF(AND('[3]Mapa de procesos'!$AC$25="Muy Baja",'[3]Mapa de procesos'!$AE$25="Leve"),CONCATENATE("R4C",'[3]Mapa de procesos'!$S$25),"")</f>
        <v/>
      </c>
      <c r="N49" s="395" t="str">
        <f>IF(AND('[3]Mapa de procesos'!$AC$26="Muy Baja",'[3]Mapa de procesos'!$AE$26="Leve"),CONCATENATE("R4C",'[3]Mapa de procesos'!$S$26),"")</f>
        <v/>
      </c>
      <c r="O49" s="396" t="str">
        <f>IF(AND('[3]Mapa de procesos'!$AC$27="Muy Baja",'[3]Mapa de procesos'!$AE$27="Leve"),CONCATENATE("R4C",'[3]Mapa de procesos'!$S$27),"")</f>
        <v/>
      </c>
      <c r="P49" s="394" t="str">
        <f>IF(AND('[3]Mapa de procesos'!$AC$22="Muy Baja",'[3]Mapa de procesos'!$AE$22="Menor"),CONCATENATE("R4C",'[3]Mapa de procesos'!$S$22),"")</f>
        <v/>
      </c>
      <c r="Q49" s="395" t="str">
        <f>IF(AND('[3]Mapa de procesos'!$AC$23="Muy Baja",'[3]Mapa de procesos'!$AE$23="Menor"),CONCATENATE("R4C",'[3]Mapa de procesos'!$S$23),"")</f>
        <v/>
      </c>
      <c r="R49" s="395" t="str">
        <f>IF(AND('[3]Mapa de procesos'!$AC$24="Muy Baja",'[3]Mapa de procesos'!$AE$24="Menor"),CONCATENATE("R4C",'[3]Mapa de procesos'!$S$24),"")</f>
        <v/>
      </c>
      <c r="S49" s="395" t="str">
        <f>IF(AND('[3]Mapa de procesos'!$AC$25="Muy Baja",'[3]Mapa de procesos'!$AE$25="Menor"),CONCATENATE("R4C",'[3]Mapa de procesos'!$S$25),"")</f>
        <v/>
      </c>
      <c r="T49" s="395" t="str">
        <f>IF(AND('[3]Mapa de procesos'!$AC$26="Muy Baja",'[3]Mapa de procesos'!$AE$26="Menor"),CONCATENATE("R4C",'[3]Mapa de procesos'!$S$26),"")</f>
        <v/>
      </c>
      <c r="U49" s="396" t="str">
        <f>IF(AND('[3]Mapa de procesos'!$AC$27="Muy Baja",'[3]Mapa de procesos'!$AE$27="Menor"),CONCATENATE("R4C",'[3]Mapa de procesos'!$S$27),"")</f>
        <v/>
      </c>
      <c r="V49" s="385" t="str">
        <f>IF(AND('[3]Mapa de procesos'!$AC$22="Muy Baja",'[3]Mapa de procesos'!$AE$22="Moderado"),CONCATENATE("R4C",'[3]Mapa de procesos'!$S$22),"")</f>
        <v/>
      </c>
      <c r="W49" s="386" t="str">
        <f>IF(AND('[3]Mapa de procesos'!$AC$23="Muy Baja",'[3]Mapa de procesos'!$AE$23="Moderado"),CONCATENATE("R4C",'[3]Mapa de procesos'!$S$23),"")</f>
        <v/>
      </c>
      <c r="X49" s="386" t="str">
        <f>IF(AND('[3]Mapa de procesos'!$AC$24="Muy Baja",'[3]Mapa de procesos'!$AE$24="Moderado"),CONCATENATE("R4C",'[3]Mapa de procesos'!$S$24),"")</f>
        <v/>
      </c>
      <c r="Y49" s="386" t="str">
        <f>IF(AND('[3]Mapa de procesos'!$AC$25="Muy Baja",'[3]Mapa de procesos'!$AE$25="Moderado"),CONCATENATE("R4C",'[3]Mapa de procesos'!$S$25),"")</f>
        <v/>
      </c>
      <c r="Z49" s="386" t="str">
        <f>IF(AND('[3]Mapa de procesos'!$AC$26="Muy Baja",'[3]Mapa de procesos'!$AE$26="Moderado"),CONCATENATE("R4C",'[3]Mapa de procesos'!$S$26),"")</f>
        <v/>
      </c>
      <c r="AA49" s="387" t="str">
        <f>IF(AND('[3]Mapa de procesos'!$AC$27="Muy Baja",'[3]Mapa de procesos'!$AE$27="Moderado"),CONCATENATE("R4C",'[3]Mapa de procesos'!$S$27),"")</f>
        <v/>
      </c>
      <c r="AB49" s="370" t="str">
        <f>IF(AND('[3]Mapa de procesos'!$AC$22="Muy Baja",'[3]Mapa de procesos'!$AE$22="Mayor"),CONCATENATE("R4C",'[3]Mapa de procesos'!$S$22),"")</f>
        <v/>
      </c>
      <c r="AC49" s="371" t="str">
        <f>IF(AND('[3]Mapa de procesos'!$AC$23="Muy Baja",'[3]Mapa de procesos'!$AE$23="Mayor"),CONCATENATE("R4C",'[3]Mapa de procesos'!$S$23),"")</f>
        <v/>
      </c>
      <c r="AD49" s="371" t="str">
        <f>IF(AND('[3]Mapa de procesos'!$AC$24="Muy Baja",'[3]Mapa de procesos'!$AE$24="Mayor"),CONCATENATE("R4C",'[3]Mapa de procesos'!$S$24),"")</f>
        <v/>
      </c>
      <c r="AE49" s="371" t="str">
        <f>IF(AND('[3]Mapa de procesos'!$AC$25="Muy Baja",'[3]Mapa de procesos'!$AE$25="Mayor"),CONCATENATE("R4C",'[3]Mapa de procesos'!$S$25),"")</f>
        <v/>
      </c>
      <c r="AF49" s="371" t="str">
        <f>IF(AND('[3]Mapa de procesos'!$AC$26="Muy Baja",'[3]Mapa de procesos'!$AE$26="Mayor"),CONCATENATE("R4C",'[3]Mapa de procesos'!$S$26),"")</f>
        <v/>
      </c>
      <c r="AG49" s="372" t="str">
        <f>IF(AND('[3]Mapa de procesos'!$AC$27="Muy Baja",'[3]Mapa de procesos'!$AE$27="Mayor"),CONCATENATE("R4C",'[3]Mapa de procesos'!$S$27),"")</f>
        <v/>
      </c>
      <c r="AH49" s="373" t="str">
        <f>IF(AND('[3]Mapa de procesos'!$AC$22="Muy Baja",'[3]Mapa de procesos'!$AE$22="Catastrófico"),CONCATENATE("R4C",'[3]Mapa de procesos'!$S$22),"")</f>
        <v/>
      </c>
      <c r="AI49" s="374" t="str">
        <f>IF(AND('[3]Mapa de procesos'!$AC$23="Muy Baja",'[3]Mapa de procesos'!$AE$23="Catastrófico"),CONCATENATE("R4C",'[3]Mapa de procesos'!$S$23),"")</f>
        <v/>
      </c>
      <c r="AJ49" s="374" t="str">
        <f>IF(AND('[3]Mapa de procesos'!$AC$24="Muy Baja",'[3]Mapa de procesos'!$AE$24="Catastrófico"),CONCATENATE("R4C",'[3]Mapa de procesos'!$S$24),"")</f>
        <v/>
      </c>
      <c r="AK49" s="374" t="str">
        <f>IF(AND('[3]Mapa de procesos'!$AC$25="Muy Baja",'[3]Mapa de procesos'!$AE$25="Catastrófico"),CONCATENATE("R4C",'[3]Mapa de procesos'!$S$25),"")</f>
        <v/>
      </c>
      <c r="AL49" s="374" t="str">
        <f>IF(AND('[3]Mapa de procesos'!$AC$26="Muy Baja",'[3]Mapa de procesos'!$AE$26="Catastrófico"),CONCATENATE("R4C",'[3]Mapa de procesos'!$S$26),"")</f>
        <v/>
      </c>
      <c r="AM49" s="375" t="str">
        <f>IF(AND('[3]Mapa de procesos'!$AC$27="Muy Baja",'[3]Mapa de procesos'!$AE$27="Catastrófico"),CONCATENATE("R4C",'[3]Mapa de procesos'!$S$27),"")</f>
        <v/>
      </c>
      <c r="AN49" s="363"/>
      <c r="AO49" s="363"/>
      <c r="AP49" s="363"/>
      <c r="AQ49" s="363"/>
      <c r="AR49" s="363"/>
      <c r="AS49" s="363"/>
      <c r="AT49" s="363"/>
      <c r="AU49" s="363"/>
      <c r="AV49" s="363"/>
      <c r="AW49" s="363"/>
      <c r="AX49" s="363"/>
      <c r="AY49" s="363"/>
      <c r="AZ49" s="363"/>
      <c r="BA49" s="363"/>
      <c r="BB49" s="363"/>
      <c r="BC49" s="363"/>
      <c r="BD49" s="363"/>
      <c r="BE49" s="363"/>
      <c r="BF49" s="363"/>
      <c r="BG49" s="363"/>
      <c r="BH49" s="363"/>
      <c r="BI49" s="363"/>
    </row>
    <row r="50" spans="1:61" ht="15" customHeight="1" x14ac:dyDescent="0.25">
      <c r="A50" s="363"/>
      <c r="B50" s="868"/>
      <c r="C50" s="866"/>
      <c r="D50" s="870"/>
      <c r="E50" s="874"/>
      <c r="F50" s="866"/>
      <c r="G50" s="866"/>
      <c r="H50" s="866"/>
      <c r="I50" s="870"/>
      <c r="J50" s="394" t="str">
        <f>IF(AND('[3]Mapa de procesos'!$AC$28="Muy Baja",'[3]Mapa de procesos'!$AE$28="Leve"),CONCATENATE("R5C",'[3]Mapa de procesos'!$S$28),"")</f>
        <v/>
      </c>
      <c r="K50" s="395" t="str">
        <f>IF(AND('[3]Mapa de procesos'!$AC$29="Muy Baja",'[3]Mapa de procesos'!$AE$29="Leve"),CONCATENATE("R5C",'[3]Mapa de procesos'!$S$29),"")</f>
        <v/>
      </c>
      <c r="L50" s="395" t="str">
        <f>IF(AND('[3]Mapa de procesos'!$AC$30="Muy Baja",'[3]Mapa de procesos'!$AE$30="Leve"),CONCATENATE("R5C",'[3]Mapa de procesos'!$S$30),"")</f>
        <v/>
      </c>
      <c r="M50" s="395" t="str">
        <f>IF(AND('[3]Mapa de procesos'!$AC$31="Muy Baja",'[3]Mapa de procesos'!$AE$31="Leve"),CONCATENATE("R5C",'[3]Mapa de procesos'!$S$31),"")</f>
        <v/>
      </c>
      <c r="N50" s="395" t="str">
        <f>IF(AND('[3]Mapa de procesos'!$AC$32="Muy Baja",'[3]Mapa de procesos'!$AE$32="Leve"),CONCATENATE("R5C",'[3]Mapa de procesos'!$S$32),"")</f>
        <v/>
      </c>
      <c r="O50" s="396" t="str">
        <f>IF(AND('[3]Mapa de procesos'!$AC$33="Muy Baja",'[3]Mapa de procesos'!$AE$33="Leve"),CONCATENATE("R5C",'[3]Mapa de procesos'!$S$33),"")</f>
        <v/>
      </c>
      <c r="P50" s="394" t="str">
        <f>IF(AND('[3]Mapa de procesos'!$AC$28="Muy Baja",'[3]Mapa de procesos'!$AE$28="Menor"),CONCATENATE("R5C",'[3]Mapa de procesos'!$S$28),"")</f>
        <v/>
      </c>
      <c r="Q50" s="395" t="str">
        <f>IF(AND('[3]Mapa de procesos'!$AC$29="Muy Baja",'[3]Mapa de procesos'!$AE$29="Menor"),CONCATENATE("R5C",'[3]Mapa de procesos'!$S$29),"")</f>
        <v/>
      </c>
      <c r="R50" s="395" t="str">
        <f>IF(AND('[3]Mapa de procesos'!$AC$30="Muy Baja",'[3]Mapa de procesos'!$AE$30="Menor"),CONCATENATE("R5C",'[3]Mapa de procesos'!$S$30),"")</f>
        <v/>
      </c>
      <c r="S50" s="395" t="str">
        <f>IF(AND('[3]Mapa de procesos'!$AC$31="Muy Baja",'[3]Mapa de procesos'!$AE$31="Menor"),CONCATENATE("R5C",'[3]Mapa de procesos'!$S$31),"")</f>
        <v/>
      </c>
      <c r="T50" s="395" t="str">
        <f>IF(AND('[3]Mapa de procesos'!$AC$32="Muy Baja",'[3]Mapa de procesos'!$AE$32="Menor"),CONCATENATE("R5C",'[3]Mapa de procesos'!$S$32),"")</f>
        <v/>
      </c>
      <c r="U50" s="396" t="str">
        <f>IF(AND('[3]Mapa de procesos'!$AC$33="Muy Baja",'[3]Mapa de procesos'!$AE$33="Menor"),CONCATENATE("R5C",'[3]Mapa de procesos'!$S$33),"")</f>
        <v/>
      </c>
      <c r="V50" s="385" t="str">
        <f>IF(AND('[3]Mapa de procesos'!$AC$28="Muy Baja",'[3]Mapa de procesos'!$AE$28="Moderado"),CONCATENATE("R5C",'[3]Mapa de procesos'!$S$28),"")</f>
        <v/>
      </c>
      <c r="W50" s="386" t="str">
        <f>IF(AND('[3]Mapa de procesos'!$AC$29="Muy Baja",'[3]Mapa de procesos'!$AE$29="Moderado"),CONCATENATE("R5C",'[3]Mapa de procesos'!$S$29),"")</f>
        <v/>
      </c>
      <c r="X50" s="386" t="str">
        <f>IF(AND('[3]Mapa de procesos'!$AC$30="Muy Baja",'[3]Mapa de procesos'!$AE$30="Moderado"),CONCATENATE("R5C",'[3]Mapa de procesos'!$S$30),"")</f>
        <v/>
      </c>
      <c r="Y50" s="386" t="str">
        <f>IF(AND('[3]Mapa de procesos'!$AC$31="Muy Baja",'[3]Mapa de procesos'!$AE$31="Moderado"),CONCATENATE("R5C",'[3]Mapa de procesos'!$S$31),"")</f>
        <v/>
      </c>
      <c r="Z50" s="386" t="str">
        <f>IF(AND('[3]Mapa de procesos'!$AC$32="Muy Baja",'[3]Mapa de procesos'!$AE$32="Moderado"),CONCATENATE("R5C",'[3]Mapa de procesos'!$S$32),"")</f>
        <v/>
      </c>
      <c r="AA50" s="387" t="str">
        <f>IF(AND('[3]Mapa de procesos'!$AC$33="Muy Baja",'[3]Mapa de procesos'!$AE$33="Moderado"),CONCATENATE("R5C",'[3]Mapa de procesos'!$S$33),"")</f>
        <v/>
      </c>
      <c r="AB50" s="370" t="str">
        <f>IF(AND('[3]Mapa de procesos'!$AC$28="Muy Baja",'[3]Mapa de procesos'!$AE$28="Mayor"),CONCATENATE("R5C",'[3]Mapa de procesos'!$S$28),"")</f>
        <v/>
      </c>
      <c r="AC50" s="371" t="str">
        <f>IF(AND('[3]Mapa de procesos'!$AC$29="Muy Baja",'[3]Mapa de procesos'!$AE$29="Mayor"),CONCATENATE("R5C",'[3]Mapa de procesos'!$S$29),"")</f>
        <v/>
      </c>
      <c r="AD50" s="371" t="str">
        <f>IF(AND('[3]Mapa de procesos'!$AC$30="Muy Baja",'[3]Mapa de procesos'!$AE$30="Mayor"),CONCATENATE("R5C",'[3]Mapa de procesos'!$S$30),"")</f>
        <v/>
      </c>
      <c r="AE50" s="371" t="str">
        <f>IF(AND('[3]Mapa de procesos'!$AC$31="Muy Baja",'[3]Mapa de procesos'!$AE$31="Mayor"),CONCATENATE("R5C",'[3]Mapa de procesos'!$S$31),"")</f>
        <v/>
      </c>
      <c r="AF50" s="371" t="str">
        <f>IF(AND('[3]Mapa de procesos'!$AC$32="Muy Baja",'[3]Mapa de procesos'!$AE$32="Mayor"),CONCATENATE("R5C",'[3]Mapa de procesos'!$S$32),"")</f>
        <v/>
      </c>
      <c r="AG50" s="372" t="str">
        <f>IF(AND('[3]Mapa de procesos'!$AC$33="Muy Baja",'[3]Mapa de procesos'!$AE$33="Mayor"),CONCATENATE("R5C",'[3]Mapa de procesos'!$S$33),"")</f>
        <v/>
      </c>
      <c r="AH50" s="373" t="str">
        <f>IF(AND('[3]Mapa de procesos'!$AC$28="Muy Baja",'[3]Mapa de procesos'!$AE$28="Catastrófico"),CONCATENATE("R5C",'[3]Mapa de procesos'!$S$28),"")</f>
        <v/>
      </c>
      <c r="AI50" s="374" t="str">
        <f>IF(AND('[3]Mapa de procesos'!$AC$29="Muy Baja",'[3]Mapa de procesos'!$AE$29="Catastrófico"),CONCATENATE("R5C",'[3]Mapa de procesos'!$S$29),"")</f>
        <v/>
      </c>
      <c r="AJ50" s="374" t="str">
        <f>IF(AND('[3]Mapa de procesos'!$AC$30="Muy Baja",'[3]Mapa de procesos'!$AE$30="Catastrófico"),CONCATENATE("R5C",'[3]Mapa de procesos'!$S$30),"")</f>
        <v/>
      </c>
      <c r="AK50" s="374" t="str">
        <f>IF(AND('[3]Mapa de procesos'!$AC$31="Muy Baja",'[3]Mapa de procesos'!$AE$31="Catastrófico"),CONCATENATE("R5C",'[3]Mapa de procesos'!$S$31),"")</f>
        <v/>
      </c>
      <c r="AL50" s="374" t="str">
        <f>IF(AND('[3]Mapa de procesos'!$AC$32="Muy Baja",'[3]Mapa de procesos'!$AE$32="Catastrófico"),CONCATENATE("R5C",'[3]Mapa de procesos'!$S$32),"")</f>
        <v/>
      </c>
      <c r="AM50" s="375" t="str">
        <f>IF(AND('[3]Mapa de procesos'!$AC$33="Muy Baja",'[3]Mapa de procesos'!$AE$33="Catastrófico"),CONCATENATE("R5C",'[3]Mapa de procesos'!$S$33),"")</f>
        <v/>
      </c>
      <c r="AN50" s="363"/>
      <c r="AO50" s="363"/>
      <c r="AP50" s="363"/>
      <c r="AQ50" s="363"/>
      <c r="AR50" s="363"/>
      <c r="AS50" s="363"/>
      <c r="AT50" s="363"/>
      <c r="AU50" s="363"/>
      <c r="AV50" s="363"/>
      <c r="AW50" s="363"/>
      <c r="AX50" s="363"/>
      <c r="AY50" s="363"/>
      <c r="AZ50" s="363"/>
      <c r="BA50" s="363"/>
      <c r="BB50" s="363"/>
      <c r="BC50" s="363"/>
      <c r="BD50" s="363"/>
      <c r="BE50" s="363"/>
      <c r="BF50" s="363"/>
      <c r="BG50" s="363"/>
      <c r="BH50" s="363"/>
      <c r="BI50" s="363"/>
    </row>
    <row r="51" spans="1:61" ht="15" customHeight="1" x14ac:dyDescent="0.25">
      <c r="A51" s="363"/>
      <c r="B51" s="868"/>
      <c r="C51" s="866"/>
      <c r="D51" s="870"/>
      <c r="E51" s="874"/>
      <c r="F51" s="866"/>
      <c r="G51" s="866"/>
      <c r="H51" s="866"/>
      <c r="I51" s="870"/>
      <c r="J51" s="394" t="str">
        <f>IF(AND('[3]Mapa de procesos'!$AC$34="Muy Baja",'[3]Mapa de procesos'!$AE$34="Leve"),CONCATENATE("R6C",'[3]Mapa de procesos'!$S$34),"")</f>
        <v/>
      </c>
      <c r="K51" s="395" t="str">
        <f>IF(AND('[3]Mapa de procesos'!$AC$35="Muy Baja",'[3]Mapa de procesos'!$AE$35="Leve"),CONCATENATE("R6C",'[3]Mapa de procesos'!$S$35),"")</f>
        <v/>
      </c>
      <c r="L51" s="395" t="str">
        <f>IF(AND('[3]Mapa de procesos'!$AC$36="Muy Baja",'[3]Mapa de procesos'!$AE$36="Leve"),CONCATENATE("R6C",'[3]Mapa de procesos'!$S$36),"")</f>
        <v/>
      </c>
      <c r="M51" s="395" t="str">
        <f>IF(AND('[3]Mapa de procesos'!$AC$37="Muy Baja",'[3]Mapa de procesos'!$AE$37="Leve"),CONCATENATE("R6C",'[3]Mapa de procesos'!$S$37),"")</f>
        <v/>
      </c>
      <c r="N51" s="395" t="str">
        <f>IF(AND('[3]Mapa de procesos'!$AC$38="Muy Baja",'[3]Mapa de procesos'!$AE$38="Leve"),CONCATENATE("R6C",'[3]Mapa de procesos'!$S$38),"")</f>
        <v/>
      </c>
      <c r="O51" s="396" t="str">
        <f>IF(AND('[3]Mapa de procesos'!$AC$39="Muy Baja",'[3]Mapa de procesos'!$AE$39="Leve"),CONCATENATE("R6C",'[3]Mapa de procesos'!$S$39),"")</f>
        <v/>
      </c>
      <c r="P51" s="394" t="str">
        <f>IF(AND('[3]Mapa de procesos'!$AC$34="Muy Baja",'[3]Mapa de procesos'!$AE$34="Menor"),CONCATENATE("R6C",'[3]Mapa de procesos'!$S$34),"")</f>
        <v/>
      </c>
      <c r="Q51" s="395" t="str">
        <f>IF(AND('[3]Mapa de procesos'!$AC$35="Muy Baja",'[3]Mapa de procesos'!$AE$35="Menor"),CONCATENATE("R6C",'[3]Mapa de procesos'!$S$35),"")</f>
        <v/>
      </c>
      <c r="R51" s="395" t="str">
        <f>IF(AND('[3]Mapa de procesos'!$AC$36="Muy Baja",'[3]Mapa de procesos'!$AE$36="Menor"),CONCATENATE("R6C",'[3]Mapa de procesos'!$S$36),"")</f>
        <v/>
      </c>
      <c r="S51" s="395" t="str">
        <f>IF(AND('[3]Mapa de procesos'!$AC$37="Muy Baja",'[3]Mapa de procesos'!$AE$37="Menor"),CONCATENATE("R6C",'[3]Mapa de procesos'!$S$37),"")</f>
        <v/>
      </c>
      <c r="T51" s="395" t="str">
        <f>IF(AND('[3]Mapa de procesos'!$AC$38="Muy Baja",'[3]Mapa de procesos'!$AE$38="Menor"),CONCATENATE("R6C",'[3]Mapa de procesos'!$S$38),"")</f>
        <v/>
      </c>
      <c r="U51" s="396" t="str">
        <f>IF(AND('[3]Mapa de procesos'!$AC$39="Muy Baja",'[3]Mapa de procesos'!$AE$39="Menor"),CONCATENATE("R6C",'[3]Mapa de procesos'!$S$39),"")</f>
        <v/>
      </c>
      <c r="V51" s="385" t="str">
        <f>IF(AND('[3]Mapa de procesos'!$AC$34="Muy Baja",'[3]Mapa de procesos'!$AE$34="Moderado"),CONCATENATE("R6C",'[3]Mapa de procesos'!$S$34),"")</f>
        <v/>
      </c>
      <c r="W51" s="386" t="str">
        <f>IF(AND('[3]Mapa de procesos'!$AC$35="Muy Baja",'[3]Mapa de procesos'!$AE$35="Moderado"),CONCATENATE("R6C",'[3]Mapa de procesos'!$S$35),"")</f>
        <v/>
      </c>
      <c r="X51" s="386" t="str">
        <f>IF(AND('[3]Mapa de procesos'!$AC$36="Muy Baja",'[3]Mapa de procesos'!$AE$36="Moderado"),CONCATENATE("R6C",'[3]Mapa de procesos'!$S$36),"")</f>
        <v/>
      </c>
      <c r="Y51" s="386" t="str">
        <f>IF(AND('[3]Mapa de procesos'!$AC$37="Muy Baja",'[3]Mapa de procesos'!$AE$37="Moderado"),CONCATENATE("R6C",'[3]Mapa de procesos'!$S$37),"")</f>
        <v/>
      </c>
      <c r="Z51" s="386" t="str">
        <f>IF(AND('[3]Mapa de procesos'!$AC$38="Muy Baja",'[3]Mapa de procesos'!$AE$38="Moderado"),CONCATENATE("R6C",'[3]Mapa de procesos'!$S$38),"")</f>
        <v/>
      </c>
      <c r="AA51" s="387" t="str">
        <f>IF(AND('[3]Mapa de procesos'!$AC$39="Muy Baja",'[3]Mapa de procesos'!$AE$39="Moderado"),CONCATENATE("R6C",'[3]Mapa de procesos'!$S$39),"")</f>
        <v/>
      </c>
      <c r="AB51" s="370" t="str">
        <f>IF(AND('[3]Mapa de procesos'!$AC$34="Muy Baja",'[3]Mapa de procesos'!$AE$34="Mayor"),CONCATENATE("R6C",'[3]Mapa de procesos'!$S$34),"")</f>
        <v/>
      </c>
      <c r="AC51" s="371" t="str">
        <f>IF(AND('[3]Mapa de procesos'!$AC$35="Muy Baja",'[3]Mapa de procesos'!$AE$35="Mayor"),CONCATENATE("R6C",'[3]Mapa de procesos'!$S$35),"")</f>
        <v/>
      </c>
      <c r="AD51" s="371" t="str">
        <f>IF(AND('[3]Mapa de procesos'!$AC$36="Muy Baja",'[3]Mapa de procesos'!$AE$36="Mayor"),CONCATENATE("R6C",'[3]Mapa de procesos'!$S$36),"")</f>
        <v/>
      </c>
      <c r="AE51" s="371" t="str">
        <f>IF(AND('[3]Mapa de procesos'!$AC$37="Muy Baja",'[3]Mapa de procesos'!$AE$37="Mayor"),CONCATENATE("R6C",'[3]Mapa de procesos'!$S$37),"")</f>
        <v/>
      </c>
      <c r="AF51" s="371" t="str">
        <f>IF(AND('[3]Mapa de procesos'!$AC$38="Muy Baja",'[3]Mapa de procesos'!$AE$38="Mayor"),CONCATENATE("R6C",'[3]Mapa de procesos'!$S$38),"")</f>
        <v/>
      </c>
      <c r="AG51" s="372" t="str">
        <f>IF(AND('[3]Mapa de procesos'!$AC$39="Muy Baja",'[3]Mapa de procesos'!$AE$39="Mayor"),CONCATENATE("R6C",'[3]Mapa de procesos'!$S$39),"")</f>
        <v/>
      </c>
      <c r="AH51" s="373" t="str">
        <f>IF(AND('[3]Mapa de procesos'!$AC$34="Muy Baja",'[3]Mapa de procesos'!$AE$34="Catastrófico"),CONCATENATE("R6C",'[3]Mapa de procesos'!$S$34),"")</f>
        <v/>
      </c>
      <c r="AI51" s="374" t="str">
        <f>IF(AND('[3]Mapa de procesos'!$AC$35="Muy Baja",'[3]Mapa de procesos'!$AE$35="Catastrófico"),CONCATENATE("R6C",'[3]Mapa de procesos'!$S$35),"")</f>
        <v/>
      </c>
      <c r="AJ51" s="374" t="str">
        <f>IF(AND('[3]Mapa de procesos'!$AC$36="Muy Baja",'[3]Mapa de procesos'!$AE$36="Catastrófico"),CONCATENATE("R6C",'[3]Mapa de procesos'!$S$36),"")</f>
        <v/>
      </c>
      <c r="AK51" s="374" t="str">
        <f>IF(AND('[3]Mapa de procesos'!$AC$37="Muy Baja",'[3]Mapa de procesos'!$AE$37="Catastrófico"),CONCATENATE("R6C",'[3]Mapa de procesos'!$S$37),"")</f>
        <v/>
      </c>
      <c r="AL51" s="374" t="str">
        <f>IF(AND('[3]Mapa de procesos'!$AC$38="Muy Baja",'[3]Mapa de procesos'!$AE$38="Catastrófico"),CONCATENATE("R6C",'[3]Mapa de procesos'!$S$38),"")</f>
        <v/>
      </c>
      <c r="AM51" s="375" t="str">
        <f>IF(AND('[3]Mapa de procesos'!$AC$39="Muy Baja",'[3]Mapa de procesos'!$AE$39="Catastrófico"),CONCATENATE("R6C",'[3]Mapa de procesos'!$S$39),"")</f>
        <v/>
      </c>
      <c r="AN51" s="363"/>
      <c r="AO51" s="363"/>
      <c r="AP51" s="363"/>
      <c r="AQ51" s="363"/>
      <c r="AR51" s="363"/>
      <c r="AS51" s="363"/>
      <c r="AT51" s="363"/>
      <c r="AU51" s="363"/>
      <c r="AV51" s="363"/>
      <c r="AW51" s="363"/>
      <c r="AX51" s="363"/>
      <c r="AY51" s="363"/>
      <c r="AZ51" s="363"/>
      <c r="BA51" s="363"/>
      <c r="BB51" s="363"/>
      <c r="BC51" s="363"/>
      <c r="BD51" s="363"/>
      <c r="BE51" s="363"/>
      <c r="BF51" s="363"/>
      <c r="BG51" s="363"/>
      <c r="BH51" s="363"/>
      <c r="BI51" s="363"/>
    </row>
    <row r="52" spans="1:61" ht="15" customHeight="1" x14ac:dyDescent="0.25">
      <c r="A52" s="363"/>
      <c r="B52" s="868"/>
      <c r="C52" s="866"/>
      <c r="D52" s="870"/>
      <c r="E52" s="874"/>
      <c r="F52" s="866"/>
      <c r="G52" s="866"/>
      <c r="H52" s="866"/>
      <c r="I52" s="870"/>
      <c r="J52" s="394" t="str">
        <f>IF(AND('[3]Mapa de procesos'!$AC$40="Muy Baja",'[3]Mapa de procesos'!$AE$40="Leve"),CONCATENATE("R7C",'[3]Mapa de procesos'!$S$40),"")</f>
        <v/>
      </c>
      <c r="K52" s="395" t="str">
        <f>IF(AND('[3]Mapa de procesos'!$AC$41="Muy Baja",'[3]Mapa de procesos'!$AE$41="Leve"),CONCATENATE("R7C",'[3]Mapa de procesos'!$S$41),"")</f>
        <v/>
      </c>
      <c r="L52" s="395" t="str">
        <f>IF(AND('[3]Mapa de procesos'!$AC$42="Muy Baja",'[3]Mapa de procesos'!$AE$42="Leve"),CONCATENATE("R7C",'[3]Mapa de procesos'!$S$42),"")</f>
        <v/>
      </c>
      <c r="M52" s="395" t="str">
        <f>IF(AND('[3]Mapa de procesos'!$AC$43="Muy Baja",'[3]Mapa de procesos'!$AE$43="Leve"),CONCATENATE("R7C",'[3]Mapa de procesos'!$S$43),"")</f>
        <v/>
      </c>
      <c r="N52" s="395" t="str">
        <f>IF(AND('[3]Mapa de procesos'!$AC$44="Muy Baja",'[3]Mapa de procesos'!$AE$44="Leve"),CONCATENATE("R7C",'[3]Mapa de procesos'!$S$44),"")</f>
        <v/>
      </c>
      <c r="O52" s="396" t="str">
        <f>IF(AND('[3]Mapa de procesos'!$AC$45="Muy Baja",'[3]Mapa de procesos'!$AE$45="Leve"),CONCATENATE("R7C",'[3]Mapa de procesos'!$S$45),"")</f>
        <v/>
      </c>
      <c r="P52" s="394" t="str">
        <f>IF(AND('[3]Mapa de procesos'!$AC$40="Muy Baja",'[3]Mapa de procesos'!$AE$40="Menor"),CONCATENATE("R7C",'[3]Mapa de procesos'!$S$40),"")</f>
        <v/>
      </c>
      <c r="Q52" s="395" t="str">
        <f>IF(AND('[3]Mapa de procesos'!$AC$41="Muy Baja",'[3]Mapa de procesos'!$AE$41="Menor"),CONCATENATE("R7C",'[3]Mapa de procesos'!$S$41),"")</f>
        <v/>
      </c>
      <c r="R52" s="395" t="str">
        <f>IF(AND('[3]Mapa de procesos'!$AC$42="Muy Baja",'[3]Mapa de procesos'!$AE$42="Menor"),CONCATENATE("R7C",'[3]Mapa de procesos'!$S$42),"")</f>
        <v/>
      </c>
      <c r="S52" s="395" t="str">
        <f>IF(AND('[3]Mapa de procesos'!$AC$43="Muy Baja",'[3]Mapa de procesos'!$AE$43="Menor"),CONCATENATE("R7C",'[3]Mapa de procesos'!$S$43),"")</f>
        <v/>
      </c>
      <c r="T52" s="395" t="str">
        <f>IF(AND('[3]Mapa de procesos'!$AC$44="Muy Baja",'[3]Mapa de procesos'!$AE$44="Menor"),CONCATENATE("R7C",'[3]Mapa de procesos'!$S$44),"")</f>
        <v/>
      </c>
      <c r="U52" s="396" t="str">
        <f>IF(AND('[3]Mapa de procesos'!$AC$45="Muy Baja",'[3]Mapa de procesos'!$AE$45="Menor"),CONCATENATE("R7C",'[3]Mapa de procesos'!$S$45),"")</f>
        <v/>
      </c>
      <c r="V52" s="385" t="str">
        <f>IF(AND('[3]Mapa de procesos'!$AC$40="Muy Baja",'[3]Mapa de procesos'!$AE$40="Moderado"),CONCATENATE("R7C",'[3]Mapa de procesos'!$S$40),"")</f>
        <v/>
      </c>
      <c r="W52" s="386" t="str">
        <f>IF(AND('[3]Mapa de procesos'!$AC$41="Muy Baja",'[3]Mapa de procesos'!$AE$41="Moderado"),CONCATENATE("R7C",'[3]Mapa de procesos'!$S$41),"")</f>
        <v/>
      </c>
      <c r="X52" s="386" t="str">
        <f>IF(AND('[3]Mapa de procesos'!$AC$42="Muy Baja",'[3]Mapa de procesos'!$AE$42="Moderado"),CONCATENATE("R7C",'[3]Mapa de procesos'!$S$42),"")</f>
        <v/>
      </c>
      <c r="Y52" s="386" t="str">
        <f>IF(AND('[3]Mapa de procesos'!$AC$43="Muy Baja",'[3]Mapa de procesos'!$AE$43="Moderado"),CONCATENATE("R7C",'[3]Mapa de procesos'!$S$43),"")</f>
        <v/>
      </c>
      <c r="Z52" s="386" t="str">
        <f>IF(AND('[3]Mapa de procesos'!$AC$44="Muy Baja",'[3]Mapa de procesos'!$AE$44="Moderado"),CONCATENATE("R7C",'[3]Mapa de procesos'!$S$44),"")</f>
        <v/>
      </c>
      <c r="AA52" s="387" t="str">
        <f>IF(AND('[3]Mapa de procesos'!$AC$45="Muy Baja",'[3]Mapa de procesos'!$AE$45="Moderado"),CONCATENATE("R7C",'[3]Mapa de procesos'!$S$45),"")</f>
        <v/>
      </c>
      <c r="AB52" s="370" t="str">
        <f>IF(AND('[3]Mapa de procesos'!$AC$40="Muy Baja",'[3]Mapa de procesos'!$AE$40="Mayor"),CONCATENATE("R7C",'[3]Mapa de procesos'!$S$40),"")</f>
        <v/>
      </c>
      <c r="AC52" s="371" t="str">
        <f>IF(AND('[3]Mapa de procesos'!$AC$41="Muy Baja",'[3]Mapa de procesos'!$AE$41="Mayor"),CONCATENATE("R7C",'[3]Mapa de procesos'!$S$41),"")</f>
        <v/>
      </c>
      <c r="AD52" s="371" t="str">
        <f>IF(AND('[3]Mapa de procesos'!$AC$42="Muy Baja",'[3]Mapa de procesos'!$AE$42="Mayor"),CONCATENATE("R7C",'[3]Mapa de procesos'!$S$42),"")</f>
        <v/>
      </c>
      <c r="AE52" s="371" t="str">
        <f>IF(AND('[3]Mapa de procesos'!$AC$43="Muy Baja",'[3]Mapa de procesos'!$AE$43="Mayor"),CONCATENATE("R7C",'[3]Mapa de procesos'!$S$43),"")</f>
        <v/>
      </c>
      <c r="AF52" s="371" t="str">
        <f>IF(AND('[3]Mapa de procesos'!$AC$44="Muy Baja",'[3]Mapa de procesos'!$AE$44="Mayor"),CONCATENATE("R7C",'[3]Mapa de procesos'!$S$44),"")</f>
        <v/>
      </c>
      <c r="AG52" s="372" t="str">
        <f>IF(AND('[3]Mapa de procesos'!$AC$45="Muy Baja",'[3]Mapa de procesos'!$AE$45="Mayor"),CONCATENATE("R7C",'[3]Mapa de procesos'!$S$45),"")</f>
        <v/>
      </c>
      <c r="AH52" s="373" t="str">
        <f>IF(AND('[3]Mapa de procesos'!$AC$40="Muy Baja",'[3]Mapa de procesos'!$AE$40="Catastrófico"),CONCATENATE("R7C",'[3]Mapa de procesos'!$S$40),"")</f>
        <v/>
      </c>
      <c r="AI52" s="374" t="str">
        <f>IF(AND('[3]Mapa de procesos'!$AC$41="Muy Baja",'[3]Mapa de procesos'!$AE$41="Catastrófico"),CONCATENATE("R7C",'[3]Mapa de procesos'!$S$41),"")</f>
        <v/>
      </c>
      <c r="AJ52" s="374" t="str">
        <f>IF(AND('[3]Mapa de procesos'!$AC$42="Muy Baja",'[3]Mapa de procesos'!$AE$42="Catastrófico"),CONCATENATE("R7C",'[3]Mapa de procesos'!$S$42),"")</f>
        <v/>
      </c>
      <c r="AK52" s="374" t="str">
        <f>IF(AND('[3]Mapa de procesos'!$AC$43="Muy Baja",'[3]Mapa de procesos'!$AE$43="Catastrófico"),CONCATENATE("R7C",'[3]Mapa de procesos'!$S$43),"")</f>
        <v/>
      </c>
      <c r="AL52" s="374" t="str">
        <f>IF(AND('[3]Mapa de procesos'!$AC$44="Muy Baja",'[3]Mapa de procesos'!$AE$44="Catastrófico"),CONCATENATE("R7C",'[3]Mapa de procesos'!$S$44),"")</f>
        <v/>
      </c>
      <c r="AM52" s="375" t="str">
        <f>IF(AND('[3]Mapa de procesos'!$AC$45="Muy Baja",'[3]Mapa de procesos'!$AE$45="Catastrófico"),CONCATENATE("R7C",'[3]Mapa de procesos'!$S$45),"")</f>
        <v/>
      </c>
      <c r="AN52" s="363"/>
      <c r="AO52" s="363"/>
      <c r="AP52" s="363"/>
      <c r="AQ52" s="363"/>
      <c r="AR52" s="363"/>
      <c r="AS52" s="363"/>
      <c r="AT52" s="363"/>
      <c r="AU52" s="363"/>
      <c r="AV52" s="363"/>
      <c r="AW52" s="363"/>
      <c r="AX52" s="363"/>
      <c r="AY52" s="363"/>
      <c r="AZ52" s="363"/>
      <c r="BA52" s="363"/>
      <c r="BB52" s="363"/>
      <c r="BC52" s="363"/>
      <c r="BD52" s="363"/>
      <c r="BE52" s="363"/>
      <c r="BF52" s="363"/>
      <c r="BG52" s="363"/>
      <c r="BH52" s="363"/>
      <c r="BI52" s="363"/>
    </row>
    <row r="53" spans="1:61" ht="15" customHeight="1" x14ac:dyDescent="0.25">
      <c r="A53" s="363"/>
      <c r="B53" s="868"/>
      <c r="C53" s="866"/>
      <c r="D53" s="870"/>
      <c r="E53" s="874"/>
      <c r="F53" s="866"/>
      <c r="G53" s="866"/>
      <c r="H53" s="866"/>
      <c r="I53" s="870"/>
      <c r="J53" s="394" t="str">
        <f>IF(AND('[3]Mapa de procesos'!$AC$46="Muy Baja",'[3]Mapa de procesos'!$AE$46="Leve"),CONCATENATE("R8C",'[3]Mapa de procesos'!$S$46),"")</f>
        <v/>
      </c>
      <c r="K53" s="395" t="str">
        <f>IF(AND('[3]Mapa de procesos'!$AC$47="Muy Baja",'[3]Mapa de procesos'!$AE$47="Leve"),CONCATENATE("R8C",'[3]Mapa de procesos'!$S$47),"")</f>
        <v/>
      </c>
      <c r="L53" s="395" t="str">
        <f>IF(AND('[3]Mapa de procesos'!$AC$48="Muy Baja",'[3]Mapa de procesos'!$AE$48="Leve"),CONCATENATE("R8C",'[3]Mapa de procesos'!$S$48),"")</f>
        <v/>
      </c>
      <c r="M53" s="395" t="str">
        <f>IF(AND('[3]Mapa de procesos'!$AC$49="Muy Baja",'[3]Mapa de procesos'!$AE$49="Leve"),CONCATENATE("R8C",'[3]Mapa de procesos'!$S$49),"")</f>
        <v/>
      </c>
      <c r="N53" s="395" t="str">
        <f>IF(AND('[3]Mapa de procesos'!$AC$50="Muy Baja",'[3]Mapa de procesos'!$AE$50="Leve"),CONCATENATE("R8C",'[3]Mapa de procesos'!$S$50),"")</f>
        <v/>
      </c>
      <c r="O53" s="396" t="str">
        <f>IF(AND('[3]Mapa de procesos'!$AC$51="Muy Baja",'[3]Mapa de procesos'!$AE$51="Leve"),CONCATENATE("R8C",'[3]Mapa de procesos'!$S$51),"")</f>
        <v/>
      </c>
      <c r="P53" s="394" t="str">
        <f>IF(AND('[3]Mapa de procesos'!$AC$46="Muy Baja",'[3]Mapa de procesos'!$AE$46="Menor"),CONCATENATE("R8C",'[3]Mapa de procesos'!$S$46),"")</f>
        <v/>
      </c>
      <c r="Q53" s="395" t="str">
        <f>IF(AND('[3]Mapa de procesos'!$AC$47="Muy Baja",'[3]Mapa de procesos'!$AE$47="Menor"),CONCATENATE("R8C",'[3]Mapa de procesos'!$S$47),"")</f>
        <v/>
      </c>
      <c r="R53" s="395" t="str">
        <f>IF(AND('[3]Mapa de procesos'!$AC$48="Muy Baja",'[3]Mapa de procesos'!$AE$48="Menor"),CONCATENATE("R8C",'[3]Mapa de procesos'!$S$48),"")</f>
        <v/>
      </c>
      <c r="S53" s="395" t="str">
        <f>IF(AND('[3]Mapa de procesos'!$AC$49="Muy Baja",'[3]Mapa de procesos'!$AE$49="Menor"),CONCATENATE("R8C",'[3]Mapa de procesos'!$S$49),"")</f>
        <v/>
      </c>
      <c r="T53" s="395" t="str">
        <f>IF(AND('[3]Mapa de procesos'!$AC$50="Muy Baja",'[3]Mapa de procesos'!$AE$50="Menor"),CONCATENATE("R8C",'[3]Mapa de procesos'!$S$50),"")</f>
        <v/>
      </c>
      <c r="U53" s="396" t="str">
        <f>IF(AND('[3]Mapa de procesos'!$AC$51="Muy Baja",'[3]Mapa de procesos'!$AE$51="Menor"),CONCATENATE("R8C",'[3]Mapa de procesos'!$S$51),"")</f>
        <v/>
      </c>
      <c r="V53" s="385" t="str">
        <f>IF(AND('[3]Mapa de procesos'!$AC$46="Muy Baja",'[3]Mapa de procesos'!$AE$46="Moderado"),CONCATENATE("R8C",'[3]Mapa de procesos'!$S$46),"")</f>
        <v/>
      </c>
      <c r="W53" s="386" t="str">
        <f>IF(AND('[3]Mapa de procesos'!$AC$47="Muy Baja",'[3]Mapa de procesos'!$AE$47="Moderado"),CONCATENATE("R8C",'[3]Mapa de procesos'!$S$47),"")</f>
        <v/>
      </c>
      <c r="X53" s="386" t="str">
        <f>IF(AND('[3]Mapa de procesos'!$AC$48="Muy Baja",'[3]Mapa de procesos'!$AE$48="Moderado"),CONCATENATE("R8C",'[3]Mapa de procesos'!$S$48),"")</f>
        <v/>
      </c>
      <c r="Y53" s="386" t="str">
        <f>IF(AND('[3]Mapa de procesos'!$AC$49="Muy Baja",'[3]Mapa de procesos'!$AE$49="Moderado"),CONCATENATE("R8C",'[3]Mapa de procesos'!$S$49),"")</f>
        <v/>
      </c>
      <c r="Z53" s="386" t="str">
        <f>IF(AND('[3]Mapa de procesos'!$AC$50="Muy Baja",'[3]Mapa de procesos'!$AE$50="Moderado"),CONCATENATE("R8C",'[3]Mapa de procesos'!$S$50),"")</f>
        <v/>
      </c>
      <c r="AA53" s="387" t="str">
        <f>IF(AND('[3]Mapa de procesos'!$AC$51="Muy Baja",'[3]Mapa de procesos'!$AE$51="Moderado"),CONCATENATE("R8C",'[3]Mapa de procesos'!$S$51),"")</f>
        <v/>
      </c>
      <c r="AB53" s="370" t="str">
        <f>IF(AND('[3]Mapa de procesos'!$AC$46="Muy Baja",'[3]Mapa de procesos'!$AE$46="Mayor"),CONCATENATE("R8C",'[3]Mapa de procesos'!$S$46),"")</f>
        <v/>
      </c>
      <c r="AC53" s="371" t="str">
        <f>IF(AND('[3]Mapa de procesos'!$AC$47="Muy Baja",'[3]Mapa de procesos'!$AE$47="Mayor"),CONCATENATE("R8C",'[3]Mapa de procesos'!$S$47),"")</f>
        <v/>
      </c>
      <c r="AD53" s="371" t="str">
        <f>IF(AND('[3]Mapa de procesos'!$AC$48="Muy Baja",'[3]Mapa de procesos'!$AE$48="Mayor"),CONCATENATE("R8C",'[3]Mapa de procesos'!$S$48),"")</f>
        <v/>
      </c>
      <c r="AE53" s="371" t="str">
        <f>IF(AND('[3]Mapa de procesos'!$AC$49="Muy Baja",'[3]Mapa de procesos'!$AE$49="Mayor"),CONCATENATE("R8C",'[3]Mapa de procesos'!$S$49),"")</f>
        <v/>
      </c>
      <c r="AF53" s="371" t="str">
        <f>IF(AND('[3]Mapa de procesos'!$AC$50="Muy Baja",'[3]Mapa de procesos'!$AE$50="Mayor"),CONCATENATE("R8C",'[3]Mapa de procesos'!$S$50),"")</f>
        <v/>
      </c>
      <c r="AG53" s="372" t="str">
        <f>IF(AND('[3]Mapa de procesos'!$AC$51="Muy Baja",'[3]Mapa de procesos'!$AE$51="Mayor"),CONCATENATE("R8C",'[3]Mapa de procesos'!$S$51),"")</f>
        <v/>
      </c>
      <c r="AH53" s="373" t="str">
        <f>IF(AND('[3]Mapa de procesos'!$AC$46="Muy Baja",'[3]Mapa de procesos'!$AE$46="Catastrófico"),CONCATENATE("R8C",'[3]Mapa de procesos'!$S$46),"")</f>
        <v/>
      </c>
      <c r="AI53" s="374" t="str">
        <f>IF(AND('[3]Mapa de procesos'!$AC$47="Muy Baja",'[3]Mapa de procesos'!$AE$47="Catastrófico"),CONCATENATE("R8C",'[3]Mapa de procesos'!$S$47),"")</f>
        <v/>
      </c>
      <c r="AJ53" s="374" t="str">
        <f>IF(AND('[3]Mapa de procesos'!$AC$48="Muy Baja",'[3]Mapa de procesos'!$AE$48="Catastrófico"),CONCATENATE("R8C",'[3]Mapa de procesos'!$S$48),"")</f>
        <v/>
      </c>
      <c r="AK53" s="374" t="str">
        <f>IF(AND('[3]Mapa de procesos'!$AC$49="Muy Baja",'[3]Mapa de procesos'!$AE$49="Catastrófico"),CONCATENATE("R8C",'[3]Mapa de procesos'!$S$49),"")</f>
        <v/>
      </c>
      <c r="AL53" s="374" t="str">
        <f>IF(AND('[3]Mapa de procesos'!$AC$50="Muy Baja",'[3]Mapa de procesos'!$AE$50="Catastrófico"),CONCATENATE("R8C",'[3]Mapa de procesos'!$S$50),"")</f>
        <v/>
      </c>
      <c r="AM53" s="375" t="str">
        <f>IF(AND('[3]Mapa de procesos'!$AC$51="Muy Baja",'[3]Mapa de procesos'!$AE$51="Catastrófico"),CONCATENATE("R8C",'[3]Mapa de procesos'!$S$51),"")</f>
        <v/>
      </c>
      <c r="AN53" s="363"/>
      <c r="AO53" s="363"/>
      <c r="AP53" s="363"/>
      <c r="AQ53" s="363"/>
      <c r="AR53" s="363"/>
      <c r="AS53" s="363"/>
      <c r="AT53" s="363"/>
      <c r="AU53" s="363"/>
      <c r="AV53" s="363"/>
      <c r="AW53" s="363"/>
      <c r="AX53" s="363"/>
      <c r="AY53" s="363"/>
      <c r="AZ53" s="363"/>
      <c r="BA53" s="363"/>
      <c r="BB53" s="363"/>
      <c r="BC53" s="363"/>
      <c r="BD53" s="363"/>
      <c r="BE53" s="363"/>
      <c r="BF53" s="363"/>
      <c r="BG53" s="363"/>
      <c r="BH53" s="363"/>
      <c r="BI53" s="363"/>
    </row>
    <row r="54" spans="1:61" ht="15" customHeight="1" x14ac:dyDescent="0.25">
      <c r="A54" s="363"/>
      <c r="B54" s="868"/>
      <c r="C54" s="866"/>
      <c r="D54" s="870"/>
      <c r="E54" s="874"/>
      <c r="F54" s="866"/>
      <c r="G54" s="866"/>
      <c r="H54" s="866"/>
      <c r="I54" s="870"/>
      <c r="J54" s="394" t="str">
        <f>IF(AND('[3]Mapa de procesos'!$AC$52="Muy Baja",'[3]Mapa de procesos'!$AE$52="Leve"),CONCATENATE("R9C",'[3]Mapa de procesos'!$S$52),"")</f>
        <v/>
      </c>
      <c r="K54" s="395" t="str">
        <f>IF(AND('[3]Mapa de procesos'!$AC$53="Muy Baja",'[3]Mapa de procesos'!$AE$53="Leve"),CONCATENATE("R9C",'[3]Mapa de procesos'!$S$53),"")</f>
        <v/>
      </c>
      <c r="L54" s="395" t="str">
        <f>IF(AND('[3]Mapa de procesos'!$AC$54="Muy Baja",'[3]Mapa de procesos'!$AE$54="Leve"),CONCATENATE("R9C",'[3]Mapa de procesos'!$S$54),"")</f>
        <v/>
      </c>
      <c r="M54" s="395" t="str">
        <f>IF(AND('[3]Mapa de procesos'!$AC$55="Muy Baja",'[3]Mapa de procesos'!$AE$55="Leve"),CONCATENATE("R9C",'[3]Mapa de procesos'!$S$55),"")</f>
        <v/>
      </c>
      <c r="N54" s="395" t="str">
        <f>IF(AND('[3]Mapa de procesos'!$AC$56="Muy Baja",'[3]Mapa de procesos'!$AE$56="Leve"),CONCATENATE("R9C",'[3]Mapa de procesos'!$S$56),"")</f>
        <v/>
      </c>
      <c r="O54" s="396" t="str">
        <f>IF(AND('[3]Mapa de procesos'!$AC$57="Muy Baja",'[3]Mapa de procesos'!$AE$57="Leve"),CONCATENATE("R9C",'[3]Mapa de procesos'!$S$57),"")</f>
        <v/>
      </c>
      <c r="P54" s="394" t="str">
        <f>IF(AND('[3]Mapa de procesos'!$AC$52="Muy Baja",'[3]Mapa de procesos'!$AE$52="Menor"),CONCATENATE("R9C",'[3]Mapa de procesos'!$S$52),"")</f>
        <v/>
      </c>
      <c r="Q54" s="395" t="str">
        <f>IF(AND('[3]Mapa de procesos'!$AC$53="Muy Baja",'[3]Mapa de procesos'!$AE$53="Menor"),CONCATENATE("R9C",'[3]Mapa de procesos'!$S$53),"")</f>
        <v/>
      </c>
      <c r="R54" s="395" t="str">
        <f>IF(AND('[3]Mapa de procesos'!$AC$54="Muy Baja",'[3]Mapa de procesos'!$AE$54="Menor"),CONCATENATE("R9C",'[3]Mapa de procesos'!$S$54),"")</f>
        <v/>
      </c>
      <c r="S54" s="395" t="str">
        <f>IF(AND('[3]Mapa de procesos'!$AC$55="Muy Baja",'[3]Mapa de procesos'!$AE$55="Menor"),CONCATENATE("R9C",'[3]Mapa de procesos'!$S$55),"")</f>
        <v/>
      </c>
      <c r="T54" s="395" t="str">
        <f>IF(AND('[3]Mapa de procesos'!$AC$56="Muy Baja",'[3]Mapa de procesos'!$AE$56="Menor"),CONCATENATE("R9C",'[3]Mapa de procesos'!$S$56),"")</f>
        <v/>
      </c>
      <c r="U54" s="396" t="str">
        <f>IF(AND('[3]Mapa de procesos'!$AC$57="Muy Baja",'[3]Mapa de procesos'!$AE$57="Menor"),CONCATENATE("R9C",'[3]Mapa de procesos'!$S$57),"")</f>
        <v/>
      </c>
      <c r="V54" s="385" t="str">
        <f>IF(AND('[3]Mapa de procesos'!$AC$52="Muy Baja",'[3]Mapa de procesos'!$AE$52="Moderado"),CONCATENATE("R9C",'[3]Mapa de procesos'!$S$52),"")</f>
        <v/>
      </c>
      <c r="W54" s="386" t="str">
        <f>IF(AND('[3]Mapa de procesos'!$AC$53="Muy Baja",'[3]Mapa de procesos'!$AE$53="Moderado"),CONCATENATE("R9C",'[3]Mapa de procesos'!$S$53),"")</f>
        <v/>
      </c>
      <c r="X54" s="386" t="str">
        <f>IF(AND('[3]Mapa de procesos'!$AC$54="Muy Baja",'[3]Mapa de procesos'!$AE$54="Moderado"),CONCATENATE("R9C",'[3]Mapa de procesos'!$S$54),"")</f>
        <v/>
      </c>
      <c r="Y54" s="386" t="str">
        <f>IF(AND('[3]Mapa de procesos'!$AC$55="Muy Baja",'[3]Mapa de procesos'!$AE$55="Moderado"),CONCATENATE("R9C",'[3]Mapa de procesos'!$S$55),"")</f>
        <v/>
      </c>
      <c r="Z54" s="386" t="str">
        <f>IF(AND('[3]Mapa de procesos'!$AC$56="Muy Baja",'[3]Mapa de procesos'!$AE$56="Moderado"),CONCATENATE("R9C",'[3]Mapa de procesos'!$S$56),"")</f>
        <v/>
      </c>
      <c r="AA54" s="387" t="str">
        <f>IF(AND('[3]Mapa de procesos'!$AC$57="Muy Baja",'[3]Mapa de procesos'!$AE$57="Moderado"),CONCATENATE("R9C",'[3]Mapa de procesos'!$S$57),"")</f>
        <v/>
      </c>
      <c r="AB54" s="370" t="str">
        <f>IF(AND('[3]Mapa de procesos'!$AC$52="Muy Baja",'[3]Mapa de procesos'!$AE$52="Mayor"),CONCATENATE("R9C",'[3]Mapa de procesos'!$S$52),"")</f>
        <v/>
      </c>
      <c r="AC54" s="371" t="str">
        <f>IF(AND('[3]Mapa de procesos'!$AC$53="Muy Baja",'[3]Mapa de procesos'!$AE$53="Mayor"),CONCATENATE("R9C",'[3]Mapa de procesos'!$S$53),"")</f>
        <v/>
      </c>
      <c r="AD54" s="371" t="str">
        <f>IF(AND('[3]Mapa de procesos'!$AC$54="Muy Baja",'[3]Mapa de procesos'!$AE$54="Mayor"),CONCATENATE("R9C",'[3]Mapa de procesos'!$S$54),"")</f>
        <v/>
      </c>
      <c r="AE54" s="371" t="str">
        <f>IF(AND('[3]Mapa de procesos'!$AC$55="Muy Baja",'[3]Mapa de procesos'!$AE$55="Mayor"),CONCATENATE("R9C",'[3]Mapa de procesos'!$S$55),"")</f>
        <v/>
      </c>
      <c r="AF54" s="371" t="str">
        <f>IF(AND('[3]Mapa de procesos'!$AC$56="Muy Baja",'[3]Mapa de procesos'!$AE$56="Mayor"),CONCATENATE("R9C",'[3]Mapa de procesos'!$S$56),"")</f>
        <v/>
      </c>
      <c r="AG54" s="372" t="str">
        <f>IF(AND('[3]Mapa de procesos'!$AC$57="Muy Baja",'[3]Mapa de procesos'!$AE$57="Mayor"),CONCATENATE("R9C",'[3]Mapa de procesos'!$S$57),"")</f>
        <v/>
      </c>
      <c r="AH54" s="373" t="str">
        <f>IF(AND('[3]Mapa de procesos'!$AC$52="Muy Baja",'[3]Mapa de procesos'!$AE$52="Catastrófico"),CONCATENATE("R9C",'[3]Mapa de procesos'!$S$52),"")</f>
        <v/>
      </c>
      <c r="AI54" s="374" t="str">
        <f>IF(AND('[3]Mapa de procesos'!$AC$53="Muy Baja",'[3]Mapa de procesos'!$AE$53="Catastrófico"),CONCATENATE("R9C",'[3]Mapa de procesos'!$S$53),"")</f>
        <v/>
      </c>
      <c r="AJ54" s="374" t="str">
        <f>IF(AND('[3]Mapa de procesos'!$AC$54="Muy Baja",'[3]Mapa de procesos'!$AE$54="Catastrófico"),CONCATENATE("R9C",'[3]Mapa de procesos'!$S$54),"")</f>
        <v/>
      </c>
      <c r="AK54" s="374" t="str">
        <f>IF(AND('[3]Mapa de procesos'!$AC$55="Muy Baja",'[3]Mapa de procesos'!$AE$55="Catastrófico"),CONCATENATE("R9C",'[3]Mapa de procesos'!$S$55),"")</f>
        <v/>
      </c>
      <c r="AL54" s="374" t="str">
        <f>IF(AND('[3]Mapa de procesos'!$AC$56="Muy Baja",'[3]Mapa de procesos'!$AE$56="Catastrófico"),CONCATENATE("R9C",'[3]Mapa de procesos'!$S$56),"")</f>
        <v/>
      </c>
      <c r="AM54" s="375" t="str">
        <f>IF(AND('[3]Mapa de procesos'!$AC$57="Muy Baja",'[3]Mapa de procesos'!$AE$57="Catastrófico"),CONCATENATE("R9C",'[3]Mapa de procesos'!$S$57),"")</f>
        <v/>
      </c>
      <c r="AN54" s="363"/>
      <c r="AO54" s="363"/>
      <c r="AP54" s="363"/>
      <c r="AQ54" s="363"/>
      <c r="AR54" s="363"/>
      <c r="AS54" s="363"/>
      <c r="AT54" s="363"/>
      <c r="AU54" s="363"/>
      <c r="AV54" s="363"/>
      <c r="AW54" s="363"/>
      <c r="AX54" s="363"/>
      <c r="AY54" s="363"/>
      <c r="AZ54" s="363"/>
      <c r="BA54" s="363"/>
      <c r="BB54" s="363"/>
      <c r="BC54" s="363"/>
      <c r="BD54" s="363"/>
      <c r="BE54" s="363"/>
      <c r="BF54" s="363"/>
      <c r="BG54" s="363"/>
      <c r="BH54" s="363"/>
      <c r="BI54" s="363"/>
    </row>
    <row r="55" spans="1:61" ht="15.75" customHeight="1" thickBot="1" x14ac:dyDescent="0.3">
      <c r="A55" s="363"/>
      <c r="B55" s="868"/>
      <c r="C55" s="868"/>
      <c r="D55" s="870"/>
      <c r="E55" s="875"/>
      <c r="F55" s="876"/>
      <c r="G55" s="876"/>
      <c r="H55" s="876"/>
      <c r="I55" s="877"/>
      <c r="J55" s="397" t="str">
        <f>IF(AND('[3]Mapa de procesos'!$AC$58="Muy Baja",'[3]Mapa de procesos'!$AE$58="Leve"),CONCATENATE("R10C",'[3]Mapa de procesos'!$S$58),"")</f>
        <v/>
      </c>
      <c r="K55" s="398" t="str">
        <f>IF(AND('[3]Mapa de procesos'!$AC$59="Muy Baja",'[3]Mapa de procesos'!$AE$59="Leve"),CONCATENATE("R10C",'[3]Mapa de procesos'!$S$59),"")</f>
        <v/>
      </c>
      <c r="L55" s="398" t="str">
        <f>IF(AND('[3]Mapa de procesos'!$AC$60="Muy Baja",'[3]Mapa de procesos'!$AE$60="Leve"),CONCATENATE("R10C",'[3]Mapa de procesos'!$S$60),"")</f>
        <v/>
      </c>
      <c r="M55" s="398" t="str">
        <f>IF(AND('[3]Mapa de procesos'!$AC$61="Muy Baja",'[3]Mapa de procesos'!$AE$61="Leve"),CONCATENATE("R10C",'[3]Mapa de procesos'!$S$61),"")</f>
        <v/>
      </c>
      <c r="N55" s="398" t="str">
        <f>IF(AND('[3]Mapa de procesos'!$AC$62="Muy Baja",'[3]Mapa de procesos'!$AE$62="Leve"),CONCATENATE("R10C",'[3]Mapa de procesos'!$S$62),"")</f>
        <v/>
      </c>
      <c r="O55" s="399" t="str">
        <f>IF(AND('[3]Mapa de procesos'!$AC$63="Muy Baja",'[3]Mapa de procesos'!$AE$63="Leve"),CONCATENATE("R10C",'[3]Mapa de procesos'!$S$63),"")</f>
        <v/>
      </c>
      <c r="P55" s="397" t="str">
        <f>IF(AND('[3]Mapa de procesos'!$AC$58="Muy Baja",'[3]Mapa de procesos'!$AE$58="Menor"),CONCATENATE("R10C",'[3]Mapa de procesos'!$S$58),"")</f>
        <v/>
      </c>
      <c r="Q55" s="398" t="str">
        <f>IF(AND('[3]Mapa de procesos'!$AC$59="Muy Baja",'[3]Mapa de procesos'!$AE$59="Menor"),CONCATENATE("R10C",'[3]Mapa de procesos'!$S$59),"")</f>
        <v/>
      </c>
      <c r="R55" s="398" t="str">
        <f>IF(AND('[3]Mapa de procesos'!$AC$60="Muy Baja",'[3]Mapa de procesos'!$AE$60="Menor"),CONCATENATE("R10C",'[3]Mapa de procesos'!$S$60),"")</f>
        <v/>
      </c>
      <c r="S55" s="398" t="str">
        <f>IF(AND('[3]Mapa de procesos'!$AC$61="Muy Baja",'[3]Mapa de procesos'!$AE$61="Menor"),CONCATENATE("R10C",'[3]Mapa de procesos'!$S$61),"")</f>
        <v/>
      </c>
      <c r="T55" s="398" t="str">
        <f>IF(AND('[3]Mapa de procesos'!$AC$62="Muy Baja",'[3]Mapa de procesos'!$AE$62="Menor"),CONCATENATE("R10C",'[3]Mapa de procesos'!$S$62),"")</f>
        <v/>
      </c>
      <c r="U55" s="399" t="str">
        <f>IF(AND('[3]Mapa de procesos'!$AC$63="Muy Baja",'[3]Mapa de procesos'!$AE$63="Menor"),CONCATENATE("R10C",'[3]Mapa de procesos'!$S$63),"")</f>
        <v/>
      </c>
      <c r="V55" s="388" t="str">
        <f>IF(AND('[3]Mapa de procesos'!$AC$58="Muy Baja",'[3]Mapa de procesos'!$AE$58="Moderado"),CONCATENATE("R10C",'[3]Mapa de procesos'!$S$58),"")</f>
        <v/>
      </c>
      <c r="W55" s="389" t="str">
        <f>IF(AND('[3]Mapa de procesos'!$AC$59="Muy Baja",'[3]Mapa de procesos'!$AE$59="Moderado"),CONCATENATE("R10C",'[3]Mapa de procesos'!$S$59),"")</f>
        <v/>
      </c>
      <c r="X55" s="389" t="str">
        <f>IF(AND('[3]Mapa de procesos'!$AC$60="Muy Baja",'[3]Mapa de procesos'!$AE$60="Moderado"),CONCATENATE("R10C",'[3]Mapa de procesos'!$S$60),"")</f>
        <v/>
      </c>
      <c r="Y55" s="389" t="str">
        <f>IF(AND('[3]Mapa de procesos'!$AC$61="Muy Baja",'[3]Mapa de procesos'!$AE$61="Moderado"),CONCATENATE("R10C",'[3]Mapa de procesos'!$S$61),"")</f>
        <v/>
      </c>
      <c r="Z55" s="389" t="str">
        <f>IF(AND('[3]Mapa de procesos'!$AC$62="Muy Baja",'[3]Mapa de procesos'!$AE$62="Moderado"),CONCATENATE("R10C",'[3]Mapa de procesos'!$S$62),"")</f>
        <v/>
      </c>
      <c r="AA55" s="390" t="str">
        <f>IF(AND('[3]Mapa de procesos'!$AC$63="Muy Baja",'[3]Mapa de procesos'!$AE$63="Moderado"),CONCATENATE("R10C",'[3]Mapa de procesos'!$S$63),"")</f>
        <v/>
      </c>
      <c r="AB55" s="376" t="str">
        <f>IF(AND('[3]Mapa de procesos'!$AC$58="Muy Baja",'[3]Mapa de procesos'!$AE$58="Mayor"),CONCATENATE("R10C",'[3]Mapa de procesos'!$S$58),"")</f>
        <v/>
      </c>
      <c r="AC55" s="377" t="str">
        <f>IF(AND('[3]Mapa de procesos'!$AC$59="Muy Baja",'[3]Mapa de procesos'!$AE$59="Mayor"),CONCATENATE("R10C",'[3]Mapa de procesos'!$S$59),"")</f>
        <v/>
      </c>
      <c r="AD55" s="377" t="str">
        <f>IF(AND('[3]Mapa de procesos'!$AC$60="Muy Baja",'[3]Mapa de procesos'!$AE$60="Mayor"),CONCATENATE("R10C",'[3]Mapa de procesos'!$S$60),"")</f>
        <v/>
      </c>
      <c r="AE55" s="377" t="str">
        <f>IF(AND('[3]Mapa de procesos'!$AC$61="Muy Baja",'[3]Mapa de procesos'!$AE$61="Mayor"),CONCATENATE("R10C",'[3]Mapa de procesos'!$S$61),"")</f>
        <v/>
      </c>
      <c r="AF55" s="377" t="str">
        <f>IF(AND('[3]Mapa de procesos'!$AC$62="Muy Baja",'[3]Mapa de procesos'!$AE$62="Mayor"),CONCATENATE("R10C",'[3]Mapa de procesos'!$S$62),"")</f>
        <v/>
      </c>
      <c r="AG55" s="378" t="str">
        <f>IF(AND('[3]Mapa de procesos'!$AC$63="Muy Baja",'[3]Mapa de procesos'!$AE$63="Mayor"),CONCATENATE("R10C",'[3]Mapa de procesos'!$S$63),"")</f>
        <v/>
      </c>
      <c r="AH55" s="379" t="str">
        <f>IF(AND('[3]Mapa de procesos'!$AC$58="Muy Baja",'[3]Mapa de procesos'!$AE$58="Catastrófico"),CONCATENATE("R10C",'[3]Mapa de procesos'!$S$58),"")</f>
        <v/>
      </c>
      <c r="AI55" s="380" t="str">
        <f>IF(AND('[3]Mapa de procesos'!$AC$59="Muy Baja",'[3]Mapa de procesos'!$AE$59="Catastrófico"),CONCATENATE("R10C",'[3]Mapa de procesos'!$S$59),"")</f>
        <v/>
      </c>
      <c r="AJ55" s="380" t="str">
        <f>IF(AND('[3]Mapa de procesos'!$AC$60="Muy Baja",'[3]Mapa de procesos'!$AE$60="Catastrófico"),CONCATENATE("R10C",'[3]Mapa de procesos'!$S$60),"")</f>
        <v/>
      </c>
      <c r="AK55" s="380" t="str">
        <f>IF(AND('[3]Mapa de procesos'!$AC$61="Muy Baja",'[3]Mapa de procesos'!$AE$61="Catastrófico"),CONCATENATE("R10C",'[3]Mapa de procesos'!$S$61),"")</f>
        <v/>
      </c>
      <c r="AL55" s="380" t="str">
        <f>IF(AND('[3]Mapa de procesos'!$AC$62="Muy Baja",'[3]Mapa de procesos'!$AE$62="Catastrófico"),CONCATENATE("R10C",'[3]Mapa de procesos'!$S$62),"")</f>
        <v/>
      </c>
      <c r="AM55" s="381" t="str">
        <f>IF(AND('[3]Mapa de procesos'!$AC$63="Muy Baja",'[3]Mapa de procesos'!$AE$63="Catastrófico"),CONCATENATE("R10C",'[3]Mapa de procesos'!$S$63),"")</f>
        <v/>
      </c>
      <c r="AN55" s="363"/>
      <c r="AO55" s="363"/>
      <c r="AP55" s="363"/>
      <c r="AQ55" s="363"/>
      <c r="AR55" s="363"/>
      <c r="AS55" s="363"/>
      <c r="AT55" s="363"/>
      <c r="AU55" s="363"/>
      <c r="AV55" s="363"/>
      <c r="AW55" s="363"/>
      <c r="AX55" s="363"/>
      <c r="AY55" s="363"/>
      <c r="AZ55" s="363"/>
      <c r="BA55" s="363"/>
      <c r="BB55" s="363"/>
      <c r="BC55" s="363"/>
      <c r="BD55" s="363"/>
      <c r="BE55" s="363"/>
      <c r="BF55" s="363"/>
      <c r="BG55" s="363"/>
      <c r="BH55" s="363"/>
      <c r="BI55" s="363"/>
    </row>
    <row r="56" spans="1:61" ht="15.75" customHeight="1" x14ac:dyDescent="0.25">
      <c r="A56" s="363"/>
      <c r="B56" s="363"/>
      <c r="C56" s="363"/>
      <c r="D56" s="363"/>
      <c r="E56" s="363"/>
      <c r="F56" s="363"/>
      <c r="G56" s="363"/>
      <c r="H56" s="363"/>
      <c r="I56" s="363"/>
      <c r="J56" s="871" t="s">
        <v>12</v>
      </c>
      <c r="K56" s="872"/>
      <c r="L56" s="872"/>
      <c r="M56" s="872"/>
      <c r="N56" s="872"/>
      <c r="O56" s="873"/>
      <c r="P56" s="871" t="s">
        <v>13</v>
      </c>
      <c r="Q56" s="872"/>
      <c r="R56" s="872"/>
      <c r="S56" s="872"/>
      <c r="T56" s="872"/>
      <c r="U56" s="873"/>
      <c r="V56" s="871" t="s">
        <v>14</v>
      </c>
      <c r="W56" s="872"/>
      <c r="X56" s="872"/>
      <c r="Y56" s="872"/>
      <c r="Z56" s="872"/>
      <c r="AA56" s="873"/>
      <c r="AB56" s="871" t="s">
        <v>15</v>
      </c>
      <c r="AC56" s="872"/>
      <c r="AD56" s="872"/>
      <c r="AE56" s="872"/>
      <c r="AF56" s="872"/>
      <c r="AG56" s="873"/>
      <c r="AH56" s="871" t="s">
        <v>16</v>
      </c>
      <c r="AI56" s="872"/>
      <c r="AJ56" s="872"/>
      <c r="AK56" s="872"/>
      <c r="AL56" s="872"/>
      <c r="AM56" s="873"/>
      <c r="AN56" s="363"/>
      <c r="AO56" s="363"/>
      <c r="AP56" s="363"/>
      <c r="AQ56" s="363"/>
      <c r="AR56" s="363"/>
      <c r="AS56" s="363"/>
      <c r="AT56" s="363"/>
      <c r="AU56" s="363"/>
      <c r="AV56" s="363"/>
      <c r="AW56" s="363"/>
      <c r="AX56" s="363"/>
      <c r="AY56" s="363"/>
      <c r="AZ56" s="363"/>
      <c r="BA56" s="363"/>
      <c r="BB56" s="363"/>
      <c r="BC56" s="363"/>
      <c r="BD56" s="363"/>
      <c r="BE56" s="363"/>
      <c r="BF56" s="363"/>
      <c r="BG56" s="363"/>
      <c r="BH56" s="363"/>
      <c r="BI56" s="363"/>
    </row>
    <row r="57" spans="1:61" ht="15.75" customHeight="1" x14ac:dyDescent="0.25">
      <c r="A57" s="363"/>
      <c r="B57" s="363"/>
      <c r="C57" s="363"/>
      <c r="D57" s="363"/>
      <c r="E57" s="363"/>
      <c r="F57" s="363"/>
      <c r="G57" s="363"/>
      <c r="H57" s="363"/>
      <c r="I57" s="363"/>
      <c r="J57" s="874"/>
      <c r="K57" s="866"/>
      <c r="L57" s="866"/>
      <c r="M57" s="866"/>
      <c r="N57" s="866"/>
      <c r="O57" s="870"/>
      <c r="P57" s="874"/>
      <c r="Q57" s="866"/>
      <c r="R57" s="866"/>
      <c r="S57" s="866"/>
      <c r="T57" s="866"/>
      <c r="U57" s="870"/>
      <c r="V57" s="874"/>
      <c r="W57" s="866"/>
      <c r="X57" s="866"/>
      <c r="Y57" s="866"/>
      <c r="Z57" s="866"/>
      <c r="AA57" s="870"/>
      <c r="AB57" s="874"/>
      <c r="AC57" s="866"/>
      <c r="AD57" s="866"/>
      <c r="AE57" s="866"/>
      <c r="AF57" s="866"/>
      <c r="AG57" s="870"/>
      <c r="AH57" s="874"/>
      <c r="AI57" s="866"/>
      <c r="AJ57" s="866"/>
      <c r="AK57" s="866"/>
      <c r="AL57" s="866"/>
      <c r="AM57" s="870"/>
      <c r="AN57" s="363"/>
      <c r="AO57" s="363"/>
      <c r="AP57" s="363"/>
      <c r="AQ57" s="363"/>
      <c r="AR57" s="363"/>
      <c r="AS57" s="363"/>
      <c r="AT57" s="363"/>
      <c r="AU57" s="363"/>
      <c r="AV57" s="363"/>
      <c r="AW57" s="363"/>
      <c r="AX57" s="363"/>
      <c r="AY57" s="363"/>
      <c r="AZ57" s="363"/>
      <c r="BA57" s="363"/>
      <c r="BB57" s="363"/>
      <c r="BC57" s="363"/>
      <c r="BD57" s="363"/>
      <c r="BE57" s="363"/>
      <c r="BF57" s="363"/>
      <c r="BG57" s="363"/>
      <c r="BH57" s="363"/>
      <c r="BI57" s="363"/>
    </row>
    <row r="58" spans="1:61" ht="15.75" customHeight="1" x14ac:dyDescent="0.25">
      <c r="A58" s="363"/>
      <c r="B58" s="363"/>
      <c r="C58" s="363"/>
      <c r="D58" s="363"/>
      <c r="E58" s="363"/>
      <c r="F58" s="363"/>
      <c r="G58" s="363"/>
      <c r="H58" s="363"/>
      <c r="I58" s="363"/>
      <c r="J58" s="874"/>
      <c r="K58" s="866"/>
      <c r="L58" s="866"/>
      <c r="M58" s="866"/>
      <c r="N58" s="866"/>
      <c r="O58" s="870"/>
      <c r="P58" s="874"/>
      <c r="Q58" s="866"/>
      <c r="R58" s="866"/>
      <c r="S58" s="866"/>
      <c r="T58" s="866"/>
      <c r="U58" s="870"/>
      <c r="V58" s="874"/>
      <c r="W58" s="866"/>
      <c r="X58" s="866"/>
      <c r="Y58" s="866"/>
      <c r="Z58" s="866"/>
      <c r="AA58" s="870"/>
      <c r="AB58" s="874"/>
      <c r="AC58" s="866"/>
      <c r="AD58" s="866"/>
      <c r="AE58" s="866"/>
      <c r="AF58" s="866"/>
      <c r="AG58" s="870"/>
      <c r="AH58" s="874"/>
      <c r="AI58" s="866"/>
      <c r="AJ58" s="866"/>
      <c r="AK58" s="866"/>
      <c r="AL58" s="866"/>
      <c r="AM58" s="870"/>
      <c r="AN58" s="363"/>
      <c r="AO58" s="363"/>
      <c r="AP58" s="363"/>
      <c r="AQ58" s="363"/>
      <c r="AR58" s="363"/>
      <c r="AS58" s="363"/>
      <c r="AT58" s="363"/>
      <c r="AU58" s="363"/>
      <c r="AV58" s="363"/>
      <c r="AW58" s="363"/>
      <c r="AX58" s="363"/>
      <c r="AY58" s="363"/>
      <c r="AZ58" s="363"/>
      <c r="BA58" s="363"/>
      <c r="BB58" s="363"/>
      <c r="BC58" s="363"/>
      <c r="BD58" s="363"/>
      <c r="BE58" s="363"/>
      <c r="BF58" s="363"/>
      <c r="BG58" s="363"/>
      <c r="BH58" s="363"/>
      <c r="BI58" s="363"/>
    </row>
    <row r="59" spans="1:61" ht="15.75" customHeight="1" x14ac:dyDescent="0.25">
      <c r="A59" s="363"/>
      <c r="B59" s="363"/>
      <c r="C59" s="363"/>
      <c r="D59" s="363"/>
      <c r="E59" s="363"/>
      <c r="F59" s="363"/>
      <c r="G59" s="363"/>
      <c r="H59" s="363"/>
      <c r="I59" s="363"/>
      <c r="J59" s="874"/>
      <c r="K59" s="866"/>
      <c r="L59" s="866"/>
      <c r="M59" s="866"/>
      <c r="N59" s="866"/>
      <c r="O59" s="870"/>
      <c r="P59" s="874"/>
      <c r="Q59" s="866"/>
      <c r="R59" s="866"/>
      <c r="S59" s="866"/>
      <c r="T59" s="866"/>
      <c r="U59" s="870"/>
      <c r="V59" s="874"/>
      <c r="W59" s="866"/>
      <c r="X59" s="866"/>
      <c r="Y59" s="866"/>
      <c r="Z59" s="866"/>
      <c r="AA59" s="870"/>
      <c r="AB59" s="874"/>
      <c r="AC59" s="866"/>
      <c r="AD59" s="866"/>
      <c r="AE59" s="866"/>
      <c r="AF59" s="866"/>
      <c r="AG59" s="870"/>
      <c r="AH59" s="874"/>
      <c r="AI59" s="866"/>
      <c r="AJ59" s="866"/>
      <c r="AK59" s="866"/>
      <c r="AL59" s="866"/>
      <c r="AM59" s="870"/>
      <c r="AN59" s="363"/>
      <c r="AO59" s="363"/>
      <c r="AP59" s="363"/>
      <c r="AQ59" s="363"/>
      <c r="AR59" s="363"/>
      <c r="AS59" s="363"/>
      <c r="AT59" s="363"/>
      <c r="AU59" s="363"/>
      <c r="AV59" s="363"/>
      <c r="AW59" s="363"/>
      <c r="AX59" s="363"/>
      <c r="AY59" s="363"/>
      <c r="AZ59" s="363"/>
      <c r="BA59" s="363"/>
      <c r="BB59" s="363"/>
      <c r="BC59" s="363"/>
      <c r="BD59" s="363"/>
      <c r="BE59" s="363"/>
      <c r="BF59" s="363"/>
      <c r="BG59" s="363"/>
      <c r="BH59" s="363"/>
      <c r="BI59" s="363"/>
    </row>
    <row r="60" spans="1:61" ht="15.75" customHeight="1" x14ac:dyDescent="0.25">
      <c r="A60" s="363"/>
      <c r="B60" s="363"/>
      <c r="C60" s="363"/>
      <c r="D60" s="363"/>
      <c r="E60" s="363"/>
      <c r="F60" s="363"/>
      <c r="G60" s="363"/>
      <c r="H60" s="363"/>
      <c r="I60" s="363"/>
      <c r="J60" s="874"/>
      <c r="K60" s="866"/>
      <c r="L60" s="866"/>
      <c r="M60" s="866"/>
      <c r="N60" s="866"/>
      <c r="O60" s="870"/>
      <c r="P60" s="874"/>
      <c r="Q60" s="866"/>
      <c r="R60" s="866"/>
      <c r="S60" s="866"/>
      <c r="T60" s="866"/>
      <c r="U60" s="870"/>
      <c r="V60" s="874"/>
      <c r="W60" s="866"/>
      <c r="X60" s="866"/>
      <c r="Y60" s="866"/>
      <c r="Z60" s="866"/>
      <c r="AA60" s="870"/>
      <c r="AB60" s="874"/>
      <c r="AC60" s="866"/>
      <c r="AD60" s="866"/>
      <c r="AE60" s="866"/>
      <c r="AF60" s="866"/>
      <c r="AG60" s="870"/>
      <c r="AH60" s="874"/>
      <c r="AI60" s="866"/>
      <c r="AJ60" s="866"/>
      <c r="AK60" s="866"/>
      <c r="AL60" s="866"/>
      <c r="AM60" s="870"/>
      <c r="AN60" s="363"/>
      <c r="AO60" s="363"/>
      <c r="AP60" s="363"/>
      <c r="AQ60" s="363"/>
      <c r="AR60" s="363"/>
      <c r="AS60" s="363"/>
      <c r="AT60" s="363"/>
      <c r="AU60" s="363"/>
      <c r="AV60" s="363"/>
      <c r="AW60" s="363"/>
      <c r="AX60" s="363"/>
      <c r="AY60" s="363"/>
      <c r="AZ60" s="363"/>
      <c r="BA60" s="363"/>
      <c r="BB60" s="363"/>
      <c r="BC60" s="363"/>
      <c r="BD60" s="363"/>
      <c r="BE60" s="363"/>
      <c r="BF60" s="363"/>
      <c r="BG60" s="363"/>
      <c r="BH60" s="363"/>
      <c r="BI60" s="363"/>
    </row>
    <row r="61" spans="1:61" ht="15.75" customHeight="1" thickBot="1" x14ac:dyDescent="0.3">
      <c r="A61" s="363"/>
      <c r="B61" s="363"/>
      <c r="C61" s="363"/>
      <c r="D61" s="363"/>
      <c r="E61" s="363"/>
      <c r="F61" s="363"/>
      <c r="G61" s="363"/>
      <c r="H61" s="363"/>
      <c r="I61" s="363"/>
      <c r="J61" s="875"/>
      <c r="K61" s="876"/>
      <c r="L61" s="876"/>
      <c r="M61" s="876"/>
      <c r="N61" s="876"/>
      <c r="O61" s="877"/>
      <c r="P61" s="875"/>
      <c r="Q61" s="876"/>
      <c r="R61" s="876"/>
      <c r="S61" s="876"/>
      <c r="T61" s="876"/>
      <c r="U61" s="877"/>
      <c r="V61" s="875"/>
      <c r="W61" s="876"/>
      <c r="X61" s="876"/>
      <c r="Y61" s="876"/>
      <c r="Z61" s="876"/>
      <c r="AA61" s="877"/>
      <c r="AB61" s="875"/>
      <c r="AC61" s="876"/>
      <c r="AD61" s="876"/>
      <c r="AE61" s="876"/>
      <c r="AF61" s="876"/>
      <c r="AG61" s="877"/>
      <c r="AH61" s="875"/>
      <c r="AI61" s="876"/>
      <c r="AJ61" s="876"/>
      <c r="AK61" s="876"/>
      <c r="AL61" s="876"/>
      <c r="AM61" s="877"/>
      <c r="AN61" s="363"/>
      <c r="AO61" s="363"/>
      <c r="AP61" s="363"/>
      <c r="AQ61" s="363"/>
      <c r="AR61" s="363"/>
      <c r="AS61" s="363"/>
      <c r="AT61" s="363"/>
      <c r="AU61" s="363"/>
      <c r="AV61" s="363"/>
      <c r="AW61" s="363"/>
      <c r="AX61" s="363"/>
      <c r="AY61" s="363"/>
      <c r="AZ61" s="363"/>
      <c r="BA61" s="363"/>
      <c r="BB61" s="363"/>
      <c r="BC61" s="363"/>
      <c r="BD61" s="363"/>
      <c r="BE61" s="363"/>
      <c r="BF61" s="363"/>
      <c r="BG61" s="363"/>
      <c r="BH61" s="363"/>
      <c r="BI61" s="363"/>
    </row>
    <row r="62" spans="1:61" ht="15.75" customHeight="1" x14ac:dyDescent="0.25">
      <c r="A62" s="363"/>
      <c r="B62" s="363"/>
      <c r="C62" s="363"/>
      <c r="D62" s="363"/>
      <c r="E62" s="363"/>
      <c r="F62" s="363"/>
      <c r="G62" s="363"/>
      <c r="H62" s="363"/>
      <c r="I62" s="363"/>
      <c r="J62" s="363"/>
      <c r="K62" s="363"/>
      <c r="L62" s="363"/>
      <c r="M62" s="363"/>
      <c r="N62" s="363"/>
      <c r="O62" s="363"/>
      <c r="P62" s="363"/>
      <c r="Q62" s="363"/>
      <c r="R62" s="363"/>
      <c r="S62" s="363"/>
      <c r="T62" s="363"/>
      <c r="U62" s="363"/>
      <c r="V62" s="363"/>
      <c r="W62" s="363"/>
      <c r="X62" s="363"/>
      <c r="Y62" s="363"/>
      <c r="Z62" s="363"/>
      <c r="AA62" s="363"/>
      <c r="AB62" s="363"/>
      <c r="AC62" s="363"/>
      <c r="AD62" s="363"/>
      <c r="AE62" s="363"/>
      <c r="AF62" s="363"/>
      <c r="AG62" s="363"/>
      <c r="AH62" s="363"/>
      <c r="AI62" s="363"/>
      <c r="AJ62" s="363"/>
      <c r="AK62" s="363"/>
      <c r="AL62" s="363"/>
      <c r="AM62" s="363"/>
      <c r="AN62" s="363"/>
      <c r="AO62" s="363"/>
      <c r="AP62" s="363"/>
      <c r="AQ62" s="363"/>
      <c r="AR62" s="363"/>
      <c r="AS62" s="363"/>
      <c r="AT62" s="363"/>
      <c r="AU62" s="363"/>
      <c r="AV62" s="363"/>
      <c r="AW62" s="363"/>
      <c r="AX62" s="363"/>
      <c r="AY62" s="363"/>
      <c r="AZ62" s="363"/>
      <c r="BA62" s="363"/>
      <c r="BB62" s="363"/>
      <c r="BC62" s="363"/>
      <c r="BD62" s="363"/>
      <c r="BE62" s="363"/>
      <c r="BF62" s="363"/>
      <c r="BG62" s="363"/>
      <c r="BH62" s="363"/>
    </row>
    <row r="63" spans="1:61" ht="15" customHeight="1" x14ac:dyDescent="0.25">
      <c r="A63" s="363"/>
      <c r="B63" s="401"/>
      <c r="C63" s="401"/>
      <c r="D63" s="401"/>
      <c r="E63" s="401"/>
      <c r="F63" s="401"/>
      <c r="G63" s="401"/>
      <c r="H63" s="401"/>
      <c r="I63" s="401"/>
      <c r="J63" s="401"/>
      <c r="K63" s="401"/>
      <c r="L63" s="401"/>
      <c r="M63" s="401"/>
      <c r="N63" s="401"/>
      <c r="O63" s="401"/>
      <c r="P63" s="401"/>
      <c r="Q63" s="401"/>
      <c r="R63" s="401"/>
      <c r="S63" s="401"/>
      <c r="T63" s="401"/>
      <c r="U63" s="401"/>
      <c r="V63" s="401"/>
      <c r="W63" s="401"/>
      <c r="X63" s="401"/>
      <c r="Y63" s="401"/>
      <c r="Z63" s="401"/>
      <c r="AA63" s="401"/>
      <c r="AB63" s="401"/>
      <c r="AC63" s="401"/>
      <c r="AD63" s="401"/>
      <c r="AE63" s="401"/>
      <c r="AF63" s="401"/>
      <c r="AG63" s="401"/>
      <c r="AH63" s="401"/>
      <c r="AI63" s="401"/>
      <c r="AJ63" s="401"/>
      <c r="AK63" s="401"/>
      <c r="AL63" s="401"/>
      <c r="AM63" s="401"/>
      <c r="AN63" s="401"/>
      <c r="AO63" s="401"/>
      <c r="AP63" s="401"/>
      <c r="AQ63" s="401"/>
      <c r="AR63" s="401"/>
      <c r="AS63" s="401"/>
      <c r="AT63" s="401"/>
      <c r="AU63" s="363"/>
      <c r="AV63" s="363"/>
      <c r="AW63" s="363"/>
      <c r="AX63" s="363"/>
      <c r="AY63" s="363"/>
      <c r="AZ63" s="363"/>
      <c r="BA63" s="363"/>
      <c r="BB63" s="363"/>
      <c r="BC63" s="363"/>
      <c r="BD63" s="363"/>
      <c r="BE63" s="363"/>
      <c r="BF63" s="363"/>
      <c r="BG63" s="363"/>
      <c r="BH63" s="363"/>
    </row>
    <row r="64" spans="1:61" ht="15" customHeight="1" x14ac:dyDescent="0.25">
      <c r="A64" s="363"/>
      <c r="B64" s="401"/>
      <c r="C64" s="401"/>
      <c r="D64" s="401"/>
      <c r="E64" s="401"/>
      <c r="F64" s="401"/>
      <c r="G64" s="401"/>
      <c r="H64" s="401"/>
      <c r="I64" s="401"/>
      <c r="J64" s="401"/>
      <c r="K64" s="401"/>
      <c r="L64" s="401"/>
      <c r="M64" s="401"/>
      <c r="N64" s="401"/>
      <c r="O64" s="401"/>
      <c r="P64" s="401"/>
      <c r="Q64" s="401"/>
      <c r="R64" s="401"/>
      <c r="S64" s="401"/>
      <c r="T64" s="401"/>
      <c r="U64" s="401"/>
      <c r="V64" s="401"/>
      <c r="W64" s="401"/>
      <c r="X64" s="401"/>
      <c r="Y64" s="401"/>
      <c r="Z64" s="401"/>
      <c r="AA64" s="401"/>
      <c r="AB64" s="401"/>
      <c r="AC64" s="401"/>
      <c r="AD64" s="401"/>
      <c r="AE64" s="401"/>
      <c r="AF64" s="401"/>
      <c r="AG64" s="401"/>
      <c r="AH64" s="401"/>
      <c r="AI64" s="401"/>
      <c r="AJ64" s="401"/>
      <c r="AK64" s="401"/>
      <c r="AL64" s="401"/>
      <c r="AM64" s="401"/>
      <c r="AN64" s="401"/>
      <c r="AO64" s="401"/>
      <c r="AP64" s="401"/>
      <c r="AQ64" s="401"/>
      <c r="AR64" s="401"/>
      <c r="AS64" s="401"/>
      <c r="AT64" s="401"/>
      <c r="AU64" s="363"/>
      <c r="AV64" s="363"/>
      <c r="AW64" s="363"/>
      <c r="AX64" s="363"/>
      <c r="AY64" s="363"/>
      <c r="AZ64" s="363"/>
      <c r="BA64" s="363"/>
      <c r="BB64" s="363"/>
      <c r="BC64" s="363"/>
      <c r="BD64" s="363"/>
      <c r="BE64" s="363"/>
      <c r="BF64" s="363"/>
      <c r="BG64" s="363"/>
      <c r="BH64" s="363"/>
    </row>
    <row r="65" spans="1:60" ht="15.75" customHeight="1" x14ac:dyDescent="0.25">
      <c r="A65" s="363"/>
      <c r="B65" s="363"/>
      <c r="C65" s="363"/>
      <c r="D65" s="363"/>
      <c r="E65" s="363"/>
      <c r="F65" s="363"/>
      <c r="G65" s="363"/>
      <c r="H65" s="363"/>
      <c r="I65" s="363"/>
      <c r="J65" s="363"/>
      <c r="K65" s="363"/>
      <c r="L65" s="363"/>
      <c r="M65" s="363"/>
      <c r="N65" s="363"/>
      <c r="O65" s="363"/>
      <c r="P65" s="363"/>
      <c r="Q65" s="363"/>
      <c r="R65" s="363"/>
      <c r="S65" s="363"/>
      <c r="T65" s="363"/>
      <c r="U65" s="363"/>
      <c r="V65" s="363"/>
      <c r="W65" s="363"/>
      <c r="X65" s="363"/>
      <c r="Y65" s="363"/>
      <c r="Z65" s="363"/>
      <c r="AA65" s="363"/>
      <c r="AB65" s="363"/>
      <c r="AC65" s="363"/>
      <c r="AD65" s="363"/>
      <c r="AE65" s="363"/>
      <c r="AF65" s="363"/>
      <c r="AG65" s="363"/>
      <c r="AH65" s="363"/>
      <c r="AI65" s="363"/>
      <c r="AJ65" s="363"/>
      <c r="AK65" s="363"/>
      <c r="AL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row>
    <row r="66" spans="1:60" ht="15.75" customHeight="1" x14ac:dyDescent="0.25">
      <c r="A66" s="363"/>
      <c r="B66" s="363"/>
      <c r="C66" s="363"/>
      <c r="D66" s="363"/>
      <c r="E66" s="363"/>
      <c r="F66" s="363"/>
      <c r="G66" s="363"/>
      <c r="H66" s="363"/>
      <c r="I66" s="363"/>
      <c r="J66" s="363"/>
      <c r="K66" s="363"/>
      <c r="L66" s="363"/>
      <c r="M66" s="363"/>
      <c r="N66" s="363"/>
      <c r="O66" s="363"/>
      <c r="P66" s="363"/>
      <c r="Q66" s="363"/>
      <c r="R66" s="363"/>
      <c r="S66" s="363"/>
      <c r="T66" s="363"/>
      <c r="U66" s="36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row>
    <row r="67" spans="1:60" ht="15.75" customHeight="1" x14ac:dyDescent="0.25">
      <c r="A67" s="363"/>
      <c r="B67" s="363"/>
      <c r="C67" s="363"/>
      <c r="D67" s="363"/>
      <c r="E67" s="363"/>
      <c r="F67" s="363"/>
      <c r="G67" s="363"/>
      <c r="H67" s="363"/>
      <c r="I67" s="363"/>
      <c r="J67" s="363"/>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row>
    <row r="68" spans="1:60" ht="15.75" customHeight="1" x14ac:dyDescent="0.25">
      <c r="A68" s="363"/>
      <c r="B68" s="363"/>
      <c r="C68" s="363"/>
      <c r="D68" s="363"/>
      <c r="E68" s="363"/>
      <c r="F68" s="363"/>
      <c r="G68" s="363"/>
      <c r="H68" s="363"/>
      <c r="I68" s="363"/>
      <c r="J68" s="363"/>
      <c r="K68" s="363"/>
      <c r="L68" s="363"/>
      <c r="M68" s="363"/>
      <c r="N68" s="363"/>
      <c r="O68" s="363"/>
      <c r="P68" s="363"/>
      <c r="Q68" s="363"/>
      <c r="R68" s="363"/>
      <c r="S68" s="363"/>
      <c r="T68" s="363"/>
      <c r="U68" s="363"/>
      <c r="V68" s="363"/>
      <c r="W68" s="363"/>
      <c r="X68" s="363"/>
      <c r="Y68" s="363"/>
      <c r="Z68" s="363"/>
      <c r="AA68" s="363"/>
      <c r="AB68" s="363"/>
      <c r="AC68" s="363"/>
      <c r="AD68" s="363"/>
      <c r="AE68" s="363"/>
      <c r="AF68" s="363"/>
      <c r="AG68" s="363"/>
      <c r="AH68" s="363"/>
      <c r="AI68" s="363"/>
      <c r="AJ68" s="363"/>
      <c r="AK68" s="363"/>
      <c r="AL68" s="363"/>
      <c r="AM68" s="363"/>
      <c r="AN68" s="363"/>
      <c r="AO68" s="363"/>
      <c r="AP68" s="363"/>
      <c r="AQ68" s="363"/>
      <c r="AR68" s="363"/>
      <c r="AS68" s="363"/>
      <c r="AT68" s="363"/>
      <c r="AU68" s="363"/>
      <c r="AV68" s="363"/>
      <c r="AW68" s="363"/>
      <c r="AX68" s="363"/>
      <c r="AY68" s="363"/>
      <c r="AZ68" s="363"/>
      <c r="BA68" s="363"/>
      <c r="BB68" s="363"/>
      <c r="BC68" s="363"/>
      <c r="BD68" s="363"/>
      <c r="BE68" s="363"/>
      <c r="BF68" s="363"/>
      <c r="BG68" s="363"/>
      <c r="BH68" s="363"/>
    </row>
    <row r="69" spans="1:60" ht="15.75" customHeight="1" x14ac:dyDescent="0.25">
      <c r="A69" s="363"/>
      <c r="B69" s="363"/>
      <c r="C69" s="363"/>
      <c r="D69" s="363"/>
      <c r="E69" s="363"/>
      <c r="F69" s="363"/>
      <c r="G69" s="363"/>
      <c r="H69" s="363"/>
      <c r="I69" s="363"/>
      <c r="J69" s="363"/>
      <c r="K69" s="363"/>
      <c r="L69" s="363"/>
      <c r="M69" s="363"/>
      <c r="N69" s="363"/>
      <c r="O69" s="363"/>
      <c r="P69" s="363"/>
      <c r="Q69" s="363"/>
      <c r="R69" s="363"/>
      <c r="S69" s="363"/>
      <c r="T69" s="363"/>
      <c r="U69" s="363"/>
      <c r="V69" s="363"/>
      <c r="W69" s="363"/>
      <c r="X69" s="363"/>
      <c r="Y69" s="363"/>
      <c r="Z69" s="363"/>
      <c r="AA69" s="363"/>
      <c r="AB69" s="363"/>
      <c r="AC69" s="363"/>
      <c r="AD69" s="363"/>
      <c r="AE69" s="363"/>
      <c r="AF69" s="363"/>
      <c r="AG69" s="363"/>
      <c r="AH69" s="363"/>
      <c r="AI69" s="363"/>
      <c r="AJ69" s="363"/>
      <c r="AK69" s="363"/>
      <c r="AL69" s="363"/>
      <c r="AM69" s="363"/>
      <c r="AN69" s="363"/>
      <c r="AO69" s="363"/>
      <c r="AP69" s="363"/>
      <c r="AQ69" s="363"/>
      <c r="AR69" s="363"/>
      <c r="AS69" s="363"/>
      <c r="AT69" s="363"/>
      <c r="AU69" s="363"/>
      <c r="AV69" s="363"/>
      <c r="AW69" s="363"/>
      <c r="AX69" s="363"/>
      <c r="AY69" s="363"/>
      <c r="AZ69" s="363"/>
      <c r="BA69" s="363"/>
      <c r="BB69" s="363"/>
      <c r="BC69" s="363"/>
      <c r="BD69" s="363"/>
      <c r="BE69" s="363"/>
      <c r="BF69" s="363"/>
      <c r="BG69" s="363"/>
      <c r="BH69" s="363"/>
    </row>
    <row r="70" spans="1:60" ht="15.75" customHeight="1" x14ac:dyDescent="0.25">
      <c r="A70" s="363"/>
      <c r="B70" s="363"/>
      <c r="C70" s="363"/>
      <c r="D70" s="363"/>
      <c r="E70" s="363"/>
      <c r="F70" s="363"/>
      <c r="G70" s="363"/>
      <c r="H70" s="363"/>
      <c r="I70" s="363"/>
      <c r="J70" s="363"/>
      <c r="K70" s="363"/>
      <c r="L70" s="363"/>
      <c r="M70" s="363"/>
      <c r="N70" s="363"/>
      <c r="O70" s="363"/>
      <c r="P70" s="363"/>
      <c r="Q70" s="363"/>
      <c r="R70" s="363"/>
      <c r="S70" s="363"/>
      <c r="T70" s="363"/>
      <c r="U70" s="363"/>
      <c r="V70" s="363"/>
      <c r="W70" s="363"/>
      <c r="X70" s="363"/>
      <c r="Y70" s="363"/>
      <c r="Z70" s="363"/>
      <c r="AA70" s="363"/>
      <c r="AB70" s="363"/>
      <c r="AC70" s="363"/>
      <c r="AD70" s="363"/>
      <c r="AE70" s="363"/>
      <c r="AF70" s="363"/>
      <c r="AG70" s="363"/>
      <c r="AH70" s="363"/>
      <c r="AI70" s="363"/>
      <c r="AJ70" s="363"/>
      <c r="AK70" s="363"/>
      <c r="AL70" s="363"/>
      <c r="AM70" s="363"/>
      <c r="AN70" s="363"/>
      <c r="AO70" s="363"/>
      <c r="AP70" s="363"/>
      <c r="AQ70" s="363"/>
      <c r="AR70" s="363"/>
      <c r="AS70" s="363"/>
      <c r="AT70" s="363"/>
      <c r="AU70" s="363"/>
      <c r="AV70" s="363"/>
      <c r="AW70" s="363"/>
      <c r="AX70" s="363"/>
      <c r="AY70" s="363"/>
      <c r="AZ70" s="363"/>
      <c r="BA70" s="363"/>
      <c r="BB70" s="363"/>
      <c r="BC70" s="363"/>
      <c r="BD70" s="363"/>
      <c r="BE70" s="363"/>
      <c r="BF70" s="363"/>
      <c r="BG70" s="363"/>
      <c r="BH70" s="363"/>
    </row>
    <row r="71" spans="1:60" ht="15.75" customHeight="1" x14ac:dyDescent="0.25">
      <c r="A71" s="363"/>
      <c r="B71" s="363"/>
      <c r="C71" s="363"/>
      <c r="D71" s="363"/>
      <c r="E71" s="363"/>
      <c r="F71" s="363"/>
      <c r="G71" s="363"/>
      <c r="H71" s="363"/>
      <c r="I71" s="363"/>
      <c r="J71" s="363"/>
      <c r="K71" s="363"/>
      <c r="L71" s="363"/>
      <c r="M71" s="363"/>
      <c r="N71" s="363"/>
      <c r="O71" s="363"/>
      <c r="P71" s="363"/>
      <c r="Q71" s="363"/>
      <c r="R71" s="363"/>
      <c r="S71" s="363"/>
      <c r="T71" s="363"/>
      <c r="U71" s="363"/>
      <c r="V71" s="363"/>
      <c r="W71" s="363"/>
      <c r="X71" s="363"/>
      <c r="Y71" s="363"/>
      <c r="Z71" s="363"/>
      <c r="AA71" s="363"/>
      <c r="AB71" s="363"/>
      <c r="AC71" s="363"/>
      <c r="AD71" s="363"/>
      <c r="AE71" s="363"/>
      <c r="AF71" s="363"/>
      <c r="AG71" s="363"/>
      <c r="AH71" s="363"/>
      <c r="AI71" s="363"/>
      <c r="AJ71" s="363"/>
      <c r="AK71" s="363"/>
      <c r="AL71" s="363"/>
      <c r="AM71" s="363"/>
      <c r="AN71" s="363"/>
      <c r="AO71" s="363"/>
      <c r="AP71" s="363"/>
      <c r="AQ71" s="363"/>
      <c r="AR71" s="363"/>
      <c r="AS71" s="363"/>
      <c r="AT71" s="363"/>
      <c r="AU71" s="363"/>
      <c r="AV71" s="363"/>
      <c r="AW71" s="363"/>
      <c r="AX71" s="363"/>
      <c r="AY71" s="363"/>
      <c r="AZ71" s="363"/>
      <c r="BA71" s="363"/>
      <c r="BB71" s="363"/>
      <c r="BC71" s="363"/>
      <c r="BD71" s="363"/>
      <c r="BE71" s="363"/>
      <c r="BF71" s="363"/>
      <c r="BG71" s="363"/>
      <c r="BH71" s="363"/>
    </row>
    <row r="72" spans="1:60" ht="15.75" customHeight="1" x14ac:dyDescent="0.25">
      <c r="A72" s="363"/>
      <c r="B72" s="363"/>
      <c r="C72" s="363"/>
      <c r="D72" s="363"/>
      <c r="E72" s="363"/>
      <c r="F72" s="363"/>
      <c r="G72" s="363"/>
      <c r="H72" s="363"/>
      <c r="I72" s="363"/>
      <c r="J72" s="363"/>
      <c r="K72" s="363"/>
      <c r="L72" s="363"/>
      <c r="M72" s="363"/>
      <c r="N72" s="363"/>
      <c r="O72" s="363"/>
      <c r="P72" s="363"/>
      <c r="Q72" s="363"/>
      <c r="R72" s="363"/>
      <c r="S72" s="363"/>
      <c r="T72" s="363"/>
      <c r="U72" s="363"/>
      <c r="V72" s="363"/>
      <c r="W72" s="363"/>
      <c r="X72" s="363"/>
      <c r="Y72" s="363"/>
      <c r="Z72" s="363"/>
      <c r="AA72" s="363"/>
      <c r="AB72" s="363"/>
      <c r="AC72" s="363"/>
      <c r="AD72" s="363"/>
      <c r="AE72" s="363"/>
      <c r="AF72" s="363"/>
      <c r="AG72" s="363"/>
      <c r="AH72" s="363"/>
      <c r="AI72" s="363"/>
      <c r="AJ72" s="363"/>
      <c r="AK72" s="363"/>
      <c r="AL72" s="363"/>
      <c r="AM72" s="363"/>
      <c r="AN72" s="363"/>
      <c r="AO72" s="363"/>
      <c r="AP72" s="363"/>
      <c r="AQ72" s="363"/>
      <c r="AR72" s="363"/>
      <c r="AS72" s="363"/>
      <c r="AT72" s="363"/>
      <c r="AU72" s="363"/>
      <c r="AV72" s="363"/>
      <c r="AW72" s="363"/>
      <c r="AX72" s="363"/>
      <c r="AY72" s="363"/>
      <c r="AZ72" s="363"/>
      <c r="BA72" s="363"/>
      <c r="BB72" s="363"/>
      <c r="BC72" s="363"/>
      <c r="BD72" s="363"/>
      <c r="BE72" s="363"/>
      <c r="BF72" s="363"/>
      <c r="BG72" s="363"/>
      <c r="BH72" s="363"/>
    </row>
    <row r="73" spans="1:60" ht="15.75" customHeight="1" x14ac:dyDescent="0.25">
      <c r="A73" s="363"/>
      <c r="B73" s="363"/>
      <c r="C73" s="363"/>
      <c r="D73" s="363"/>
      <c r="E73" s="363"/>
      <c r="F73" s="363"/>
      <c r="G73" s="363"/>
      <c r="H73" s="363"/>
      <c r="I73" s="363"/>
      <c r="J73" s="363"/>
      <c r="K73" s="363"/>
      <c r="L73" s="363"/>
      <c r="M73" s="363"/>
      <c r="N73" s="363"/>
      <c r="O73" s="363"/>
      <c r="P73" s="363"/>
      <c r="Q73" s="363"/>
      <c r="R73" s="363"/>
      <c r="S73" s="363"/>
      <c r="T73" s="363"/>
      <c r="U73" s="363"/>
      <c r="V73" s="363"/>
      <c r="W73" s="363"/>
      <c r="X73" s="363"/>
      <c r="Y73" s="363"/>
      <c r="Z73" s="363"/>
      <c r="AA73" s="363"/>
      <c r="AB73" s="363"/>
      <c r="AC73" s="363"/>
      <c r="AD73" s="363"/>
      <c r="AE73" s="363"/>
      <c r="AF73" s="363"/>
      <c r="AG73" s="363"/>
      <c r="AH73" s="363"/>
      <c r="AI73" s="363"/>
      <c r="AJ73" s="363"/>
      <c r="AK73" s="363"/>
      <c r="AL73" s="363"/>
      <c r="AM73" s="363"/>
      <c r="AN73" s="363"/>
      <c r="AO73" s="363"/>
      <c r="AP73" s="363"/>
      <c r="AQ73" s="363"/>
      <c r="AR73" s="363"/>
      <c r="AS73" s="363"/>
      <c r="AT73" s="363"/>
      <c r="AU73" s="363"/>
      <c r="AV73" s="363"/>
      <c r="AW73" s="363"/>
      <c r="AX73" s="363"/>
      <c r="AY73" s="363"/>
      <c r="AZ73" s="363"/>
      <c r="BA73" s="363"/>
      <c r="BB73" s="363"/>
      <c r="BC73" s="363"/>
      <c r="BD73" s="363"/>
      <c r="BE73" s="363"/>
      <c r="BF73" s="363"/>
      <c r="BG73" s="363"/>
      <c r="BH73" s="363"/>
    </row>
    <row r="74" spans="1:60" ht="15.75" customHeight="1" x14ac:dyDescent="0.25">
      <c r="A74" s="363"/>
      <c r="B74" s="363"/>
      <c r="C74" s="363"/>
      <c r="D74" s="363"/>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363"/>
      <c r="AG74" s="363"/>
      <c r="AH74" s="363"/>
      <c r="AI74" s="363"/>
      <c r="AJ74" s="363"/>
      <c r="AK74" s="363"/>
      <c r="AL74" s="363"/>
      <c r="AM74" s="363"/>
      <c r="AN74" s="363"/>
      <c r="AO74" s="363"/>
      <c r="AP74" s="363"/>
      <c r="AQ74" s="363"/>
      <c r="AR74" s="363"/>
      <c r="AS74" s="363"/>
      <c r="AT74" s="363"/>
      <c r="AU74" s="363"/>
      <c r="AV74" s="363"/>
      <c r="AW74" s="363"/>
      <c r="AX74" s="363"/>
      <c r="AY74" s="363"/>
      <c r="AZ74" s="363"/>
      <c r="BA74" s="363"/>
      <c r="BB74" s="363"/>
      <c r="BC74" s="363"/>
      <c r="BD74" s="363"/>
      <c r="BE74" s="363"/>
      <c r="BF74" s="363"/>
      <c r="BG74" s="363"/>
      <c r="BH74" s="363"/>
    </row>
    <row r="75" spans="1:60" ht="15.75" customHeight="1" x14ac:dyDescent="0.25">
      <c r="A75" s="363"/>
      <c r="B75" s="363"/>
      <c r="C75" s="363"/>
      <c r="D75" s="363"/>
      <c r="E75" s="363"/>
      <c r="F75" s="363"/>
      <c r="G75" s="363"/>
      <c r="H75" s="363"/>
      <c r="I75" s="363"/>
      <c r="J75" s="363"/>
      <c r="K75" s="363"/>
      <c r="L75" s="363"/>
      <c r="M75" s="363"/>
      <c r="N75" s="363"/>
      <c r="O75" s="363"/>
      <c r="P75" s="363"/>
      <c r="Q75" s="363"/>
      <c r="R75" s="363"/>
      <c r="S75" s="363"/>
      <c r="T75" s="363"/>
      <c r="U75" s="363"/>
      <c r="V75" s="363"/>
      <c r="W75" s="363"/>
      <c r="X75" s="363"/>
      <c r="Y75" s="363"/>
      <c r="Z75" s="363"/>
      <c r="AA75" s="363"/>
      <c r="AB75" s="363"/>
      <c r="AC75" s="363"/>
      <c r="AD75" s="363"/>
      <c r="AE75" s="363"/>
      <c r="AF75" s="363"/>
      <c r="AG75" s="363"/>
      <c r="AH75" s="363"/>
      <c r="AI75" s="363"/>
      <c r="AJ75" s="363"/>
      <c r="AK75" s="363"/>
      <c r="AL75" s="363"/>
      <c r="AM75" s="363"/>
      <c r="AN75" s="363"/>
      <c r="AO75" s="363"/>
      <c r="AP75" s="363"/>
      <c r="AQ75" s="363"/>
      <c r="AR75" s="363"/>
      <c r="AS75" s="363"/>
      <c r="AT75" s="363"/>
      <c r="AU75" s="363"/>
      <c r="AV75" s="363"/>
      <c r="AW75" s="363"/>
      <c r="AX75" s="363"/>
      <c r="AY75" s="363"/>
      <c r="AZ75" s="363"/>
      <c r="BA75" s="363"/>
      <c r="BB75" s="363"/>
      <c r="BC75" s="363"/>
      <c r="BD75" s="363"/>
      <c r="BE75" s="363"/>
      <c r="BF75" s="363"/>
      <c r="BG75" s="363"/>
      <c r="BH75" s="363"/>
    </row>
    <row r="76" spans="1:60" ht="15.75" customHeight="1" x14ac:dyDescent="0.25">
      <c r="A76" s="363"/>
      <c r="B76" s="363"/>
      <c r="C76" s="363"/>
      <c r="D76" s="363"/>
      <c r="E76" s="363"/>
      <c r="F76" s="363"/>
      <c r="G76" s="363"/>
      <c r="H76" s="363"/>
      <c r="I76" s="363"/>
      <c r="J76" s="363"/>
      <c r="K76" s="363"/>
      <c r="L76" s="363"/>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AO76" s="363"/>
      <c r="AP76" s="363"/>
      <c r="AQ76" s="363"/>
      <c r="AR76" s="363"/>
      <c r="AS76" s="363"/>
      <c r="AT76" s="363"/>
      <c r="AU76" s="363"/>
      <c r="AV76" s="363"/>
      <c r="AW76" s="363"/>
      <c r="AX76" s="363"/>
      <c r="AY76" s="363"/>
      <c r="AZ76" s="363"/>
      <c r="BA76" s="363"/>
      <c r="BB76" s="363"/>
      <c r="BC76" s="363"/>
      <c r="BD76" s="363"/>
      <c r="BE76" s="363"/>
      <c r="BF76" s="363"/>
      <c r="BG76" s="363"/>
      <c r="BH76" s="363"/>
    </row>
    <row r="77" spans="1:60" ht="15.75" customHeight="1" x14ac:dyDescent="0.25">
      <c r="A77" s="363"/>
      <c r="B77" s="363"/>
      <c r="C77" s="363"/>
      <c r="D77" s="363"/>
      <c r="E77" s="363"/>
      <c r="F77" s="363"/>
      <c r="G77" s="363"/>
      <c r="H77" s="363"/>
      <c r="I77" s="363"/>
      <c r="J77" s="363"/>
      <c r="K77" s="363"/>
      <c r="L77" s="363"/>
      <c r="M77" s="363"/>
      <c r="N77" s="363"/>
      <c r="O77" s="363"/>
      <c r="P77" s="363"/>
      <c r="Q77" s="363"/>
      <c r="R77" s="363"/>
      <c r="S77" s="363"/>
      <c r="T77" s="363"/>
      <c r="U77" s="363"/>
      <c r="V77" s="363"/>
      <c r="W77" s="363"/>
      <c r="X77" s="363"/>
      <c r="Y77" s="363"/>
      <c r="Z77" s="363"/>
      <c r="AA77" s="363"/>
      <c r="AB77" s="363"/>
      <c r="AC77" s="363"/>
      <c r="AD77" s="363"/>
      <c r="AE77" s="363"/>
      <c r="AF77" s="363"/>
      <c r="AG77" s="363"/>
      <c r="AH77" s="363"/>
      <c r="AI77" s="363"/>
      <c r="AJ77" s="363"/>
      <c r="AK77" s="363"/>
      <c r="AL77" s="363"/>
      <c r="AM77" s="363"/>
      <c r="AN77" s="363"/>
      <c r="AO77" s="363"/>
      <c r="AP77" s="363"/>
      <c r="AQ77" s="363"/>
      <c r="AR77" s="363"/>
      <c r="AS77" s="363"/>
      <c r="AT77" s="363"/>
      <c r="AU77" s="363"/>
      <c r="AV77" s="363"/>
      <c r="AW77" s="363"/>
      <c r="AX77" s="363"/>
      <c r="AY77" s="363"/>
      <c r="AZ77" s="363"/>
      <c r="BA77" s="363"/>
      <c r="BB77" s="363"/>
      <c r="BC77" s="363"/>
      <c r="BD77" s="363"/>
      <c r="BE77" s="363"/>
      <c r="BF77" s="363"/>
      <c r="BG77" s="363"/>
      <c r="BH77" s="363"/>
    </row>
    <row r="78" spans="1:60" ht="15.75" customHeight="1" x14ac:dyDescent="0.25">
      <c r="A78" s="363"/>
      <c r="B78" s="363"/>
      <c r="C78" s="363"/>
      <c r="D78" s="363"/>
      <c r="E78" s="363"/>
      <c r="F78" s="363"/>
      <c r="G78" s="363"/>
      <c r="H78" s="363"/>
      <c r="I78" s="363"/>
      <c r="J78" s="363"/>
      <c r="K78" s="363"/>
      <c r="L78" s="363"/>
      <c r="M78" s="363"/>
      <c r="N78" s="363"/>
      <c r="O78" s="363"/>
      <c r="P78" s="363"/>
      <c r="Q78" s="363"/>
      <c r="R78" s="363"/>
      <c r="S78" s="363"/>
      <c r="T78" s="363"/>
      <c r="U78" s="363"/>
      <c r="V78" s="363"/>
      <c r="W78" s="363"/>
      <c r="X78" s="363"/>
      <c r="Y78" s="363"/>
      <c r="Z78" s="363"/>
      <c r="AA78" s="363"/>
      <c r="AB78" s="363"/>
      <c r="AC78" s="363"/>
      <c r="AD78" s="363"/>
      <c r="AE78" s="363"/>
      <c r="AF78" s="363"/>
      <c r="AG78" s="363"/>
      <c r="AH78" s="363"/>
      <c r="AI78" s="363"/>
      <c r="AJ78" s="363"/>
      <c r="AK78" s="363"/>
      <c r="AL78" s="363"/>
      <c r="AM78" s="363"/>
      <c r="AN78" s="363"/>
      <c r="AO78" s="363"/>
      <c r="AP78" s="363"/>
      <c r="AQ78" s="363"/>
      <c r="AR78" s="363"/>
      <c r="AS78" s="363"/>
      <c r="AT78" s="363"/>
      <c r="AU78" s="363"/>
      <c r="AV78" s="363"/>
      <c r="AW78" s="363"/>
      <c r="AX78" s="363"/>
      <c r="AY78" s="363"/>
      <c r="AZ78" s="363"/>
      <c r="BA78" s="363"/>
      <c r="BB78" s="363"/>
      <c r="BC78" s="363"/>
      <c r="BD78" s="363"/>
      <c r="BE78" s="363"/>
      <c r="BF78" s="363"/>
      <c r="BG78" s="363"/>
      <c r="BH78" s="363"/>
    </row>
    <row r="79" spans="1:60" ht="15.75" customHeight="1" x14ac:dyDescent="0.25">
      <c r="A79" s="363"/>
      <c r="B79" s="363"/>
      <c r="C79" s="363"/>
      <c r="D79" s="363"/>
      <c r="E79" s="363"/>
      <c r="F79" s="363"/>
      <c r="G79" s="363"/>
      <c r="H79" s="363"/>
      <c r="I79" s="363"/>
      <c r="J79" s="363"/>
      <c r="K79" s="363"/>
      <c r="L79" s="363"/>
      <c r="M79" s="363"/>
      <c r="N79" s="363"/>
      <c r="O79" s="363"/>
      <c r="P79" s="363"/>
      <c r="Q79" s="363"/>
      <c r="R79" s="363"/>
      <c r="S79" s="363"/>
      <c r="T79" s="363"/>
      <c r="U79" s="363"/>
      <c r="V79" s="363"/>
      <c r="W79" s="363"/>
      <c r="X79" s="363"/>
      <c r="Y79" s="363"/>
      <c r="Z79" s="363"/>
      <c r="AA79" s="363"/>
      <c r="AB79" s="363"/>
      <c r="AC79" s="363"/>
      <c r="AD79" s="363"/>
      <c r="AE79" s="363"/>
      <c r="AF79" s="363"/>
      <c r="AG79" s="363"/>
      <c r="AH79" s="363"/>
      <c r="AI79" s="363"/>
      <c r="AJ79" s="363"/>
      <c r="AK79" s="363"/>
      <c r="AL79" s="363"/>
      <c r="AM79" s="363"/>
      <c r="AN79" s="363"/>
      <c r="AO79" s="363"/>
      <c r="AP79" s="363"/>
      <c r="AQ79" s="363"/>
      <c r="AR79" s="363"/>
      <c r="AS79" s="363"/>
      <c r="AT79" s="363"/>
      <c r="AU79" s="363"/>
      <c r="AV79" s="363"/>
      <c r="AW79" s="363"/>
      <c r="AX79" s="363"/>
      <c r="AY79" s="363"/>
      <c r="AZ79" s="363"/>
      <c r="BA79" s="363"/>
      <c r="BB79" s="363"/>
      <c r="BC79" s="363"/>
      <c r="BD79" s="363"/>
      <c r="BE79" s="363"/>
      <c r="BF79" s="363"/>
      <c r="BG79" s="363"/>
      <c r="BH79" s="363"/>
    </row>
    <row r="80" spans="1:60" ht="15.75" customHeight="1" x14ac:dyDescent="0.25">
      <c r="A80" s="363"/>
      <c r="B80" s="363"/>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c r="AD80" s="363"/>
      <c r="AE80" s="363"/>
      <c r="AF80" s="363"/>
      <c r="AG80" s="363"/>
      <c r="AH80" s="363"/>
      <c r="AI80" s="363"/>
      <c r="AJ80" s="363"/>
      <c r="AK80" s="363"/>
      <c r="AL80" s="363"/>
      <c r="AM80" s="363"/>
      <c r="AN80" s="363"/>
      <c r="AO80" s="363"/>
      <c r="AP80" s="363"/>
      <c r="AQ80" s="363"/>
      <c r="AR80" s="363"/>
      <c r="AS80" s="363"/>
      <c r="AT80" s="363"/>
      <c r="AU80" s="363"/>
      <c r="AV80" s="363"/>
      <c r="AW80" s="363"/>
      <c r="AX80" s="363"/>
      <c r="AY80" s="363"/>
      <c r="AZ80" s="363"/>
      <c r="BA80" s="363"/>
      <c r="BB80" s="363"/>
      <c r="BC80" s="363"/>
      <c r="BD80" s="363"/>
      <c r="BE80" s="363"/>
      <c r="BF80" s="363"/>
      <c r="BG80" s="363"/>
      <c r="BH80" s="363"/>
    </row>
    <row r="81" spans="1:60" ht="15.75" customHeight="1" x14ac:dyDescent="0.25">
      <c r="A81" s="363"/>
      <c r="B81" s="363"/>
      <c r="C81" s="363"/>
      <c r="D81" s="363"/>
      <c r="E81" s="363"/>
      <c r="F81" s="363"/>
      <c r="G81" s="363"/>
      <c r="H81" s="363"/>
      <c r="I81" s="363"/>
      <c r="J81" s="363"/>
      <c r="K81" s="363"/>
      <c r="L81" s="363"/>
      <c r="M81" s="363"/>
      <c r="N81" s="363"/>
      <c r="O81" s="363"/>
      <c r="P81" s="363"/>
      <c r="Q81" s="363"/>
      <c r="R81" s="363"/>
      <c r="S81" s="363"/>
      <c r="T81" s="363"/>
      <c r="U81" s="363"/>
      <c r="V81" s="363"/>
      <c r="W81" s="363"/>
      <c r="X81" s="363"/>
      <c r="Y81" s="363"/>
      <c r="Z81" s="363"/>
      <c r="AA81" s="363"/>
      <c r="AB81" s="363"/>
      <c r="AC81" s="363"/>
      <c r="AD81" s="363"/>
      <c r="AE81" s="363"/>
      <c r="AF81" s="363"/>
      <c r="AG81" s="363"/>
      <c r="AH81" s="363"/>
      <c r="AI81" s="363"/>
      <c r="AJ81" s="363"/>
      <c r="AK81" s="363"/>
      <c r="AL81" s="363"/>
      <c r="AM81" s="363"/>
      <c r="AN81" s="363"/>
      <c r="AO81" s="363"/>
      <c r="AP81" s="363"/>
      <c r="AQ81" s="363"/>
      <c r="AR81" s="363"/>
      <c r="AS81" s="363"/>
      <c r="AT81" s="363"/>
      <c r="AU81" s="363"/>
      <c r="AV81" s="363"/>
      <c r="AW81" s="363"/>
      <c r="AX81" s="363"/>
      <c r="AY81" s="363"/>
      <c r="AZ81" s="363"/>
      <c r="BA81" s="363"/>
      <c r="BB81" s="363"/>
      <c r="BC81" s="363"/>
      <c r="BD81" s="363"/>
      <c r="BE81" s="363"/>
      <c r="BF81" s="363"/>
      <c r="BG81" s="363"/>
      <c r="BH81" s="363"/>
    </row>
    <row r="82" spans="1:60" ht="15.75" customHeight="1" x14ac:dyDescent="0.25">
      <c r="A82" s="363"/>
      <c r="B82" s="363"/>
      <c r="C82" s="363"/>
      <c r="D82" s="363"/>
      <c r="E82" s="363"/>
      <c r="F82" s="363"/>
      <c r="G82" s="363"/>
      <c r="H82" s="363"/>
      <c r="I82" s="363"/>
      <c r="J82" s="363"/>
      <c r="K82" s="363"/>
      <c r="L82" s="363"/>
      <c r="M82" s="363"/>
      <c r="N82" s="363"/>
      <c r="O82" s="363"/>
      <c r="P82" s="363"/>
      <c r="Q82" s="363"/>
      <c r="R82" s="363"/>
      <c r="S82" s="363"/>
      <c r="T82" s="363"/>
      <c r="U82" s="363"/>
      <c r="V82" s="363"/>
      <c r="W82" s="363"/>
      <c r="X82" s="363"/>
      <c r="Y82" s="363"/>
      <c r="Z82" s="363"/>
      <c r="AA82" s="363"/>
      <c r="AB82" s="363"/>
      <c r="AC82" s="363"/>
      <c r="AD82" s="363"/>
      <c r="AE82" s="363"/>
      <c r="AF82" s="363"/>
      <c r="AG82" s="363"/>
      <c r="AH82" s="363"/>
      <c r="AI82" s="363"/>
      <c r="AJ82" s="363"/>
      <c r="AK82" s="363"/>
      <c r="AL82" s="363"/>
      <c r="AM82" s="363"/>
      <c r="AN82" s="363"/>
      <c r="AO82" s="363"/>
      <c r="AP82" s="363"/>
      <c r="AQ82" s="363"/>
      <c r="AR82" s="363"/>
      <c r="AS82" s="363"/>
      <c r="AT82" s="363"/>
      <c r="AU82" s="363"/>
      <c r="AV82" s="363"/>
      <c r="AW82" s="363"/>
      <c r="AX82" s="363"/>
      <c r="AY82" s="363"/>
      <c r="AZ82" s="363"/>
      <c r="BA82" s="363"/>
      <c r="BB82" s="363"/>
      <c r="BC82" s="363"/>
      <c r="BD82" s="363"/>
      <c r="BE82" s="363"/>
      <c r="BF82" s="363"/>
      <c r="BG82" s="363"/>
      <c r="BH82" s="363"/>
    </row>
    <row r="83" spans="1:60" ht="15.75" customHeight="1" x14ac:dyDescent="0.25">
      <c r="A83" s="363"/>
      <c r="B83" s="363"/>
      <c r="C83" s="363"/>
      <c r="D83" s="363"/>
      <c r="E83" s="363"/>
      <c r="F83" s="363"/>
      <c r="G83" s="363"/>
      <c r="H83" s="363"/>
      <c r="I83" s="363"/>
      <c r="J83" s="363"/>
      <c r="K83" s="363"/>
      <c r="L83" s="363"/>
      <c r="M83" s="363"/>
      <c r="N83" s="363"/>
      <c r="O83" s="363"/>
      <c r="P83" s="363"/>
      <c r="Q83" s="363"/>
      <c r="R83" s="363"/>
      <c r="S83" s="363"/>
      <c r="T83" s="363"/>
      <c r="U83" s="363"/>
      <c r="V83" s="363"/>
      <c r="W83" s="363"/>
      <c r="X83" s="363"/>
      <c r="Y83" s="363"/>
      <c r="Z83" s="363"/>
      <c r="AA83" s="363"/>
      <c r="AB83" s="363"/>
      <c r="AC83" s="363"/>
      <c r="AD83" s="363"/>
      <c r="AE83" s="363"/>
      <c r="AF83" s="363"/>
      <c r="AG83" s="363"/>
      <c r="AH83" s="363"/>
      <c r="AI83" s="363"/>
      <c r="AJ83" s="363"/>
      <c r="AK83" s="363"/>
      <c r="AL83" s="363"/>
      <c r="AM83" s="363"/>
      <c r="AN83" s="363"/>
      <c r="AO83" s="363"/>
      <c r="AP83" s="363"/>
      <c r="AQ83" s="363"/>
      <c r="AR83" s="363"/>
      <c r="AS83" s="363"/>
      <c r="AT83" s="363"/>
      <c r="AU83" s="363"/>
      <c r="AV83" s="363"/>
      <c r="AW83" s="363"/>
      <c r="AX83" s="363"/>
      <c r="AY83" s="363"/>
      <c r="AZ83" s="363"/>
      <c r="BA83" s="363"/>
      <c r="BB83" s="363"/>
      <c r="BC83" s="363"/>
      <c r="BD83" s="363"/>
      <c r="BE83" s="363"/>
      <c r="BF83" s="363"/>
      <c r="BG83" s="363"/>
      <c r="BH83" s="363"/>
    </row>
    <row r="84" spans="1:60" ht="15.75" customHeight="1" x14ac:dyDescent="0.25">
      <c r="A84" s="363"/>
      <c r="B84" s="363"/>
      <c r="C84" s="363"/>
      <c r="D84" s="363"/>
      <c r="E84" s="363"/>
      <c r="F84" s="363"/>
      <c r="G84" s="363"/>
      <c r="H84" s="363"/>
      <c r="I84" s="363"/>
      <c r="J84" s="363"/>
      <c r="K84" s="363"/>
      <c r="L84" s="363"/>
      <c r="M84" s="363"/>
      <c r="N84" s="363"/>
      <c r="O84" s="363"/>
      <c r="P84" s="363"/>
      <c r="Q84" s="363"/>
      <c r="R84" s="363"/>
      <c r="S84" s="363"/>
      <c r="T84" s="363"/>
      <c r="U84" s="363"/>
      <c r="V84" s="363"/>
      <c r="W84" s="363"/>
      <c r="X84" s="363"/>
      <c r="Y84" s="363"/>
      <c r="Z84" s="363"/>
      <c r="AA84" s="363"/>
      <c r="AB84" s="363"/>
      <c r="AC84" s="363"/>
      <c r="AD84" s="363"/>
      <c r="AE84" s="363"/>
      <c r="AF84" s="363"/>
      <c r="AG84" s="363"/>
      <c r="AH84" s="363"/>
      <c r="AI84" s="363"/>
      <c r="AJ84" s="363"/>
      <c r="AK84" s="363"/>
      <c r="AL84" s="363"/>
      <c r="AM84" s="363"/>
      <c r="AN84" s="363"/>
      <c r="AO84" s="363"/>
      <c r="AP84" s="363"/>
      <c r="AQ84" s="363"/>
      <c r="AR84" s="363"/>
      <c r="AS84" s="363"/>
      <c r="AT84" s="363"/>
      <c r="AU84" s="363"/>
      <c r="AV84" s="363"/>
      <c r="AW84" s="363"/>
      <c r="AX84" s="363"/>
      <c r="AY84" s="363"/>
      <c r="AZ84" s="363"/>
      <c r="BA84" s="363"/>
      <c r="BB84" s="363"/>
      <c r="BC84" s="363"/>
      <c r="BD84" s="363"/>
      <c r="BE84" s="363"/>
      <c r="BF84" s="363"/>
      <c r="BG84" s="363"/>
      <c r="BH84" s="363"/>
    </row>
    <row r="85" spans="1:60" ht="15.75" customHeight="1" x14ac:dyDescent="0.25">
      <c r="A85" s="363"/>
      <c r="B85" s="363"/>
      <c r="C85" s="363"/>
      <c r="D85" s="363"/>
      <c r="E85" s="363"/>
      <c r="F85" s="363"/>
      <c r="G85" s="363"/>
      <c r="H85" s="363"/>
      <c r="I85" s="363"/>
      <c r="J85" s="363"/>
      <c r="K85" s="363"/>
      <c r="L85" s="363"/>
      <c r="M85" s="363"/>
      <c r="N85" s="363"/>
      <c r="O85" s="363"/>
      <c r="P85" s="363"/>
      <c r="Q85" s="363"/>
      <c r="R85" s="363"/>
      <c r="S85" s="363"/>
      <c r="T85" s="363"/>
      <c r="U85" s="363"/>
      <c r="V85" s="363"/>
      <c r="W85" s="363"/>
      <c r="X85" s="363"/>
      <c r="Y85" s="363"/>
      <c r="Z85" s="363"/>
      <c r="AA85" s="363"/>
      <c r="AB85" s="363"/>
      <c r="AC85" s="363"/>
      <c r="AD85" s="363"/>
      <c r="AE85" s="363"/>
      <c r="AF85" s="363"/>
      <c r="AG85" s="363"/>
      <c r="AH85" s="363"/>
      <c r="AI85" s="363"/>
      <c r="AJ85" s="363"/>
      <c r="AK85" s="363"/>
      <c r="AL85" s="363"/>
      <c r="AM85" s="363"/>
      <c r="AN85" s="363"/>
      <c r="AO85" s="363"/>
      <c r="AP85" s="363"/>
      <c r="AQ85" s="363"/>
      <c r="AR85" s="363"/>
      <c r="AS85" s="363"/>
      <c r="AT85" s="363"/>
      <c r="AU85" s="363"/>
      <c r="AV85" s="363"/>
      <c r="AW85" s="363"/>
      <c r="AX85" s="363"/>
      <c r="AY85" s="363"/>
      <c r="AZ85" s="363"/>
      <c r="BA85" s="363"/>
      <c r="BB85" s="363"/>
      <c r="BC85" s="363"/>
      <c r="BD85" s="363"/>
      <c r="BE85" s="363"/>
      <c r="BF85" s="363"/>
      <c r="BG85" s="363"/>
      <c r="BH85" s="363"/>
    </row>
    <row r="86" spans="1:60" ht="15.75" customHeight="1" x14ac:dyDescent="0.25">
      <c r="A86" s="363"/>
      <c r="B86" s="363"/>
      <c r="C86" s="363"/>
      <c r="D86" s="363"/>
      <c r="E86" s="363"/>
      <c r="F86" s="363"/>
      <c r="G86" s="363"/>
      <c r="H86" s="363"/>
      <c r="I86" s="363"/>
      <c r="J86" s="363"/>
      <c r="K86" s="363"/>
      <c r="L86" s="363"/>
      <c r="M86" s="363"/>
      <c r="N86" s="363"/>
      <c r="O86" s="363"/>
      <c r="P86" s="363"/>
      <c r="Q86" s="363"/>
      <c r="R86" s="363"/>
      <c r="S86" s="363"/>
      <c r="T86" s="363"/>
      <c r="U86" s="363"/>
      <c r="V86" s="363"/>
      <c r="W86" s="363"/>
      <c r="X86" s="363"/>
      <c r="Y86" s="363"/>
      <c r="Z86" s="363"/>
      <c r="AA86" s="363"/>
      <c r="AB86" s="363"/>
      <c r="AC86" s="363"/>
      <c r="AD86" s="363"/>
      <c r="AE86" s="363"/>
      <c r="AF86" s="363"/>
      <c r="AG86" s="363"/>
      <c r="AH86" s="363"/>
      <c r="AI86" s="363"/>
      <c r="AJ86" s="363"/>
      <c r="AK86" s="363"/>
      <c r="AL86" s="363"/>
      <c r="AM86" s="363"/>
      <c r="AN86" s="363"/>
      <c r="AO86" s="363"/>
      <c r="AP86" s="363"/>
      <c r="AQ86" s="363"/>
      <c r="AR86" s="363"/>
      <c r="AS86" s="363"/>
      <c r="AT86" s="363"/>
      <c r="AU86" s="363"/>
      <c r="AV86" s="363"/>
      <c r="AW86" s="363"/>
      <c r="AX86" s="363"/>
      <c r="AY86" s="363"/>
      <c r="AZ86" s="363"/>
      <c r="BA86" s="363"/>
      <c r="BB86" s="363"/>
      <c r="BC86" s="363"/>
      <c r="BD86" s="363"/>
      <c r="BE86" s="363"/>
      <c r="BF86" s="363"/>
      <c r="BG86" s="363"/>
      <c r="BH86" s="363"/>
    </row>
    <row r="87" spans="1:60" ht="15.75" customHeight="1" x14ac:dyDescent="0.25">
      <c r="A87" s="363"/>
      <c r="B87" s="363"/>
      <c r="C87" s="363"/>
      <c r="D87" s="363"/>
      <c r="E87" s="363"/>
      <c r="F87" s="363"/>
      <c r="G87" s="363"/>
      <c r="H87" s="363"/>
      <c r="I87" s="363"/>
      <c r="J87" s="363"/>
      <c r="K87" s="363"/>
      <c r="L87" s="363"/>
      <c r="M87" s="363"/>
      <c r="N87" s="363"/>
      <c r="O87" s="363"/>
      <c r="P87" s="363"/>
      <c r="Q87" s="363"/>
      <c r="R87" s="363"/>
      <c r="S87" s="363"/>
      <c r="T87" s="363"/>
      <c r="U87" s="363"/>
      <c r="V87" s="363"/>
      <c r="W87" s="363"/>
      <c r="X87" s="363"/>
      <c r="Y87" s="363"/>
      <c r="Z87" s="363"/>
      <c r="AA87" s="363"/>
      <c r="AB87" s="363"/>
      <c r="AC87" s="363"/>
      <c r="AD87" s="363"/>
      <c r="AE87" s="363"/>
      <c r="AF87" s="363"/>
      <c r="AG87" s="363"/>
      <c r="AH87" s="363"/>
      <c r="AI87" s="363"/>
      <c r="AJ87" s="363"/>
      <c r="AK87" s="363"/>
      <c r="AL87" s="363"/>
      <c r="AM87" s="363"/>
      <c r="AN87" s="363"/>
      <c r="AO87" s="363"/>
      <c r="AP87" s="363"/>
      <c r="AQ87" s="363"/>
      <c r="AR87" s="363"/>
      <c r="AS87" s="363"/>
      <c r="AT87" s="363"/>
      <c r="AU87" s="363"/>
      <c r="AV87" s="363"/>
      <c r="AW87" s="363"/>
      <c r="AX87" s="363"/>
      <c r="AY87" s="363"/>
      <c r="AZ87" s="363"/>
      <c r="BA87" s="363"/>
      <c r="BB87" s="363"/>
      <c r="BC87" s="363"/>
      <c r="BD87" s="363"/>
      <c r="BE87" s="363"/>
      <c r="BF87" s="363"/>
      <c r="BG87" s="363"/>
      <c r="BH87" s="363"/>
    </row>
    <row r="88" spans="1:60" ht="15.75" customHeight="1" x14ac:dyDescent="0.25">
      <c r="A88" s="363"/>
      <c r="B88" s="363"/>
      <c r="C88" s="363"/>
      <c r="D88" s="363"/>
      <c r="E88" s="363"/>
      <c r="F88" s="363"/>
      <c r="G88" s="363"/>
      <c r="H88" s="363"/>
      <c r="I88" s="363"/>
      <c r="J88" s="363"/>
      <c r="K88" s="363"/>
      <c r="L88" s="363"/>
      <c r="M88" s="363"/>
      <c r="N88" s="363"/>
      <c r="O88" s="363"/>
      <c r="P88" s="363"/>
      <c r="Q88" s="363"/>
      <c r="R88" s="363"/>
      <c r="S88" s="363"/>
      <c r="T88" s="363"/>
      <c r="U88" s="363"/>
      <c r="V88" s="363"/>
      <c r="W88" s="363"/>
      <c r="X88" s="363"/>
      <c r="Y88" s="363"/>
      <c r="Z88" s="363"/>
      <c r="AA88" s="363"/>
      <c r="AB88" s="363"/>
      <c r="AC88" s="363"/>
      <c r="AD88" s="363"/>
      <c r="AE88" s="363"/>
      <c r="AF88" s="363"/>
      <c r="AG88" s="363"/>
      <c r="AH88" s="363"/>
      <c r="AI88" s="363"/>
      <c r="AJ88" s="363"/>
      <c r="AK88" s="363"/>
      <c r="AL88" s="363"/>
      <c r="AM88" s="363"/>
      <c r="AN88" s="363"/>
      <c r="AO88" s="363"/>
      <c r="AP88" s="363"/>
      <c r="AQ88" s="363"/>
      <c r="AR88" s="363"/>
      <c r="AS88" s="363"/>
      <c r="AT88" s="363"/>
      <c r="AU88" s="363"/>
      <c r="AV88" s="363"/>
      <c r="AW88" s="363"/>
      <c r="AX88" s="363"/>
      <c r="AY88" s="363"/>
      <c r="AZ88" s="363"/>
      <c r="BA88" s="363"/>
      <c r="BB88" s="363"/>
      <c r="BC88" s="363"/>
      <c r="BD88" s="363"/>
      <c r="BE88" s="363"/>
      <c r="BF88" s="363"/>
      <c r="BG88" s="363"/>
      <c r="BH88" s="363"/>
    </row>
    <row r="89" spans="1:60" ht="15.75" customHeight="1" x14ac:dyDescent="0.25">
      <c r="A89" s="363"/>
      <c r="B89" s="363"/>
      <c r="C89" s="363"/>
      <c r="D89" s="363"/>
      <c r="E89" s="363"/>
      <c r="F89" s="363"/>
      <c r="G89" s="363"/>
      <c r="H89" s="363"/>
      <c r="I89" s="363"/>
      <c r="J89" s="363"/>
      <c r="K89" s="363"/>
      <c r="L89" s="363"/>
      <c r="M89" s="363"/>
      <c r="N89" s="363"/>
      <c r="O89" s="363"/>
      <c r="P89" s="363"/>
      <c r="Q89" s="363"/>
      <c r="R89" s="363"/>
      <c r="S89" s="363"/>
      <c r="T89" s="363"/>
      <c r="U89" s="363"/>
      <c r="V89" s="363"/>
      <c r="W89" s="363"/>
      <c r="X89" s="363"/>
      <c r="Y89" s="363"/>
      <c r="Z89" s="363"/>
      <c r="AA89" s="363"/>
      <c r="AB89" s="363"/>
      <c r="AC89" s="363"/>
      <c r="AD89" s="363"/>
      <c r="AE89" s="363"/>
      <c r="AF89" s="363"/>
      <c r="AG89" s="363"/>
      <c r="AH89" s="363"/>
      <c r="AI89" s="363"/>
      <c r="AJ89" s="363"/>
      <c r="AK89" s="363"/>
      <c r="AL89" s="363"/>
      <c r="AM89" s="363"/>
      <c r="AN89" s="363"/>
      <c r="AO89" s="363"/>
      <c r="AP89" s="363"/>
      <c r="AQ89" s="363"/>
      <c r="AR89" s="363"/>
      <c r="AS89" s="363"/>
      <c r="AT89" s="363"/>
      <c r="AU89" s="363"/>
      <c r="AV89" s="363"/>
      <c r="AW89" s="363"/>
      <c r="AX89" s="363"/>
      <c r="AY89" s="363"/>
      <c r="AZ89" s="363"/>
      <c r="BA89" s="363"/>
      <c r="BB89" s="363"/>
      <c r="BC89" s="363"/>
      <c r="BD89" s="363"/>
      <c r="BE89" s="363"/>
      <c r="BF89" s="363"/>
      <c r="BG89" s="363"/>
      <c r="BH89" s="363"/>
    </row>
    <row r="90" spans="1:60" ht="15.75" customHeight="1" x14ac:dyDescent="0.25">
      <c r="A90" s="363"/>
      <c r="B90" s="363"/>
      <c r="C90" s="363"/>
      <c r="D90" s="363"/>
      <c r="E90" s="363"/>
      <c r="F90" s="363"/>
      <c r="G90" s="363"/>
      <c r="H90" s="363"/>
      <c r="I90" s="363"/>
      <c r="J90" s="363"/>
      <c r="K90" s="363"/>
      <c r="L90" s="363"/>
      <c r="M90" s="363"/>
      <c r="N90" s="363"/>
      <c r="O90" s="363"/>
      <c r="P90" s="363"/>
      <c r="Q90" s="363"/>
      <c r="R90" s="363"/>
      <c r="S90" s="363"/>
      <c r="T90" s="363"/>
      <c r="U90" s="363"/>
      <c r="V90" s="363"/>
      <c r="W90" s="363"/>
      <c r="X90" s="363"/>
      <c r="Y90" s="363"/>
      <c r="Z90" s="363"/>
      <c r="AA90" s="363"/>
      <c r="AB90" s="363"/>
      <c r="AC90" s="363"/>
      <c r="AD90" s="363"/>
      <c r="AE90" s="363"/>
      <c r="AF90" s="363"/>
      <c r="AG90" s="363"/>
      <c r="AH90" s="363"/>
      <c r="AI90" s="363"/>
      <c r="AJ90" s="363"/>
      <c r="AK90" s="363"/>
      <c r="AL90" s="363"/>
      <c r="AM90" s="363"/>
      <c r="AN90" s="363"/>
      <c r="AO90" s="363"/>
      <c r="AP90" s="363"/>
      <c r="AQ90" s="363"/>
      <c r="AR90" s="363"/>
      <c r="AS90" s="363"/>
      <c r="AT90" s="363"/>
      <c r="AU90" s="363"/>
      <c r="AV90" s="363"/>
      <c r="AW90" s="363"/>
      <c r="AX90" s="363"/>
      <c r="AY90" s="363"/>
      <c r="AZ90" s="363"/>
      <c r="BA90" s="363"/>
      <c r="BB90" s="363"/>
      <c r="BC90" s="363"/>
      <c r="BD90" s="363"/>
      <c r="BE90" s="363"/>
      <c r="BF90" s="363"/>
      <c r="BG90" s="363"/>
      <c r="BH90" s="363"/>
    </row>
    <row r="91" spans="1:60" ht="15.75" customHeight="1" x14ac:dyDescent="0.25">
      <c r="A91" s="363"/>
      <c r="B91" s="363"/>
      <c r="C91" s="363"/>
      <c r="D91" s="363"/>
      <c r="E91" s="363"/>
      <c r="F91" s="363"/>
      <c r="G91" s="363"/>
      <c r="H91" s="363"/>
      <c r="I91" s="363"/>
      <c r="J91" s="363"/>
      <c r="K91" s="363"/>
      <c r="L91" s="363"/>
      <c r="M91" s="363"/>
      <c r="N91" s="363"/>
      <c r="O91" s="363"/>
      <c r="P91" s="363"/>
      <c r="Q91" s="363"/>
      <c r="R91" s="363"/>
      <c r="S91" s="363"/>
      <c r="T91" s="363"/>
      <c r="U91" s="363"/>
      <c r="V91" s="363"/>
      <c r="W91" s="363"/>
      <c r="X91" s="363"/>
      <c r="Y91" s="363"/>
      <c r="Z91" s="363"/>
      <c r="AA91" s="363"/>
      <c r="AB91" s="363"/>
      <c r="AC91" s="363"/>
      <c r="AD91" s="363"/>
      <c r="AE91" s="363"/>
      <c r="AF91" s="363"/>
      <c r="AG91" s="363"/>
      <c r="AH91" s="363"/>
      <c r="AI91" s="363"/>
      <c r="AJ91" s="363"/>
      <c r="AK91" s="363"/>
      <c r="AL91" s="363"/>
      <c r="AM91" s="363"/>
      <c r="AN91" s="363"/>
      <c r="AO91" s="363"/>
      <c r="AP91" s="363"/>
      <c r="AQ91" s="363"/>
      <c r="AR91" s="363"/>
      <c r="AS91" s="363"/>
      <c r="AT91" s="363"/>
      <c r="AU91" s="363"/>
      <c r="AV91" s="363"/>
      <c r="AW91" s="363"/>
      <c r="AX91" s="363"/>
      <c r="AY91" s="363"/>
      <c r="AZ91" s="363"/>
      <c r="BA91" s="363"/>
      <c r="BB91" s="363"/>
      <c r="BC91" s="363"/>
      <c r="BD91" s="363"/>
      <c r="BE91" s="363"/>
      <c r="BF91" s="363"/>
      <c r="BG91" s="363"/>
      <c r="BH91" s="363"/>
    </row>
    <row r="92" spans="1:60" ht="15.75" customHeight="1" x14ac:dyDescent="0.25">
      <c r="A92" s="363"/>
      <c r="B92" s="363"/>
      <c r="C92" s="363"/>
      <c r="D92" s="363"/>
      <c r="E92" s="363"/>
      <c r="F92" s="363"/>
      <c r="G92" s="363"/>
      <c r="H92" s="363"/>
      <c r="I92" s="363"/>
      <c r="J92" s="363"/>
      <c r="K92" s="363"/>
      <c r="L92" s="363"/>
      <c r="M92" s="363"/>
      <c r="N92" s="363"/>
      <c r="O92" s="363"/>
      <c r="P92" s="363"/>
      <c r="Q92" s="363"/>
      <c r="R92" s="363"/>
      <c r="S92" s="363"/>
      <c r="T92" s="363"/>
      <c r="U92" s="363"/>
      <c r="V92" s="363"/>
      <c r="W92" s="363"/>
      <c r="X92" s="363"/>
      <c r="Y92" s="363"/>
      <c r="Z92" s="363"/>
      <c r="AA92" s="363"/>
      <c r="AB92" s="363"/>
      <c r="AC92" s="363"/>
      <c r="AD92" s="363"/>
      <c r="AE92" s="363"/>
      <c r="AF92" s="363"/>
      <c r="AG92" s="363"/>
      <c r="AH92" s="363"/>
      <c r="AI92" s="363"/>
      <c r="AJ92" s="363"/>
      <c r="AK92" s="363"/>
      <c r="AL92" s="363"/>
      <c r="AM92" s="363"/>
      <c r="AN92" s="363"/>
      <c r="AO92" s="363"/>
      <c r="AP92" s="363"/>
      <c r="AQ92" s="363"/>
      <c r="AR92" s="363"/>
      <c r="AS92" s="363"/>
      <c r="AT92" s="363"/>
      <c r="AU92" s="363"/>
      <c r="AV92" s="363"/>
      <c r="AW92" s="363"/>
      <c r="AX92" s="363"/>
      <c r="AY92" s="363"/>
      <c r="AZ92" s="363"/>
      <c r="BA92" s="363"/>
      <c r="BB92" s="363"/>
      <c r="BC92" s="363"/>
      <c r="BD92" s="363"/>
      <c r="BE92" s="363"/>
      <c r="BF92" s="363"/>
      <c r="BG92" s="363"/>
      <c r="BH92" s="363"/>
    </row>
    <row r="93" spans="1:60" ht="15.75" customHeight="1" x14ac:dyDescent="0.25">
      <c r="A93" s="363"/>
      <c r="B93" s="363"/>
      <c r="C93" s="363"/>
      <c r="D93" s="363"/>
      <c r="E93" s="363"/>
      <c r="F93" s="363"/>
      <c r="G93" s="363"/>
      <c r="H93" s="363"/>
      <c r="I93" s="363"/>
      <c r="J93" s="363"/>
      <c r="K93" s="363"/>
      <c r="L93" s="363"/>
      <c r="M93" s="363"/>
      <c r="N93" s="363"/>
      <c r="O93" s="363"/>
      <c r="P93" s="363"/>
      <c r="Q93" s="363"/>
      <c r="R93" s="363"/>
      <c r="S93" s="363"/>
      <c r="T93" s="363"/>
      <c r="U93" s="363"/>
      <c r="V93" s="363"/>
      <c r="W93" s="363"/>
      <c r="X93" s="363"/>
      <c r="Y93" s="363"/>
      <c r="Z93" s="363"/>
      <c r="AA93" s="363"/>
      <c r="AB93" s="363"/>
      <c r="AC93" s="363"/>
      <c r="AD93" s="363"/>
      <c r="AE93" s="363"/>
      <c r="AF93" s="363"/>
      <c r="AG93" s="363"/>
      <c r="AH93" s="363"/>
      <c r="AI93" s="363"/>
      <c r="AJ93" s="363"/>
      <c r="AK93" s="363"/>
      <c r="AL93" s="363"/>
      <c r="AM93" s="363"/>
      <c r="AN93" s="363"/>
      <c r="AO93" s="363"/>
      <c r="AP93" s="363"/>
      <c r="AQ93" s="363"/>
      <c r="AR93" s="363"/>
      <c r="AS93" s="363"/>
      <c r="AT93" s="363"/>
      <c r="AU93" s="363"/>
      <c r="AV93" s="363"/>
      <c r="AW93" s="363"/>
      <c r="AX93" s="363"/>
      <c r="AY93" s="363"/>
      <c r="AZ93" s="363"/>
      <c r="BA93" s="363"/>
      <c r="BB93" s="363"/>
      <c r="BC93" s="363"/>
      <c r="BD93" s="363"/>
      <c r="BE93" s="363"/>
      <c r="BF93" s="363"/>
      <c r="BG93" s="363"/>
      <c r="BH93" s="363"/>
    </row>
    <row r="94" spans="1:60" ht="15.75" customHeight="1" x14ac:dyDescent="0.25">
      <c r="A94" s="363"/>
      <c r="B94" s="363"/>
      <c r="C94" s="363"/>
      <c r="D94" s="363"/>
      <c r="E94" s="363"/>
      <c r="F94" s="363"/>
      <c r="G94" s="363"/>
      <c r="H94" s="363"/>
      <c r="I94" s="363"/>
      <c r="J94" s="363"/>
      <c r="K94" s="363"/>
      <c r="L94" s="363"/>
      <c r="M94" s="363"/>
      <c r="N94" s="363"/>
      <c r="O94" s="363"/>
      <c r="P94" s="363"/>
      <c r="Q94" s="363"/>
      <c r="R94" s="363"/>
      <c r="S94" s="363"/>
      <c r="T94" s="363"/>
      <c r="U94" s="363"/>
      <c r="V94" s="363"/>
      <c r="W94" s="363"/>
      <c r="X94" s="363"/>
      <c r="Y94" s="363"/>
      <c r="Z94" s="363"/>
      <c r="AA94" s="363"/>
      <c r="AB94" s="363"/>
      <c r="AC94" s="363"/>
      <c r="AD94" s="363"/>
      <c r="AE94" s="363"/>
      <c r="AF94" s="363"/>
      <c r="AG94" s="363"/>
      <c r="AH94" s="363"/>
      <c r="AI94" s="363"/>
      <c r="AJ94" s="363"/>
      <c r="AK94" s="363"/>
      <c r="AL94" s="363"/>
      <c r="AM94" s="363"/>
      <c r="AN94" s="363"/>
      <c r="AO94" s="363"/>
      <c r="AP94" s="363"/>
      <c r="AQ94" s="363"/>
      <c r="AR94" s="363"/>
      <c r="AS94" s="363"/>
      <c r="AT94" s="363"/>
      <c r="AU94" s="363"/>
      <c r="AV94" s="363"/>
      <c r="AW94" s="363"/>
      <c r="AX94" s="363"/>
      <c r="AY94" s="363"/>
      <c r="AZ94" s="363"/>
      <c r="BA94" s="363"/>
      <c r="BB94" s="363"/>
      <c r="BC94" s="363"/>
      <c r="BD94" s="363"/>
      <c r="BE94" s="363"/>
      <c r="BF94" s="363"/>
      <c r="BG94" s="363"/>
      <c r="BH94" s="363"/>
    </row>
    <row r="95" spans="1:60" ht="15.75" customHeight="1" x14ac:dyDescent="0.25">
      <c r="A95" s="363"/>
      <c r="B95" s="363"/>
      <c r="C95" s="363"/>
      <c r="D95" s="363"/>
      <c r="E95" s="363"/>
      <c r="F95" s="363"/>
      <c r="G95" s="363"/>
      <c r="H95" s="363"/>
      <c r="I95" s="363"/>
      <c r="J95" s="363"/>
      <c r="K95" s="363"/>
      <c r="L95" s="363"/>
      <c r="M95" s="363"/>
      <c r="N95" s="363"/>
      <c r="O95" s="363"/>
      <c r="P95" s="363"/>
      <c r="Q95" s="363"/>
      <c r="R95" s="363"/>
      <c r="S95" s="363"/>
      <c r="T95" s="363"/>
      <c r="U95" s="363"/>
      <c r="V95" s="363"/>
      <c r="W95" s="363"/>
      <c r="X95" s="363"/>
      <c r="Y95" s="363"/>
      <c r="Z95" s="363"/>
      <c r="AA95" s="363"/>
      <c r="AB95" s="363"/>
      <c r="AC95" s="363"/>
      <c r="AD95" s="363"/>
      <c r="AE95" s="363"/>
      <c r="AF95" s="363"/>
      <c r="AG95" s="363"/>
      <c r="AH95" s="363"/>
      <c r="AI95" s="363"/>
      <c r="AJ95" s="363"/>
      <c r="AK95" s="363"/>
      <c r="AL95" s="363"/>
      <c r="AM95" s="363"/>
      <c r="AN95" s="363"/>
      <c r="AO95" s="363"/>
      <c r="AP95" s="363"/>
      <c r="AQ95" s="363"/>
      <c r="AR95" s="363"/>
      <c r="AS95" s="363"/>
      <c r="AT95" s="363"/>
      <c r="AU95" s="363"/>
      <c r="AV95" s="363"/>
      <c r="AW95" s="363"/>
      <c r="AX95" s="363"/>
      <c r="AY95" s="363"/>
      <c r="AZ95" s="363"/>
      <c r="BA95" s="363"/>
      <c r="BB95" s="363"/>
      <c r="BC95" s="363"/>
      <c r="BD95" s="363"/>
      <c r="BE95" s="363"/>
      <c r="BF95" s="363"/>
      <c r="BG95" s="363"/>
      <c r="BH95" s="363"/>
    </row>
    <row r="96" spans="1:60" ht="15.75" customHeight="1" x14ac:dyDescent="0.25">
      <c r="A96" s="363"/>
      <c r="B96" s="363"/>
      <c r="C96" s="363"/>
      <c r="D96" s="363"/>
      <c r="E96" s="363"/>
      <c r="F96" s="363"/>
      <c r="G96" s="363"/>
      <c r="H96" s="363"/>
      <c r="I96" s="363"/>
      <c r="J96" s="363"/>
      <c r="K96" s="363"/>
      <c r="L96" s="363"/>
      <c r="M96" s="363"/>
      <c r="N96" s="363"/>
      <c r="O96" s="363"/>
      <c r="P96" s="363"/>
      <c r="Q96" s="363"/>
      <c r="R96" s="363"/>
      <c r="S96" s="363"/>
      <c r="T96" s="363"/>
      <c r="U96" s="363"/>
      <c r="V96" s="363"/>
      <c r="W96" s="363"/>
      <c r="X96" s="363"/>
      <c r="Y96" s="363"/>
      <c r="Z96" s="363"/>
      <c r="AA96" s="363"/>
      <c r="AB96" s="363"/>
      <c r="AC96" s="363"/>
      <c r="AD96" s="363"/>
      <c r="AE96" s="363"/>
      <c r="AF96" s="363"/>
      <c r="AG96" s="363"/>
      <c r="AH96" s="363"/>
      <c r="AI96" s="363"/>
      <c r="AJ96" s="363"/>
      <c r="AK96" s="363"/>
      <c r="AL96" s="363"/>
      <c r="AM96" s="363"/>
      <c r="AN96" s="363"/>
      <c r="AO96" s="363"/>
      <c r="AP96" s="363"/>
      <c r="AQ96" s="363"/>
      <c r="AR96" s="363"/>
      <c r="AS96" s="363"/>
      <c r="AT96" s="363"/>
      <c r="AU96" s="363"/>
      <c r="AV96" s="363"/>
      <c r="AW96" s="363"/>
      <c r="AX96" s="363"/>
      <c r="AY96" s="363"/>
      <c r="AZ96" s="363"/>
      <c r="BA96" s="363"/>
      <c r="BB96" s="363"/>
      <c r="BC96" s="363"/>
      <c r="BD96" s="363"/>
      <c r="BE96" s="363"/>
      <c r="BF96" s="363"/>
      <c r="BG96" s="363"/>
      <c r="BH96" s="363"/>
    </row>
    <row r="97" spans="1:60" ht="15.75" customHeight="1" x14ac:dyDescent="0.25">
      <c r="A97" s="363"/>
      <c r="B97" s="363"/>
      <c r="C97" s="363"/>
      <c r="D97" s="363"/>
      <c r="E97" s="363"/>
      <c r="F97" s="363"/>
      <c r="G97" s="363"/>
      <c r="H97" s="363"/>
      <c r="I97" s="363"/>
      <c r="J97" s="363"/>
      <c r="K97" s="363"/>
      <c r="L97" s="363"/>
      <c r="M97" s="363"/>
      <c r="N97" s="363"/>
      <c r="O97" s="363"/>
      <c r="P97" s="363"/>
      <c r="Q97" s="363"/>
      <c r="R97" s="363"/>
      <c r="S97" s="363"/>
      <c r="T97" s="363"/>
      <c r="U97" s="363"/>
      <c r="V97" s="363"/>
      <c r="W97" s="363"/>
      <c r="X97" s="363"/>
      <c r="Y97" s="363"/>
      <c r="Z97" s="363"/>
      <c r="AA97" s="363"/>
      <c r="AB97" s="363"/>
      <c r="AC97" s="363"/>
      <c r="AD97" s="363"/>
      <c r="AE97" s="363"/>
      <c r="AF97" s="363"/>
      <c r="AG97" s="363"/>
      <c r="AH97" s="363"/>
      <c r="AI97" s="363"/>
      <c r="AJ97" s="363"/>
      <c r="AK97" s="363"/>
      <c r="AL97" s="363"/>
      <c r="AM97" s="363"/>
      <c r="AN97" s="363"/>
      <c r="AO97" s="363"/>
      <c r="AP97" s="363"/>
      <c r="AQ97" s="363"/>
      <c r="AR97" s="363"/>
      <c r="AS97" s="363"/>
      <c r="AT97" s="363"/>
      <c r="AU97" s="363"/>
      <c r="AV97" s="363"/>
      <c r="AW97" s="363"/>
      <c r="AX97" s="363"/>
      <c r="AY97" s="363"/>
      <c r="AZ97" s="363"/>
      <c r="BA97" s="363"/>
      <c r="BB97" s="363"/>
      <c r="BC97" s="363"/>
      <c r="BD97" s="363"/>
      <c r="BE97" s="363"/>
      <c r="BF97" s="363"/>
      <c r="BG97" s="363"/>
      <c r="BH97" s="363"/>
    </row>
    <row r="98" spans="1:60" ht="15.75" customHeight="1" x14ac:dyDescent="0.25">
      <c r="A98" s="363"/>
      <c r="B98" s="363"/>
      <c r="C98" s="363"/>
      <c r="D98" s="363"/>
      <c r="E98" s="363"/>
      <c r="F98" s="363"/>
      <c r="G98" s="363"/>
      <c r="H98" s="363"/>
      <c r="I98" s="363"/>
      <c r="J98" s="363"/>
      <c r="K98" s="363"/>
      <c r="L98" s="363"/>
      <c r="M98" s="363"/>
      <c r="N98" s="363"/>
      <c r="O98" s="363"/>
      <c r="P98" s="363"/>
      <c r="Q98" s="363"/>
      <c r="R98" s="363"/>
      <c r="S98" s="363"/>
      <c r="T98" s="363"/>
      <c r="U98" s="363"/>
      <c r="V98" s="363"/>
      <c r="W98" s="363"/>
      <c r="X98" s="363"/>
      <c r="Y98" s="363"/>
      <c r="Z98" s="363"/>
      <c r="AA98" s="363"/>
      <c r="AB98" s="363"/>
      <c r="AC98" s="363"/>
      <c r="AD98" s="363"/>
      <c r="AE98" s="363"/>
      <c r="AF98" s="363"/>
      <c r="AG98" s="363"/>
      <c r="AH98" s="363"/>
      <c r="AI98" s="363"/>
      <c r="AJ98" s="363"/>
      <c r="AK98" s="363"/>
      <c r="AL98" s="363"/>
      <c r="AM98" s="363"/>
      <c r="AN98" s="363"/>
      <c r="AO98" s="363"/>
      <c r="AP98" s="363"/>
      <c r="AQ98" s="363"/>
      <c r="AR98" s="363"/>
      <c r="AS98" s="363"/>
      <c r="AT98" s="363"/>
      <c r="AU98" s="363"/>
      <c r="AV98" s="363"/>
      <c r="AW98" s="363"/>
      <c r="AX98" s="363"/>
      <c r="AY98" s="363"/>
      <c r="AZ98" s="363"/>
      <c r="BA98" s="363"/>
      <c r="BB98" s="363"/>
      <c r="BC98" s="363"/>
      <c r="BD98" s="363"/>
      <c r="BE98" s="363"/>
      <c r="BF98" s="363"/>
      <c r="BG98" s="363"/>
      <c r="BH98" s="363"/>
    </row>
    <row r="99" spans="1:60" ht="15.75" customHeight="1" x14ac:dyDescent="0.25">
      <c r="A99" s="363"/>
      <c r="B99" s="363"/>
      <c r="C99" s="363"/>
      <c r="D99" s="363"/>
      <c r="E99" s="363"/>
      <c r="F99" s="363"/>
      <c r="G99" s="363"/>
      <c r="H99" s="363"/>
      <c r="I99" s="363"/>
      <c r="J99" s="363"/>
      <c r="K99" s="363"/>
      <c r="L99" s="363"/>
      <c r="M99" s="363"/>
      <c r="N99" s="363"/>
      <c r="O99" s="363"/>
      <c r="P99" s="363"/>
      <c r="Q99" s="363"/>
      <c r="R99" s="363"/>
      <c r="S99" s="363"/>
      <c r="T99" s="363"/>
      <c r="U99" s="363"/>
      <c r="V99" s="363"/>
      <c r="W99" s="363"/>
      <c r="X99" s="363"/>
      <c r="Y99" s="363"/>
      <c r="Z99" s="363"/>
      <c r="AA99" s="363"/>
      <c r="AB99" s="363"/>
      <c r="AC99" s="363"/>
      <c r="AD99" s="363"/>
      <c r="AE99" s="363"/>
      <c r="AF99" s="363"/>
      <c r="AG99" s="363"/>
      <c r="AH99" s="363"/>
      <c r="AI99" s="363"/>
      <c r="AJ99" s="363"/>
      <c r="AK99" s="363"/>
      <c r="AL99" s="363"/>
      <c r="AM99" s="363"/>
      <c r="AN99" s="363"/>
      <c r="AO99" s="363"/>
      <c r="AP99" s="363"/>
      <c r="AQ99" s="363"/>
      <c r="AR99" s="363"/>
      <c r="AS99" s="363"/>
      <c r="AT99" s="363"/>
      <c r="AU99" s="363"/>
      <c r="AV99" s="363"/>
      <c r="AW99" s="363"/>
      <c r="AX99" s="363"/>
      <c r="AY99" s="363"/>
      <c r="AZ99" s="363"/>
      <c r="BA99" s="363"/>
      <c r="BB99" s="363"/>
      <c r="BC99" s="363"/>
      <c r="BD99" s="363"/>
      <c r="BE99" s="363"/>
      <c r="BF99" s="363"/>
      <c r="BG99" s="363"/>
      <c r="BH99" s="363"/>
    </row>
    <row r="100" spans="1:60" ht="15.75" customHeight="1" x14ac:dyDescent="0.25">
      <c r="A100" s="363"/>
      <c r="B100" s="363"/>
      <c r="C100" s="363"/>
      <c r="D100" s="363"/>
      <c r="E100" s="363"/>
      <c r="F100" s="363"/>
      <c r="G100" s="363"/>
      <c r="H100" s="363"/>
      <c r="I100" s="363"/>
      <c r="J100" s="363"/>
      <c r="K100" s="363"/>
      <c r="L100" s="363"/>
      <c r="M100" s="363"/>
      <c r="N100" s="363"/>
      <c r="O100" s="363"/>
      <c r="P100" s="363"/>
      <c r="Q100" s="363"/>
      <c r="R100" s="363"/>
      <c r="S100" s="363"/>
      <c r="T100" s="363"/>
      <c r="U100" s="363"/>
      <c r="V100" s="363"/>
      <c r="W100" s="363"/>
      <c r="X100" s="363"/>
      <c r="Y100" s="363"/>
      <c r="Z100" s="363"/>
      <c r="AA100" s="363"/>
      <c r="AB100" s="363"/>
      <c r="AC100" s="363"/>
      <c r="AD100" s="363"/>
      <c r="AE100" s="363"/>
      <c r="AF100" s="363"/>
      <c r="AG100" s="363"/>
      <c r="AH100" s="363"/>
      <c r="AI100" s="363"/>
      <c r="AJ100" s="363"/>
      <c r="AK100" s="363"/>
      <c r="AL100" s="363"/>
      <c r="AM100" s="363"/>
      <c r="AN100" s="363"/>
      <c r="AO100" s="363"/>
      <c r="AP100" s="363"/>
      <c r="AQ100" s="363"/>
      <c r="AR100" s="363"/>
      <c r="AS100" s="363"/>
      <c r="AT100" s="363"/>
      <c r="AU100" s="363"/>
      <c r="AV100" s="363"/>
      <c r="AW100" s="363"/>
      <c r="AX100" s="363"/>
      <c r="AY100" s="363"/>
      <c r="AZ100" s="363"/>
      <c r="BA100" s="363"/>
      <c r="BB100" s="363"/>
      <c r="BC100" s="363"/>
      <c r="BD100" s="363"/>
      <c r="BE100" s="363"/>
      <c r="BF100" s="363"/>
      <c r="BG100" s="363"/>
      <c r="BH100" s="363"/>
    </row>
    <row r="101" spans="1:60" ht="15.75" customHeight="1" x14ac:dyDescent="0.25">
      <c r="A101" s="363"/>
      <c r="B101" s="363"/>
      <c r="C101" s="363"/>
      <c r="D101" s="363"/>
      <c r="E101" s="363"/>
      <c r="F101" s="363"/>
      <c r="G101" s="363"/>
      <c r="H101" s="363"/>
      <c r="I101" s="363"/>
      <c r="J101" s="363"/>
      <c r="K101" s="363"/>
      <c r="L101" s="363"/>
      <c r="M101" s="363"/>
      <c r="N101" s="363"/>
      <c r="O101" s="363"/>
      <c r="P101" s="363"/>
      <c r="Q101" s="363"/>
      <c r="R101" s="363"/>
      <c r="S101" s="363"/>
      <c r="T101" s="363"/>
      <c r="U101" s="363"/>
      <c r="V101" s="363"/>
      <c r="W101" s="363"/>
      <c r="X101" s="363"/>
      <c r="Y101" s="363"/>
      <c r="Z101" s="363"/>
      <c r="AA101" s="363"/>
      <c r="AB101" s="363"/>
      <c r="AC101" s="363"/>
      <c r="AD101" s="363"/>
      <c r="AE101" s="363"/>
      <c r="AF101" s="363"/>
      <c r="AG101" s="363"/>
      <c r="AH101" s="363"/>
      <c r="AI101" s="363"/>
      <c r="AJ101" s="363"/>
      <c r="AK101" s="363"/>
      <c r="AL101" s="363"/>
      <c r="AM101" s="363"/>
      <c r="AN101" s="363"/>
      <c r="AO101" s="363"/>
      <c r="AP101" s="363"/>
      <c r="AQ101" s="363"/>
      <c r="AR101" s="363"/>
      <c r="AS101" s="363"/>
      <c r="AT101" s="363"/>
      <c r="AU101" s="363"/>
      <c r="AV101" s="363"/>
      <c r="AW101" s="363"/>
      <c r="AX101" s="363"/>
      <c r="AY101" s="363"/>
      <c r="AZ101" s="363"/>
      <c r="BA101" s="363"/>
      <c r="BB101" s="363"/>
      <c r="BC101" s="363"/>
      <c r="BD101" s="363"/>
      <c r="BE101" s="363"/>
      <c r="BF101" s="363"/>
      <c r="BG101" s="363"/>
      <c r="BH101" s="363"/>
    </row>
    <row r="102" spans="1:60" ht="15.75" customHeight="1" x14ac:dyDescent="0.25">
      <c r="A102" s="363"/>
      <c r="B102" s="363"/>
      <c r="C102" s="363"/>
      <c r="D102" s="363"/>
      <c r="E102" s="363"/>
      <c r="F102" s="363"/>
      <c r="G102" s="363"/>
      <c r="H102" s="363"/>
      <c r="I102" s="363"/>
      <c r="J102" s="363"/>
      <c r="K102" s="363"/>
      <c r="L102" s="363"/>
      <c r="M102" s="363"/>
      <c r="N102" s="363"/>
      <c r="O102" s="363"/>
      <c r="P102" s="363"/>
      <c r="Q102" s="363"/>
      <c r="R102" s="363"/>
      <c r="S102" s="363"/>
      <c r="T102" s="363"/>
      <c r="U102" s="363"/>
      <c r="V102" s="363"/>
      <c r="W102" s="363"/>
      <c r="X102" s="363"/>
      <c r="Y102" s="363"/>
      <c r="Z102" s="363"/>
      <c r="AA102" s="363"/>
      <c r="AB102" s="363"/>
      <c r="AC102" s="363"/>
      <c r="AD102" s="363"/>
      <c r="AE102" s="363"/>
      <c r="AF102" s="363"/>
      <c r="AG102" s="363"/>
      <c r="AH102" s="363"/>
      <c r="AI102" s="363"/>
      <c r="AJ102" s="363"/>
      <c r="AK102" s="363"/>
      <c r="AL102" s="363"/>
      <c r="AM102" s="363"/>
      <c r="AN102" s="363"/>
      <c r="AO102" s="363"/>
      <c r="AP102" s="363"/>
      <c r="AQ102" s="363"/>
      <c r="AR102" s="363"/>
      <c r="AS102" s="363"/>
      <c r="AT102" s="363"/>
      <c r="AU102" s="363"/>
      <c r="AV102" s="363"/>
      <c r="AW102" s="363"/>
      <c r="AX102" s="363"/>
      <c r="AY102" s="363"/>
      <c r="AZ102" s="363"/>
      <c r="BA102" s="363"/>
      <c r="BB102" s="363"/>
      <c r="BC102" s="363"/>
      <c r="BD102" s="363"/>
      <c r="BE102" s="363"/>
      <c r="BF102" s="363"/>
      <c r="BG102" s="363"/>
      <c r="BH102" s="363"/>
    </row>
    <row r="103" spans="1:60" ht="15.75" customHeight="1" x14ac:dyDescent="0.25">
      <c r="A103" s="363"/>
      <c r="B103" s="363"/>
      <c r="C103" s="363"/>
      <c r="D103" s="363"/>
      <c r="E103" s="363"/>
      <c r="F103" s="363"/>
      <c r="G103" s="363"/>
      <c r="H103" s="363"/>
      <c r="I103" s="363"/>
      <c r="J103" s="363"/>
      <c r="K103" s="363"/>
      <c r="L103" s="363"/>
      <c r="M103" s="363"/>
      <c r="N103" s="363"/>
      <c r="O103" s="363"/>
      <c r="P103" s="363"/>
      <c r="Q103" s="363"/>
      <c r="R103" s="363"/>
      <c r="S103" s="363"/>
      <c r="T103" s="363"/>
      <c r="U103" s="363"/>
      <c r="V103" s="363"/>
      <c r="W103" s="363"/>
      <c r="X103" s="363"/>
      <c r="Y103" s="363"/>
      <c r="Z103" s="363"/>
      <c r="AA103" s="363"/>
      <c r="AB103" s="363"/>
      <c r="AC103" s="363"/>
      <c r="AD103" s="363"/>
      <c r="AE103" s="363"/>
      <c r="AF103" s="363"/>
      <c r="AG103" s="363"/>
      <c r="AH103" s="363"/>
      <c r="AI103" s="363"/>
      <c r="AJ103" s="363"/>
      <c r="AK103" s="363"/>
      <c r="AL103" s="363"/>
      <c r="AM103" s="363"/>
      <c r="AN103" s="363"/>
      <c r="AO103" s="363"/>
      <c r="AP103" s="363"/>
      <c r="AQ103" s="363"/>
      <c r="AR103" s="363"/>
      <c r="AS103" s="363"/>
      <c r="AT103" s="363"/>
      <c r="AU103" s="363"/>
      <c r="AV103" s="363"/>
      <c r="AW103" s="363"/>
      <c r="AX103" s="363"/>
      <c r="AY103" s="363"/>
      <c r="AZ103" s="363"/>
      <c r="BA103" s="363"/>
      <c r="BB103" s="363"/>
      <c r="BC103" s="363"/>
      <c r="BD103" s="363"/>
      <c r="BE103" s="363"/>
      <c r="BF103" s="363"/>
      <c r="BG103" s="363"/>
      <c r="BH103" s="363"/>
    </row>
    <row r="104" spans="1:60" ht="15.75" customHeight="1" x14ac:dyDescent="0.25">
      <c r="A104" s="363"/>
      <c r="B104" s="363"/>
      <c r="C104" s="363"/>
      <c r="D104" s="363"/>
      <c r="E104" s="363"/>
      <c r="F104" s="363"/>
      <c r="G104" s="363"/>
      <c r="H104" s="363"/>
      <c r="I104" s="363"/>
      <c r="J104" s="363"/>
      <c r="K104" s="363"/>
      <c r="L104" s="363"/>
      <c r="M104" s="363"/>
      <c r="N104" s="363"/>
      <c r="O104" s="363"/>
      <c r="P104" s="363"/>
      <c r="Q104" s="363"/>
      <c r="R104" s="363"/>
      <c r="S104" s="363"/>
      <c r="T104" s="363"/>
      <c r="U104" s="363"/>
      <c r="V104" s="363"/>
      <c r="W104" s="363"/>
      <c r="X104" s="363"/>
      <c r="Y104" s="363"/>
      <c r="Z104" s="363"/>
      <c r="AA104" s="363"/>
      <c r="AB104" s="363"/>
      <c r="AC104" s="363"/>
      <c r="AD104" s="363"/>
      <c r="AE104" s="363"/>
      <c r="AF104" s="363"/>
      <c r="AG104" s="363"/>
      <c r="AH104" s="363"/>
      <c r="AI104" s="363"/>
      <c r="AJ104" s="363"/>
      <c r="AK104" s="363"/>
      <c r="AL104" s="363"/>
      <c r="AM104" s="363"/>
      <c r="AN104" s="363"/>
      <c r="AO104" s="363"/>
      <c r="AP104" s="363"/>
      <c r="AQ104" s="363"/>
      <c r="AR104" s="363"/>
      <c r="AS104" s="363"/>
      <c r="AT104" s="363"/>
      <c r="AU104" s="363"/>
      <c r="AV104" s="363"/>
      <c r="AW104" s="363"/>
      <c r="AX104" s="363"/>
      <c r="AY104" s="363"/>
      <c r="AZ104" s="363"/>
      <c r="BA104" s="363"/>
      <c r="BB104" s="363"/>
      <c r="BC104" s="363"/>
      <c r="BD104" s="363"/>
      <c r="BE104" s="363"/>
      <c r="BF104" s="363"/>
      <c r="BG104" s="363"/>
      <c r="BH104" s="363"/>
    </row>
    <row r="105" spans="1:60" ht="15.75" customHeight="1" x14ac:dyDescent="0.25">
      <c r="A105" s="363"/>
      <c r="B105" s="363"/>
      <c r="C105" s="363"/>
      <c r="D105" s="363"/>
      <c r="E105" s="363"/>
      <c r="F105" s="363"/>
      <c r="G105" s="363"/>
      <c r="H105" s="363"/>
      <c r="I105" s="363"/>
      <c r="J105" s="363"/>
      <c r="K105" s="363"/>
      <c r="L105" s="363"/>
      <c r="M105" s="363"/>
      <c r="N105" s="363"/>
      <c r="O105" s="363"/>
      <c r="P105" s="363"/>
      <c r="Q105" s="363"/>
      <c r="R105" s="363"/>
      <c r="S105" s="363"/>
      <c r="T105" s="363"/>
      <c r="U105" s="363"/>
      <c r="V105" s="363"/>
      <c r="W105" s="363"/>
      <c r="X105" s="363"/>
      <c r="Y105" s="363"/>
      <c r="Z105" s="363"/>
      <c r="AA105" s="363"/>
      <c r="AB105" s="363"/>
      <c r="AC105" s="363"/>
      <c r="AD105" s="363"/>
      <c r="AE105" s="363"/>
      <c r="AF105" s="363"/>
      <c r="AG105" s="363"/>
      <c r="AH105" s="363"/>
      <c r="AI105" s="363"/>
      <c r="AJ105" s="363"/>
      <c r="AK105" s="363"/>
      <c r="AL105" s="363"/>
      <c r="AM105" s="363"/>
      <c r="AN105" s="363"/>
      <c r="AO105" s="363"/>
      <c r="AP105" s="363"/>
      <c r="AQ105" s="363"/>
      <c r="AR105" s="363"/>
      <c r="AS105" s="363"/>
      <c r="AT105" s="363"/>
      <c r="AU105" s="363"/>
      <c r="AV105" s="363"/>
      <c r="AW105" s="363"/>
      <c r="AX105" s="363"/>
      <c r="AY105" s="363"/>
      <c r="AZ105" s="363"/>
      <c r="BA105" s="363"/>
      <c r="BB105" s="363"/>
      <c r="BC105" s="363"/>
      <c r="BD105" s="363"/>
      <c r="BE105" s="363"/>
      <c r="BF105" s="363"/>
      <c r="BG105" s="363"/>
      <c r="BH105" s="363"/>
    </row>
    <row r="106" spans="1:60" ht="15.75" customHeight="1" x14ac:dyDescent="0.25">
      <c r="A106" s="363"/>
      <c r="B106" s="363"/>
      <c r="C106" s="363"/>
      <c r="D106" s="363"/>
      <c r="E106" s="363"/>
      <c r="F106" s="363"/>
      <c r="G106" s="363"/>
      <c r="H106" s="363"/>
      <c r="I106" s="363"/>
      <c r="J106" s="363"/>
      <c r="K106" s="363"/>
      <c r="L106" s="363"/>
      <c r="M106" s="363"/>
      <c r="N106" s="363"/>
      <c r="O106" s="363"/>
      <c r="P106" s="363"/>
      <c r="Q106" s="363"/>
      <c r="R106" s="363"/>
      <c r="S106" s="363"/>
      <c r="T106" s="363"/>
      <c r="U106" s="363"/>
      <c r="V106" s="363"/>
      <c r="W106" s="363"/>
      <c r="X106" s="363"/>
      <c r="Y106" s="363"/>
      <c r="Z106" s="363"/>
      <c r="AA106" s="363"/>
      <c r="AB106" s="363"/>
      <c r="AC106" s="363"/>
      <c r="AD106" s="363"/>
      <c r="AE106" s="363"/>
      <c r="AF106" s="363"/>
      <c r="AG106" s="363"/>
      <c r="AH106" s="363"/>
      <c r="AI106" s="363"/>
      <c r="AJ106" s="363"/>
      <c r="AK106" s="363"/>
      <c r="AL106" s="363"/>
      <c r="AM106" s="363"/>
      <c r="AN106" s="363"/>
      <c r="AO106" s="363"/>
      <c r="AP106" s="363"/>
      <c r="AQ106" s="363"/>
      <c r="AR106" s="363"/>
      <c r="AS106" s="363"/>
      <c r="AT106" s="363"/>
      <c r="AU106" s="363"/>
      <c r="AV106" s="363"/>
      <c r="AW106" s="363"/>
      <c r="AX106" s="363"/>
      <c r="AY106" s="363"/>
      <c r="AZ106" s="363"/>
      <c r="BA106" s="363"/>
      <c r="BB106" s="363"/>
      <c r="BC106" s="363"/>
      <c r="BD106" s="363"/>
      <c r="BE106" s="363"/>
      <c r="BF106" s="363"/>
      <c r="BG106" s="363"/>
      <c r="BH106" s="363"/>
    </row>
    <row r="107" spans="1:60" ht="15.75" customHeight="1" x14ac:dyDescent="0.25">
      <c r="A107" s="363"/>
      <c r="B107" s="363"/>
      <c r="C107" s="363"/>
      <c r="D107" s="363"/>
      <c r="E107" s="363"/>
      <c r="F107" s="363"/>
      <c r="G107" s="363"/>
      <c r="H107" s="363"/>
      <c r="I107" s="363"/>
      <c r="J107" s="363"/>
      <c r="K107" s="363"/>
      <c r="L107" s="363"/>
      <c r="M107" s="363"/>
      <c r="N107" s="363"/>
      <c r="O107" s="363"/>
      <c r="P107" s="363"/>
      <c r="Q107" s="363"/>
      <c r="R107" s="363"/>
      <c r="S107" s="363"/>
      <c r="T107" s="363"/>
      <c r="U107" s="363"/>
      <c r="V107" s="363"/>
      <c r="W107" s="363"/>
      <c r="X107" s="363"/>
      <c r="Y107" s="363"/>
      <c r="Z107" s="363"/>
      <c r="AA107" s="363"/>
      <c r="AB107" s="363"/>
      <c r="AC107" s="363"/>
      <c r="AD107" s="363"/>
      <c r="AE107" s="363"/>
      <c r="AF107" s="363"/>
      <c r="AG107" s="363"/>
      <c r="AH107" s="363"/>
      <c r="AI107" s="363"/>
      <c r="AJ107" s="363"/>
      <c r="AK107" s="363"/>
      <c r="AL107" s="363"/>
      <c r="AM107" s="363"/>
      <c r="AN107" s="363"/>
      <c r="AO107" s="363"/>
      <c r="AP107" s="363"/>
      <c r="AQ107" s="363"/>
      <c r="AR107" s="363"/>
      <c r="AS107" s="363"/>
      <c r="AT107" s="363"/>
      <c r="AU107" s="363"/>
      <c r="AV107" s="363"/>
      <c r="AW107" s="363"/>
      <c r="AX107" s="363"/>
      <c r="AY107" s="363"/>
      <c r="AZ107" s="363"/>
      <c r="BA107" s="363"/>
      <c r="BB107" s="363"/>
      <c r="BC107" s="363"/>
      <c r="BD107" s="363"/>
      <c r="BE107" s="363"/>
      <c r="BF107" s="363"/>
      <c r="BG107" s="363"/>
      <c r="BH107" s="363"/>
    </row>
    <row r="108" spans="1:60" ht="15.75" customHeight="1" x14ac:dyDescent="0.25">
      <c r="A108" s="363"/>
      <c r="B108" s="363"/>
      <c r="C108" s="363"/>
      <c r="D108" s="363"/>
      <c r="E108" s="363"/>
      <c r="F108" s="363"/>
      <c r="G108" s="363"/>
      <c r="H108" s="363"/>
      <c r="I108" s="363"/>
      <c r="J108" s="363"/>
      <c r="K108" s="363"/>
      <c r="L108" s="363"/>
      <c r="M108" s="363"/>
      <c r="N108" s="363"/>
      <c r="O108" s="363"/>
      <c r="P108" s="363"/>
      <c r="Q108" s="363"/>
      <c r="R108" s="363"/>
      <c r="S108" s="363"/>
      <c r="T108" s="363"/>
      <c r="U108" s="363"/>
      <c r="V108" s="363"/>
      <c r="W108" s="363"/>
      <c r="X108" s="363"/>
      <c r="Y108" s="363"/>
      <c r="Z108" s="363"/>
      <c r="AA108" s="363"/>
      <c r="AB108" s="363"/>
      <c r="AC108" s="363"/>
      <c r="AD108" s="363"/>
      <c r="AE108" s="363"/>
      <c r="AF108" s="363"/>
      <c r="AG108" s="363"/>
      <c r="AH108" s="363"/>
      <c r="AI108" s="363"/>
      <c r="AJ108" s="363"/>
      <c r="AK108" s="363"/>
      <c r="AL108" s="363"/>
      <c r="AM108" s="363"/>
      <c r="AN108" s="363"/>
      <c r="AO108" s="363"/>
      <c r="AP108" s="363"/>
      <c r="AQ108" s="363"/>
      <c r="AR108" s="363"/>
      <c r="AS108" s="363"/>
      <c r="AT108" s="363"/>
      <c r="AU108" s="363"/>
      <c r="AV108" s="363"/>
      <c r="AW108" s="363"/>
      <c r="AX108" s="363"/>
      <c r="AY108" s="363"/>
      <c r="AZ108" s="363"/>
      <c r="BA108" s="363"/>
      <c r="BB108" s="363"/>
      <c r="BC108" s="363"/>
      <c r="BD108" s="363"/>
      <c r="BE108" s="363"/>
      <c r="BF108" s="363"/>
      <c r="BG108" s="363"/>
      <c r="BH108" s="363"/>
    </row>
    <row r="109" spans="1:60" ht="15.75" customHeight="1" x14ac:dyDescent="0.25">
      <c r="A109" s="363"/>
      <c r="B109" s="363"/>
      <c r="C109" s="363"/>
      <c r="D109" s="363"/>
      <c r="E109" s="363"/>
      <c r="F109" s="363"/>
      <c r="G109" s="363"/>
      <c r="H109" s="363"/>
      <c r="I109" s="363"/>
      <c r="J109" s="363"/>
      <c r="K109" s="363"/>
      <c r="L109" s="363"/>
      <c r="M109" s="363"/>
      <c r="N109" s="363"/>
      <c r="O109" s="363"/>
      <c r="P109" s="363"/>
      <c r="Q109" s="363"/>
      <c r="R109" s="363"/>
      <c r="S109" s="363"/>
      <c r="T109" s="363"/>
      <c r="U109" s="363"/>
      <c r="V109" s="363"/>
      <c r="W109" s="363"/>
      <c r="X109" s="363"/>
      <c r="Y109" s="363"/>
      <c r="Z109" s="363"/>
      <c r="AA109" s="363"/>
      <c r="AB109" s="363"/>
      <c r="AC109" s="363"/>
      <c r="AD109" s="363"/>
      <c r="AE109" s="363"/>
      <c r="AF109" s="363"/>
      <c r="AG109" s="363"/>
      <c r="AH109" s="363"/>
      <c r="AI109" s="363"/>
      <c r="AJ109" s="363"/>
      <c r="AK109" s="363"/>
      <c r="AL109" s="363"/>
      <c r="AM109" s="363"/>
      <c r="AN109" s="363"/>
      <c r="AO109" s="363"/>
      <c r="AP109" s="363"/>
      <c r="AQ109" s="363"/>
      <c r="AR109" s="363"/>
      <c r="AS109" s="363"/>
      <c r="AT109" s="363"/>
      <c r="AU109" s="363"/>
      <c r="AV109" s="363"/>
      <c r="AW109" s="363"/>
      <c r="AX109" s="363"/>
      <c r="AY109" s="363"/>
      <c r="AZ109" s="363"/>
      <c r="BA109" s="363"/>
      <c r="BB109" s="363"/>
      <c r="BC109" s="363"/>
      <c r="BD109" s="363"/>
      <c r="BE109" s="363"/>
      <c r="BF109" s="363"/>
      <c r="BG109" s="363"/>
      <c r="BH109" s="363"/>
    </row>
    <row r="110" spans="1:60" ht="15.75" customHeight="1" x14ac:dyDescent="0.25">
      <c r="A110" s="363"/>
      <c r="B110" s="363"/>
      <c r="C110" s="363"/>
      <c r="D110" s="363"/>
      <c r="E110" s="363"/>
      <c r="F110" s="363"/>
      <c r="G110" s="363"/>
      <c r="H110" s="363"/>
      <c r="I110" s="363"/>
      <c r="J110" s="363"/>
      <c r="K110" s="363"/>
      <c r="L110" s="363"/>
      <c r="M110" s="363"/>
      <c r="N110" s="363"/>
      <c r="O110" s="363"/>
      <c r="P110" s="363"/>
      <c r="Q110" s="363"/>
      <c r="R110" s="363"/>
      <c r="S110" s="363"/>
      <c r="T110" s="363"/>
      <c r="U110" s="363"/>
      <c r="V110" s="363"/>
      <c r="W110" s="363"/>
      <c r="X110" s="363"/>
      <c r="Y110" s="363"/>
      <c r="Z110" s="363"/>
      <c r="AA110" s="363"/>
      <c r="AB110" s="363"/>
      <c r="AC110" s="363"/>
      <c r="AD110" s="363"/>
      <c r="AE110" s="363"/>
      <c r="AF110" s="363"/>
      <c r="AG110" s="363"/>
      <c r="AH110" s="363"/>
      <c r="AI110" s="363"/>
      <c r="AJ110" s="363"/>
      <c r="AK110" s="363"/>
      <c r="AL110" s="363"/>
      <c r="AM110" s="363"/>
      <c r="AN110" s="363"/>
      <c r="AO110" s="363"/>
      <c r="AP110" s="363"/>
      <c r="AQ110" s="363"/>
      <c r="AR110" s="363"/>
      <c r="AS110" s="363"/>
      <c r="AT110" s="363"/>
      <c r="AU110" s="363"/>
      <c r="AV110" s="363"/>
      <c r="AW110" s="363"/>
      <c r="AX110" s="363"/>
      <c r="AY110" s="363"/>
      <c r="AZ110" s="363"/>
      <c r="BA110" s="363"/>
      <c r="BB110" s="363"/>
      <c r="BC110" s="363"/>
      <c r="BD110" s="363"/>
      <c r="BE110" s="363"/>
      <c r="BF110" s="363"/>
      <c r="BG110" s="363"/>
      <c r="BH110" s="363"/>
    </row>
    <row r="111" spans="1:60" ht="15.75" customHeight="1" x14ac:dyDescent="0.25">
      <c r="A111" s="363"/>
      <c r="B111" s="363"/>
      <c r="C111" s="363"/>
      <c r="D111" s="363"/>
      <c r="E111" s="363"/>
      <c r="F111" s="363"/>
      <c r="G111" s="363"/>
      <c r="H111" s="363"/>
      <c r="I111" s="363"/>
      <c r="J111" s="363"/>
      <c r="K111" s="363"/>
      <c r="L111" s="363"/>
      <c r="M111" s="363"/>
      <c r="N111" s="363"/>
      <c r="O111" s="363"/>
      <c r="P111" s="363"/>
      <c r="Q111" s="363"/>
      <c r="R111" s="363"/>
      <c r="S111" s="363"/>
      <c r="T111" s="363"/>
      <c r="U111" s="363"/>
      <c r="V111" s="363"/>
      <c r="W111" s="363"/>
      <c r="X111" s="363"/>
      <c r="Y111" s="363"/>
      <c r="Z111" s="363"/>
      <c r="AA111" s="363"/>
      <c r="AB111" s="363"/>
      <c r="AC111" s="363"/>
      <c r="AD111" s="363"/>
      <c r="AE111" s="363"/>
      <c r="AF111" s="363"/>
      <c r="AG111" s="363"/>
      <c r="AH111" s="363"/>
      <c r="AI111" s="363"/>
      <c r="AJ111" s="363"/>
      <c r="AK111" s="363"/>
      <c r="AL111" s="363"/>
      <c r="AM111" s="363"/>
      <c r="AN111" s="363"/>
      <c r="AO111" s="363"/>
      <c r="AP111" s="363"/>
      <c r="AQ111" s="363"/>
      <c r="AR111" s="363"/>
      <c r="AS111" s="363"/>
      <c r="AT111" s="363"/>
      <c r="AU111" s="363"/>
      <c r="AV111" s="363"/>
      <c r="AW111" s="363"/>
      <c r="AX111" s="363"/>
      <c r="AY111" s="363"/>
      <c r="AZ111" s="363"/>
      <c r="BA111" s="363"/>
      <c r="BB111" s="363"/>
      <c r="BC111" s="363"/>
      <c r="BD111" s="363"/>
      <c r="BE111" s="363"/>
      <c r="BF111" s="363"/>
      <c r="BG111" s="363"/>
      <c r="BH111" s="363"/>
    </row>
    <row r="112" spans="1:60" ht="15.75" customHeight="1" x14ac:dyDescent="0.25">
      <c r="A112" s="363"/>
      <c r="B112" s="363"/>
      <c r="C112" s="363"/>
      <c r="D112" s="363"/>
      <c r="E112" s="363"/>
      <c r="F112" s="363"/>
      <c r="G112" s="363"/>
      <c r="H112" s="363"/>
      <c r="I112" s="363"/>
      <c r="J112" s="363"/>
      <c r="K112" s="363"/>
      <c r="L112" s="363"/>
      <c r="M112" s="363"/>
      <c r="N112" s="363"/>
      <c r="O112" s="363"/>
      <c r="P112" s="363"/>
      <c r="Q112" s="363"/>
      <c r="R112" s="363"/>
      <c r="S112" s="363"/>
      <c r="T112" s="363"/>
      <c r="U112" s="363"/>
      <c r="V112" s="363"/>
      <c r="W112" s="363"/>
      <c r="X112" s="363"/>
      <c r="Y112" s="363"/>
      <c r="Z112" s="363"/>
      <c r="AA112" s="363"/>
      <c r="AB112" s="363"/>
      <c r="AC112" s="363"/>
      <c r="AD112" s="363"/>
      <c r="AE112" s="363"/>
      <c r="AF112" s="363"/>
      <c r="AG112" s="363"/>
      <c r="AH112" s="363"/>
      <c r="AI112" s="363"/>
      <c r="AJ112" s="363"/>
      <c r="AK112" s="363"/>
      <c r="AL112" s="363"/>
      <c r="AM112" s="363"/>
      <c r="AN112" s="363"/>
      <c r="AO112" s="363"/>
      <c r="AP112" s="363"/>
      <c r="AQ112" s="363"/>
      <c r="AR112" s="363"/>
      <c r="AS112" s="363"/>
      <c r="AT112" s="363"/>
      <c r="AU112" s="363"/>
      <c r="AV112" s="363"/>
      <c r="AW112" s="363"/>
      <c r="AX112" s="363"/>
      <c r="AY112" s="363"/>
      <c r="AZ112" s="363"/>
      <c r="BA112" s="363"/>
      <c r="BB112" s="363"/>
      <c r="BC112" s="363"/>
      <c r="BD112" s="363"/>
      <c r="BE112" s="363"/>
      <c r="BF112" s="363"/>
      <c r="BG112" s="363"/>
      <c r="BH112" s="363"/>
    </row>
    <row r="113" spans="1:60" ht="15.75" customHeight="1" x14ac:dyDescent="0.25">
      <c r="A113" s="363"/>
      <c r="B113" s="363"/>
      <c r="C113" s="363"/>
      <c r="D113" s="363"/>
      <c r="E113" s="363"/>
      <c r="F113" s="363"/>
      <c r="G113" s="363"/>
      <c r="H113" s="363"/>
      <c r="I113" s="363"/>
      <c r="J113" s="363"/>
      <c r="K113" s="363"/>
      <c r="L113" s="363"/>
      <c r="M113" s="363"/>
      <c r="N113" s="363"/>
      <c r="O113" s="363"/>
      <c r="P113" s="363"/>
      <c r="Q113" s="363"/>
      <c r="R113" s="363"/>
      <c r="S113" s="363"/>
      <c r="T113" s="363"/>
      <c r="U113" s="363"/>
      <c r="V113" s="363"/>
      <c r="W113" s="363"/>
      <c r="X113" s="363"/>
      <c r="Y113" s="363"/>
      <c r="Z113" s="363"/>
      <c r="AA113" s="363"/>
      <c r="AB113" s="363"/>
      <c r="AC113" s="363"/>
      <c r="AD113" s="363"/>
      <c r="AE113" s="363"/>
      <c r="AF113" s="363"/>
      <c r="AG113" s="363"/>
      <c r="AH113" s="363"/>
      <c r="AI113" s="363"/>
      <c r="AJ113" s="363"/>
      <c r="AK113" s="363"/>
      <c r="AL113" s="363"/>
      <c r="AM113" s="363"/>
      <c r="AN113" s="363"/>
      <c r="AO113" s="363"/>
      <c r="AP113" s="363"/>
      <c r="AQ113" s="363"/>
      <c r="AR113" s="363"/>
      <c r="AS113" s="363"/>
      <c r="AT113" s="363"/>
      <c r="AU113" s="363"/>
      <c r="AV113" s="363"/>
      <c r="AW113" s="363"/>
      <c r="AX113" s="363"/>
      <c r="AY113" s="363"/>
      <c r="AZ113" s="363"/>
      <c r="BA113" s="363"/>
      <c r="BB113" s="363"/>
      <c r="BC113" s="363"/>
      <c r="BD113" s="363"/>
      <c r="BE113" s="363"/>
      <c r="BF113" s="363"/>
      <c r="BG113" s="363"/>
      <c r="BH113" s="363"/>
    </row>
    <row r="114" spans="1:60" ht="15.75" customHeight="1" x14ac:dyDescent="0.25">
      <c r="A114" s="363"/>
      <c r="B114" s="363"/>
      <c r="C114" s="363"/>
      <c r="D114" s="363"/>
      <c r="E114" s="363"/>
      <c r="F114" s="363"/>
      <c r="G114" s="363"/>
      <c r="H114" s="363"/>
      <c r="I114" s="363"/>
      <c r="J114" s="363"/>
      <c r="K114" s="363"/>
      <c r="L114" s="363"/>
      <c r="M114" s="363"/>
      <c r="N114" s="363"/>
      <c r="O114" s="363"/>
      <c r="P114" s="363"/>
      <c r="Q114" s="363"/>
      <c r="R114" s="363"/>
      <c r="S114" s="363"/>
      <c r="T114" s="363"/>
      <c r="U114" s="363"/>
      <c r="V114" s="363"/>
      <c r="W114" s="363"/>
      <c r="X114" s="363"/>
      <c r="Y114" s="363"/>
      <c r="Z114" s="363"/>
      <c r="AA114" s="363"/>
      <c r="AB114" s="363"/>
      <c r="AC114" s="363"/>
      <c r="AD114" s="363"/>
      <c r="AE114" s="363"/>
      <c r="AF114" s="363"/>
      <c r="AG114" s="363"/>
      <c r="AH114" s="363"/>
      <c r="AI114" s="363"/>
      <c r="AJ114" s="363"/>
      <c r="AK114" s="363"/>
      <c r="AL114" s="363"/>
      <c r="AM114" s="363"/>
      <c r="AN114" s="363"/>
      <c r="AO114" s="363"/>
      <c r="AP114" s="363"/>
      <c r="AQ114" s="363"/>
      <c r="AR114" s="363"/>
      <c r="AS114" s="363"/>
      <c r="AT114" s="363"/>
      <c r="AU114" s="363"/>
      <c r="AV114" s="363"/>
      <c r="AW114" s="363"/>
      <c r="AX114" s="363"/>
      <c r="AY114" s="363"/>
      <c r="AZ114" s="363"/>
      <c r="BA114" s="363"/>
      <c r="BB114" s="363"/>
      <c r="BC114" s="363"/>
      <c r="BD114" s="363"/>
      <c r="BE114" s="363"/>
      <c r="BF114" s="363"/>
      <c r="BG114" s="363"/>
      <c r="BH114" s="363"/>
    </row>
    <row r="115" spans="1:60" ht="15.75" customHeight="1" x14ac:dyDescent="0.25">
      <c r="A115" s="363"/>
      <c r="B115" s="363"/>
      <c r="C115" s="363"/>
      <c r="D115" s="363"/>
      <c r="E115" s="363"/>
      <c r="F115" s="363"/>
      <c r="G115" s="363"/>
      <c r="H115" s="363"/>
      <c r="I115" s="363"/>
      <c r="J115" s="363"/>
      <c r="K115" s="363"/>
      <c r="L115" s="363"/>
      <c r="M115" s="363"/>
      <c r="N115" s="363"/>
      <c r="O115" s="363"/>
      <c r="P115" s="363"/>
      <c r="Q115" s="363"/>
      <c r="R115" s="363"/>
      <c r="S115" s="363"/>
      <c r="T115" s="363"/>
      <c r="U115" s="363"/>
      <c r="V115" s="363"/>
      <c r="W115" s="363"/>
      <c r="X115" s="363"/>
      <c r="Y115" s="363"/>
      <c r="Z115" s="363"/>
      <c r="AA115" s="363"/>
      <c r="AB115" s="363"/>
      <c r="AC115" s="363"/>
      <c r="AD115" s="363"/>
      <c r="AE115" s="363"/>
      <c r="AF115" s="363"/>
      <c r="AG115" s="363"/>
      <c r="AH115" s="363"/>
      <c r="AI115" s="363"/>
      <c r="AJ115" s="363"/>
      <c r="AK115" s="363"/>
      <c r="AL115" s="363"/>
      <c r="AM115" s="363"/>
      <c r="AN115" s="363"/>
      <c r="AO115" s="363"/>
      <c r="AP115" s="363"/>
      <c r="AQ115" s="363"/>
      <c r="AR115" s="363"/>
      <c r="AS115" s="363"/>
      <c r="AT115" s="363"/>
      <c r="AU115" s="363"/>
      <c r="AV115" s="363"/>
      <c r="AW115" s="363"/>
      <c r="AX115" s="363"/>
      <c r="AY115" s="363"/>
      <c r="AZ115" s="363"/>
      <c r="BA115" s="363"/>
      <c r="BB115" s="363"/>
      <c r="BC115" s="363"/>
      <c r="BD115" s="363"/>
      <c r="BE115" s="363"/>
      <c r="BF115" s="363"/>
      <c r="BG115" s="363"/>
      <c r="BH115" s="363"/>
    </row>
    <row r="116" spans="1:60" ht="15.75" customHeight="1" x14ac:dyDescent="0.25">
      <c r="A116" s="363"/>
      <c r="B116" s="363"/>
      <c r="C116" s="363"/>
      <c r="D116" s="363"/>
      <c r="E116" s="363"/>
      <c r="F116" s="363"/>
      <c r="G116" s="363"/>
      <c r="H116" s="363"/>
      <c r="I116" s="363"/>
      <c r="J116" s="363"/>
      <c r="K116" s="363"/>
      <c r="L116" s="363"/>
      <c r="M116" s="363"/>
      <c r="N116" s="363"/>
      <c r="O116" s="363"/>
      <c r="P116" s="363"/>
      <c r="Q116" s="363"/>
      <c r="R116" s="363"/>
      <c r="S116" s="363"/>
      <c r="T116" s="363"/>
      <c r="U116" s="363"/>
      <c r="V116" s="363"/>
      <c r="W116" s="363"/>
      <c r="X116" s="363"/>
      <c r="Y116" s="363"/>
      <c r="Z116" s="363"/>
      <c r="AA116" s="363"/>
      <c r="AB116" s="363"/>
      <c r="AC116" s="363"/>
      <c r="AD116" s="363"/>
      <c r="AE116" s="363"/>
      <c r="AF116" s="363"/>
      <c r="AG116" s="363"/>
      <c r="AH116" s="363"/>
      <c r="AI116" s="363"/>
      <c r="AJ116" s="363"/>
      <c r="AK116" s="363"/>
      <c r="AL116" s="363"/>
      <c r="AM116" s="363"/>
      <c r="AN116" s="363"/>
      <c r="AO116" s="363"/>
      <c r="AP116" s="363"/>
      <c r="AQ116" s="363"/>
      <c r="AR116" s="363"/>
      <c r="AS116" s="363"/>
      <c r="AT116" s="363"/>
      <c r="AU116" s="363"/>
      <c r="AV116" s="363"/>
      <c r="AW116" s="363"/>
      <c r="AX116" s="363"/>
      <c r="AY116" s="363"/>
      <c r="AZ116" s="363"/>
      <c r="BA116" s="363"/>
      <c r="BB116" s="363"/>
      <c r="BC116" s="363"/>
      <c r="BD116" s="363"/>
      <c r="BE116" s="363"/>
      <c r="BF116" s="363"/>
      <c r="BG116" s="363"/>
      <c r="BH116" s="363"/>
    </row>
    <row r="117" spans="1:60" ht="15.75" customHeight="1" x14ac:dyDescent="0.25">
      <c r="A117" s="363"/>
      <c r="B117" s="363"/>
      <c r="C117" s="363"/>
      <c r="D117" s="363"/>
      <c r="E117" s="363"/>
      <c r="F117" s="363"/>
      <c r="G117" s="363"/>
      <c r="H117" s="363"/>
      <c r="I117" s="363"/>
      <c r="J117" s="363"/>
      <c r="K117" s="363"/>
      <c r="L117" s="363"/>
      <c r="M117" s="363"/>
      <c r="N117" s="363"/>
      <c r="O117" s="363"/>
      <c r="P117" s="363"/>
      <c r="Q117" s="363"/>
      <c r="R117" s="363"/>
      <c r="S117" s="363"/>
      <c r="T117" s="363"/>
      <c r="U117" s="363"/>
      <c r="V117" s="363"/>
      <c r="W117" s="363"/>
      <c r="X117" s="363"/>
      <c r="Y117" s="363"/>
      <c r="Z117" s="363"/>
      <c r="AA117" s="363"/>
      <c r="AB117" s="363"/>
      <c r="AC117" s="363"/>
      <c r="AD117" s="363"/>
      <c r="AE117" s="363"/>
      <c r="AF117" s="363"/>
      <c r="AG117" s="363"/>
      <c r="AH117" s="363"/>
      <c r="AI117" s="363"/>
      <c r="AJ117" s="363"/>
      <c r="AK117" s="363"/>
      <c r="AL117" s="363"/>
      <c r="AM117" s="363"/>
      <c r="AN117" s="363"/>
      <c r="AO117" s="363"/>
      <c r="AP117" s="363"/>
      <c r="AQ117" s="363"/>
      <c r="AR117" s="363"/>
      <c r="AS117" s="363"/>
      <c r="AT117" s="363"/>
      <c r="AU117" s="363"/>
      <c r="AV117" s="363"/>
      <c r="AW117" s="363"/>
      <c r="AX117" s="363"/>
      <c r="AY117" s="363"/>
      <c r="AZ117" s="363"/>
      <c r="BA117" s="363"/>
      <c r="BB117" s="363"/>
      <c r="BC117" s="363"/>
      <c r="BD117" s="363"/>
      <c r="BE117" s="363"/>
      <c r="BF117" s="363"/>
      <c r="BG117" s="363"/>
      <c r="BH117" s="363"/>
    </row>
    <row r="118" spans="1:60" ht="15.75" customHeight="1" x14ac:dyDescent="0.25">
      <c r="A118" s="363"/>
      <c r="B118" s="363"/>
      <c r="C118" s="363"/>
      <c r="D118" s="363"/>
      <c r="E118" s="363"/>
      <c r="F118" s="363"/>
      <c r="G118" s="363"/>
      <c r="H118" s="363"/>
      <c r="I118" s="363"/>
      <c r="J118" s="363"/>
      <c r="K118" s="363"/>
      <c r="L118" s="363"/>
      <c r="M118" s="363"/>
      <c r="N118" s="363"/>
      <c r="O118" s="363"/>
      <c r="P118" s="363"/>
      <c r="Q118" s="363"/>
      <c r="R118" s="363"/>
      <c r="S118" s="363"/>
      <c r="T118" s="363"/>
      <c r="U118" s="363"/>
      <c r="V118" s="363"/>
      <c r="W118" s="363"/>
      <c r="X118" s="363"/>
      <c r="Y118" s="363"/>
      <c r="Z118" s="363"/>
      <c r="AA118" s="363"/>
      <c r="AB118" s="363"/>
      <c r="AC118" s="363"/>
      <c r="AD118" s="363"/>
      <c r="AE118" s="363"/>
      <c r="AF118" s="363"/>
      <c r="AG118" s="363"/>
      <c r="AH118" s="363"/>
      <c r="AI118" s="363"/>
      <c r="AJ118" s="363"/>
      <c r="AK118" s="363"/>
      <c r="AL118" s="363"/>
      <c r="AM118" s="363"/>
      <c r="AN118" s="363"/>
      <c r="AO118" s="363"/>
      <c r="AP118" s="363"/>
      <c r="AQ118" s="363"/>
      <c r="AR118" s="363"/>
      <c r="AS118" s="363"/>
      <c r="AT118" s="363"/>
      <c r="AU118" s="363"/>
      <c r="AV118" s="363"/>
      <c r="AW118" s="363"/>
      <c r="AX118" s="363"/>
      <c r="AY118" s="363"/>
      <c r="AZ118" s="363"/>
      <c r="BA118" s="363"/>
      <c r="BB118" s="363"/>
      <c r="BC118" s="363"/>
      <c r="BD118" s="363"/>
      <c r="BE118" s="363"/>
      <c r="BF118" s="363"/>
      <c r="BG118" s="363"/>
      <c r="BH118" s="363"/>
    </row>
    <row r="119" spans="1:60" ht="15.75" customHeight="1" x14ac:dyDescent="0.25">
      <c r="A119" s="363"/>
      <c r="B119" s="363"/>
      <c r="C119" s="363"/>
      <c r="D119" s="363"/>
      <c r="E119" s="363"/>
      <c r="F119" s="363"/>
      <c r="G119" s="363"/>
      <c r="H119" s="363"/>
      <c r="I119" s="363"/>
      <c r="J119" s="363"/>
      <c r="K119" s="363"/>
      <c r="L119" s="363"/>
      <c r="M119" s="363"/>
      <c r="N119" s="363"/>
      <c r="O119" s="363"/>
      <c r="P119" s="363"/>
      <c r="Q119" s="363"/>
      <c r="R119" s="363"/>
      <c r="S119" s="363"/>
      <c r="T119" s="363"/>
      <c r="U119" s="363"/>
      <c r="V119" s="363"/>
      <c r="W119" s="363"/>
      <c r="X119" s="363"/>
      <c r="Y119" s="363"/>
      <c r="Z119" s="363"/>
      <c r="AA119" s="363"/>
      <c r="AB119" s="363"/>
      <c r="AC119" s="363"/>
      <c r="AD119" s="363"/>
      <c r="AE119" s="363"/>
      <c r="AF119" s="363"/>
      <c r="AG119" s="363"/>
      <c r="AH119" s="363"/>
      <c r="AI119" s="363"/>
      <c r="AJ119" s="363"/>
      <c r="AK119" s="363"/>
      <c r="AL119" s="363"/>
      <c r="AM119" s="363"/>
      <c r="AN119" s="363"/>
      <c r="AO119" s="363"/>
      <c r="AP119" s="363"/>
      <c r="AQ119" s="363"/>
      <c r="AR119" s="363"/>
      <c r="AS119" s="363"/>
      <c r="AT119" s="363"/>
      <c r="AU119" s="363"/>
      <c r="AV119" s="363"/>
      <c r="AW119" s="363"/>
      <c r="AX119" s="363"/>
      <c r="AY119" s="363"/>
      <c r="AZ119" s="363"/>
      <c r="BA119" s="363"/>
      <c r="BB119" s="363"/>
      <c r="BC119" s="363"/>
      <c r="BD119" s="363"/>
      <c r="BE119" s="363"/>
      <c r="BF119" s="363"/>
      <c r="BG119" s="363"/>
      <c r="BH119" s="363"/>
    </row>
    <row r="120" spans="1:60" ht="15.75" customHeight="1" x14ac:dyDescent="0.25">
      <c r="A120" s="363"/>
      <c r="B120" s="363"/>
      <c r="C120" s="363"/>
      <c r="D120" s="363"/>
      <c r="E120" s="363"/>
      <c r="F120" s="363"/>
      <c r="G120" s="363"/>
      <c r="H120" s="363"/>
      <c r="I120" s="363"/>
      <c r="J120" s="363"/>
      <c r="K120" s="363"/>
      <c r="L120" s="363"/>
      <c r="M120" s="363"/>
      <c r="N120" s="363"/>
      <c r="O120" s="363"/>
      <c r="P120" s="363"/>
      <c r="Q120" s="363"/>
      <c r="R120" s="363"/>
      <c r="S120" s="363"/>
      <c r="T120" s="363"/>
      <c r="U120" s="363"/>
      <c r="V120" s="363"/>
      <c r="W120" s="363"/>
      <c r="X120" s="363"/>
      <c r="Y120" s="363"/>
      <c r="Z120" s="363"/>
      <c r="AA120" s="363"/>
      <c r="AB120" s="363"/>
      <c r="AC120" s="363"/>
      <c r="AD120" s="363"/>
      <c r="AE120" s="363"/>
      <c r="AF120" s="363"/>
      <c r="AG120" s="363"/>
      <c r="AH120" s="363"/>
      <c r="AI120" s="363"/>
      <c r="AJ120" s="363"/>
      <c r="AK120" s="363"/>
      <c r="AL120" s="363"/>
      <c r="AM120" s="363"/>
      <c r="AN120" s="363"/>
      <c r="AO120" s="363"/>
      <c r="AP120" s="363"/>
      <c r="AQ120" s="363"/>
      <c r="AR120" s="363"/>
      <c r="AS120" s="363"/>
      <c r="AT120" s="363"/>
      <c r="AU120" s="363"/>
      <c r="AV120" s="363"/>
      <c r="AW120" s="363"/>
      <c r="AX120" s="363"/>
      <c r="AY120" s="363"/>
      <c r="AZ120" s="363"/>
      <c r="BA120" s="363"/>
      <c r="BB120" s="363"/>
      <c r="BC120" s="363"/>
      <c r="BD120" s="363"/>
      <c r="BE120" s="363"/>
      <c r="BF120" s="363"/>
      <c r="BG120" s="363"/>
      <c r="BH120" s="363"/>
    </row>
    <row r="121" spans="1:60" ht="15.75" customHeight="1" x14ac:dyDescent="0.25">
      <c r="A121" s="363"/>
      <c r="B121" s="363"/>
      <c r="C121" s="363"/>
      <c r="D121" s="363"/>
      <c r="E121" s="363"/>
      <c r="F121" s="363"/>
      <c r="G121" s="363"/>
      <c r="H121" s="363"/>
      <c r="I121" s="363"/>
      <c r="J121" s="363"/>
      <c r="K121" s="363"/>
      <c r="L121" s="363"/>
      <c r="M121" s="363"/>
      <c r="N121" s="363"/>
      <c r="O121" s="363"/>
      <c r="P121" s="363"/>
      <c r="Q121" s="363"/>
      <c r="R121" s="363"/>
      <c r="S121" s="363"/>
      <c r="T121" s="363"/>
      <c r="U121" s="363"/>
      <c r="V121" s="363"/>
      <c r="W121" s="363"/>
      <c r="X121" s="363"/>
      <c r="Y121" s="363"/>
      <c r="Z121" s="363"/>
      <c r="AA121" s="363"/>
      <c r="AB121" s="363"/>
      <c r="AC121" s="363"/>
      <c r="AD121" s="363"/>
      <c r="AE121" s="363"/>
      <c r="AF121" s="363"/>
      <c r="AG121" s="363"/>
      <c r="AH121" s="363"/>
      <c r="AI121" s="363"/>
      <c r="AJ121" s="363"/>
      <c r="AK121" s="363"/>
      <c r="AL121" s="363"/>
      <c r="AM121" s="363"/>
      <c r="AN121" s="363"/>
      <c r="AO121" s="363"/>
      <c r="AP121" s="363"/>
      <c r="AQ121" s="363"/>
      <c r="AR121" s="363"/>
      <c r="AS121" s="363"/>
      <c r="AT121" s="363"/>
      <c r="AU121" s="363"/>
      <c r="AV121" s="363"/>
      <c r="AW121" s="363"/>
      <c r="AX121" s="363"/>
      <c r="AY121" s="363"/>
      <c r="AZ121" s="363"/>
      <c r="BA121" s="363"/>
      <c r="BB121" s="363"/>
      <c r="BC121" s="363"/>
      <c r="BD121" s="363"/>
      <c r="BE121" s="363"/>
      <c r="BF121" s="363"/>
      <c r="BG121" s="363"/>
      <c r="BH121" s="363"/>
    </row>
    <row r="122" spans="1:60" ht="15.75" customHeight="1" x14ac:dyDescent="0.25">
      <c r="A122" s="363"/>
      <c r="B122" s="363"/>
      <c r="C122" s="363"/>
      <c r="D122" s="363"/>
      <c r="E122" s="363"/>
      <c r="F122" s="363"/>
      <c r="G122" s="363"/>
      <c r="H122" s="363"/>
      <c r="I122" s="363"/>
      <c r="J122" s="363"/>
      <c r="K122" s="363"/>
      <c r="L122" s="363"/>
      <c r="M122" s="363"/>
      <c r="N122" s="363"/>
      <c r="O122" s="363"/>
      <c r="P122" s="363"/>
      <c r="Q122" s="363"/>
      <c r="R122" s="363"/>
      <c r="S122" s="363"/>
      <c r="T122" s="363"/>
      <c r="U122" s="363"/>
      <c r="V122" s="363"/>
      <c r="W122" s="363"/>
      <c r="X122" s="363"/>
      <c r="Y122" s="363"/>
      <c r="Z122" s="363"/>
      <c r="AA122" s="363"/>
      <c r="AB122" s="363"/>
      <c r="AC122" s="363"/>
      <c r="AD122" s="363"/>
      <c r="AE122" s="363"/>
      <c r="AF122" s="363"/>
      <c r="AG122" s="363"/>
      <c r="AH122" s="363"/>
      <c r="AI122" s="363"/>
      <c r="AJ122" s="363"/>
      <c r="AK122" s="363"/>
      <c r="AL122" s="363"/>
      <c r="AM122" s="363"/>
      <c r="AN122" s="363"/>
      <c r="AO122" s="363"/>
      <c r="AP122" s="363"/>
      <c r="AQ122" s="363"/>
      <c r="AR122" s="363"/>
      <c r="AS122" s="363"/>
      <c r="AT122" s="363"/>
      <c r="AU122" s="363"/>
      <c r="AV122" s="363"/>
      <c r="AW122" s="363"/>
      <c r="AX122" s="363"/>
      <c r="AY122" s="363"/>
      <c r="AZ122" s="363"/>
      <c r="BA122" s="363"/>
      <c r="BB122" s="363"/>
      <c r="BC122" s="363"/>
      <c r="BD122" s="363"/>
      <c r="BE122" s="363"/>
      <c r="BF122" s="363"/>
      <c r="BG122" s="363"/>
      <c r="BH122" s="363"/>
    </row>
    <row r="123" spans="1:60" ht="15.75" customHeight="1" x14ac:dyDescent="0.25">
      <c r="A123" s="363"/>
      <c r="B123" s="363"/>
      <c r="C123" s="363"/>
      <c r="D123" s="363"/>
      <c r="E123" s="363"/>
      <c r="F123" s="363"/>
      <c r="G123" s="363"/>
      <c r="H123" s="363"/>
      <c r="I123" s="363"/>
      <c r="J123" s="363"/>
      <c r="K123" s="363"/>
      <c r="L123" s="363"/>
      <c r="M123" s="363"/>
      <c r="N123" s="363"/>
      <c r="O123" s="363"/>
      <c r="P123" s="363"/>
      <c r="Q123" s="363"/>
      <c r="R123" s="363"/>
      <c r="S123" s="363"/>
      <c r="T123" s="363"/>
      <c r="U123" s="363"/>
      <c r="V123" s="363"/>
      <c r="W123" s="363"/>
      <c r="X123" s="363"/>
      <c r="Y123" s="363"/>
      <c r="Z123" s="363"/>
      <c r="AA123" s="363"/>
      <c r="AB123" s="363"/>
      <c r="AC123" s="363"/>
      <c r="AD123" s="363"/>
      <c r="AE123" s="363"/>
      <c r="AF123" s="363"/>
      <c r="AG123" s="363"/>
      <c r="AH123" s="363"/>
      <c r="AI123" s="363"/>
      <c r="AJ123" s="363"/>
      <c r="AK123" s="363"/>
      <c r="AL123" s="363"/>
      <c r="AM123" s="363"/>
      <c r="AN123" s="363"/>
      <c r="AO123" s="363"/>
      <c r="AP123" s="363"/>
      <c r="AQ123" s="363"/>
      <c r="AR123" s="363"/>
      <c r="AS123" s="363"/>
      <c r="AT123" s="363"/>
      <c r="AU123" s="363"/>
      <c r="AV123" s="363"/>
      <c r="AW123" s="363"/>
      <c r="AX123" s="363"/>
      <c r="AY123" s="363"/>
      <c r="AZ123" s="363"/>
      <c r="BA123" s="363"/>
      <c r="BB123" s="363"/>
      <c r="BC123" s="363"/>
      <c r="BD123" s="363"/>
      <c r="BE123" s="363"/>
      <c r="BF123" s="363"/>
      <c r="BG123" s="363"/>
      <c r="BH123" s="363"/>
    </row>
    <row r="124" spans="1:60" ht="15.75" customHeight="1" x14ac:dyDescent="0.25">
      <c r="A124" s="363"/>
      <c r="B124" s="363"/>
      <c r="C124" s="363"/>
      <c r="D124" s="363"/>
      <c r="E124" s="363"/>
      <c r="F124" s="363"/>
      <c r="G124" s="363"/>
      <c r="H124" s="363"/>
      <c r="I124" s="363"/>
      <c r="J124" s="363"/>
      <c r="K124" s="363"/>
      <c r="L124" s="363"/>
      <c r="M124" s="363"/>
      <c r="N124" s="363"/>
      <c r="O124" s="363"/>
      <c r="P124" s="363"/>
      <c r="Q124" s="363"/>
      <c r="R124" s="363"/>
      <c r="S124" s="363"/>
      <c r="T124" s="363"/>
      <c r="U124" s="363"/>
      <c r="V124" s="363"/>
      <c r="W124" s="363"/>
      <c r="X124" s="363"/>
      <c r="Y124" s="363"/>
      <c r="Z124" s="363"/>
      <c r="AA124" s="363"/>
      <c r="AB124" s="363"/>
      <c r="AC124" s="363"/>
      <c r="AD124" s="363"/>
      <c r="AE124" s="363"/>
      <c r="AF124" s="363"/>
      <c r="AG124" s="363"/>
      <c r="AH124" s="363"/>
      <c r="AI124" s="363"/>
      <c r="AJ124" s="363"/>
      <c r="AK124" s="363"/>
      <c r="AL124" s="363"/>
      <c r="AM124" s="363"/>
      <c r="AN124" s="363"/>
      <c r="AO124" s="363"/>
      <c r="AP124" s="363"/>
      <c r="AQ124" s="363"/>
      <c r="AR124" s="363"/>
      <c r="AS124" s="363"/>
      <c r="AT124" s="363"/>
      <c r="AU124" s="363"/>
      <c r="AV124" s="363"/>
      <c r="AW124" s="363"/>
      <c r="AX124" s="363"/>
      <c r="AY124" s="363"/>
      <c r="AZ124" s="363"/>
      <c r="BA124" s="363"/>
      <c r="BB124" s="363"/>
      <c r="BC124" s="363"/>
      <c r="BD124" s="363"/>
      <c r="BE124" s="363"/>
      <c r="BF124" s="363"/>
      <c r="BG124" s="363"/>
      <c r="BH124" s="363"/>
    </row>
    <row r="125" spans="1:60" ht="15.75" customHeight="1" x14ac:dyDescent="0.25">
      <c r="A125" s="363"/>
      <c r="B125" s="363"/>
      <c r="C125" s="363"/>
      <c r="D125" s="363"/>
      <c r="E125" s="363"/>
      <c r="F125" s="363"/>
      <c r="G125" s="363"/>
      <c r="H125" s="363"/>
      <c r="I125" s="363"/>
      <c r="J125" s="363"/>
      <c r="K125" s="363"/>
      <c r="L125" s="363"/>
      <c r="M125" s="363"/>
      <c r="N125" s="363"/>
      <c r="O125" s="363"/>
      <c r="P125" s="363"/>
      <c r="Q125" s="363"/>
      <c r="R125" s="363"/>
      <c r="S125" s="363"/>
      <c r="T125" s="363"/>
      <c r="U125" s="363"/>
      <c r="V125" s="363"/>
      <c r="W125" s="363"/>
      <c r="X125" s="363"/>
      <c r="Y125" s="363"/>
      <c r="Z125" s="363"/>
      <c r="AA125" s="363"/>
      <c r="AB125" s="363"/>
      <c r="AC125" s="363"/>
      <c r="AD125" s="363"/>
      <c r="AE125" s="363"/>
      <c r="AF125" s="363"/>
      <c r="AG125" s="363"/>
      <c r="AH125" s="363"/>
      <c r="AI125" s="363"/>
      <c r="AJ125" s="363"/>
      <c r="AK125" s="363"/>
      <c r="AL125" s="363"/>
      <c r="AM125" s="363"/>
      <c r="AN125" s="363"/>
      <c r="AO125" s="363"/>
      <c r="AP125" s="363"/>
      <c r="AQ125" s="363"/>
      <c r="AR125" s="363"/>
      <c r="AS125" s="363"/>
      <c r="AT125" s="363"/>
      <c r="AU125" s="363"/>
      <c r="AV125" s="363"/>
      <c r="AW125" s="363"/>
      <c r="AX125" s="363"/>
      <c r="AY125" s="363"/>
      <c r="AZ125" s="363"/>
      <c r="BA125" s="363"/>
      <c r="BB125" s="363"/>
      <c r="BC125" s="363"/>
      <c r="BD125" s="363"/>
      <c r="BE125" s="363"/>
      <c r="BF125" s="363"/>
      <c r="BG125" s="363"/>
      <c r="BH125" s="363"/>
    </row>
    <row r="126" spans="1:60" ht="15.75" customHeight="1" x14ac:dyDescent="0.25">
      <c r="A126" s="363"/>
      <c r="B126" s="363"/>
      <c r="C126" s="363"/>
      <c r="D126" s="363"/>
      <c r="E126" s="363"/>
      <c r="F126" s="363"/>
      <c r="G126" s="363"/>
      <c r="H126" s="363"/>
      <c r="I126" s="363"/>
      <c r="J126" s="363"/>
      <c r="K126" s="363"/>
      <c r="L126" s="363"/>
      <c r="M126" s="363"/>
      <c r="N126" s="363"/>
      <c r="O126" s="363"/>
      <c r="P126" s="363"/>
      <c r="Q126" s="363"/>
      <c r="R126" s="363"/>
      <c r="S126" s="363"/>
      <c r="T126" s="363"/>
      <c r="U126" s="363"/>
      <c r="V126" s="363"/>
      <c r="W126" s="363"/>
      <c r="X126" s="363"/>
      <c r="Y126" s="363"/>
      <c r="Z126" s="363"/>
      <c r="AA126" s="363"/>
      <c r="AB126" s="363"/>
      <c r="AC126" s="363"/>
      <c r="AD126" s="363"/>
      <c r="AE126" s="363"/>
      <c r="AF126" s="363"/>
      <c r="AG126" s="363"/>
      <c r="AH126" s="363"/>
      <c r="AI126" s="363"/>
      <c r="AJ126" s="363"/>
      <c r="AK126" s="363"/>
      <c r="AL126" s="363"/>
      <c r="AM126" s="363"/>
      <c r="AN126" s="363"/>
      <c r="AO126" s="363"/>
      <c r="AP126" s="363"/>
      <c r="AQ126" s="363"/>
      <c r="AR126" s="363"/>
      <c r="AS126" s="363"/>
      <c r="AT126" s="363"/>
      <c r="AU126" s="363"/>
      <c r="AV126" s="363"/>
      <c r="AW126" s="363"/>
      <c r="AX126" s="363"/>
      <c r="AY126" s="363"/>
      <c r="AZ126" s="363"/>
      <c r="BA126" s="363"/>
      <c r="BB126" s="363"/>
      <c r="BC126" s="363"/>
      <c r="BD126" s="363"/>
      <c r="BE126" s="363"/>
      <c r="BF126" s="363"/>
      <c r="BG126" s="363"/>
      <c r="BH126" s="363"/>
    </row>
    <row r="127" spans="1:60" ht="15.75" customHeight="1" x14ac:dyDescent="0.25">
      <c r="A127" s="363"/>
      <c r="B127" s="363"/>
      <c r="C127" s="363"/>
      <c r="D127" s="363"/>
      <c r="E127" s="363"/>
      <c r="F127" s="363"/>
      <c r="G127" s="363"/>
      <c r="H127" s="363"/>
      <c r="I127" s="363"/>
      <c r="J127" s="363"/>
      <c r="K127" s="363"/>
      <c r="L127" s="363"/>
      <c r="M127" s="363"/>
      <c r="N127" s="363"/>
      <c r="O127" s="363"/>
      <c r="P127" s="363"/>
      <c r="Q127" s="363"/>
      <c r="R127" s="363"/>
      <c r="S127" s="363"/>
      <c r="T127" s="363"/>
      <c r="U127" s="363"/>
      <c r="V127" s="363"/>
      <c r="W127" s="363"/>
      <c r="X127" s="363"/>
      <c r="Y127" s="363"/>
      <c r="Z127" s="363"/>
      <c r="AA127" s="363"/>
      <c r="AB127" s="363"/>
      <c r="AC127" s="363"/>
      <c r="AD127" s="363"/>
      <c r="AE127" s="363"/>
      <c r="AF127" s="363"/>
      <c r="AG127" s="363"/>
      <c r="AH127" s="363"/>
      <c r="AI127" s="363"/>
      <c r="AJ127" s="363"/>
      <c r="AK127" s="363"/>
      <c r="AL127" s="363"/>
      <c r="AM127" s="363"/>
      <c r="AN127" s="363"/>
      <c r="AO127" s="363"/>
      <c r="AP127" s="363"/>
      <c r="AQ127" s="363"/>
      <c r="AR127" s="363"/>
      <c r="AS127" s="363"/>
      <c r="AT127" s="363"/>
      <c r="AU127" s="363"/>
      <c r="AV127" s="363"/>
      <c r="AW127" s="363"/>
      <c r="AX127" s="363"/>
      <c r="AY127" s="363"/>
      <c r="AZ127" s="363"/>
      <c r="BA127" s="363"/>
      <c r="BB127" s="363"/>
      <c r="BC127" s="363"/>
      <c r="BD127" s="363"/>
      <c r="BE127" s="363"/>
      <c r="BF127" s="363"/>
      <c r="BG127" s="363"/>
      <c r="BH127" s="363"/>
    </row>
    <row r="128" spans="1:60" ht="15.75" customHeight="1" x14ac:dyDescent="0.25">
      <c r="A128" s="363"/>
      <c r="B128" s="363"/>
      <c r="C128" s="363"/>
      <c r="D128" s="363"/>
      <c r="E128" s="363"/>
      <c r="F128" s="363"/>
      <c r="G128" s="363"/>
      <c r="H128" s="363"/>
      <c r="I128" s="363"/>
      <c r="J128" s="363"/>
      <c r="K128" s="363"/>
      <c r="L128" s="363"/>
      <c r="M128" s="363"/>
      <c r="N128" s="363"/>
      <c r="O128" s="363"/>
      <c r="P128" s="363"/>
      <c r="Q128" s="363"/>
      <c r="R128" s="363"/>
      <c r="S128" s="363"/>
      <c r="T128" s="363"/>
      <c r="U128" s="363"/>
      <c r="V128" s="363"/>
      <c r="W128" s="363"/>
      <c r="X128" s="363"/>
      <c r="Y128" s="363"/>
      <c r="Z128" s="363"/>
      <c r="AA128" s="363"/>
      <c r="AB128" s="363"/>
      <c r="AC128" s="363"/>
      <c r="AD128" s="363"/>
      <c r="AE128" s="363"/>
      <c r="AF128" s="363"/>
      <c r="AG128" s="363"/>
      <c r="AH128" s="363"/>
      <c r="AI128" s="363"/>
      <c r="AJ128" s="363"/>
      <c r="AK128" s="363"/>
      <c r="AL128" s="363"/>
      <c r="AM128" s="363"/>
      <c r="AN128" s="363"/>
      <c r="AO128" s="363"/>
      <c r="AP128" s="363"/>
      <c r="AQ128" s="363"/>
      <c r="AR128" s="363"/>
      <c r="AS128" s="363"/>
      <c r="AT128" s="363"/>
      <c r="AU128" s="363"/>
      <c r="AV128" s="363"/>
      <c r="AW128" s="363"/>
      <c r="AX128" s="363"/>
      <c r="AY128" s="363"/>
      <c r="AZ128" s="363"/>
      <c r="BA128" s="363"/>
      <c r="BB128" s="363"/>
      <c r="BC128" s="363"/>
      <c r="BD128" s="363"/>
      <c r="BE128" s="363"/>
      <c r="BF128" s="363"/>
      <c r="BG128" s="363"/>
      <c r="BH128" s="363"/>
    </row>
    <row r="129" spans="1:60" ht="15.75" customHeight="1" x14ac:dyDescent="0.25">
      <c r="A129" s="363"/>
      <c r="B129" s="363"/>
      <c r="C129" s="363"/>
      <c r="D129" s="363"/>
      <c r="E129" s="363"/>
      <c r="F129" s="363"/>
      <c r="G129" s="363"/>
      <c r="H129" s="363"/>
      <c r="I129" s="363"/>
      <c r="J129" s="363"/>
      <c r="K129" s="363"/>
      <c r="L129" s="363"/>
      <c r="M129" s="363"/>
      <c r="N129" s="363"/>
      <c r="O129" s="363"/>
      <c r="P129" s="363"/>
      <c r="Q129" s="363"/>
      <c r="R129" s="363"/>
      <c r="S129" s="363"/>
      <c r="T129" s="363"/>
      <c r="U129" s="363"/>
      <c r="V129" s="363"/>
      <c r="W129" s="363"/>
      <c r="X129" s="363"/>
      <c r="Y129" s="363"/>
      <c r="Z129" s="363"/>
      <c r="AA129" s="363"/>
      <c r="AB129" s="363"/>
      <c r="AC129" s="363"/>
      <c r="AD129" s="363"/>
      <c r="AE129" s="363"/>
      <c r="AF129" s="363"/>
      <c r="AG129" s="363"/>
      <c r="AH129" s="363"/>
      <c r="AI129" s="363"/>
      <c r="AJ129" s="363"/>
      <c r="AK129" s="363"/>
      <c r="AL129" s="363"/>
      <c r="AM129" s="363"/>
      <c r="AN129" s="363"/>
      <c r="AO129" s="363"/>
      <c r="AP129" s="363"/>
      <c r="AQ129" s="363"/>
      <c r="AR129" s="363"/>
      <c r="AS129" s="363"/>
      <c r="AT129" s="363"/>
      <c r="AU129" s="363"/>
      <c r="AV129" s="363"/>
      <c r="AW129" s="363"/>
      <c r="AX129" s="363"/>
      <c r="AY129" s="363"/>
      <c r="AZ129" s="363"/>
      <c r="BA129" s="363"/>
      <c r="BB129" s="363"/>
      <c r="BC129" s="363"/>
      <c r="BD129" s="363"/>
      <c r="BE129" s="363"/>
      <c r="BF129" s="363"/>
      <c r="BG129" s="363"/>
      <c r="BH129" s="363"/>
    </row>
    <row r="130" spans="1:60" ht="15.75" customHeight="1" x14ac:dyDescent="0.25">
      <c r="A130" s="363"/>
      <c r="B130" s="363"/>
      <c r="C130" s="363"/>
      <c r="D130" s="363"/>
      <c r="E130" s="363"/>
      <c r="F130" s="363"/>
      <c r="G130" s="363"/>
      <c r="H130" s="363"/>
      <c r="I130" s="363"/>
      <c r="J130" s="363"/>
      <c r="K130" s="363"/>
      <c r="L130" s="363"/>
      <c r="M130" s="363"/>
      <c r="N130" s="363"/>
      <c r="O130" s="363"/>
      <c r="P130" s="363"/>
      <c r="Q130" s="363"/>
      <c r="R130" s="363"/>
      <c r="S130" s="363"/>
      <c r="T130" s="363"/>
      <c r="U130" s="363"/>
      <c r="V130" s="363"/>
      <c r="W130" s="363"/>
      <c r="X130" s="363"/>
      <c r="Y130" s="363"/>
      <c r="Z130" s="363"/>
      <c r="AA130" s="363"/>
      <c r="AB130" s="363"/>
      <c r="AC130" s="363"/>
      <c r="AD130" s="363"/>
      <c r="AE130" s="363"/>
      <c r="AF130" s="363"/>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363"/>
      <c r="BB130" s="363"/>
      <c r="BC130" s="363"/>
      <c r="BD130" s="363"/>
      <c r="BE130" s="363"/>
      <c r="BF130" s="363"/>
      <c r="BG130" s="363"/>
      <c r="BH130" s="363"/>
    </row>
    <row r="131" spans="1:60" ht="15.75" customHeight="1" x14ac:dyDescent="0.25">
      <c r="A131" s="363"/>
      <c r="B131" s="363"/>
      <c r="C131" s="363"/>
      <c r="D131" s="363"/>
      <c r="E131" s="363"/>
      <c r="F131" s="363"/>
      <c r="G131" s="363"/>
      <c r="H131" s="363"/>
      <c r="I131" s="363"/>
      <c r="J131" s="363"/>
      <c r="K131" s="363"/>
      <c r="L131" s="363"/>
      <c r="M131" s="363"/>
      <c r="N131" s="363"/>
      <c r="O131" s="363"/>
      <c r="P131" s="363"/>
      <c r="Q131" s="363"/>
      <c r="R131" s="363"/>
      <c r="S131" s="363"/>
      <c r="T131" s="363"/>
      <c r="U131" s="363"/>
      <c r="V131" s="363"/>
      <c r="W131" s="363"/>
      <c r="X131" s="363"/>
      <c r="Y131" s="363"/>
      <c r="Z131" s="363"/>
      <c r="AA131" s="363"/>
      <c r="AB131" s="363"/>
      <c r="AC131" s="363"/>
      <c r="AD131" s="363"/>
      <c r="AE131" s="363"/>
      <c r="AF131" s="363"/>
      <c r="AG131" s="363"/>
      <c r="AH131" s="363"/>
      <c r="AI131" s="363"/>
      <c r="AJ131" s="363"/>
      <c r="AK131" s="363"/>
      <c r="AL131" s="363"/>
      <c r="AM131" s="363"/>
      <c r="AN131" s="363"/>
      <c r="AO131" s="363"/>
      <c r="AP131" s="363"/>
      <c r="AQ131" s="363"/>
      <c r="AR131" s="363"/>
      <c r="AS131" s="363"/>
      <c r="AT131" s="363"/>
      <c r="AU131" s="363"/>
      <c r="AV131" s="363"/>
      <c r="AW131" s="363"/>
      <c r="AX131" s="363"/>
      <c r="AY131" s="363"/>
      <c r="AZ131" s="363"/>
      <c r="BA131" s="363"/>
      <c r="BB131" s="363"/>
      <c r="BC131" s="363"/>
      <c r="BD131" s="363"/>
      <c r="BE131" s="363"/>
      <c r="BF131" s="363"/>
      <c r="BG131" s="363"/>
      <c r="BH131" s="363"/>
    </row>
    <row r="132" spans="1:60" ht="15.75" customHeight="1" x14ac:dyDescent="0.25">
      <c r="A132" s="363"/>
      <c r="B132" s="363"/>
      <c r="C132" s="363"/>
      <c r="D132" s="363"/>
      <c r="E132" s="363"/>
      <c r="F132" s="363"/>
      <c r="G132" s="363"/>
      <c r="H132" s="363"/>
      <c r="I132" s="363"/>
      <c r="J132" s="363"/>
      <c r="K132" s="363"/>
      <c r="L132" s="363"/>
      <c r="M132" s="363"/>
      <c r="N132" s="363"/>
      <c r="O132" s="363"/>
      <c r="P132" s="363"/>
      <c r="Q132" s="363"/>
      <c r="R132" s="363"/>
      <c r="S132" s="363"/>
      <c r="T132" s="363"/>
      <c r="U132" s="363"/>
      <c r="V132" s="363"/>
      <c r="W132" s="363"/>
      <c r="X132" s="363"/>
      <c r="Y132" s="363"/>
      <c r="Z132" s="363"/>
      <c r="AA132" s="363"/>
      <c r="AB132" s="363"/>
      <c r="AC132" s="363"/>
      <c r="AD132" s="363"/>
      <c r="AE132" s="363"/>
      <c r="AF132" s="363"/>
      <c r="AG132" s="363"/>
      <c r="AH132" s="363"/>
      <c r="AI132" s="363"/>
      <c r="AJ132" s="363"/>
      <c r="AK132" s="363"/>
      <c r="AL132" s="363"/>
      <c r="AM132" s="363"/>
      <c r="AN132" s="363"/>
      <c r="AO132" s="363"/>
      <c r="AP132" s="363"/>
      <c r="AQ132" s="363"/>
      <c r="AR132" s="363"/>
      <c r="AS132" s="363"/>
      <c r="AT132" s="363"/>
      <c r="AU132" s="363"/>
      <c r="AV132" s="363"/>
      <c r="AW132" s="363"/>
      <c r="AX132" s="363"/>
      <c r="AY132" s="363"/>
      <c r="AZ132" s="363"/>
      <c r="BA132" s="363"/>
      <c r="BB132" s="363"/>
      <c r="BC132" s="363"/>
      <c r="BD132" s="363"/>
      <c r="BE132" s="363"/>
      <c r="BF132" s="363"/>
      <c r="BG132" s="363"/>
      <c r="BH132" s="363"/>
    </row>
    <row r="133" spans="1:60" ht="15.75" customHeight="1" x14ac:dyDescent="0.25">
      <c r="A133" s="363"/>
      <c r="B133" s="363"/>
      <c r="C133" s="363"/>
      <c r="D133" s="363"/>
      <c r="E133" s="363"/>
      <c r="F133" s="363"/>
      <c r="G133" s="363"/>
      <c r="H133" s="363"/>
      <c r="I133" s="363"/>
      <c r="J133" s="363"/>
      <c r="K133" s="363"/>
      <c r="L133" s="363"/>
      <c r="M133" s="363"/>
      <c r="N133" s="363"/>
      <c r="O133" s="363"/>
      <c r="P133" s="363"/>
      <c r="Q133" s="363"/>
      <c r="R133" s="363"/>
      <c r="S133" s="363"/>
      <c r="T133" s="363"/>
      <c r="U133" s="363"/>
      <c r="V133" s="363"/>
      <c r="W133" s="363"/>
      <c r="X133" s="363"/>
      <c r="Y133" s="363"/>
      <c r="Z133" s="363"/>
      <c r="AA133" s="363"/>
      <c r="AB133" s="363"/>
      <c r="AC133" s="363"/>
      <c r="AD133" s="363"/>
      <c r="AE133" s="363"/>
      <c r="AF133" s="363"/>
      <c r="AG133" s="363"/>
      <c r="AH133" s="363"/>
      <c r="AI133" s="363"/>
      <c r="AJ133" s="363"/>
      <c r="AK133" s="363"/>
      <c r="AL133" s="363"/>
      <c r="AM133" s="363"/>
      <c r="AN133" s="363"/>
      <c r="AO133" s="363"/>
      <c r="AP133" s="363"/>
      <c r="AQ133" s="363"/>
      <c r="AR133" s="363"/>
      <c r="AS133" s="363"/>
      <c r="AT133" s="363"/>
      <c r="AU133" s="363"/>
      <c r="AV133" s="363"/>
      <c r="AW133" s="363"/>
      <c r="AX133" s="363"/>
      <c r="AY133" s="363"/>
      <c r="AZ133" s="363"/>
      <c r="BA133" s="363"/>
      <c r="BB133" s="363"/>
      <c r="BC133" s="363"/>
      <c r="BD133" s="363"/>
      <c r="BE133" s="363"/>
      <c r="BF133" s="363"/>
      <c r="BG133" s="363"/>
      <c r="BH133" s="363"/>
    </row>
    <row r="134" spans="1:60" ht="15.75" customHeight="1" x14ac:dyDescent="0.25">
      <c r="A134" s="363"/>
      <c r="B134" s="363"/>
      <c r="C134" s="363"/>
      <c r="D134" s="363"/>
      <c r="E134" s="363"/>
      <c r="F134" s="363"/>
      <c r="G134" s="363"/>
      <c r="H134" s="363"/>
      <c r="I134" s="363"/>
      <c r="J134" s="363"/>
      <c r="K134" s="363"/>
      <c r="L134" s="363"/>
      <c r="M134" s="363"/>
      <c r="N134" s="363"/>
      <c r="O134" s="363"/>
      <c r="P134" s="363"/>
      <c r="Q134" s="363"/>
      <c r="R134" s="363"/>
      <c r="S134" s="363"/>
      <c r="T134" s="363"/>
      <c r="U134" s="363"/>
      <c r="V134" s="363"/>
      <c r="W134" s="363"/>
      <c r="X134" s="363"/>
      <c r="Y134" s="363"/>
      <c r="Z134" s="363"/>
      <c r="AA134" s="363"/>
      <c r="AB134" s="363"/>
      <c r="AC134" s="363"/>
      <c r="AD134" s="363"/>
      <c r="AE134" s="363"/>
      <c r="AF134" s="363"/>
      <c r="AG134" s="363"/>
      <c r="AH134" s="363"/>
      <c r="AI134" s="363"/>
      <c r="AJ134" s="363"/>
      <c r="AK134" s="363"/>
      <c r="AL134" s="363"/>
      <c r="AM134" s="363"/>
      <c r="AN134" s="363"/>
      <c r="AO134" s="363"/>
      <c r="AP134" s="363"/>
      <c r="AQ134" s="363"/>
      <c r="AR134" s="363"/>
      <c r="AS134" s="363"/>
      <c r="AT134" s="363"/>
      <c r="AU134" s="363"/>
      <c r="AV134" s="363"/>
      <c r="AW134" s="363"/>
      <c r="AX134" s="363"/>
      <c r="AY134" s="363"/>
      <c r="AZ134" s="363"/>
      <c r="BA134" s="363"/>
      <c r="BB134" s="363"/>
      <c r="BC134" s="363"/>
      <c r="BD134" s="363"/>
      <c r="BE134" s="363"/>
      <c r="BF134" s="363"/>
      <c r="BG134" s="363"/>
      <c r="BH134" s="363"/>
    </row>
    <row r="135" spans="1:60" ht="15.75" customHeight="1" x14ac:dyDescent="0.25">
      <c r="A135" s="363"/>
      <c r="B135" s="363"/>
      <c r="C135" s="363"/>
      <c r="D135" s="363"/>
      <c r="E135" s="363"/>
      <c r="F135" s="363"/>
      <c r="G135" s="363"/>
      <c r="H135" s="363"/>
      <c r="I135" s="363"/>
      <c r="J135" s="363"/>
      <c r="K135" s="363"/>
      <c r="L135" s="363"/>
      <c r="M135" s="363"/>
      <c r="N135" s="363"/>
      <c r="O135" s="363"/>
      <c r="P135" s="363"/>
      <c r="Q135" s="363"/>
      <c r="R135" s="363"/>
      <c r="S135" s="363"/>
      <c r="T135" s="363"/>
      <c r="U135" s="363"/>
      <c r="V135" s="363"/>
      <c r="W135" s="363"/>
      <c r="X135" s="363"/>
      <c r="Y135" s="363"/>
      <c r="Z135" s="363"/>
      <c r="AA135" s="363"/>
      <c r="AB135" s="363"/>
      <c r="AC135" s="363"/>
      <c r="AD135" s="363"/>
      <c r="AE135" s="363"/>
      <c r="AF135" s="363"/>
      <c r="AG135" s="363"/>
      <c r="AH135" s="363"/>
      <c r="AI135" s="363"/>
      <c r="AJ135" s="363"/>
      <c r="AK135" s="363"/>
      <c r="AL135" s="363"/>
      <c r="AM135" s="363"/>
      <c r="AN135" s="363"/>
      <c r="AO135" s="363"/>
      <c r="AP135" s="363"/>
      <c r="AQ135" s="363"/>
      <c r="AR135" s="363"/>
      <c r="AS135" s="363"/>
      <c r="AT135" s="363"/>
      <c r="AU135" s="363"/>
      <c r="AV135" s="363"/>
      <c r="AW135" s="363"/>
      <c r="AX135" s="363"/>
      <c r="AY135" s="363"/>
      <c r="AZ135" s="363"/>
      <c r="BA135" s="363"/>
      <c r="BB135" s="363"/>
      <c r="BC135" s="363"/>
      <c r="BD135" s="363"/>
      <c r="BE135" s="363"/>
      <c r="BF135" s="363"/>
      <c r="BG135" s="363"/>
      <c r="BH135" s="363"/>
    </row>
    <row r="136" spans="1:60" ht="15.75" customHeight="1" x14ac:dyDescent="0.25">
      <c r="A136" s="363"/>
      <c r="B136" s="363"/>
      <c r="C136" s="363"/>
      <c r="D136" s="363"/>
      <c r="E136" s="363"/>
      <c r="F136" s="363"/>
      <c r="G136" s="363"/>
      <c r="H136" s="363"/>
      <c r="I136" s="363"/>
      <c r="J136" s="363"/>
      <c r="K136" s="363"/>
      <c r="L136" s="363"/>
      <c r="M136" s="363"/>
      <c r="N136" s="363"/>
      <c r="O136" s="363"/>
      <c r="P136" s="363"/>
      <c r="Q136" s="363"/>
      <c r="R136" s="363"/>
      <c r="S136" s="363"/>
      <c r="T136" s="363"/>
      <c r="U136" s="363"/>
      <c r="V136" s="363"/>
      <c r="W136" s="363"/>
      <c r="X136" s="363"/>
      <c r="Y136" s="363"/>
      <c r="Z136" s="363"/>
      <c r="AA136" s="363"/>
      <c r="AB136" s="363"/>
      <c r="AC136" s="363"/>
      <c r="AD136" s="363"/>
      <c r="AE136" s="363"/>
      <c r="AF136" s="363"/>
      <c r="AG136" s="363"/>
      <c r="AH136" s="363"/>
      <c r="AI136" s="363"/>
      <c r="AJ136" s="363"/>
      <c r="AK136" s="363"/>
      <c r="AL136" s="363"/>
      <c r="AM136" s="363"/>
      <c r="AN136" s="363"/>
      <c r="AO136" s="363"/>
      <c r="AP136" s="363"/>
      <c r="AQ136" s="363"/>
      <c r="AR136" s="363"/>
      <c r="AS136" s="363"/>
      <c r="AT136" s="363"/>
      <c r="AU136" s="363"/>
      <c r="AV136" s="363"/>
      <c r="AW136" s="363"/>
      <c r="AX136" s="363"/>
      <c r="AY136" s="363"/>
      <c r="AZ136" s="363"/>
      <c r="BA136" s="363"/>
      <c r="BB136" s="363"/>
      <c r="BC136" s="363"/>
      <c r="BD136" s="363"/>
      <c r="BE136" s="363"/>
      <c r="BF136" s="363"/>
      <c r="BG136" s="363"/>
      <c r="BH136" s="363"/>
    </row>
    <row r="137" spans="1:60" ht="15.75" customHeight="1" x14ac:dyDescent="0.25">
      <c r="A137" s="363"/>
      <c r="B137" s="363"/>
      <c r="C137" s="363"/>
      <c r="D137" s="363"/>
      <c r="E137" s="363"/>
      <c r="F137" s="363"/>
      <c r="G137" s="363"/>
      <c r="H137" s="363"/>
      <c r="I137" s="363"/>
      <c r="J137" s="363"/>
      <c r="K137" s="363"/>
      <c r="L137" s="363"/>
      <c r="M137" s="363"/>
      <c r="N137" s="363"/>
      <c r="O137" s="363"/>
      <c r="P137" s="363"/>
      <c r="Q137" s="363"/>
      <c r="R137" s="363"/>
      <c r="S137" s="363"/>
      <c r="T137" s="363"/>
      <c r="U137" s="363"/>
      <c r="V137" s="363"/>
      <c r="W137" s="363"/>
      <c r="X137" s="363"/>
      <c r="Y137" s="363"/>
      <c r="Z137" s="363"/>
      <c r="AA137" s="363"/>
      <c r="AB137" s="363"/>
      <c r="AC137" s="363"/>
      <c r="AD137" s="363"/>
      <c r="AE137" s="363"/>
      <c r="AF137" s="363"/>
      <c r="AG137" s="363"/>
      <c r="AH137" s="363"/>
      <c r="AI137" s="363"/>
      <c r="AJ137" s="363"/>
      <c r="AK137" s="363"/>
      <c r="AL137" s="363"/>
      <c r="AM137" s="363"/>
      <c r="AN137" s="363"/>
      <c r="AO137" s="363"/>
      <c r="AP137" s="363"/>
      <c r="AQ137" s="363"/>
      <c r="AR137" s="363"/>
      <c r="AS137" s="363"/>
      <c r="AT137" s="363"/>
      <c r="AU137" s="363"/>
      <c r="AV137" s="363"/>
      <c r="AW137" s="363"/>
      <c r="AX137" s="363"/>
      <c r="AY137" s="363"/>
      <c r="AZ137" s="363"/>
      <c r="BA137" s="363"/>
      <c r="BB137" s="363"/>
      <c r="BC137" s="363"/>
      <c r="BD137" s="363"/>
      <c r="BE137" s="363"/>
      <c r="BF137" s="363"/>
      <c r="BG137" s="363"/>
      <c r="BH137" s="363"/>
    </row>
    <row r="138" spans="1:60" ht="15.75" customHeight="1" x14ac:dyDescent="0.25">
      <c r="A138" s="363"/>
      <c r="B138" s="363"/>
      <c r="C138" s="363"/>
      <c r="D138" s="363"/>
      <c r="E138" s="363"/>
      <c r="F138" s="363"/>
      <c r="G138" s="363"/>
      <c r="H138" s="363"/>
      <c r="I138" s="363"/>
      <c r="J138" s="363"/>
      <c r="K138" s="363"/>
      <c r="L138" s="363"/>
      <c r="M138" s="363"/>
      <c r="N138" s="363"/>
      <c r="O138" s="363"/>
      <c r="P138" s="363"/>
      <c r="Q138" s="363"/>
      <c r="R138" s="363"/>
      <c r="S138" s="363"/>
      <c r="T138" s="363"/>
      <c r="U138" s="363"/>
      <c r="V138" s="363"/>
      <c r="W138" s="363"/>
      <c r="X138" s="363"/>
      <c r="Y138" s="363"/>
      <c r="Z138" s="363"/>
      <c r="AA138" s="363"/>
      <c r="AB138" s="363"/>
      <c r="AC138" s="363"/>
      <c r="AD138" s="363"/>
      <c r="AE138" s="363"/>
      <c r="AF138" s="363"/>
      <c r="AG138" s="363"/>
      <c r="AH138" s="363"/>
      <c r="AI138" s="363"/>
      <c r="AJ138" s="363"/>
      <c r="AK138" s="363"/>
      <c r="AL138" s="363"/>
      <c r="AM138" s="363"/>
      <c r="AN138" s="363"/>
      <c r="AO138" s="363"/>
      <c r="AP138" s="363"/>
      <c r="AQ138" s="363"/>
      <c r="AR138" s="363"/>
      <c r="AS138" s="363"/>
      <c r="AT138" s="363"/>
      <c r="AU138" s="363"/>
      <c r="AV138" s="363"/>
      <c r="AW138" s="363"/>
      <c r="AX138" s="363"/>
      <c r="AY138" s="363"/>
      <c r="AZ138" s="363"/>
      <c r="BA138" s="363"/>
      <c r="BB138" s="363"/>
      <c r="BC138" s="363"/>
      <c r="BD138" s="363"/>
      <c r="BE138" s="363"/>
      <c r="BF138" s="363"/>
      <c r="BG138" s="363"/>
      <c r="BH138" s="363"/>
    </row>
    <row r="139" spans="1:60" ht="15.75" customHeight="1" x14ac:dyDescent="0.25">
      <c r="A139" s="363"/>
      <c r="B139" s="363"/>
      <c r="C139" s="363"/>
      <c r="D139" s="363"/>
      <c r="E139" s="363"/>
      <c r="F139" s="363"/>
      <c r="G139" s="363"/>
      <c r="H139" s="363"/>
      <c r="I139" s="363"/>
      <c r="J139" s="363"/>
      <c r="K139" s="363"/>
      <c r="L139" s="363"/>
      <c r="M139" s="363"/>
      <c r="N139" s="363"/>
      <c r="O139" s="363"/>
      <c r="P139" s="363"/>
      <c r="Q139" s="363"/>
      <c r="R139" s="363"/>
      <c r="S139" s="363"/>
      <c r="T139" s="363"/>
      <c r="U139" s="363"/>
      <c r="V139" s="363"/>
      <c r="W139" s="363"/>
      <c r="X139" s="363"/>
      <c r="Y139" s="363"/>
      <c r="Z139" s="363"/>
      <c r="AA139" s="363"/>
      <c r="AB139" s="363"/>
      <c r="AC139" s="363"/>
      <c r="AD139" s="363"/>
      <c r="AE139" s="363"/>
      <c r="AF139" s="363"/>
      <c r="AG139" s="363"/>
      <c r="AH139" s="363"/>
      <c r="AI139" s="363"/>
      <c r="AJ139" s="363"/>
      <c r="AK139" s="363"/>
      <c r="AL139" s="363"/>
      <c r="AM139" s="363"/>
      <c r="AN139" s="363"/>
      <c r="AO139" s="363"/>
      <c r="AP139" s="363"/>
      <c r="AQ139" s="363"/>
      <c r="AR139" s="363"/>
      <c r="AS139" s="363"/>
      <c r="AT139" s="363"/>
      <c r="AU139" s="363"/>
      <c r="AV139" s="363"/>
      <c r="AW139" s="363"/>
      <c r="AX139" s="363"/>
      <c r="AY139" s="363"/>
      <c r="AZ139" s="363"/>
      <c r="BA139" s="363"/>
      <c r="BB139" s="363"/>
      <c r="BC139" s="363"/>
      <c r="BD139" s="363"/>
      <c r="BE139" s="363"/>
      <c r="BF139" s="363"/>
      <c r="BG139" s="363"/>
      <c r="BH139" s="363"/>
    </row>
    <row r="140" spans="1:60" ht="15.75" customHeight="1" x14ac:dyDescent="0.25">
      <c r="A140" s="363"/>
      <c r="B140" s="363"/>
      <c r="C140" s="363"/>
      <c r="D140" s="363"/>
      <c r="E140" s="363"/>
      <c r="F140" s="363"/>
      <c r="G140" s="363"/>
      <c r="H140" s="363"/>
      <c r="I140" s="363"/>
      <c r="J140" s="363"/>
      <c r="K140" s="363"/>
      <c r="L140" s="363"/>
      <c r="M140" s="363"/>
      <c r="N140" s="363"/>
      <c r="O140" s="363"/>
      <c r="P140" s="363"/>
      <c r="Q140" s="363"/>
      <c r="R140" s="363"/>
      <c r="S140" s="363"/>
      <c r="T140" s="363"/>
      <c r="U140" s="363"/>
      <c r="V140" s="363"/>
      <c r="W140" s="363"/>
      <c r="X140" s="363"/>
      <c r="Y140" s="363"/>
      <c r="Z140" s="363"/>
      <c r="AA140" s="363"/>
      <c r="AB140" s="363"/>
      <c r="AC140" s="363"/>
      <c r="AD140" s="363"/>
      <c r="AE140" s="363"/>
      <c r="AF140" s="363"/>
      <c r="AG140" s="363"/>
      <c r="AH140" s="363"/>
      <c r="AI140" s="363"/>
      <c r="AJ140" s="363"/>
      <c r="AK140" s="363"/>
      <c r="AL140" s="363"/>
      <c r="AM140" s="363"/>
      <c r="AN140" s="363"/>
      <c r="AO140" s="363"/>
      <c r="AP140" s="363"/>
      <c r="AQ140" s="363"/>
      <c r="AR140" s="363"/>
      <c r="AS140" s="363"/>
      <c r="AT140" s="363"/>
      <c r="AU140" s="363"/>
      <c r="AV140" s="363"/>
      <c r="AW140" s="363"/>
      <c r="AX140" s="363"/>
      <c r="AY140" s="363"/>
      <c r="AZ140" s="363"/>
      <c r="BA140" s="363"/>
      <c r="BB140" s="363"/>
      <c r="BC140" s="363"/>
      <c r="BD140" s="363"/>
      <c r="BE140" s="363"/>
      <c r="BF140" s="363"/>
      <c r="BG140" s="363"/>
      <c r="BH140" s="363"/>
    </row>
    <row r="141" spans="1:60" ht="15.75" customHeight="1" x14ac:dyDescent="0.25">
      <c r="A141" s="363"/>
      <c r="B141" s="363"/>
      <c r="C141" s="363"/>
      <c r="D141" s="363"/>
      <c r="E141" s="363"/>
      <c r="F141" s="363"/>
      <c r="G141" s="363"/>
      <c r="H141" s="363"/>
      <c r="I141" s="363"/>
      <c r="J141" s="363"/>
      <c r="K141" s="363"/>
      <c r="L141" s="363"/>
      <c r="M141" s="363"/>
      <c r="N141" s="363"/>
      <c r="O141" s="363"/>
      <c r="P141" s="363"/>
      <c r="Q141" s="363"/>
      <c r="R141" s="363"/>
      <c r="S141" s="363"/>
      <c r="T141" s="363"/>
      <c r="U141" s="363"/>
      <c r="V141" s="363"/>
      <c r="W141" s="363"/>
      <c r="X141" s="363"/>
      <c r="Y141" s="363"/>
      <c r="Z141" s="363"/>
      <c r="AA141" s="363"/>
      <c r="AB141" s="363"/>
      <c r="AC141" s="363"/>
      <c r="AD141" s="363"/>
      <c r="AE141" s="363"/>
      <c r="AF141" s="363"/>
      <c r="AG141" s="363"/>
      <c r="AH141" s="363"/>
      <c r="AI141" s="363"/>
      <c r="AJ141" s="363"/>
      <c r="AK141" s="363"/>
      <c r="AL141" s="363"/>
      <c r="AM141" s="363"/>
      <c r="AN141" s="363"/>
      <c r="AO141" s="363"/>
      <c r="AP141" s="363"/>
      <c r="AQ141" s="363"/>
      <c r="AR141" s="363"/>
      <c r="AS141" s="363"/>
      <c r="AT141" s="363"/>
      <c r="AU141" s="363"/>
      <c r="AV141" s="363"/>
      <c r="AW141" s="363"/>
      <c r="AX141" s="363"/>
      <c r="AY141" s="363"/>
      <c r="AZ141" s="363"/>
      <c r="BA141" s="363"/>
      <c r="BB141" s="363"/>
      <c r="BC141" s="363"/>
      <c r="BD141" s="363"/>
      <c r="BE141" s="363"/>
      <c r="BF141" s="363"/>
      <c r="BG141" s="363"/>
      <c r="BH141" s="363"/>
    </row>
    <row r="142" spans="1:60" ht="15.75" customHeight="1" x14ac:dyDescent="0.25">
      <c r="A142" s="363"/>
      <c r="B142" s="363"/>
      <c r="C142" s="363"/>
      <c r="D142" s="363"/>
      <c r="E142" s="363"/>
      <c r="F142" s="363"/>
      <c r="G142" s="363"/>
      <c r="H142" s="363"/>
      <c r="I142" s="363"/>
      <c r="J142" s="363"/>
      <c r="K142" s="363"/>
      <c r="L142" s="363"/>
      <c r="M142" s="363"/>
      <c r="N142" s="363"/>
      <c r="O142" s="363"/>
      <c r="P142" s="363"/>
      <c r="Q142" s="363"/>
      <c r="R142" s="363"/>
      <c r="S142" s="363"/>
      <c r="T142" s="363"/>
      <c r="U142" s="363"/>
      <c r="V142" s="363"/>
      <c r="W142" s="363"/>
      <c r="X142" s="363"/>
      <c r="Y142" s="363"/>
      <c r="Z142" s="363"/>
      <c r="AA142" s="363"/>
      <c r="AB142" s="363"/>
      <c r="AC142" s="363"/>
      <c r="AD142" s="363"/>
      <c r="AE142" s="363"/>
      <c r="AF142" s="363"/>
      <c r="AG142" s="363"/>
      <c r="AH142" s="363"/>
      <c r="AI142" s="363"/>
      <c r="AJ142" s="363"/>
      <c r="AK142" s="363"/>
      <c r="AL142" s="363"/>
      <c r="AM142" s="363"/>
      <c r="AN142" s="363"/>
      <c r="AO142" s="363"/>
      <c r="AP142" s="363"/>
      <c r="AQ142" s="363"/>
      <c r="AR142" s="363"/>
      <c r="AS142" s="363"/>
      <c r="AT142" s="363"/>
      <c r="AU142" s="363"/>
      <c r="AV142" s="363"/>
      <c r="AW142" s="363"/>
      <c r="AX142" s="363"/>
      <c r="AY142" s="363"/>
      <c r="AZ142" s="363"/>
      <c r="BA142" s="363"/>
      <c r="BB142" s="363"/>
      <c r="BC142" s="363"/>
      <c r="BD142" s="363"/>
      <c r="BE142" s="363"/>
      <c r="BF142" s="363"/>
      <c r="BG142" s="363"/>
      <c r="BH142" s="363"/>
    </row>
    <row r="143" spans="1:60" ht="15.75" customHeight="1" x14ac:dyDescent="0.25">
      <c r="A143" s="363"/>
      <c r="B143" s="363"/>
      <c r="C143" s="363"/>
      <c r="D143" s="363"/>
      <c r="E143" s="363"/>
      <c r="F143" s="363"/>
      <c r="G143" s="363"/>
      <c r="H143" s="363"/>
      <c r="I143" s="363"/>
      <c r="J143" s="363"/>
      <c r="K143" s="363"/>
      <c r="L143" s="363"/>
      <c r="M143" s="363"/>
      <c r="N143" s="363"/>
      <c r="O143" s="363"/>
      <c r="P143" s="363"/>
      <c r="Q143" s="363"/>
      <c r="R143" s="363"/>
      <c r="S143" s="363"/>
      <c r="T143" s="363"/>
      <c r="U143" s="363"/>
      <c r="V143" s="363"/>
      <c r="W143" s="363"/>
      <c r="X143" s="363"/>
      <c r="Y143" s="363"/>
      <c r="Z143" s="363"/>
      <c r="AA143" s="363"/>
      <c r="AB143" s="363"/>
      <c r="AC143" s="363"/>
      <c r="AD143" s="363"/>
      <c r="AE143" s="363"/>
      <c r="AF143" s="363"/>
      <c r="AG143" s="363"/>
      <c r="AH143" s="363"/>
      <c r="AI143" s="363"/>
      <c r="AJ143" s="363"/>
      <c r="AK143" s="363"/>
      <c r="AL143" s="363"/>
      <c r="AM143" s="363"/>
      <c r="AN143" s="363"/>
      <c r="AO143" s="363"/>
      <c r="AP143" s="363"/>
      <c r="AQ143" s="363"/>
      <c r="AR143" s="363"/>
      <c r="AS143" s="363"/>
      <c r="AT143" s="363"/>
      <c r="AU143" s="363"/>
      <c r="AV143" s="363"/>
      <c r="AW143" s="363"/>
      <c r="AX143" s="363"/>
      <c r="AY143" s="363"/>
      <c r="AZ143" s="363"/>
      <c r="BA143" s="363"/>
      <c r="BB143" s="363"/>
      <c r="BC143" s="363"/>
      <c r="BD143" s="363"/>
      <c r="BE143" s="363"/>
      <c r="BF143" s="363"/>
      <c r="BG143" s="363"/>
      <c r="BH143" s="363"/>
    </row>
    <row r="144" spans="1:60" ht="15.75" customHeight="1" x14ac:dyDescent="0.25">
      <c r="A144" s="363"/>
      <c r="B144" s="363"/>
      <c r="C144" s="363"/>
      <c r="D144" s="363"/>
      <c r="E144" s="363"/>
      <c r="F144" s="363"/>
      <c r="G144" s="363"/>
      <c r="H144" s="363"/>
      <c r="I144" s="363"/>
      <c r="J144" s="363"/>
      <c r="K144" s="363"/>
      <c r="L144" s="363"/>
      <c r="M144" s="363"/>
      <c r="N144" s="363"/>
      <c r="O144" s="363"/>
      <c r="P144" s="363"/>
      <c r="Q144" s="363"/>
      <c r="R144" s="363"/>
      <c r="S144" s="363"/>
      <c r="T144" s="363"/>
      <c r="U144" s="363"/>
      <c r="V144" s="363"/>
      <c r="W144" s="363"/>
      <c r="X144" s="363"/>
      <c r="Y144" s="363"/>
      <c r="Z144" s="363"/>
      <c r="AA144" s="363"/>
      <c r="AB144" s="363"/>
      <c r="AC144" s="363"/>
      <c r="AD144" s="363"/>
      <c r="AE144" s="363"/>
      <c r="AF144" s="363"/>
      <c r="AG144" s="363"/>
      <c r="AH144" s="363"/>
      <c r="AI144" s="363"/>
      <c r="AJ144" s="363"/>
      <c r="AK144" s="363"/>
      <c r="AL144" s="363"/>
      <c r="AM144" s="363"/>
      <c r="AN144" s="363"/>
      <c r="AO144" s="363"/>
      <c r="AP144" s="363"/>
      <c r="AQ144" s="363"/>
      <c r="AR144" s="363"/>
      <c r="AS144" s="363"/>
      <c r="AT144" s="363"/>
      <c r="AU144" s="363"/>
      <c r="AV144" s="363"/>
      <c r="AW144" s="363"/>
      <c r="AX144" s="363"/>
      <c r="AY144" s="363"/>
      <c r="AZ144" s="363"/>
      <c r="BA144" s="363"/>
      <c r="BB144" s="363"/>
      <c r="BC144" s="363"/>
      <c r="BD144" s="363"/>
      <c r="BE144" s="363"/>
      <c r="BF144" s="363"/>
      <c r="BG144" s="363"/>
      <c r="BH144" s="363"/>
    </row>
    <row r="145" spans="1:60" ht="15.75" customHeight="1" x14ac:dyDescent="0.25">
      <c r="A145" s="363"/>
      <c r="B145" s="363"/>
      <c r="C145" s="363"/>
      <c r="D145" s="363"/>
      <c r="E145" s="363"/>
      <c r="F145" s="363"/>
      <c r="G145" s="363"/>
      <c r="H145" s="363"/>
      <c r="I145" s="363"/>
      <c r="J145" s="363"/>
      <c r="K145" s="363"/>
      <c r="L145" s="363"/>
      <c r="M145" s="363"/>
      <c r="N145" s="363"/>
      <c r="O145" s="363"/>
      <c r="P145" s="363"/>
      <c r="Q145" s="363"/>
      <c r="R145" s="363"/>
      <c r="S145" s="363"/>
      <c r="T145" s="363"/>
      <c r="U145" s="363"/>
      <c r="V145" s="363"/>
      <c r="W145" s="363"/>
      <c r="X145" s="363"/>
      <c r="Y145" s="363"/>
      <c r="Z145" s="363"/>
      <c r="AA145" s="363"/>
      <c r="AB145" s="363"/>
      <c r="AC145" s="363"/>
      <c r="AD145" s="363"/>
      <c r="AE145" s="363"/>
      <c r="AF145" s="363"/>
      <c r="AG145" s="363"/>
      <c r="AH145" s="363"/>
      <c r="AI145" s="363"/>
      <c r="AJ145" s="363"/>
      <c r="AK145" s="363"/>
      <c r="AL145" s="363"/>
      <c r="AM145" s="363"/>
      <c r="AN145" s="363"/>
      <c r="AO145" s="363"/>
      <c r="AP145" s="363"/>
      <c r="AQ145" s="363"/>
      <c r="AR145" s="363"/>
      <c r="AS145" s="363"/>
      <c r="AT145" s="363"/>
      <c r="AU145" s="363"/>
      <c r="AV145" s="363"/>
      <c r="AW145" s="363"/>
      <c r="AX145" s="363"/>
      <c r="AY145" s="363"/>
      <c r="AZ145" s="363"/>
      <c r="BA145" s="363"/>
      <c r="BB145" s="363"/>
      <c r="BC145" s="363"/>
      <c r="BD145" s="363"/>
      <c r="BE145" s="363"/>
      <c r="BF145" s="363"/>
      <c r="BG145" s="363"/>
      <c r="BH145" s="363"/>
    </row>
    <row r="146" spans="1:60" ht="15.75" customHeight="1" x14ac:dyDescent="0.25">
      <c r="A146" s="363"/>
      <c r="B146" s="363"/>
      <c r="C146" s="363"/>
      <c r="D146" s="363"/>
      <c r="E146" s="363"/>
      <c r="F146" s="363"/>
      <c r="G146" s="363"/>
      <c r="H146" s="363"/>
      <c r="I146" s="363"/>
      <c r="J146" s="363"/>
      <c r="K146" s="363"/>
      <c r="L146" s="363"/>
      <c r="M146" s="363"/>
      <c r="N146" s="363"/>
      <c r="O146" s="363"/>
      <c r="P146" s="363"/>
      <c r="Q146" s="363"/>
      <c r="R146" s="363"/>
      <c r="S146" s="363"/>
      <c r="T146" s="363"/>
      <c r="U146" s="363"/>
      <c r="V146" s="363"/>
      <c r="W146" s="363"/>
      <c r="X146" s="363"/>
      <c r="Y146" s="363"/>
      <c r="Z146" s="363"/>
      <c r="AA146" s="363"/>
      <c r="AB146" s="363"/>
      <c r="AC146" s="363"/>
      <c r="AD146" s="363"/>
      <c r="AE146" s="363"/>
      <c r="AF146" s="363"/>
      <c r="AG146" s="363"/>
      <c r="AH146" s="363"/>
      <c r="AI146" s="363"/>
      <c r="AJ146" s="363"/>
      <c r="AK146" s="363"/>
      <c r="AL146" s="363"/>
      <c r="AM146" s="363"/>
      <c r="AN146" s="363"/>
      <c r="AO146" s="363"/>
      <c r="AP146" s="363"/>
      <c r="AQ146" s="363"/>
      <c r="AR146" s="363"/>
      <c r="AS146" s="363"/>
      <c r="AT146" s="363"/>
      <c r="AU146" s="363"/>
      <c r="AV146" s="363"/>
      <c r="AW146" s="363"/>
      <c r="AX146" s="363"/>
      <c r="AY146" s="363"/>
      <c r="AZ146" s="363"/>
      <c r="BA146" s="363"/>
      <c r="BB146" s="363"/>
      <c r="BC146" s="363"/>
      <c r="BD146" s="363"/>
      <c r="BE146" s="363"/>
      <c r="BF146" s="363"/>
      <c r="BG146" s="363"/>
      <c r="BH146" s="363"/>
    </row>
    <row r="147" spans="1:60" ht="15.75" customHeight="1" x14ac:dyDescent="0.25">
      <c r="A147" s="363"/>
      <c r="B147" s="363"/>
      <c r="C147" s="363"/>
      <c r="D147" s="363"/>
      <c r="E147" s="363"/>
      <c r="F147" s="363"/>
      <c r="G147" s="363"/>
      <c r="H147" s="363"/>
      <c r="I147" s="363"/>
      <c r="J147" s="363"/>
      <c r="K147" s="363"/>
      <c r="L147" s="363"/>
      <c r="M147" s="363"/>
      <c r="N147" s="363"/>
      <c r="O147" s="363"/>
      <c r="P147" s="363"/>
      <c r="Q147" s="363"/>
      <c r="R147" s="363"/>
      <c r="S147" s="363"/>
      <c r="T147" s="363"/>
      <c r="U147" s="363"/>
      <c r="V147" s="363"/>
      <c r="W147" s="363"/>
      <c r="X147" s="363"/>
      <c r="Y147" s="363"/>
      <c r="Z147" s="363"/>
      <c r="AA147" s="363"/>
      <c r="AB147" s="363"/>
      <c r="AC147" s="363"/>
      <c r="AD147" s="363"/>
      <c r="AE147" s="363"/>
      <c r="AF147" s="363"/>
      <c r="AG147" s="363"/>
      <c r="AH147" s="363"/>
      <c r="AI147" s="363"/>
      <c r="AJ147" s="363"/>
      <c r="AK147" s="363"/>
      <c r="AL147" s="363"/>
      <c r="AM147" s="363"/>
      <c r="AN147" s="363"/>
      <c r="AO147" s="363"/>
      <c r="AP147" s="363"/>
      <c r="AQ147" s="363"/>
      <c r="AR147" s="363"/>
      <c r="AS147" s="363"/>
      <c r="AT147" s="363"/>
      <c r="AU147" s="363"/>
      <c r="AV147" s="363"/>
      <c r="AW147" s="363"/>
      <c r="AX147" s="363"/>
      <c r="AY147" s="363"/>
      <c r="AZ147" s="363"/>
      <c r="BA147" s="363"/>
      <c r="BB147" s="363"/>
      <c r="BC147" s="363"/>
      <c r="BD147" s="363"/>
      <c r="BE147" s="363"/>
      <c r="BF147" s="363"/>
      <c r="BG147" s="363"/>
      <c r="BH147" s="363"/>
    </row>
    <row r="148" spans="1:60" ht="15.75" customHeight="1" x14ac:dyDescent="0.25">
      <c r="A148" s="363"/>
      <c r="B148" s="363"/>
      <c r="C148" s="363"/>
      <c r="D148" s="363"/>
      <c r="E148" s="363"/>
      <c r="F148" s="363"/>
      <c r="G148" s="363"/>
      <c r="H148" s="363"/>
      <c r="I148" s="363"/>
      <c r="J148" s="363"/>
      <c r="K148" s="363"/>
      <c r="L148" s="363"/>
      <c r="M148" s="363"/>
      <c r="N148" s="363"/>
      <c r="O148" s="363"/>
      <c r="P148" s="363"/>
      <c r="Q148" s="363"/>
      <c r="R148" s="363"/>
      <c r="S148" s="363"/>
      <c r="T148" s="363"/>
      <c r="U148" s="363"/>
      <c r="V148" s="363"/>
      <c r="W148" s="363"/>
      <c r="X148" s="363"/>
      <c r="Y148" s="363"/>
      <c r="Z148" s="363"/>
      <c r="AA148" s="363"/>
      <c r="AB148" s="363"/>
      <c r="AC148" s="363"/>
      <c r="AD148" s="363"/>
      <c r="AE148" s="363"/>
      <c r="AF148" s="363"/>
      <c r="AG148" s="363"/>
      <c r="AH148" s="363"/>
      <c r="AI148" s="363"/>
      <c r="AJ148" s="363"/>
      <c r="AK148" s="363"/>
      <c r="AL148" s="363"/>
      <c r="AM148" s="363"/>
      <c r="AN148" s="363"/>
      <c r="AO148" s="363"/>
      <c r="AP148" s="363"/>
      <c r="AQ148" s="363"/>
      <c r="AR148" s="363"/>
      <c r="AS148" s="363"/>
      <c r="AT148" s="363"/>
      <c r="AU148" s="363"/>
      <c r="AV148" s="363"/>
      <c r="AW148" s="363"/>
      <c r="AX148" s="363"/>
      <c r="AY148" s="363"/>
      <c r="AZ148" s="363"/>
      <c r="BA148" s="363"/>
      <c r="BB148" s="363"/>
      <c r="BC148" s="363"/>
      <c r="BD148" s="363"/>
      <c r="BE148" s="363"/>
      <c r="BF148" s="363"/>
      <c r="BG148" s="363"/>
      <c r="BH148" s="363"/>
    </row>
    <row r="149" spans="1:60" ht="15.75" customHeight="1" x14ac:dyDescent="0.25">
      <c r="A149" s="363"/>
      <c r="B149" s="363"/>
      <c r="C149" s="363"/>
      <c r="D149" s="363"/>
      <c r="E149" s="363"/>
      <c r="F149" s="363"/>
      <c r="G149" s="363"/>
      <c r="H149" s="363"/>
      <c r="I149" s="363"/>
      <c r="J149" s="363"/>
      <c r="K149" s="363"/>
      <c r="L149" s="363"/>
      <c r="M149" s="363"/>
      <c r="N149" s="363"/>
      <c r="O149" s="363"/>
      <c r="P149" s="363"/>
      <c r="Q149" s="363"/>
      <c r="R149" s="363"/>
      <c r="S149" s="363"/>
      <c r="T149" s="363"/>
      <c r="U149" s="363"/>
      <c r="V149" s="363"/>
      <c r="W149" s="363"/>
      <c r="X149" s="363"/>
      <c r="Y149" s="363"/>
      <c r="Z149" s="363"/>
      <c r="AA149" s="363"/>
      <c r="AB149" s="363"/>
      <c r="AC149" s="363"/>
      <c r="AD149" s="363"/>
      <c r="AE149" s="363"/>
      <c r="AF149" s="363"/>
      <c r="AG149" s="363"/>
      <c r="AH149" s="363"/>
      <c r="AI149" s="363"/>
      <c r="AJ149" s="363"/>
      <c r="AK149" s="363"/>
      <c r="AL149" s="363"/>
      <c r="AM149" s="363"/>
      <c r="AN149" s="363"/>
      <c r="AO149" s="363"/>
      <c r="AP149" s="363"/>
      <c r="AQ149" s="363"/>
      <c r="AR149" s="363"/>
      <c r="AS149" s="363"/>
      <c r="AT149" s="363"/>
      <c r="AU149" s="363"/>
      <c r="AV149" s="363"/>
      <c r="AW149" s="363"/>
      <c r="AX149" s="363"/>
      <c r="AY149" s="363"/>
      <c r="AZ149" s="363"/>
      <c r="BA149" s="363"/>
      <c r="BB149" s="363"/>
      <c r="BC149" s="363"/>
      <c r="BD149" s="363"/>
      <c r="BE149" s="363"/>
      <c r="BF149" s="363"/>
      <c r="BG149" s="363"/>
      <c r="BH149" s="363"/>
    </row>
    <row r="150" spans="1:60" ht="15.75" customHeight="1" x14ac:dyDescent="0.25">
      <c r="A150" s="363"/>
      <c r="B150" s="363"/>
      <c r="C150" s="363"/>
      <c r="D150" s="363"/>
      <c r="E150" s="363"/>
      <c r="F150" s="363"/>
      <c r="G150" s="363"/>
      <c r="H150" s="363"/>
      <c r="I150" s="363"/>
      <c r="J150" s="363"/>
      <c r="K150" s="363"/>
      <c r="L150" s="363"/>
      <c r="M150" s="363"/>
      <c r="N150" s="363"/>
      <c r="O150" s="363"/>
      <c r="P150" s="363"/>
      <c r="Q150" s="363"/>
      <c r="R150" s="363"/>
      <c r="S150" s="363"/>
      <c r="T150" s="363"/>
      <c r="U150" s="363"/>
      <c r="V150" s="363"/>
      <c r="W150" s="363"/>
      <c r="X150" s="363"/>
      <c r="Y150" s="363"/>
      <c r="Z150" s="363"/>
      <c r="AA150" s="363"/>
      <c r="AB150" s="363"/>
      <c r="AC150" s="363"/>
      <c r="AD150" s="363"/>
      <c r="AE150" s="363"/>
      <c r="AF150" s="363"/>
      <c r="AG150" s="363"/>
      <c r="AH150" s="363"/>
      <c r="AI150" s="363"/>
      <c r="AJ150" s="363"/>
      <c r="AK150" s="363"/>
      <c r="AL150" s="363"/>
      <c r="AM150" s="363"/>
      <c r="AN150" s="363"/>
      <c r="AO150" s="363"/>
      <c r="AP150" s="363"/>
      <c r="AQ150" s="363"/>
      <c r="AR150" s="363"/>
      <c r="AS150" s="363"/>
      <c r="AT150" s="363"/>
      <c r="AU150" s="363"/>
      <c r="AV150" s="363"/>
      <c r="AW150" s="363"/>
      <c r="AX150" s="363"/>
      <c r="AY150" s="363"/>
      <c r="AZ150" s="363"/>
      <c r="BA150" s="363"/>
      <c r="BB150" s="363"/>
      <c r="BC150" s="363"/>
      <c r="BD150" s="363"/>
      <c r="BE150" s="363"/>
      <c r="BF150" s="363"/>
      <c r="BG150" s="363"/>
      <c r="BH150" s="363"/>
    </row>
    <row r="151" spans="1:60" ht="15.75" customHeight="1" x14ac:dyDescent="0.25">
      <c r="A151" s="363"/>
      <c r="B151" s="363"/>
      <c r="C151" s="363"/>
      <c r="D151" s="363"/>
      <c r="E151" s="363"/>
      <c r="F151" s="363"/>
      <c r="G151" s="363"/>
      <c r="H151" s="363"/>
      <c r="I151" s="363"/>
      <c r="J151" s="363"/>
      <c r="K151" s="363"/>
      <c r="L151" s="363"/>
      <c r="M151" s="363"/>
      <c r="N151" s="363"/>
      <c r="O151" s="363"/>
      <c r="P151" s="363"/>
      <c r="Q151" s="363"/>
      <c r="R151" s="363"/>
      <c r="S151" s="363"/>
      <c r="T151" s="363"/>
      <c r="U151" s="363"/>
      <c r="V151" s="363"/>
      <c r="W151" s="363"/>
      <c r="X151" s="363"/>
      <c r="Y151" s="363"/>
      <c r="Z151" s="363"/>
      <c r="AA151" s="363"/>
      <c r="AB151" s="363"/>
      <c r="AC151" s="363"/>
      <c r="AD151" s="363"/>
      <c r="AE151" s="363"/>
      <c r="AF151" s="363"/>
      <c r="AG151" s="363"/>
      <c r="AH151" s="363"/>
      <c r="AI151" s="363"/>
      <c r="AJ151" s="363"/>
      <c r="AK151" s="363"/>
      <c r="AL151" s="363"/>
      <c r="AM151" s="363"/>
      <c r="AN151" s="363"/>
      <c r="AO151" s="363"/>
      <c r="AP151" s="363"/>
      <c r="AQ151" s="363"/>
      <c r="AR151" s="363"/>
      <c r="AS151" s="363"/>
      <c r="AT151" s="363"/>
      <c r="AU151" s="363"/>
      <c r="AV151" s="363"/>
      <c r="AW151" s="363"/>
      <c r="AX151" s="363"/>
      <c r="AY151" s="363"/>
      <c r="AZ151" s="363"/>
      <c r="BA151" s="363"/>
      <c r="BB151" s="363"/>
      <c r="BC151" s="363"/>
      <c r="BD151" s="363"/>
      <c r="BE151" s="363"/>
      <c r="BF151" s="363"/>
      <c r="BG151" s="363"/>
      <c r="BH151" s="363"/>
    </row>
    <row r="152" spans="1:60" ht="15.75" customHeight="1" x14ac:dyDescent="0.25">
      <c r="A152" s="363"/>
      <c r="B152" s="363"/>
      <c r="C152" s="363"/>
      <c r="D152" s="363"/>
      <c r="E152" s="363"/>
      <c r="F152" s="363"/>
      <c r="G152" s="363"/>
      <c r="H152" s="363"/>
      <c r="I152" s="363"/>
      <c r="J152" s="363"/>
      <c r="K152" s="363"/>
      <c r="L152" s="363"/>
      <c r="M152" s="363"/>
      <c r="N152" s="363"/>
      <c r="O152" s="363"/>
      <c r="P152" s="363"/>
      <c r="Q152" s="363"/>
      <c r="R152" s="363"/>
      <c r="S152" s="363"/>
      <c r="T152" s="363"/>
      <c r="U152" s="363"/>
      <c r="V152" s="363"/>
      <c r="W152" s="363"/>
      <c r="X152" s="363"/>
      <c r="Y152" s="363"/>
      <c r="Z152" s="363"/>
      <c r="AA152" s="363"/>
      <c r="AB152" s="363"/>
      <c r="AC152" s="363"/>
      <c r="AD152" s="363"/>
      <c r="AE152" s="363"/>
      <c r="AF152" s="363"/>
      <c r="AG152" s="363"/>
      <c r="AH152" s="363"/>
      <c r="AI152" s="363"/>
      <c r="AJ152" s="363"/>
      <c r="AK152" s="363"/>
      <c r="AL152" s="363"/>
      <c r="AM152" s="363"/>
      <c r="AN152" s="363"/>
      <c r="AO152" s="363"/>
      <c r="AP152" s="363"/>
      <c r="AQ152" s="363"/>
      <c r="AR152" s="363"/>
      <c r="AS152" s="363"/>
      <c r="AT152" s="363"/>
      <c r="AU152" s="363"/>
      <c r="AV152" s="363"/>
      <c r="AW152" s="363"/>
      <c r="AX152" s="363"/>
      <c r="AY152" s="363"/>
      <c r="AZ152" s="363"/>
      <c r="BA152" s="363"/>
      <c r="BB152" s="363"/>
      <c r="BC152" s="363"/>
      <c r="BD152" s="363"/>
      <c r="BE152" s="363"/>
      <c r="BF152" s="363"/>
      <c r="BG152" s="363"/>
      <c r="BH152" s="363"/>
    </row>
    <row r="153" spans="1:60" ht="15.75" customHeight="1" x14ac:dyDescent="0.25">
      <c r="A153" s="363"/>
      <c r="B153" s="363"/>
      <c r="C153" s="363"/>
      <c r="D153" s="363"/>
      <c r="E153" s="363"/>
      <c r="F153" s="363"/>
      <c r="G153" s="363"/>
      <c r="H153" s="363"/>
      <c r="I153" s="363"/>
      <c r="J153" s="363"/>
      <c r="K153" s="363"/>
      <c r="L153" s="363"/>
      <c r="M153" s="363"/>
      <c r="N153" s="363"/>
      <c r="O153" s="363"/>
      <c r="P153" s="363"/>
      <c r="Q153" s="363"/>
      <c r="R153" s="363"/>
      <c r="S153" s="363"/>
      <c r="T153" s="363"/>
      <c r="U153" s="363"/>
      <c r="V153" s="363"/>
      <c r="W153" s="363"/>
      <c r="X153" s="363"/>
      <c r="Y153" s="363"/>
      <c r="Z153" s="363"/>
      <c r="AA153" s="363"/>
      <c r="AB153" s="363"/>
      <c r="AC153" s="363"/>
      <c r="AD153" s="363"/>
      <c r="AE153" s="363"/>
      <c r="AF153" s="363"/>
      <c r="AG153" s="363"/>
      <c r="AH153" s="363"/>
      <c r="AI153" s="363"/>
      <c r="AJ153" s="363"/>
      <c r="AK153" s="363"/>
      <c r="AL153" s="363"/>
      <c r="AM153" s="363"/>
      <c r="AN153" s="363"/>
      <c r="AO153" s="363"/>
      <c r="AP153" s="363"/>
      <c r="AQ153" s="363"/>
      <c r="AR153" s="363"/>
      <c r="AS153" s="363"/>
      <c r="AT153" s="363"/>
      <c r="AU153" s="363"/>
      <c r="AV153" s="363"/>
      <c r="AW153" s="363"/>
      <c r="AX153" s="363"/>
      <c r="AY153" s="363"/>
      <c r="AZ153" s="363"/>
      <c r="BA153" s="363"/>
      <c r="BB153" s="363"/>
      <c r="BC153" s="363"/>
      <c r="BD153" s="363"/>
      <c r="BE153" s="363"/>
      <c r="BF153" s="363"/>
      <c r="BG153" s="363"/>
      <c r="BH153" s="363"/>
    </row>
    <row r="154" spans="1:60" ht="15.75" customHeight="1" x14ac:dyDescent="0.25">
      <c r="A154" s="363"/>
      <c r="B154" s="363"/>
      <c r="C154" s="363"/>
      <c r="D154" s="363"/>
      <c r="E154" s="363"/>
      <c r="F154" s="363"/>
      <c r="G154" s="363"/>
      <c r="H154" s="363"/>
      <c r="I154" s="363"/>
      <c r="J154" s="363"/>
      <c r="K154" s="363"/>
      <c r="L154" s="363"/>
      <c r="M154" s="363"/>
      <c r="N154" s="363"/>
      <c r="O154" s="363"/>
      <c r="P154" s="363"/>
      <c r="Q154" s="363"/>
      <c r="R154" s="363"/>
      <c r="S154" s="363"/>
      <c r="T154" s="363"/>
      <c r="U154" s="363"/>
      <c r="V154" s="363"/>
      <c r="W154" s="363"/>
      <c r="X154" s="363"/>
      <c r="Y154" s="363"/>
      <c r="Z154" s="363"/>
      <c r="AA154" s="363"/>
      <c r="AB154" s="363"/>
      <c r="AC154" s="363"/>
      <c r="AD154" s="363"/>
      <c r="AE154" s="363"/>
      <c r="AF154" s="363"/>
      <c r="AG154" s="363"/>
      <c r="AH154" s="363"/>
      <c r="AI154" s="363"/>
      <c r="AJ154" s="363"/>
      <c r="AK154" s="363"/>
      <c r="AL154" s="363"/>
      <c r="AM154" s="363"/>
      <c r="AN154" s="363"/>
      <c r="AO154" s="363"/>
      <c r="AP154" s="363"/>
      <c r="AQ154" s="363"/>
      <c r="AR154" s="363"/>
      <c r="AS154" s="363"/>
      <c r="AT154" s="363"/>
      <c r="AU154" s="363"/>
      <c r="AV154" s="363"/>
      <c r="AW154" s="363"/>
      <c r="AX154" s="363"/>
      <c r="AY154" s="363"/>
      <c r="AZ154" s="363"/>
      <c r="BA154" s="363"/>
      <c r="BB154" s="363"/>
      <c r="BC154" s="363"/>
      <c r="BD154" s="363"/>
      <c r="BE154" s="363"/>
      <c r="BF154" s="363"/>
      <c r="BG154" s="363"/>
      <c r="BH154" s="363"/>
    </row>
    <row r="155" spans="1:60" ht="15.75" customHeight="1" x14ac:dyDescent="0.25">
      <c r="A155" s="363"/>
      <c r="B155" s="363"/>
      <c r="C155" s="363"/>
      <c r="D155" s="363"/>
      <c r="E155" s="363"/>
      <c r="F155" s="363"/>
      <c r="G155" s="363"/>
      <c r="H155" s="363"/>
      <c r="I155" s="363"/>
      <c r="J155" s="363"/>
      <c r="K155" s="363"/>
      <c r="L155" s="363"/>
      <c r="M155" s="363"/>
      <c r="N155" s="363"/>
      <c r="O155" s="363"/>
      <c r="P155" s="363"/>
      <c r="Q155" s="363"/>
      <c r="R155" s="363"/>
      <c r="S155" s="363"/>
      <c r="T155" s="363"/>
      <c r="U155" s="363"/>
      <c r="V155" s="363"/>
      <c r="W155" s="363"/>
      <c r="X155" s="363"/>
      <c r="Y155" s="363"/>
      <c r="Z155" s="363"/>
      <c r="AA155" s="363"/>
      <c r="AB155" s="363"/>
      <c r="AC155" s="363"/>
      <c r="AD155" s="363"/>
      <c r="AE155" s="363"/>
      <c r="AF155" s="363"/>
      <c r="AG155" s="363"/>
      <c r="AH155" s="363"/>
      <c r="AI155" s="363"/>
      <c r="AJ155" s="363"/>
      <c r="AK155" s="363"/>
      <c r="AL155" s="363"/>
      <c r="AM155" s="363"/>
      <c r="AN155" s="363"/>
      <c r="AO155" s="363"/>
      <c r="AP155" s="363"/>
      <c r="AQ155" s="363"/>
      <c r="AR155" s="363"/>
      <c r="AS155" s="363"/>
      <c r="AT155" s="363"/>
      <c r="AU155" s="363"/>
      <c r="AV155" s="363"/>
      <c r="AW155" s="363"/>
      <c r="AX155" s="363"/>
      <c r="AY155" s="363"/>
      <c r="AZ155" s="363"/>
      <c r="BA155" s="363"/>
      <c r="BB155" s="363"/>
      <c r="BC155" s="363"/>
      <c r="BD155" s="363"/>
      <c r="BE155" s="363"/>
      <c r="BF155" s="363"/>
      <c r="BG155" s="363"/>
      <c r="BH155" s="363"/>
    </row>
    <row r="156" spans="1:60" ht="15.75" customHeight="1" x14ac:dyDescent="0.25">
      <c r="A156" s="363"/>
      <c r="B156" s="363"/>
      <c r="C156" s="363"/>
      <c r="D156" s="363"/>
      <c r="E156" s="363"/>
      <c r="F156" s="363"/>
      <c r="G156" s="363"/>
      <c r="H156" s="363"/>
      <c r="I156" s="363"/>
      <c r="J156" s="363"/>
      <c r="K156" s="363"/>
      <c r="L156" s="363"/>
      <c r="M156" s="363"/>
      <c r="N156" s="363"/>
      <c r="O156" s="363"/>
      <c r="P156" s="363"/>
      <c r="Q156" s="363"/>
      <c r="R156" s="363"/>
      <c r="S156" s="363"/>
      <c r="T156" s="363"/>
      <c r="U156" s="363"/>
      <c r="V156" s="363"/>
      <c r="W156" s="363"/>
      <c r="X156" s="363"/>
      <c r="Y156" s="363"/>
      <c r="Z156" s="363"/>
      <c r="AA156" s="363"/>
      <c r="AB156" s="363"/>
      <c r="AC156" s="363"/>
      <c r="AD156" s="363"/>
      <c r="AE156" s="363"/>
      <c r="AF156" s="363"/>
      <c r="AG156" s="363"/>
      <c r="AH156" s="363"/>
      <c r="AI156" s="363"/>
      <c r="AJ156" s="363"/>
      <c r="AK156" s="363"/>
      <c r="AL156" s="363"/>
      <c r="AM156" s="363"/>
      <c r="AN156" s="363"/>
      <c r="AO156" s="363"/>
      <c r="AP156" s="363"/>
      <c r="AQ156" s="363"/>
      <c r="AR156" s="363"/>
      <c r="AS156" s="363"/>
      <c r="AT156" s="363"/>
      <c r="AU156" s="363"/>
      <c r="AV156" s="363"/>
      <c r="AW156" s="363"/>
      <c r="AX156" s="363"/>
      <c r="AY156" s="363"/>
      <c r="AZ156" s="363"/>
      <c r="BA156" s="363"/>
      <c r="BB156" s="363"/>
      <c r="BC156" s="363"/>
      <c r="BD156" s="363"/>
      <c r="BE156" s="363"/>
      <c r="BF156" s="363"/>
      <c r="BG156" s="363"/>
      <c r="BH156" s="363"/>
    </row>
    <row r="157" spans="1:60" ht="15.75" customHeight="1" x14ac:dyDescent="0.25">
      <c r="A157" s="363"/>
      <c r="B157" s="363"/>
      <c r="C157" s="363"/>
      <c r="D157" s="363"/>
      <c r="E157" s="363"/>
      <c r="F157" s="363"/>
      <c r="G157" s="363"/>
      <c r="H157" s="363"/>
      <c r="I157" s="363"/>
      <c r="J157" s="363"/>
      <c r="K157" s="363"/>
      <c r="L157" s="363"/>
      <c r="M157" s="363"/>
      <c r="N157" s="363"/>
      <c r="O157" s="363"/>
      <c r="P157" s="363"/>
      <c r="Q157" s="363"/>
      <c r="R157" s="363"/>
      <c r="S157" s="363"/>
      <c r="T157" s="363"/>
      <c r="U157" s="363"/>
      <c r="V157" s="363"/>
      <c r="W157" s="363"/>
      <c r="X157" s="363"/>
      <c r="Y157" s="363"/>
      <c r="Z157" s="363"/>
      <c r="AA157" s="363"/>
      <c r="AB157" s="363"/>
      <c r="AC157" s="363"/>
      <c r="AD157" s="363"/>
      <c r="AE157" s="363"/>
      <c r="AF157" s="363"/>
      <c r="AG157" s="363"/>
      <c r="AH157" s="363"/>
      <c r="AI157" s="363"/>
      <c r="AJ157" s="363"/>
      <c r="AK157" s="363"/>
      <c r="AL157" s="363"/>
      <c r="AM157" s="363"/>
      <c r="AN157" s="363"/>
      <c r="AO157" s="363"/>
      <c r="AP157" s="363"/>
      <c r="AQ157" s="363"/>
      <c r="AR157" s="363"/>
      <c r="AS157" s="363"/>
      <c r="AT157" s="363"/>
      <c r="AU157" s="363"/>
      <c r="AV157" s="363"/>
      <c r="AW157" s="363"/>
      <c r="AX157" s="363"/>
      <c r="AY157" s="363"/>
      <c r="AZ157" s="363"/>
      <c r="BA157" s="363"/>
      <c r="BB157" s="363"/>
      <c r="BC157" s="363"/>
      <c r="BD157" s="363"/>
      <c r="BE157" s="363"/>
      <c r="BF157" s="363"/>
      <c r="BG157" s="363"/>
      <c r="BH157" s="363"/>
    </row>
    <row r="158" spans="1:60" ht="15.75" customHeight="1" x14ac:dyDescent="0.25">
      <c r="A158" s="363"/>
      <c r="B158" s="363"/>
      <c r="C158" s="363"/>
      <c r="D158" s="363"/>
      <c r="E158" s="363"/>
      <c r="F158" s="363"/>
      <c r="G158" s="363"/>
      <c r="H158" s="363"/>
      <c r="I158" s="363"/>
      <c r="J158" s="363"/>
      <c r="K158" s="363"/>
      <c r="L158" s="363"/>
      <c r="M158" s="363"/>
      <c r="N158" s="363"/>
      <c r="O158" s="363"/>
      <c r="P158" s="363"/>
      <c r="Q158" s="363"/>
      <c r="R158" s="363"/>
      <c r="S158" s="363"/>
      <c r="T158" s="363"/>
      <c r="U158" s="363"/>
      <c r="V158" s="363"/>
      <c r="W158" s="363"/>
      <c r="X158" s="363"/>
      <c r="Y158" s="363"/>
      <c r="Z158" s="363"/>
      <c r="AA158" s="363"/>
      <c r="AB158" s="363"/>
      <c r="AC158" s="363"/>
      <c r="AD158" s="363"/>
      <c r="AE158" s="363"/>
      <c r="AF158" s="363"/>
      <c r="AG158" s="363"/>
      <c r="AH158" s="363"/>
      <c r="AI158" s="363"/>
      <c r="AJ158" s="363"/>
      <c r="AK158" s="363"/>
      <c r="AL158" s="363"/>
      <c r="AM158" s="363"/>
      <c r="AN158" s="363"/>
      <c r="AO158" s="363"/>
      <c r="AP158" s="363"/>
      <c r="AQ158" s="363"/>
      <c r="AR158" s="363"/>
      <c r="AS158" s="363"/>
      <c r="AT158" s="363"/>
      <c r="AU158" s="363"/>
      <c r="AV158" s="363"/>
      <c r="AW158" s="363"/>
      <c r="AX158" s="363"/>
      <c r="AY158" s="363"/>
      <c r="AZ158" s="363"/>
      <c r="BA158" s="363"/>
      <c r="BB158" s="363"/>
      <c r="BC158" s="363"/>
      <c r="BD158" s="363"/>
      <c r="BE158" s="363"/>
      <c r="BF158" s="363"/>
      <c r="BG158" s="363"/>
      <c r="BH158" s="363"/>
    </row>
    <row r="159" spans="1:60" ht="15.75" customHeight="1" x14ac:dyDescent="0.25">
      <c r="A159" s="363"/>
      <c r="B159" s="363"/>
      <c r="C159" s="363"/>
      <c r="D159" s="363"/>
      <c r="E159" s="363"/>
      <c r="F159" s="363"/>
      <c r="G159" s="363"/>
      <c r="H159" s="363"/>
      <c r="I159" s="363"/>
      <c r="J159" s="363"/>
      <c r="K159" s="363"/>
      <c r="L159" s="363"/>
      <c r="M159" s="363"/>
      <c r="N159" s="363"/>
      <c r="O159" s="363"/>
      <c r="P159" s="363"/>
      <c r="Q159" s="363"/>
      <c r="R159" s="363"/>
      <c r="S159" s="363"/>
      <c r="T159" s="363"/>
      <c r="U159" s="363"/>
      <c r="V159" s="363"/>
      <c r="W159" s="363"/>
      <c r="X159" s="363"/>
      <c r="Y159" s="363"/>
      <c r="Z159" s="363"/>
      <c r="AA159" s="363"/>
      <c r="AB159" s="363"/>
      <c r="AC159" s="363"/>
      <c r="AD159" s="363"/>
      <c r="AE159" s="363"/>
      <c r="AF159" s="363"/>
      <c r="AG159" s="363"/>
      <c r="AH159" s="363"/>
      <c r="AI159" s="363"/>
      <c r="AJ159" s="363"/>
      <c r="AK159" s="363"/>
      <c r="AL159" s="363"/>
      <c r="AM159" s="363"/>
      <c r="AN159" s="363"/>
      <c r="AO159" s="363"/>
      <c r="AP159" s="363"/>
      <c r="AQ159" s="363"/>
      <c r="AR159" s="363"/>
      <c r="AS159" s="363"/>
      <c r="AT159" s="363"/>
      <c r="AU159" s="363"/>
      <c r="AV159" s="363"/>
      <c r="AW159" s="363"/>
      <c r="AX159" s="363"/>
      <c r="AY159" s="363"/>
      <c r="AZ159" s="363"/>
      <c r="BA159" s="363"/>
      <c r="BB159" s="363"/>
      <c r="BC159" s="363"/>
      <c r="BD159" s="363"/>
      <c r="BE159" s="363"/>
      <c r="BF159" s="363"/>
      <c r="BG159" s="363"/>
      <c r="BH159" s="363"/>
    </row>
    <row r="160" spans="1:60" ht="15.75" customHeight="1" x14ac:dyDescent="0.25">
      <c r="A160" s="363"/>
      <c r="B160" s="363"/>
      <c r="C160" s="363"/>
      <c r="D160" s="363"/>
      <c r="E160" s="363"/>
      <c r="F160" s="363"/>
      <c r="G160" s="363"/>
      <c r="H160" s="363"/>
      <c r="I160" s="363"/>
      <c r="J160" s="363"/>
      <c r="K160" s="363"/>
      <c r="L160" s="363"/>
      <c r="M160" s="363"/>
      <c r="N160" s="363"/>
      <c r="O160" s="363"/>
      <c r="P160" s="363"/>
      <c r="Q160" s="363"/>
      <c r="R160" s="363"/>
      <c r="S160" s="363"/>
      <c r="T160" s="363"/>
      <c r="U160" s="363"/>
      <c r="V160" s="363"/>
      <c r="W160" s="363"/>
      <c r="X160" s="363"/>
      <c r="Y160" s="363"/>
      <c r="Z160" s="363"/>
      <c r="AA160" s="363"/>
      <c r="AB160" s="363"/>
      <c r="AC160" s="363"/>
      <c r="AD160" s="363"/>
      <c r="AE160" s="363"/>
      <c r="AF160" s="363"/>
      <c r="AG160" s="363"/>
      <c r="AH160" s="363"/>
      <c r="AI160" s="363"/>
      <c r="AJ160" s="363"/>
      <c r="AK160" s="363"/>
      <c r="AL160" s="363"/>
      <c r="AM160" s="363"/>
      <c r="AN160" s="363"/>
      <c r="AO160" s="363"/>
      <c r="AP160" s="363"/>
      <c r="AQ160" s="363"/>
      <c r="AR160" s="363"/>
      <c r="AS160" s="363"/>
      <c r="AT160" s="363"/>
      <c r="AU160" s="363"/>
      <c r="AV160" s="363"/>
      <c r="AW160" s="363"/>
      <c r="AX160" s="363"/>
      <c r="AY160" s="363"/>
      <c r="AZ160" s="363"/>
      <c r="BA160" s="363"/>
      <c r="BB160" s="363"/>
      <c r="BC160" s="363"/>
      <c r="BD160" s="363"/>
      <c r="BE160" s="363"/>
      <c r="BF160" s="363"/>
      <c r="BG160" s="363"/>
      <c r="BH160" s="363"/>
    </row>
    <row r="161" spans="1:60" ht="15.75" customHeight="1" x14ac:dyDescent="0.25">
      <c r="A161" s="363"/>
      <c r="B161" s="363"/>
      <c r="C161" s="363"/>
      <c r="D161" s="363"/>
      <c r="E161" s="363"/>
      <c r="F161" s="363"/>
      <c r="G161" s="363"/>
      <c r="H161" s="363"/>
      <c r="I161" s="363"/>
      <c r="J161" s="363"/>
      <c r="K161" s="363"/>
      <c r="L161" s="363"/>
      <c r="M161" s="363"/>
      <c r="N161" s="363"/>
      <c r="O161" s="363"/>
      <c r="P161" s="363"/>
      <c r="Q161" s="363"/>
      <c r="R161" s="363"/>
      <c r="S161" s="363"/>
      <c r="T161" s="363"/>
      <c r="U161" s="363"/>
      <c r="V161" s="363"/>
      <c r="W161" s="363"/>
      <c r="X161" s="363"/>
      <c r="Y161" s="363"/>
      <c r="Z161" s="363"/>
      <c r="AA161" s="363"/>
      <c r="AB161" s="363"/>
      <c r="AC161" s="363"/>
      <c r="AD161" s="363"/>
      <c r="AE161" s="363"/>
      <c r="AF161" s="363"/>
      <c r="AG161" s="363"/>
      <c r="AH161" s="363"/>
      <c r="AI161" s="363"/>
      <c r="AJ161" s="363"/>
      <c r="AK161" s="363"/>
      <c r="AL161" s="363"/>
      <c r="AM161" s="363"/>
      <c r="AN161" s="363"/>
      <c r="AO161" s="363"/>
      <c r="AP161" s="363"/>
      <c r="AQ161" s="363"/>
      <c r="AR161" s="363"/>
      <c r="AS161" s="363"/>
      <c r="AT161" s="363"/>
      <c r="AU161" s="363"/>
      <c r="AV161" s="363"/>
      <c r="AW161" s="363"/>
      <c r="AX161" s="363"/>
      <c r="AY161" s="363"/>
      <c r="AZ161" s="363"/>
      <c r="BA161" s="363"/>
      <c r="BB161" s="363"/>
      <c r="BC161" s="363"/>
      <c r="BD161" s="363"/>
      <c r="BE161" s="363"/>
      <c r="BF161" s="363"/>
      <c r="BG161" s="363"/>
      <c r="BH161" s="363"/>
    </row>
    <row r="162" spans="1:60" ht="15.75" customHeight="1" x14ac:dyDescent="0.25">
      <c r="A162" s="363"/>
      <c r="B162" s="363"/>
      <c r="C162" s="363"/>
      <c r="D162" s="363"/>
      <c r="E162" s="363"/>
      <c r="F162" s="363"/>
      <c r="G162" s="363"/>
      <c r="H162" s="363"/>
      <c r="I162" s="363"/>
      <c r="J162" s="363"/>
      <c r="K162" s="363"/>
      <c r="L162" s="363"/>
      <c r="M162" s="363"/>
      <c r="N162" s="363"/>
      <c r="O162" s="363"/>
      <c r="P162" s="363"/>
      <c r="Q162" s="363"/>
      <c r="R162" s="363"/>
      <c r="S162" s="363"/>
      <c r="T162" s="363"/>
      <c r="U162" s="363"/>
      <c r="V162" s="363"/>
      <c r="W162" s="363"/>
      <c r="X162" s="363"/>
      <c r="Y162" s="363"/>
      <c r="Z162" s="363"/>
      <c r="AA162" s="363"/>
      <c r="AB162" s="363"/>
      <c r="AC162" s="363"/>
      <c r="AD162" s="363"/>
      <c r="AE162" s="363"/>
      <c r="AF162" s="363"/>
      <c r="AG162" s="363"/>
      <c r="AH162" s="363"/>
      <c r="AI162" s="363"/>
      <c r="AJ162" s="363"/>
      <c r="AK162" s="363"/>
      <c r="AL162" s="363"/>
      <c r="AM162" s="363"/>
      <c r="AN162" s="363"/>
      <c r="AO162" s="363"/>
      <c r="AP162" s="363"/>
      <c r="AQ162" s="363"/>
      <c r="AR162" s="363"/>
      <c r="AS162" s="363"/>
      <c r="AT162" s="363"/>
      <c r="AU162" s="363"/>
      <c r="AV162" s="363"/>
      <c r="AW162" s="363"/>
      <c r="AX162" s="363"/>
      <c r="AY162" s="363"/>
      <c r="AZ162" s="363"/>
      <c r="BA162" s="363"/>
      <c r="BB162" s="363"/>
      <c r="BC162" s="363"/>
      <c r="BD162" s="363"/>
      <c r="BE162" s="363"/>
      <c r="BF162" s="363"/>
      <c r="BG162" s="363"/>
      <c r="BH162" s="363"/>
    </row>
    <row r="163" spans="1:60" ht="15.75" customHeight="1" x14ac:dyDescent="0.25">
      <c r="A163" s="363"/>
      <c r="B163" s="363"/>
      <c r="C163" s="363"/>
      <c r="D163" s="363"/>
      <c r="E163" s="363"/>
      <c r="F163" s="363"/>
      <c r="G163" s="363"/>
      <c r="H163" s="363"/>
      <c r="I163" s="363"/>
      <c r="J163" s="363"/>
      <c r="K163" s="363"/>
      <c r="L163" s="363"/>
      <c r="M163" s="363"/>
      <c r="N163" s="363"/>
      <c r="O163" s="363"/>
      <c r="P163" s="363"/>
      <c r="Q163" s="363"/>
      <c r="R163" s="363"/>
      <c r="S163" s="363"/>
      <c r="T163" s="363"/>
      <c r="U163" s="363"/>
      <c r="V163" s="363"/>
      <c r="W163" s="363"/>
      <c r="X163" s="363"/>
      <c r="Y163" s="363"/>
      <c r="Z163" s="363"/>
      <c r="AA163" s="363"/>
      <c r="AB163" s="363"/>
      <c r="AC163" s="363"/>
      <c r="AD163" s="363"/>
      <c r="AE163" s="363"/>
      <c r="AF163" s="363"/>
      <c r="AG163" s="363"/>
      <c r="AH163" s="363"/>
      <c r="AI163" s="363"/>
      <c r="AJ163" s="363"/>
      <c r="AK163" s="363"/>
      <c r="AL163" s="363"/>
      <c r="AM163" s="363"/>
      <c r="AN163" s="363"/>
      <c r="AO163" s="363"/>
      <c r="AP163" s="363"/>
      <c r="AQ163" s="363"/>
      <c r="AR163" s="363"/>
      <c r="AS163" s="363"/>
      <c r="AT163" s="363"/>
      <c r="AU163" s="363"/>
      <c r="AV163" s="363"/>
      <c r="AW163" s="363"/>
      <c r="AX163" s="363"/>
      <c r="AY163" s="363"/>
      <c r="AZ163" s="363"/>
      <c r="BA163" s="363"/>
      <c r="BB163" s="363"/>
      <c r="BC163" s="363"/>
      <c r="BD163" s="363"/>
      <c r="BE163" s="363"/>
      <c r="BF163" s="363"/>
      <c r="BG163" s="363"/>
      <c r="BH163" s="363"/>
    </row>
    <row r="164" spans="1:60" ht="15.75" customHeight="1" x14ac:dyDescent="0.25">
      <c r="A164" s="363"/>
      <c r="B164" s="363"/>
      <c r="C164" s="363"/>
      <c r="D164" s="363"/>
      <c r="E164" s="363"/>
      <c r="F164" s="363"/>
      <c r="G164" s="363"/>
      <c r="H164" s="363"/>
      <c r="I164" s="363"/>
      <c r="J164" s="363"/>
      <c r="K164" s="363"/>
      <c r="L164" s="363"/>
      <c r="M164" s="363"/>
      <c r="N164" s="363"/>
      <c r="O164" s="363"/>
      <c r="P164" s="363"/>
      <c r="Q164" s="363"/>
      <c r="R164" s="363"/>
      <c r="S164" s="363"/>
      <c r="T164" s="363"/>
      <c r="U164" s="363"/>
      <c r="V164" s="363"/>
      <c r="W164" s="363"/>
      <c r="X164" s="363"/>
      <c r="Y164" s="363"/>
      <c r="Z164" s="363"/>
      <c r="AA164" s="363"/>
      <c r="AB164" s="363"/>
      <c r="AC164" s="363"/>
      <c r="AD164" s="363"/>
      <c r="AE164" s="363"/>
      <c r="AF164" s="363"/>
      <c r="AG164" s="363"/>
      <c r="AH164" s="363"/>
      <c r="AI164" s="363"/>
      <c r="AJ164" s="363"/>
      <c r="AK164" s="363"/>
      <c r="AL164" s="363"/>
      <c r="AM164" s="363"/>
      <c r="AN164" s="363"/>
      <c r="AO164" s="363"/>
      <c r="AP164" s="363"/>
      <c r="AQ164" s="363"/>
      <c r="AR164" s="363"/>
      <c r="AS164" s="363"/>
      <c r="AT164" s="363"/>
      <c r="AU164" s="363"/>
      <c r="AV164" s="363"/>
      <c r="AW164" s="363"/>
      <c r="AX164" s="363"/>
      <c r="AY164" s="363"/>
      <c r="AZ164" s="363"/>
      <c r="BA164" s="363"/>
      <c r="BB164" s="363"/>
      <c r="BC164" s="363"/>
      <c r="BD164" s="363"/>
      <c r="BE164" s="363"/>
      <c r="BF164" s="363"/>
      <c r="BG164" s="363"/>
      <c r="BH164" s="363"/>
    </row>
    <row r="165" spans="1:60" ht="15.75" customHeight="1" x14ac:dyDescent="0.25">
      <c r="A165" s="363"/>
      <c r="B165" s="363"/>
      <c r="C165" s="363"/>
      <c r="D165" s="363"/>
      <c r="E165" s="363"/>
      <c r="F165" s="363"/>
      <c r="G165" s="363"/>
      <c r="H165" s="363"/>
      <c r="I165" s="363"/>
      <c r="J165" s="363"/>
      <c r="K165" s="363"/>
      <c r="L165" s="363"/>
      <c r="M165" s="363"/>
      <c r="N165" s="363"/>
      <c r="O165" s="363"/>
      <c r="P165" s="363"/>
      <c r="Q165" s="363"/>
      <c r="R165" s="363"/>
      <c r="S165" s="363"/>
      <c r="T165" s="363"/>
      <c r="U165" s="363"/>
      <c r="V165" s="363"/>
      <c r="W165" s="363"/>
      <c r="X165" s="363"/>
      <c r="Y165" s="363"/>
      <c r="Z165" s="363"/>
      <c r="AA165" s="363"/>
      <c r="AB165" s="363"/>
      <c r="AC165" s="363"/>
      <c r="AD165" s="363"/>
      <c r="AE165" s="363"/>
      <c r="AF165" s="363"/>
      <c r="AG165" s="363"/>
      <c r="AH165" s="363"/>
      <c r="AI165" s="363"/>
      <c r="AJ165" s="363"/>
      <c r="AK165" s="363"/>
      <c r="AL165" s="363"/>
      <c r="AM165" s="363"/>
      <c r="AN165" s="363"/>
      <c r="AO165" s="363"/>
      <c r="AP165" s="363"/>
      <c r="AQ165" s="363"/>
      <c r="AR165" s="363"/>
      <c r="AS165" s="363"/>
      <c r="AT165" s="363"/>
      <c r="AU165" s="363"/>
      <c r="AV165" s="363"/>
      <c r="AW165" s="363"/>
      <c r="AX165" s="363"/>
      <c r="AY165" s="363"/>
      <c r="AZ165" s="363"/>
      <c r="BA165" s="363"/>
      <c r="BB165" s="363"/>
      <c r="BC165" s="363"/>
      <c r="BD165" s="363"/>
      <c r="BE165" s="363"/>
      <c r="BF165" s="363"/>
      <c r="BG165" s="363"/>
      <c r="BH165" s="363"/>
    </row>
    <row r="166" spans="1:60" ht="15.75" customHeight="1" x14ac:dyDescent="0.25">
      <c r="A166" s="363"/>
      <c r="B166" s="363"/>
      <c r="C166" s="363"/>
      <c r="D166" s="363"/>
      <c r="E166" s="363"/>
      <c r="F166" s="363"/>
      <c r="G166" s="363"/>
      <c r="H166" s="363"/>
      <c r="I166" s="363"/>
      <c r="J166" s="363"/>
      <c r="K166" s="363"/>
      <c r="L166" s="363"/>
      <c r="M166" s="363"/>
      <c r="N166" s="363"/>
      <c r="O166" s="363"/>
      <c r="P166" s="363"/>
      <c r="Q166" s="363"/>
      <c r="R166" s="363"/>
      <c r="S166" s="363"/>
      <c r="T166" s="363"/>
      <c r="U166" s="363"/>
      <c r="V166" s="363"/>
      <c r="W166" s="363"/>
      <c r="X166" s="363"/>
      <c r="Y166" s="363"/>
      <c r="Z166" s="363"/>
      <c r="AA166" s="363"/>
      <c r="AB166" s="363"/>
      <c r="AC166" s="363"/>
      <c r="AD166" s="363"/>
      <c r="AE166" s="363"/>
      <c r="AF166" s="363"/>
      <c r="AG166" s="363"/>
      <c r="AH166" s="363"/>
      <c r="AI166" s="363"/>
      <c r="AJ166" s="363"/>
      <c r="AK166" s="363"/>
      <c r="AL166" s="363"/>
      <c r="AM166" s="363"/>
      <c r="AN166" s="363"/>
      <c r="AO166" s="363"/>
      <c r="AP166" s="363"/>
      <c r="AQ166" s="363"/>
      <c r="AR166" s="363"/>
      <c r="AS166" s="363"/>
      <c r="AT166" s="363"/>
      <c r="AU166" s="363"/>
      <c r="AV166" s="363"/>
      <c r="AW166" s="363"/>
      <c r="AX166" s="363"/>
      <c r="AY166" s="363"/>
      <c r="AZ166" s="363"/>
      <c r="BA166" s="363"/>
      <c r="BB166" s="363"/>
      <c r="BC166" s="363"/>
      <c r="BD166" s="363"/>
      <c r="BE166" s="363"/>
      <c r="BF166" s="363"/>
      <c r="BG166" s="363"/>
      <c r="BH166" s="363"/>
    </row>
    <row r="167" spans="1:60" ht="15.75" customHeight="1" x14ac:dyDescent="0.25">
      <c r="A167" s="363"/>
      <c r="B167" s="363"/>
      <c r="C167" s="363"/>
      <c r="D167" s="363"/>
      <c r="E167" s="363"/>
      <c r="F167" s="363"/>
      <c r="G167" s="363"/>
      <c r="H167" s="363"/>
      <c r="I167" s="363"/>
      <c r="J167" s="363"/>
      <c r="K167" s="363"/>
      <c r="L167" s="363"/>
      <c r="M167" s="363"/>
      <c r="N167" s="363"/>
      <c r="O167" s="363"/>
      <c r="P167" s="363"/>
      <c r="Q167" s="363"/>
      <c r="R167" s="363"/>
      <c r="S167" s="363"/>
      <c r="T167" s="363"/>
      <c r="U167" s="363"/>
      <c r="V167" s="363"/>
      <c r="W167" s="363"/>
      <c r="X167" s="363"/>
      <c r="Y167" s="363"/>
      <c r="Z167" s="363"/>
      <c r="AA167" s="363"/>
      <c r="AB167" s="363"/>
      <c r="AC167" s="363"/>
      <c r="AD167" s="363"/>
      <c r="AE167" s="363"/>
      <c r="AF167" s="363"/>
      <c r="AG167" s="363"/>
      <c r="AH167" s="363"/>
      <c r="AI167" s="363"/>
      <c r="AJ167" s="363"/>
      <c r="AK167" s="363"/>
      <c r="AL167" s="363"/>
      <c r="AM167" s="363"/>
      <c r="AN167" s="363"/>
      <c r="AO167" s="363"/>
      <c r="AP167" s="363"/>
      <c r="AQ167" s="363"/>
      <c r="AR167" s="363"/>
      <c r="AS167" s="363"/>
      <c r="AT167" s="363"/>
      <c r="AU167" s="363"/>
      <c r="AV167" s="363"/>
      <c r="AW167" s="363"/>
      <c r="AX167" s="363"/>
      <c r="AY167" s="363"/>
      <c r="AZ167" s="363"/>
      <c r="BA167" s="363"/>
      <c r="BB167" s="363"/>
      <c r="BC167" s="363"/>
      <c r="BD167" s="363"/>
      <c r="BE167" s="363"/>
      <c r="BF167" s="363"/>
      <c r="BG167" s="363"/>
      <c r="BH167" s="363"/>
    </row>
    <row r="168" spans="1:60" ht="15.75" customHeight="1" x14ac:dyDescent="0.25">
      <c r="A168" s="363"/>
      <c r="B168" s="363"/>
      <c r="C168" s="363"/>
      <c r="D168" s="363"/>
      <c r="E168" s="363"/>
      <c r="F168" s="363"/>
      <c r="G168" s="363"/>
      <c r="H168" s="363"/>
      <c r="I168" s="363"/>
      <c r="J168" s="363"/>
      <c r="K168" s="363"/>
      <c r="L168" s="363"/>
      <c r="M168" s="363"/>
      <c r="N168" s="363"/>
      <c r="O168" s="363"/>
      <c r="P168" s="363"/>
      <c r="Q168" s="363"/>
      <c r="R168" s="363"/>
      <c r="S168" s="363"/>
      <c r="T168" s="363"/>
      <c r="U168" s="363"/>
      <c r="V168" s="363"/>
      <c r="W168" s="363"/>
      <c r="X168" s="363"/>
      <c r="Y168" s="363"/>
      <c r="Z168" s="363"/>
      <c r="AA168" s="363"/>
      <c r="AB168" s="363"/>
      <c r="AC168" s="363"/>
      <c r="AD168" s="363"/>
      <c r="AE168" s="363"/>
      <c r="AF168" s="363"/>
      <c r="AG168" s="363"/>
      <c r="AH168" s="363"/>
      <c r="AI168" s="363"/>
      <c r="AJ168" s="363"/>
      <c r="AK168" s="363"/>
      <c r="AL168" s="363"/>
      <c r="AM168" s="363"/>
      <c r="AN168" s="363"/>
      <c r="AO168" s="363"/>
      <c r="AP168" s="363"/>
      <c r="AQ168" s="363"/>
      <c r="AR168" s="363"/>
      <c r="AS168" s="363"/>
      <c r="AT168" s="363"/>
      <c r="AU168" s="363"/>
      <c r="AV168" s="363"/>
      <c r="AW168" s="363"/>
      <c r="AX168" s="363"/>
      <c r="AY168" s="363"/>
      <c r="AZ168" s="363"/>
      <c r="BA168" s="363"/>
      <c r="BB168" s="363"/>
      <c r="BC168" s="363"/>
      <c r="BD168" s="363"/>
      <c r="BE168" s="363"/>
      <c r="BF168" s="363"/>
      <c r="BG168" s="363"/>
      <c r="BH168" s="363"/>
    </row>
    <row r="169" spans="1:60" ht="15.75" customHeight="1" x14ac:dyDescent="0.25">
      <c r="A169" s="363"/>
      <c r="B169" s="363"/>
      <c r="C169" s="363"/>
      <c r="D169" s="363"/>
      <c r="E169" s="363"/>
      <c r="F169" s="363"/>
      <c r="G169" s="363"/>
      <c r="H169" s="363"/>
      <c r="I169" s="363"/>
      <c r="J169" s="363"/>
      <c r="K169" s="363"/>
      <c r="L169" s="363"/>
      <c r="M169" s="363"/>
      <c r="N169" s="363"/>
      <c r="O169" s="363"/>
      <c r="P169" s="363"/>
      <c r="Q169" s="363"/>
      <c r="R169" s="363"/>
      <c r="S169" s="363"/>
      <c r="T169" s="363"/>
      <c r="U169" s="363"/>
      <c r="V169" s="363"/>
      <c r="W169" s="363"/>
      <c r="X169" s="363"/>
      <c r="Y169" s="363"/>
      <c r="Z169" s="363"/>
      <c r="AA169" s="363"/>
      <c r="AB169" s="363"/>
      <c r="AC169" s="363"/>
      <c r="AD169" s="363"/>
      <c r="AE169" s="363"/>
      <c r="AF169" s="363"/>
      <c r="AG169" s="363"/>
      <c r="AH169" s="363"/>
      <c r="AI169" s="363"/>
      <c r="AJ169" s="363"/>
      <c r="AK169" s="363"/>
      <c r="AL169" s="363"/>
      <c r="AM169" s="363"/>
      <c r="AN169" s="363"/>
      <c r="AO169" s="363"/>
      <c r="AP169" s="363"/>
      <c r="AQ169" s="363"/>
      <c r="AR169" s="363"/>
      <c r="AS169" s="363"/>
      <c r="AT169" s="363"/>
      <c r="AU169" s="363"/>
      <c r="AV169" s="363"/>
      <c r="AW169" s="363"/>
      <c r="AX169" s="363"/>
      <c r="AY169" s="363"/>
      <c r="AZ169" s="363"/>
      <c r="BA169" s="363"/>
      <c r="BB169" s="363"/>
      <c r="BC169" s="363"/>
      <c r="BD169" s="363"/>
      <c r="BE169" s="363"/>
      <c r="BF169" s="363"/>
      <c r="BG169" s="363"/>
      <c r="BH169" s="363"/>
    </row>
    <row r="170" spans="1:60" ht="15.75" customHeight="1" x14ac:dyDescent="0.25">
      <c r="A170" s="363"/>
      <c r="B170" s="363"/>
      <c r="C170" s="363"/>
      <c r="D170" s="363"/>
      <c r="E170" s="363"/>
      <c r="F170" s="363"/>
      <c r="G170" s="363"/>
      <c r="H170" s="363"/>
      <c r="I170" s="363"/>
      <c r="J170" s="363"/>
      <c r="K170" s="363"/>
      <c r="L170" s="363"/>
      <c r="M170" s="363"/>
      <c r="N170" s="363"/>
      <c r="O170" s="363"/>
      <c r="P170" s="363"/>
      <c r="Q170" s="363"/>
      <c r="R170" s="363"/>
      <c r="S170" s="363"/>
      <c r="T170" s="363"/>
      <c r="U170" s="363"/>
      <c r="V170" s="363"/>
      <c r="W170" s="363"/>
      <c r="X170" s="363"/>
      <c r="Y170" s="363"/>
      <c r="Z170" s="363"/>
      <c r="AA170" s="363"/>
      <c r="AB170" s="363"/>
      <c r="AC170" s="363"/>
      <c r="AD170" s="363"/>
      <c r="AE170" s="363"/>
      <c r="AF170" s="363"/>
      <c r="AG170" s="363"/>
      <c r="AH170" s="363"/>
      <c r="AI170" s="363"/>
      <c r="AJ170" s="363"/>
      <c r="AK170" s="363"/>
      <c r="AL170" s="363"/>
      <c r="AM170" s="363"/>
      <c r="AN170" s="363"/>
      <c r="AO170" s="363"/>
      <c r="AP170" s="363"/>
      <c r="AQ170" s="363"/>
      <c r="AR170" s="363"/>
      <c r="AS170" s="363"/>
      <c r="AT170" s="363"/>
      <c r="AU170" s="363"/>
      <c r="AV170" s="363"/>
      <c r="AW170" s="363"/>
      <c r="AX170" s="363"/>
      <c r="AY170" s="363"/>
      <c r="AZ170" s="363"/>
      <c r="BA170" s="363"/>
      <c r="BB170" s="363"/>
      <c r="BC170" s="363"/>
      <c r="BD170" s="363"/>
      <c r="BE170" s="363"/>
      <c r="BF170" s="363"/>
      <c r="BG170" s="363"/>
      <c r="BH170" s="363"/>
    </row>
    <row r="171" spans="1:60" ht="15.75" customHeight="1" x14ac:dyDescent="0.25">
      <c r="A171" s="363"/>
      <c r="B171" s="363"/>
      <c r="C171" s="363"/>
      <c r="D171" s="363"/>
      <c r="E171" s="363"/>
      <c r="F171" s="363"/>
      <c r="G171" s="363"/>
      <c r="H171" s="363"/>
      <c r="I171" s="363"/>
      <c r="J171" s="363"/>
      <c r="K171" s="363"/>
      <c r="L171" s="363"/>
      <c r="M171" s="363"/>
      <c r="N171" s="363"/>
      <c r="O171" s="363"/>
      <c r="P171" s="363"/>
      <c r="Q171" s="363"/>
      <c r="R171" s="363"/>
      <c r="S171" s="363"/>
      <c r="T171" s="363"/>
      <c r="U171" s="363"/>
      <c r="V171" s="363"/>
      <c r="W171" s="363"/>
      <c r="X171" s="363"/>
      <c r="Y171" s="363"/>
      <c r="Z171" s="363"/>
      <c r="AA171" s="363"/>
      <c r="AB171" s="363"/>
      <c r="AC171" s="363"/>
      <c r="AD171" s="363"/>
      <c r="AE171" s="363"/>
      <c r="AF171" s="363"/>
      <c r="AG171" s="363"/>
      <c r="AH171" s="363"/>
      <c r="AI171" s="363"/>
      <c r="AJ171" s="363"/>
      <c r="AK171" s="363"/>
      <c r="AL171" s="363"/>
      <c r="AM171" s="363"/>
      <c r="AN171" s="363"/>
      <c r="AO171" s="363"/>
      <c r="AP171" s="363"/>
      <c r="AQ171" s="363"/>
      <c r="AR171" s="363"/>
      <c r="AS171" s="363"/>
      <c r="AT171" s="363"/>
      <c r="AU171" s="363"/>
      <c r="AV171" s="363"/>
      <c r="AW171" s="363"/>
      <c r="AX171" s="363"/>
      <c r="AY171" s="363"/>
      <c r="AZ171" s="363"/>
      <c r="BA171" s="363"/>
      <c r="BB171" s="363"/>
      <c r="BC171" s="363"/>
      <c r="BD171" s="363"/>
      <c r="BE171" s="363"/>
      <c r="BF171" s="363"/>
      <c r="BG171" s="363"/>
      <c r="BH171" s="363"/>
    </row>
    <row r="172" spans="1:60" ht="15.75" customHeight="1" x14ac:dyDescent="0.25">
      <c r="A172" s="363"/>
      <c r="B172" s="363"/>
      <c r="C172" s="363"/>
      <c r="D172" s="363"/>
      <c r="E172" s="363"/>
      <c r="F172" s="363"/>
      <c r="G172" s="363"/>
      <c r="H172" s="363"/>
      <c r="I172" s="363"/>
      <c r="J172" s="363"/>
      <c r="K172" s="363"/>
      <c r="L172" s="363"/>
      <c r="M172" s="363"/>
      <c r="N172" s="363"/>
      <c r="O172" s="363"/>
      <c r="P172" s="363"/>
      <c r="Q172" s="363"/>
      <c r="R172" s="363"/>
      <c r="S172" s="363"/>
      <c r="T172" s="363"/>
      <c r="U172" s="363"/>
      <c r="V172" s="363"/>
      <c r="W172" s="363"/>
      <c r="X172" s="363"/>
      <c r="Y172" s="363"/>
      <c r="Z172" s="363"/>
      <c r="AA172" s="363"/>
      <c r="AB172" s="363"/>
      <c r="AC172" s="363"/>
      <c r="AD172" s="363"/>
      <c r="AE172" s="363"/>
      <c r="AF172" s="363"/>
      <c r="AG172" s="363"/>
      <c r="AH172" s="363"/>
      <c r="AI172" s="363"/>
      <c r="AJ172" s="363"/>
      <c r="AK172" s="363"/>
      <c r="AL172" s="363"/>
      <c r="AM172" s="363"/>
      <c r="AN172" s="363"/>
      <c r="AO172" s="363"/>
      <c r="AP172" s="363"/>
      <c r="AQ172" s="363"/>
      <c r="AR172" s="363"/>
      <c r="AS172" s="363"/>
      <c r="AT172" s="363"/>
      <c r="AU172" s="363"/>
      <c r="AV172" s="363"/>
      <c r="AW172" s="363"/>
      <c r="AX172" s="363"/>
      <c r="AY172" s="363"/>
      <c r="AZ172" s="363"/>
      <c r="BA172" s="363"/>
      <c r="BB172" s="363"/>
      <c r="BC172" s="363"/>
      <c r="BD172" s="363"/>
      <c r="BE172" s="363"/>
      <c r="BF172" s="363"/>
      <c r="BG172" s="363"/>
      <c r="BH172" s="363"/>
    </row>
    <row r="173" spans="1:60" ht="15.75" customHeight="1" x14ac:dyDescent="0.25">
      <c r="A173" s="363"/>
      <c r="B173" s="363"/>
      <c r="C173" s="363"/>
      <c r="D173" s="363"/>
      <c r="E173" s="363"/>
      <c r="F173" s="363"/>
      <c r="G173" s="363"/>
      <c r="H173" s="363"/>
      <c r="I173" s="363"/>
      <c r="J173" s="363"/>
      <c r="K173" s="363"/>
      <c r="L173" s="363"/>
      <c r="M173" s="363"/>
      <c r="N173" s="363"/>
      <c r="O173" s="363"/>
      <c r="P173" s="363"/>
      <c r="Q173" s="363"/>
      <c r="R173" s="363"/>
      <c r="S173" s="363"/>
      <c r="T173" s="363"/>
      <c r="U173" s="363"/>
      <c r="V173" s="363"/>
      <c r="W173" s="363"/>
      <c r="X173" s="363"/>
      <c r="Y173" s="363"/>
      <c r="Z173" s="363"/>
      <c r="AA173" s="363"/>
      <c r="AB173" s="363"/>
      <c r="AC173" s="363"/>
      <c r="AD173" s="363"/>
      <c r="AE173" s="363"/>
      <c r="AF173" s="363"/>
      <c r="AG173" s="363"/>
      <c r="AH173" s="363"/>
      <c r="AI173" s="363"/>
      <c r="AJ173" s="363"/>
      <c r="AK173" s="363"/>
      <c r="AL173" s="363"/>
      <c r="AM173" s="363"/>
      <c r="AN173" s="363"/>
      <c r="AO173" s="363"/>
      <c r="AP173" s="363"/>
      <c r="AQ173" s="363"/>
      <c r="AR173" s="363"/>
      <c r="AS173" s="363"/>
      <c r="AT173" s="363"/>
      <c r="AU173" s="363"/>
      <c r="AV173" s="363"/>
      <c r="AW173" s="363"/>
      <c r="AX173" s="363"/>
      <c r="AY173" s="363"/>
      <c r="AZ173" s="363"/>
      <c r="BA173" s="363"/>
      <c r="BB173" s="363"/>
      <c r="BC173" s="363"/>
      <c r="BD173" s="363"/>
      <c r="BE173" s="363"/>
      <c r="BF173" s="363"/>
      <c r="BG173" s="363"/>
      <c r="BH173" s="363"/>
    </row>
    <row r="174" spans="1:60" ht="15.75" customHeight="1" x14ac:dyDescent="0.25">
      <c r="A174" s="363"/>
      <c r="B174" s="363"/>
      <c r="C174" s="363"/>
      <c r="D174" s="363"/>
      <c r="E174" s="363"/>
      <c r="F174" s="363"/>
      <c r="G174" s="363"/>
      <c r="H174" s="363"/>
      <c r="I174" s="363"/>
      <c r="J174" s="363"/>
      <c r="K174" s="363"/>
      <c r="L174" s="363"/>
      <c r="M174" s="363"/>
      <c r="N174" s="363"/>
      <c r="O174" s="363"/>
      <c r="P174" s="363"/>
      <c r="Q174" s="363"/>
      <c r="R174" s="363"/>
      <c r="S174" s="363"/>
      <c r="T174" s="363"/>
      <c r="U174" s="363"/>
      <c r="V174" s="363"/>
      <c r="W174" s="363"/>
      <c r="X174" s="363"/>
      <c r="Y174" s="363"/>
      <c r="Z174" s="363"/>
      <c r="AA174" s="363"/>
      <c r="AB174" s="363"/>
      <c r="AC174" s="363"/>
      <c r="AD174" s="363"/>
      <c r="AE174" s="363"/>
      <c r="AF174" s="363"/>
      <c r="AG174" s="363"/>
      <c r="AH174" s="363"/>
      <c r="AI174" s="363"/>
      <c r="AJ174" s="363"/>
      <c r="AK174" s="363"/>
      <c r="AL174" s="363"/>
      <c r="AM174" s="363"/>
      <c r="AN174" s="363"/>
      <c r="AO174" s="363"/>
      <c r="AP174" s="363"/>
      <c r="AQ174" s="363"/>
      <c r="AR174" s="363"/>
      <c r="AS174" s="363"/>
      <c r="AT174" s="363"/>
      <c r="AU174" s="363"/>
      <c r="AV174" s="363"/>
      <c r="AW174" s="363"/>
      <c r="AX174" s="363"/>
      <c r="AY174" s="363"/>
      <c r="AZ174" s="363"/>
      <c r="BA174" s="363"/>
      <c r="BB174" s="363"/>
      <c r="BC174" s="363"/>
      <c r="BD174" s="363"/>
      <c r="BE174" s="363"/>
      <c r="BF174" s="363"/>
      <c r="BG174" s="363"/>
      <c r="BH174" s="363"/>
    </row>
    <row r="175" spans="1:60" ht="15.75" customHeight="1" x14ac:dyDescent="0.25">
      <c r="A175" s="363"/>
      <c r="B175" s="363"/>
      <c r="C175" s="363"/>
      <c r="D175" s="363"/>
      <c r="E175" s="363"/>
      <c r="F175" s="363"/>
      <c r="G175" s="363"/>
      <c r="H175" s="363"/>
      <c r="I175" s="363"/>
      <c r="J175" s="363"/>
      <c r="K175" s="363"/>
      <c r="L175" s="363"/>
      <c r="M175" s="363"/>
      <c r="N175" s="363"/>
      <c r="O175" s="363"/>
      <c r="P175" s="363"/>
      <c r="Q175" s="363"/>
      <c r="R175" s="363"/>
      <c r="S175" s="363"/>
      <c r="T175" s="363"/>
      <c r="U175" s="363"/>
      <c r="V175" s="363"/>
      <c r="W175" s="363"/>
      <c r="X175" s="363"/>
      <c r="Y175" s="363"/>
      <c r="Z175" s="363"/>
      <c r="AA175" s="363"/>
      <c r="AB175" s="363"/>
      <c r="AC175" s="363"/>
      <c r="AD175" s="363"/>
      <c r="AE175" s="363"/>
      <c r="AF175" s="363"/>
      <c r="AG175" s="363"/>
      <c r="AH175" s="363"/>
      <c r="AI175" s="363"/>
      <c r="AJ175" s="363"/>
      <c r="AK175" s="363"/>
      <c r="AL175" s="363"/>
      <c r="AM175" s="363"/>
      <c r="AN175" s="363"/>
      <c r="AO175" s="363"/>
      <c r="AP175" s="363"/>
      <c r="AQ175" s="363"/>
      <c r="AR175" s="363"/>
      <c r="AS175" s="363"/>
      <c r="AT175" s="363"/>
      <c r="AU175" s="363"/>
      <c r="AV175" s="363"/>
      <c r="AW175" s="363"/>
      <c r="AX175" s="363"/>
      <c r="AY175" s="363"/>
      <c r="AZ175" s="363"/>
      <c r="BA175" s="363"/>
      <c r="BB175" s="363"/>
      <c r="BC175" s="363"/>
      <c r="BD175" s="363"/>
      <c r="BE175" s="363"/>
      <c r="BF175" s="363"/>
      <c r="BG175" s="363"/>
      <c r="BH175" s="363"/>
    </row>
    <row r="176" spans="1:60" ht="15.75" customHeight="1" x14ac:dyDescent="0.25">
      <c r="A176" s="363"/>
      <c r="B176" s="363"/>
      <c r="C176" s="363"/>
      <c r="D176" s="363"/>
      <c r="E176" s="363"/>
      <c r="F176" s="363"/>
      <c r="G176" s="363"/>
      <c r="H176" s="363"/>
      <c r="I176" s="363"/>
      <c r="J176" s="363"/>
      <c r="K176" s="363"/>
      <c r="L176" s="363"/>
      <c r="M176" s="363"/>
      <c r="N176" s="363"/>
      <c r="O176" s="363"/>
      <c r="P176" s="363"/>
      <c r="Q176" s="363"/>
      <c r="R176" s="363"/>
      <c r="S176" s="363"/>
      <c r="T176" s="363"/>
      <c r="U176" s="363"/>
      <c r="V176" s="363"/>
      <c r="W176" s="363"/>
      <c r="X176" s="363"/>
      <c r="Y176" s="363"/>
      <c r="Z176" s="363"/>
      <c r="AA176" s="363"/>
      <c r="AB176" s="363"/>
      <c r="AC176" s="363"/>
      <c r="AD176" s="363"/>
      <c r="AE176" s="363"/>
      <c r="AF176" s="363"/>
      <c r="AG176" s="363"/>
      <c r="AH176" s="363"/>
      <c r="AI176" s="363"/>
      <c r="AJ176" s="363"/>
      <c r="AK176" s="363"/>
      <c r="AL176" s="363"/>
      <c r="AM176" s="363"/>
      <c r="AN176" s="363"/>
      <c r="AO176" s="363"/>
      <c r="AP176" s="363"/>
      <c r="AQ176" s="363"/>
      <c r="AR176" s="363"/>
      <c r="AS176" s="363"/>
      <c r="AT176" s="363"/>
      <c r="AU176" s="363"/>
      <c r="AV176" s="363"/>
      <c r="AW176" s="363"/>
      <c r="AX176" s="363"/>
      <c r="AY176" s="363"/>
      <c r="AZ176" s="363"/>
      <c r="BA176" s="363"/>
      <c r="BB176" s="363"/>
      <c r="BC176" s="363"/>
      <c r="BD176" s="363"/>
      <c r="BE176" s="363"/>
      <c r="BF176" s="363"/>
      <c r="BG176" s="363"/>
      <c r="BH176" s="363"/>
    </row>
    <row r="177" spans="1:60" ht="15.75" customHeight="1" x14ac:dyDescent="0.25">
      <c r="A177" s="363"/>
      <c r="B177" s="363"/>
      <c r="C177" s="363"/>
      <c r="D177" s="363"/>
      <c r="E177" s="363"/>
      <c r="F177" s="363"/>
      <c r="G177" s="363"/>
      <c r="H177" s="363"/>
      <c r="I177" s="363"/>
      <c r="J177" s="363"/>
      <c r="K177" s="363"/>
      <c r="L177" s="363"/>
      <c r="M177" s="363"/>
      <c r="N177" s="363"/>
      <c r="O177" s="363"/>
      <c r="P177" s="363"/>
      <c r="Q177" s="363"/>
      <c r="R177" s="363"/>
      <c r="S177" s="363"/>
      <c r="T177" s="363"/>
      <c r="U177" s="363"/>
      <c r="V177" s="363"/>
      <c r="W177" s="363"/>
      <c r="X177" s="363"/>
      <c r="Y177" s="363"/>
      <c r="Z177" s="363"/>
      <c r="AA177" s="363"/>
      <c r="AB177" s="363"/>
      <c r="AC177" s="363"/>
      <c r="AD177" s="363"/>
      <c r="AE177" s="363"/>
      <c r="AF177" s="363"/>
      <c r="AG177" s="363"/>
      <c r="AH177" s="363"/>
      <c r="AI177" s="363"/>
      <c r="AJ177" s="363"/>
      <c r="AK177" s="363"/>
      <c r="AL177" s="363"/>
      <c r="AM177" s="363"/>
      <c r="AN177" s="363"/>
      <c r="AO177" s="363"/>
      <c r="AP177" s="363"/>
      <c r="AQ177" s="363"/>
      <c r="AR177" s="363"/>
      <c r="AS177" s="363"/>
      <c r="AT177" s="363"/>
      <c r="AU177" s="363"/>
      <c r="AV177" s="363"/>
      <c r="AW177" s="363"/>
      <c r="AX177" s="363"/>
      <c r="AY177" s="363"/>
      <c r="AZ177" s="363"/>
      <c r="BA177" s="363"/>
      <c r="BB177" s="363"/>
      <c r="BC177" s="363"/>
      <c r="BD177" s="363"/>
      <c r="BE177" s="363"/>
      <c r="BF177" s="363"/>
      <c r="BG177" s="363"/>
      <c r="BH177" s="363"/>
    </row>
    <row r="178" spans="1:60" ht="15.75" customHeight="1" x14ac:dyDescent="0.25">
      <c r="A178" s="363"/>
      <c r="B178" s="363"/>
      <c r="C178" s="363"/>
      <c r="D178" s="363"/>
      <c r="E178" s="363"/>
      <c r="F178" s="363"/>
      <c r="G178" s="363"/>
      <c r="H178" s="363"/>
      <c r="I178" s="363"/>
      <c r="J178" s="363"/>
      <c r="K178" s="363"/>
      <c r="L178" s="363"/>
      <c r="M178" s="363"/>
      <c r="N178" s="363"/>
      <c r="O178" s="363"/>
      <c r="P178" s="363"/>
      <c r="Q178" s="363"/>
      <c r="R178" s="363"/>
      <c r="S178" s="363"/>
      <c r="T178" s="363"/>
      <c r="U178" s="363"/>
      <c r="V178" s="363"/>
      <c r="W178" s="363"/>
      <c r="X178" s="363"/>
      <c r="Y178" s="363"/>
      <c r="Z178" s="363"/>
      <c r="AA178" s="363"/>
      <c r="AB178" s="363"/>
      <c r="AC178" s="363"/>
      <c r="AD178" s="363"/>
      <c r="AE178" s="363"/>
      <c r="AF178" s="363"/>
      <c r="AG178" s="363"/>
      <c r="AH178" s="363"/>
      <c r="AI178" s="363"/>
      <c r="AJ178" s="363"/>
      <c r="AK178" s="363"/>
      <c r="AL178" s="363"/>
      <c r="AM178" s="363"/>
      <c r="AN178" s="363"/>
      <c r="AO178" s="363"/>
      <c r="AP178" s="363"/>
      <c r="AQ178" s="363"/>
      <c r="AR178" s="363"/>
      <c r="AS178" s="363"/>
      <c r="AT178" s="363"/>
      <c r="AU178" s="363"/>
      <c r="AV178" s="363"/>
      <c r="AW178" s="363"/>
      <c r="AX178" s="363"/>
      <c r="AY178" s="363"/>
      <c r="AZ178" s="363"/>
      <c r="BA178" s="363"/>
      <c r="BB178" s="363"/>
      <c r="BC178" s="363"/>
      <c r="BD178" s="363"/>
      <c r="BE178" s="363"/>
      <c r="BF178" s="363"/>
      <c r="BG178" s="363"/>
      <c r="BH178" s="363"/>
    </row>
    <row r="179" spans="1:60" ht="15.75" customHeight="1" x14ac:dyDescent="0.25">
      <c r="A179" s="363"/>
      <c r="B179" s="363"/>
      <c r="C179" s="363"/>
      <c r="D179" s="363"/>
      <c r="E179" s="363"/>
      <c r="F179" s="363"/>
      <c r="G179" s="363"/>
      <c r="H179" s="363"/>
      <c r="I179" s="363"/>
      <c r="J179" s="363"/>
      <c r="K179" s="363"/>
      <c r="L179" s="363"/>
      <c r="M179" s="363"/>
      <c r="N179" s="363"/>
      <c r="O179" s="363"/>
      <c r="P179" s="363"/>
      <c r="Q179" s="363"/>
      <c r="R179" s="363"/>
      <c r="S179" s="363"/>
      <c r="T179" s="363"/>
      <c r="U179" s="363"/>
      <c r="V179" s="363"/>
      <c r="W179" s="363"/>
      <c r="X179" s="363"/>
      <c r="Y179" s="363"/>
      <c r="Z179" s="363"/>
      <c r="AA179" s="363"/>
      <c r="AB179" s="363"/>
      <c r="AC179" s="363"/>
      <c r="AD179" s="363"/>
      <c r="AE179" s="363"/>
      <c r="AF179" s="363"/>
      <c r="AG179" s="363"/>
      <c r="AH179" s="363"/>
      <c r="AI179" s="363"/>
      <c r="AJ179" s="363"/>
      <c r="AK179" s="363"/>
      <c r="AL179" s="363"/>
      <c r="AM179" s="363"/>
      <c r="AN179" s="363"/>
      <c r="AO179" s="363"/>
      <c r="AP179" s="363"/>
      <c r="AQ179" s="363"/>
      <c r="AR179" s="363"/>
      <c r="AS179" s="363"/>
      <c r="AT179" s="363"/>
      <c r="AU179" s="363"/>
      <c r="AV179" s="363"/>
      <c r="AW179" s="363"/>
      <c r="AX179" s="363"/>
      <c r="AY179" s="363"/>
      <c r="AZ179" s="363"/>
      <c r="BA179" s="363"/>
      <c r="BB179" s="363"/>
      <c r="BC179" s="363"/>
      <c r="BD179" s="363"/>
      <c r="BE179" s="363"/>
      <c r="BF179" s="363"/>
      <c r="BG179" s="363"/>
      <c r="BH179" s="363"/>
    </row>
    <row r="180" spans="1:60" ht="15.75" customHeight="1" x14ac:dyDescent="0.25">
      <c r="A180" s="363"/>
      <c r="B180" s="363"/>
      <c r="C180" s="363"/>
      <c r="D180" s="363"/>
      <c r="E180" s="363"/>
      <c r="F180" s="363"/>
      <c r="G180" s="363"/>
      <c r="H180" s="363"/>
      <c r="I180" s="363"/>
      <c r="J180" s="363"/>
      <c r="K180" s="363"/>
      <c r="L180" s="363"/>
      <c r="M180" s="363"/>
      <c r="N180" s="363"/>
      <c r="O180" s="363"/>
      <c r="P180" s="363"/>
      <c r="Q180" s="363"/>
      <c r="R180" s="363"/>
      <c r="S180" s="363"/>
      <c r="T180" s="363"/>
      <c r="U180" s="363"/>
      <c r="V180" s="363"/>
      <c r="W180" s="363"/>
      <c r="X180" s="363"/>
      <c r="Y180" s="363"/>
      <c r="Z180" s="363"/>
      <c r="AA180" s="363"/>
      <c r="AB180" s="363"/>
      <c r="AC180" s="363"/>
      <c r="AD180" s="363"/>
      <c r="AE180" s="363"/>
      <c r="AF180" s="363"/>
      <c r="AG180" s="363"/>
      <c r="AH180" s="363"/>
      <c r="AI180" s="363"/>
      <c r="AJ180" s="363"/>
      <c r="AK180" s="363"/>
      <c r="AL180" s="363"/>
      <c r="AM180" s="363"/>
      <c r="AN180" s="363"/>
      <c r="AO180" s="363"/>
      <c r="AP180" s="363"/>
      <c r="AQ180" s="363"/>
      <c r="AR180" s="363"/>
      <c r="AS180" s="363"/>
      <c r="AT180" s="363"/>
      <c r="AU180" s="363"/>
      <c r="AV180" s="363"/>
      <c r="AW180" s="363"/>
      <c r="AX180" s="363"/>
      <c r="AY180" s="363"/>
      <c r="AZ180" s="363"/>
      <c r="BA180" s="363"/>
      <c r="BB180" s="363"/>
      <c r="BC180" s="363"/>
      <c r="BD180" s="363"/>
      <c r="BE180" s="363"/>
      <c r="BF180" s="363"/>
      <c r="BG180" s="363"/>
      <c r="BH180" s="363"/>
    </row>
    <row r="181" spans="1:60" ht="15.75" customHeight="1" x14ac:dyDescent="0.25">
      <c r="A181" s="363"/>
      <c r="B181" s="363"/>
      <c r="C181" s="363"/>
      <c r="D181" s="363"/>
      <c r="E181" s="363"/>
      <c r="F181" s="363"/>
      <c r="G181" s="363"/>
      <c r="H181" s="363"/>
      <c r="I181" s="363"/>
      <c r="J181" s="363"/>
      <c r="K181" s="363"/>
      <c r="L181" s="363"/>
      <c r="M181" s="363"/>
      <c r="N181" s="363"/>
      <c r="O181" s="363"/>
      <c r="P181" s="363"/>
      <c r="Q181" s="363"/>
      <c r="R181" s="363"/>
      <c r="S181" s="363"/>
      <c r="T181" s="363"/>
      <c r="U181" s="363"/>
      <c r="V181" s="363"/>
      <c r="W181" s="363"/>
      <c r="X181" s="363"/>
      <c r="Y181" s="363"/>
      <c r="Z181" s="363"/>
      <c r="AA181" s="363"/>
      <c r="AB181" s="363"/>
      <c r="AC181" s="363"/>
      <c r="AD181" s="363"/>
      <c r="AE181" s="363"/>
      <c r="AF181" s="363"/>
      <c r="AG181" s="363"/>
      <c r="AH181" s="363"/>
      <c r="AI181" s="363"/>
      <c r="AJ181" s="363"/>
      <c r="AK181" s="363"/>
      <c r="AL181" s="363"/>
      <c r="AM181" s="363"/>
      <c r="AN181" s="363"/>
      <c r="AO181" s="363"/>
      <c r="AP181" s="363"/>
      <c r="AQ181" s="363"/>
      <c r="AR181" s="363"/>
      <c r="AS181" s="363"/>
      <c r="AT181" s="363"/>
      <c r="AU181" s="363"/>
      <c r="AV181" s="363"/>
      <c r="AW181" s="363"/>
      <c r="AX181" s="363"/>
      <c r="AY181" s="363"/>
      <c r="AZ181" s="363"/>
      <c r="BA181" s="363"/>
      <c r="BB181" s="363"/>
      <c r="BC181" s="363"/>
      <c r="BD181" s="363"/>
      <c r="BE181" s="363"/>
      <c r="BF181" s="363"/>
      <c r="BG181" s="363"/>
      <c r="BH181" s="363"/>
    </row>
    <row r="182" spans="1:60" ht="15.75" customHeight="1" x14ac:dyDescent="0.25">
      <c r="A182" s="363"/>
      <c r="B182" s="363"/>
      <c r="C182" s="363"/>
      <c r="D182" s="363"/>
      <c r="E182" s="363"/>
      <c r="F182" s="363"/>
      <c r="G182" s="363"/>
      <c r="H182" s="363"/>
      <c r="I182" s="363"/>
      <c r="J182" s="363"/>
      <c r="K182" s="363"/>
      <c r="L182" s="363"/>
      <c r="M182" s="363"/>
      <c r="N182" s="363"/>
      <c r="O182" s="363"/>
      <c r="P182" s="363"/>
      <c r="Q182" s="363"/>
      <c r="R182" s="363"/>
      <c r="S182" s="363"/>
      <c r="T182" s="363"/>
      <c r="U182" s="363"/>
      <c r="V182" s="363"/>
      <c r="W182" s="363"/>
      <c r="X182" s="363"/>
      <c r="Y182" s="363"/>
      <c r="Z182" s="363"/>
      <c r="AA182" s="363"/>
      <c r="AB182" s="363"/>
      <c r="AC182" s="363"/>
      <c r="AD182" s="363"/>
      <c r="AE182" s="363"/>
      <c r="AF182" s="363"/>
      <c r="AG182" s="363"/>
      <c r="AH182" s="363"/>
      <c r="AI182" s="363"/>
      <c r="AJ182" s="363"/>
      <c r="AK182" s="363"/>
      <c r="AL182" s="363"/>
      <c r="AM182" s="363"/>
      <c r="AN182" s="363"/>
      <c r="AO182" s="363"/>
      <c r="AP182" s="363"/>
      <c r="AQ182" s="363"/>
      <c r="AR182" s="363"/>
      <c r="AS182" s="363"/>
      <c r="AT182" s="363"/>
      <c r="AU182" s="363"/>
      <c r="AV182" s="363"/>
      <c r="AW182" s="363"/>
      <c r="AX182" s="363"/>
      <c r="AY182" s="363"/>
      <c r="AZ182" s="363"/>
      <c r="BA182" s="363"/>
      <c r="BB182" s="363"/>
      <c r="BC182" s="363"/>
      <c r="BD182" s="363"/>
      <c r="BE182" s="363"/>
      <c r="BF182" s="363"/>
      <c r="BG182" s="363"/>
      <c r="BH182" s="363"/>
    </row>
    <row r="183" spans="1:60" ht="15.75" customHeight="1" x14ac:dyDescent="0.25">
      <c r="A183" s="363"/>
      <c r="B183" s="363"/>
      <c r="C183" s="363"/>
      <c r="D183" s="363"/>
      <c r="E183" s="363"/>
      <c r="F183" s="363"/>
      <c r="G183" s="363"/>
      <c r="H183" s="363"/>
      <c r="I183" s="363"/>
      <c r="J183" s="363"/>
      <c r="K183" s="363"/>
      <c r="L183" s="363"/>
      <c r="M183" s="363"/>
      <c r="N183" s="363"/>
      <c r="O183" s="363"/>
      <c r="P183" s="363"/>
      <c r="Q183" s="363"/>
      <c r="R183" s="363"/>
      <c r="S183" s="363"/>
      <c r="T183" s="363"/>
      <c r="U183" s="363"/>
      <c r="V183" s="363"/>
      <c r="W183" s="363"/>
      <c r="X183" s="363"/>
      <c r="Y183" s="363"/>
      <c r="Z183" s="363"/>
      <c r="AA183" s="363"/>
      <c r="AB183" s="363"/>
      <c r="AC183" s="363"/>
      <c r="AD183" s="363"/>
      <c r="AE183" s="363"/>
      <c r="AF183" s="363"/>
      <c r="AG183" s="363"/>
      <c r="AH183" s="363"/>
      <c r="AI183" s="363"/>
      <c r="AJ183" s="363"/>
      <c r="AK183" s="363"/>
      <c r="AL183" s="363"/>
      <c r="AM183" s="363"/>
      <c r="AN183" s="363"/>
      <c r="AO183" s="363"/>
      <c r="AP183" s="363"/>
      <c r="AQ183" s="363"/>
      <c r="AR183" s="363"/>
      <c r="AS183" s="363"/>
      <c r="AT183" s="363"/>
      <c r="AU183" s="363"/>
      <c r="AV183" s="363"/>
      <c r="AW183" s="363"/>
      <c r="AX183" s="363"/>
      <c r="AY183" s="363"/>
      <c r="AZ183" s="363"/>
      <c r="BA183" s="363"/>
      <c r="BB183" s="363"/>
      <c r="BC183" s="363"/>
      <c r="BD183" s="363"/>
      <c r="BE183" s="363"/>
      <c r="BF183" s="363"/>
      <c r="BG183" s="363"/>
      <c r="BH183" s="363"/>
    </row>
    <row r="184" spans="1:60" ht="15.75" customHeight="1" x14ac:dyDescent="0.25">
      <c r="A184" s="363"/>
      <c r="B184" s="363"/>
      <c r="C184" s="363"/>
      <c r="D184" s="363"/>
      <c r="E184" s="363"/>
      <c r="F184" s="363"/>
      <c r="G184" s="363"/>
      <c r="H184" s="363"/>
      <c r="I184" s="363"/>
      <c r="J184" s="363"/>
      <c r="K184" s="363"/>
      <c r="L184" s="363"/>
      <c r="M184" s="363"/>
      <c r="N184" s="363"/>
      <c r="O184" s="363"/>
      <c r="P184" s="363"/>
      <c r="Q184" s="363"/>
      <c r="R184" s="363"/>
      <c r="S184" s="363"/>
      <c r="T184" s="363"/>
      <c r="U184" s="363"/>
      <c r="V184" s="363"/>
      <c r="W184" s="363"/>
      <c r="X184" s="363"/>
      <c r="Y184" s="363"/>
      <c r="Z184" s="363"/>
      <c r="AA184" s="363"/>
      <c r="AB184" s="363"/>
      <c r="AC184" s="363"/>
      <c r="AD184" s="363"/>
      <c r="AE184" s="363"/>
      <c r="AF184" s="363"/>
      <c r="AG184" s="363"/>
      <c r="AH184" s="363"/>
      <c r="AI184" s="363"/>
      <c r="AJ184" s="363"/>
      <c r="AK184" s="363"/>
      <c r="AL184" s="363"/>
      <c r="AM184" s="363"/>
      <c r="AN184" s="363"/>
      <c r="AO184" s="363"/>
      <c r="AP184" s="363"/>
      <c r="AQ184" s="363"/>
      <c r="AR184" s="363"/>
      <c r="AS184" s="363"/>
      <c r="AT184" s="363"/>
      <c r="AU184" s="363"/>
      <c r="AV184" s="363"/>
      <c r="AW184" s="363"/>
      <c r="AX184" s="363"/>
      <c r="AY184" s="363"/>
      <c r="AZ184" s="363"/>
      <c r="BA184" s="363"/>
      <c r="BB184" s="363"/>
      <c r="BC184" s="363"/>
      <c r="BD184" s="363"/>
      <c r="BE184" s="363"/>
      <c r="BF184" s="363"/>
      <c r="BG184" s="363"/>
      <c r="BH184" s="363"/>
    </row>
    <row r="185" spans="1:60" ht="15.75" customHeight="1" x14ac:dyDescent="0.25">
      <c r="A185" s="363"/>
      <c r="B185" s="363"/>
      <c r="C185" s="363"/>
      <c r="D185" s="363"/>
      <c r="E185" s="363"/>
      <c r="F185" s="363"/>
      <c r="G185" s="363"/>
      <c r="H185" s="363"/>
      <c r="I185" s="363"/>
      <c r="J185" s="363"/>
      <c r="K185" s="363"/>
      <c r="L185" s="363"/>
      <c r="M185" s="363"/>
      <c r="N185" s="363"/>
      <c r="O185" s="363"/>
      <c r="P185" s="363"/>
      <c r="Q185" s="363"/>
      <c r="R185" s="363"/>
      <c r="S185" s="363"/>
      <c r="T185" s="363"/>
      <c r="U185" s="363"/>
      <c r="V185" s="363"/>
      <c r="W185" s="363"/>
      <c r="X185" s="363"/>
      <c r="Y185" s="363"/>
      <c r="Z185" s="363"/>
      <c r="AA185" s="363"/>
      <c r="AB185" s="363"/>
      <c r="AC185" s="363"/>
      <c r="AD185" s="363"/>
      <c r="AE185" s="363"/>
      <c r="AF185" s="363"/>
      <c r="AG185" s="363"/>
      <c r="AH185" s="363"/>
      <c r="AI185" s="363"/>
      <c r="AJ185" s="363"/>
      <c r="AK185" s="363"/>
      <c r="AL185" s="363"/>
      <c r="AM185" s="363"/>
      <c r="AN185" s="363"/>
      <c r="AO185" s="363"/>
      <c r="AP185" s="363"/>
      <c r="AQ185" s="363"/>
      <c r="AR185" s="363"/>
      <c r="AS185" s="363"/>
      <c r="AT185" s="363"/>
      <c r="AU185" s="363"/>
      <c r="AV185" s="363"/>
      <c r="AW185" s="363"/>
      <c r="AX185" s="363"/>
      <c r="AY185" s="363"/>
      <c r="AZ185" s="363"/>
      <c r="BA185" s="363"/>
      <c r="BB185" s="363"/>
      <c r="BC185" s="363"/>
      <c r="BD185" s="363"/>
      <c r="BE185" s="363"/>
      <c r="BF185" s="363"/>
      <c r="BG185" s="363"/>
      <c r="BH185" s="363"/>
    </row>
    <row r="186" spans="1:60" ht="15.75" customHeight="1" x14ac:dyDescent="0.25">
      <c r="A186" s="363"/>
      <c r="B186" s="363"/>
      <c r="C186" s="363"/>
      <c r="D186" s="363"/>
      <c r="E186" s="363"/>
      <c r="F186" s="363"/>
      <c r="G186" s="363"/>
      <c r="H186" s="363"/>
      <c r="I186" s="363"/>
      <c r="J186" s="363"/>
      <c r="K186" s="363"/>
      <c r="L186" s="363"/>
      <c r="M186" s="363"/>
      <c r="N186" s="363"/>
      <c r="O186" s="363"/>
      <c r="P186" s="363"/>
      <c r="Q186" s="363"/>
      <c r="R186" s="363"/>
      <c r="S186" s="363"/>
      <c r="T186" s="363"/>
      <c r="U186" s="363"/>
      <c r="V186" s="363"/>
      <c r="W186" s="363"/>
      <c r="X186" s="363"/>
      <c r="Y186" s="363"/>
      <c r="Z186" s="363"/>
      <c r="AA186" s="363"/>
      <c r="AB186" s="363"/>
      <c r="AC186" s="363"/>
      <c r="AD186" s="363"/>
      <c r="AE186" s="363"/>
      <c r="AF186" s="363"/>
      <c r="AG186" s="363"/>
      <c r="AH186" s="363"/>
      <c r="AI186" s="363"/>
      <c r="AJ186" s="363"/>
      <c r="AK186" s="363"/>
      <c r="AL186" s="363"/>
      <c r="AM186" s="363"/>
      <c r="AN186" s="363"/>
      <c r="AO186" s="363"/>
      <c r="AP186" s="363"/>
      <c r="AQ186" s="363"/>
      <c r="AR186" s="363"/>
      <c r="AS186" s="363"/>
      <c r="AT186" s="363"/>
      <c r="AU186" s="363"/>
      <c r="AV186" s="363"/>
      <c r="AW186" s="363"/>
      <c r="AX186" s="363"/>
      <c r="AY186" s="363"/>
      <c r="AZ186" s="363"/>
      <c r="BA186" s="363"/>
      <c r="BB186" s="363"/>
      <c r="BC186" s="363"/>
      <c r="BD186" s="363"/>
      <c r="BE186" s="363"/>
      <c r="BF186" s="363"/>
      <c r="BG186" s="363"/>
      <c r="BH186" s="363"/>
    </row>
    <row r="187" spans="1:60" ht="15.75" customHeight="1" x14ac:dyDescent="0.25">
      <c r="A187" s="363"/>
      <c r="B187" s="363"/>
      <c r="C187" s="363"/>
      <c r="D187" s="363"/>
      <c r="E187" s="363"/>
      <c r="F187" s="363"/>
      <c r="G187" s="363"/>
      <c r="H187" s="363"/>
      <c r="I187" s="363"/>
      <c r="J187" s="363"/>
      <c r="K187" s="363"/>
      <c r="L187" s="363"/>
      <c r="M187" s="363"/>
      <c r="N187" s="363"/>
      <c r="O187" s="363"/>
      <c r="P187" s="363"/>
      <c r="Q187" s="363"/>
      <c r="R187" s="363"/>
      <c r="S187" s="363"/>
      <c r="T187" s="363"/>
      <c r="U187" s="363"/>
      <c r="V187" s="363"/>
      <c r="W187" s="363"/>
      <c r="X187" s="363"/>
      <c r="Y187" s="363"/>
      <c r="Z187" s="363"/>
      <c r="AA187" s="363"/>
      <c r="AB187" s="363"/>
      <c r="AC187" s="363"/>
      <c r="AD187" s="363"/>
      <c r="AE187" s="363"/>
      <c r="AF187" s="363"/>
      <c r="AG187" s="363"/>
      <c r="AH187" s="363"/>
      <c r="AI187" s="363"/>
      <c r="AJ187" s="363"/>
      <c r="AK187" s="363"/>
      <c r="AL187" s="363"/>
      <c r="AM187" s="363"/>
      <c r="AN187" s="363"/>
      <c r="AO187" s="363"/>
      <c r="AP187" s="363"/>
      <c r="AQ187" s="363"/>
      <c r="AR187" s="363"/>
      <c r="AS187" s="363"/>
      <c r="AT187" s="363"/>
      <c r="AU187" s="363"/>
      <c r="AV187" s="363"/>
      <c r="AW187" s="363"/>
      <c r="AX187" s="363"/>
      <c r="AY187" s="363"/>
      <c r="AZ187" s="363"/>
      <c r="BA187" s="363"/>
      <c r="BB187" s="363"/>
      <c r="BC187" s="363"/>
      <c r="BD187" s="363"/>
      <c r="BE187" s="363"/>
      <c r="BF187" s="363"/>
      <c r="BG187" s="363"/>
      <c r="BH187" s="363"/>
    </row>
    <row r="188" spans="1:60" ht="15.75" customHeight="1" x14ac:dyDescent="0.25">
      <c r="A188" s="363"/>
      <c r="B188" s="363"/>
      <c r="C188" s="363"/>
      <c r="D188" s="363"/>
      <c r="E188" s="363"/>
      <c r="F188" s="363"/>
      <c r="G188" s="363"/>
      <c r="H188" s="363"/>
      <c r="I188" s="363"/>
      <c r="J188" s="363"/>
      <c r="K188" s="363"/>
      <c r="L188" s="363"/>
      <c r="M188" s="363"/>
      <c r="N188" s="363"/>
      <c r="O188" s="363"/>
      <c r="P188" s="363"/>
      <c r="Q188" s="363"/>
      <c r="R188" s="363"/>
      <c r="S188" s="363"/>
      <c r="T188" s="363"/>
      <c r="U188" s="363"/>
      <c r="V188" s="363"/>
      <c r="W188" s="363"/>
      <c r="X188" s="363"/>
      <c r="Y188" s="363"/>
      <c r="Z188" s="363"/>
      <c r="AA188" s="363"/>
      <c r="AB188" s="363"/>
      <c r="AC188" s="363"/>
      <c r="AD188" s="363"/>
      <c r="AE188" s="363"/>
      <c r="AF188" s="363"/>
      <c r="AG188" s="363"/>
      <c r="AH188" s="363"/>
      <c r="AI188" s="363"/>
      <c r="AJ188" s="363"/>
      <c r="AK188" s="363"/>
      <c r="AL188" s="363"/>
      <c r="AM188" s="363"/>
      <c r="AN188" s="363"/>
      <c r="AO188" s="363"/>
      <c r="AP188" s="363"/>
      <c r="AQ188" s="363"/>
      <c r="AR188" s="363"/>
      <c r="AS188" s="363"/>
      <c r="AT188" s="363"/>
      <c r="AU188" s="363"/>
      <c r="AV188" s="363"/>
      <c r="AW188" s="363"/>
      <c r="AX188" s="363"/>
      <c r="AY188" s="363"/>
      <c r="AZ188" s="363"/>
      <c r="BA188" s="363"/>
      <c r="BB188" s="363"/>
      <c r="BC188" s="363"/>
      <c r="BD188" s="363"/>
      <c r="BE188" s="363"/>
      <c r="BF188" s="363"/>
      <c r="BG188" s="363"/>
      <c r="BH188" s="363"/>
    </row>
    <row r="189" spans="1:60" ht="15.75" customHeight="1" x14ac:dyDescent="0.25">
      <c r="A189" s="363"/>
      <c r="B189" s="363"/>
      <c r="C189" s="363"/>
      <c r="D189" s="363"/>
      <c r="E189" s="363"/>
      <c r="F189" s="363"/>
      <c r="G189" s="363"/>
      <c r="H189" s="363"/>
      <c r="I189" s="363"/>
      <c r="J189" s="363"/>
      <c r="K189" s="363"/>
      <c r="L189" s="363"/>
      <c r="M189" s="363"/>
      <c r="N189" s="363"/>
      <c r="O189" s="363"/>
      <c r="P189" s="363"/>
      <c r="Q189" s="363"/>
      <c r="R189" s="363"/>
      <c r="S189" s="363"/>
      <c r="T189" s="363"/>
      <c r="U189" s="363"/>
      <c r="V189" s="363"/>
      <c r="W189" s="363"/>
      <c r="X189" s="363"/>
      <c r="Y189" s="363"/>
      <c r="Z189" s="363"/>
      <c r="AA189" s="363"/>
      <c r="AB189" s="363"/>
      <c r="AC189" s="363"/>
      <c r="AD189" s="363"/>
      <c r="AE189" s="363"/>
      <c r="AF189" s="363"/>
      <c r="AG189" s="363"/>
      <c r="AH189" s="363"/>
      <c r="AI189" s="363"/>
      <c r="AJ189" s="363"/>
      <c r="AK189" s="363"/>
      <c r="AL189" s="363"/>
      <c r="AM189" s="363"/>
      <c r="AN189" s="363"/>
      <c r="AO189" s="363"/>
      <c r="AP189" s="363"/>
      <c r="AQ189" s="363"/>
      <c r="AR189" s="363"/>
      <c r="AS189" s="363"/>
      <c r="AT189" s="363"/>
      <c r="AU189" s="363"/>
      <c r="AV189" s="363"/>
      <c r="AW189" s="363"/>
      <c r="AX189" s="363"/>
      <c r="AY189" s="363"/>
      <c r="AZ189" s="363"/>
      <c r="BA189" s="363"/>
      <c r="BB189" s="363"/>
      <c r="BC189" s="363"/>
      <c r="BD189" s="363"/>
      <c r="BE189" s="363"/>
      <c r="BF189" s="363"/>
      <c r="BG189" s="363"/>
      <c r="BH189" s="363"/>
    </row>
    <row r="190" spans="1:60" ht="15.75" customHeight="1" x14ac:dyDescent="0.25">
      <c r="A190" s="363"/>
      <c r="B190" s="363"/>
      <c r="C190" s="363"/>
      <c r="D190" s="363"/>
      <c r="E190" s="363"/>
      <c r="F190" s="363"/>
      <c r="G190" s="363"/>
      <c r="H190" s="363"/>
      <c r="I190" s="363"/>
      <c r="J190" s="363"/>
      <c r="K190" s="363"/>
      <c r="L190" s="363"/>
      <c r="M190" s="363"/>
      <c r="N190" s="363"/>
      <c r="O190" s="363"/>
      <c r="P190" s="363"/>
      <c r="Q190" s="363"/>
      <c r="R190" s="363"/>
      <c r="S190" s="363"/>
      <c r="T190" s="363"/>
      <c r="U190" s="363"/>
      <c r="V190" s="363"/>
      <c r="W190" s="363"/>
      <c r="X190" s="363"/>
      <c r="Y190" s="363"/>
      <c r="Z190" s="363"/>
      <c r="AA190" s="363"/>
      <c r="AB190" s="363"/>
      <c r="AC190" s="363"/>
      <c r="AD190" s="363"/>
      <c r="AE190" s="363"/>
      <c r="AF190" s="363"/>
      <c r="AG190" s="363"/>
      <c r="AH190" s="363"/>
      <c r="AI190" s="363"/>
      <c r="AJ190" s="363"/>
      <c r="AK190" s="363"/>
      <c r="AL190" s="363"/>
      <c r="AM190" s="363"/>
      <c r="AN190" s="363"/>
      <c r="AO190" s="363"/>
      <c r="AP190" s="363"/>
      <c r="AQ190" s="363"/>
      <c r="AR190" s="363"/>
      <c r="AS190" s="363"/>
      <c r="AT190" s="363"/>
      <c r="AU190" s="363"/>
      <c r="AV190" s="363"/>
      <c r="AW190" s="363"/>
      <c r="AX190" s="363"/>
      <c r="AY190" s="363"/>
      <c r="AZ190" s="363"/>
      <c r="BA190" s="363"/>
      <c r="BB190" s="363"/>
      <c r="BC190" s="363"/>
      <c r="BD190" s="363"/>
      <c r="BE190" s="363"/>
      <c r="BF190" s="363"/>
      <c r="BG190" s="363"/>
      <c r="BH190" s="363"/>
    </row>
    <row r="191" spans="1:60" ht="15.75" customHeight="1" x14ac:dyDescent="0.25">
      <c r="A191" s="363"/>
      <c r="J191" s="363"/>
      <c r="K191" s="363"/>
      <c r="L191" s="363"/>
      <c r="M191" s="363"/>
      <c r="N191" s="363"/>
      <c r="O191" s="363"/>
      <c r="P191" s="363"/>
      <c r="Q191" s="363"/>
      <c r="R191" s="363"/>
      <c r="S191" s="363"/>
      <c r="T191" s="363"/>
      <c r="U191" s="363"/>
      <c r="V191" s="363"/>
      <c r="W191" s="363"/>
      <c r="X191" s="363"/>
      <c r="Y191" s="363"/>
      <c r="Z191" s="363"/>
      <c r="AA191" s="363"/>
      <c r="AB191" s="363"/>
      <c r="AC191" s="363"/>
      <c r="AD191" s="363"/>
      <c r="AE191" s="363"/>
      <c r="AF191" s="363"/>
      <c r="AG191" s="363"/>
      <c r="AH191" s="363"/>
      <c r="AI191" s="363"/>
      <c r="AJ191" s="363"/>
      <c r="AK191" s="363"/>
      <c r="AL191" s="363"/>
      <c r="AM191" s="363"/>
      <c r="AN191" s="363"/>
      <c r="AO191" s="363"/>
      <c r="AP191" s="363"/>
      <c r="AQ191" s="363"/>
      <c r="AR191" s="363"/>
      <c r="AS191" s="363"/>
      <c r="AT191" s="363"/>
      <c r="AU191" s="363"/>
      <c r="AV191" s="363"/>
      <c r="AW191" s="363"/>
      <c r="AX191" s="363"/>
      <c r="AY191" s="363"/>
      <c r="AZ191" s="363"/>
      <c r="BA191" s="363"/>
      <c r="BB191" s="363"/>
      <c r="BC191" s="363"/>
      <c r="BD191" s="363"/>
      <c r="BE191" s="363"/>
      <c r="BF191" s="363"/>
      <c r="BG191" s="363"/>
      <c r="BH191" s="363"/>
    </row>
    <row r="192" spans="1:60" ht="15.75" customHeight="1" x14ac:dyDescent="0.25">
      <c r="A192" s="363"/>
      <c r="J192" s="363"/>
      <c r="K192" s="363"/>
      <c r="L192" s="363"/>
      <c r="M192" s="363"/>
      <c r="N192" s="363"/>
      <c r="O192" s="363"/>
      <c r="P192" s="363"/>
      <c r="Q192" s="363"/>
      <c r="R192" s="363"/>
      <c r="S192" s="363"/>
      <c r="T192" s="363"/>
      <c r="U192" s="363"/>
      <c r="V192" s="363"/>
      <c r="W192" s="363"/>
      <c r="X192" s="363"/>
      <c r="Y192" s="363"/>
      <c r="Z192" s="363"/>
      <c r="AA192" s="363"/>
      <c r="AB192" s="363"/>
      <c r="AC192" s="363"/>
      <c r="AD192" s="363"/>
      <c r="AE192" s="363"/>
      <c r="AF192" s="363"/>
      <c r="AG192" s="363"/>
      <c r="AH192" s="363"/>
      <c r="AI192" s="363"/>
      <c r="AJ192" s="363"/>
      <c r="AK192" s="363"/>
      <c r="AL192" s="363"/>
      <c r="AM192" s="363"/>
      <c r="AN192" s="363"/>
      <c r="AO192" s="363"/>
      <c r="AP192" s="363"/>
      <c r="AQ192" s="363"/>
      <c r="AR192" s="363"/>
      <c r="AS192" s="363"/>
      <c r="AT192" s="363"/>
      <c r="AU192" s="363"/>
      <c r="AV192" s="363"/>
      <c r="AW192" s="363"/>
      <c r="AX192" s="363"/>
      <c r="AY192" s="363"/>
      <c r="AZ192" s="363"/>
      <c r="BA192" s="363"/>
      <c r="BB192" s="363"/>
      <c r="BC192" s="363"/>
      <c r="BD192" s="363"/>
      <c r="BE192" s="363"/>
      <c r="BF192" s="363"/>
      <c r="BG192" s="363"/>
      <c r="BH192" s="363"/>
    </row>
    <row r="193" spans="1:60" ht="15.75" customHeight="1" x14ac:dyDescent="0.25">
      <c r="A193" s="363"/>
      <c r="J193" s="363"/>
      <c r="K193" s="363"/>
      <c r="L193" s="363"/>
      <c r="M193" s="363"/>
      <c r="N193" s="363"/>
      <c r="O193" s="363"/>
      <c r="P193" s="363"/>
      <c r="Q193" s="363"/>
      <c r="R193" s="363"/>
      <c r="S193" s="363"/>
      <c r="T193" s="363"/>
      <c r="U193" s="363"/>
      <c r="V193" s="363"/>
      <c r="W193" s="363"/>
      <c r="X193" s="363"/>
      <c r="Y193" s="363"/>
      <c r="Z193" s="363"/>
      <c r="AA193" s="363"/>
      <c r="AB193" s="363"/>
      <c r="AC193" s="363"/>
      <c r="AD193" s="363"/>
      <c r="AE193" s="363"/>
      <c r="AF193" s="363"/>
      <c r="AG193" s="363"/>
      <c r="AH193" s="363"/>
      <c r="AI193" s="363"/>
      <c r="AJ193" s="363"/>
      <c r="AK193" s="363"/>
      <c r="AL193" s="363"/>
      <c r="AM193" s="363"/>
      <c r="AN193" s="363"/>
      <c r="AO193" s="363"/>
      <c r="AP193" s="363"/>
      <c r="AQ193" s="363"/>
      <c r="AR193" s="363"/>
      <c r="AS193" s="363"/>
      <c r="AT193" s="363"/>
      <c r="AU193" s="363"/>
      <c r="AV193" s="363"/>
      <c r="AW193" s="363"/>
      <c r="AX193" s="363"/>
      <c r="AY193" s="363"/>
      <c r="AZ193" s="363"/>
      <c r="BA193" s="363"/>
      <c r="BB193" s="363"/>
      <c r="BC193" s="363"/>
      <c r="BD193" s="363"/>
      <c r="BE193" s="363"/>
      <c r="BF193" s="363"/>
      <c r="BG193" s="363"/>
      <c r="BH193" s="363"/>
    </row>
    <row r="194" spans="1:60" ht="15.75" customHeight="1" x14ac:dyDescent="0.25">
      <c r="A194" s="363"/>
      <c r="J194" s="363"/>
      <c r="K194" s="363"/>
      <c r="L194" s="363"/>
      <c r="M194" s="363"/>
      <c r="N194" s="363"/>
      <c r="O194" s="363"/>
      <c r="P194" s="363"/>
      <c r="Q194" s="363"/>
      <c r="R194" s="363"/>
      <c r="S194" s="363"/>
      <c r="T194" s="363"/>
      <c r="U194" s="363"/>
      <c r="V194" s="363"/>
      <c r="W194" s="363"/>
      <c r="X194" s="363"/>
      <c r="Y194" s="363"/>
      <c r="Z194" s="363"/>
      <c r="AA194" s="363"/>
      <c r="AB194" s="363"/>
      <c r="AC194" s="363"/>
      <c r="AD194" s="363"/>
      <c r="AE194" s="363"/>
      <c r="AF194" s="363"/>
      <c r="AG194" s="363"/>
      <c r="AH194" s="363"/>
      <c r="AI194" s="363"/>
      <c r="AJ194" s="363"/>
      <c r="AK194" s="363"/>
      <c r="AL194" s="363"/>
      <c r="AM194" s="363"/>
      <c r="AN194" s="363"/>
      <c r="AO194" s="363"/>
      <c r="AP194" s="363"/>
      <c r="AQ194" s="363"/>
      <c r="AR194" s="363"/>
      <c r="AS194" s="363"/>
      <c r="AT194" s="363"/>
      <c r="AU194" s="363"/>
      <c r="AV194" s="363"/>
      <c r="AW194" s="363"/>
      <c r="AX194" s="363"/>
      <c r="AY194" s="363"/>
      <c r="AZ194" s="363"/>
      <c r="BA194" s="363"/>
      <c r="BB194" s="363"/>
      <c r="BC194" s="363"/>
      <c r="BD194" s="363"/>
      <c r="BE194" s="363"/>
      <c r="BF194" s="363"/>
      <c r="BG194" s="363"/>
      <c r="BH194" s="363"/>
    </row>
    <row r="195" spans="1:60" ht="15.75" customHeight="1" x14ac:dyDescent="0.25">
      <c r="A195" s="363"/>
      <c r="J195" s="363"/>
      <c r="K195" s="363"/>
      <c r="L195" s="363"/>
      <c r="M195" s="363"/>
      <c r="N195" s="363"/>
      <c r="O195" s="363"/>
      <c r="P195" s="363"/>
      <c r="Q195" s="363"/>
      <c r="R195" s="363"/>
      <c r="S195" s="363"/>
      <c r="T195" s="363"/>
      <c r="U195" s="363"/>
      <c r="V195" s="363"/>
      <c r="W195" s="363"/>
      <c r="X195" s="363"/>
      <c r="Y195" s="363"/>
      <c r="Z195" s="363"/>
      <c r="AA195" s="363"/>
      <c r="AB195" s="363"/>
      <c r="AC195" s="363"/>
      <c r="AD195" s="363"/>
      <c r="AE195" s="363"/>
      <c r="AF195" s="363"/>
      <c r="AG195" s="363"/>
      <c r="AH195" s="363"/>
      <c r="AI195" s="363"/>
      <c r="AJ195" s="363"/>
      <c r="AK195" s="363"/>
      <c r="AL195" s="363"/>
      <c r="AM195" s="363"/>
      <c r="AN195" s="363"/>
      <c r="AO195" s="363"/>
      <c r="AP195" s="363"/>
      <c r="AQ195" s="363"/>
      <c r="AR195" s="363"/>
      <c r="AS195" s="363"/>
      <c r="AT195" s="363"/>
      <c r="AU195" s="363"/>
      <c r="AV195" s="363"/>
      <c r="AW195" s="363"/>
      <c r="AX195" s="363"/>
      <c r="AY195" s="363"/>
      <c r="AZ195" s="363"/>
      <c r="BA195" s="363"/>
      <c r="BB195" s="363"/>
      <c r="BC195" s="363"/>
      <c r="BD195" s="363"/>
      <c r="BE195" s="363"/>
      <c r="BF195" s="363"/>
      <c r="BG195" s="363"/>
      <c r="BH195" s="363"/>
    </row>
    <row r="196" spans="1:60" ht="15.75" customHeight="1" x14ac:dyDescent="0.25">
      <c r="A196" s="363"/>
      <c r="J196" s="363"/>
      <c r="K196" s="363"/>
      <c r="L196" s="363"/>
      <c r="M196" s="363"/>
      <c r="N196" s="363"/>
      <c r="O196" s="363"/>
      <c r="P196" s="363"/>
      <c r="Q196" s="363"/>
      <c r="R196" s="363"/>
      <c r="S196" s="363"/>
      <c r="T196" s="363"/>
      <c r="U196" s="363"/>
      <c r="V196" s="363"/>
      <c r="W196" s="363"/>
      <c r="X196" s="363"/>
      <c r="Y196" s="363"/>
      <c r="Z196" s="363"/>
      <c r="AA196" s="363"/>
      <c r="AB196" s="363"/>
      <c r="AC196" s="363"/>
      <c r="AD196" s="363"/>
      <c r="AE196" s="363"/>
      <c r="AF196" s="363"/>
      <c r="AG196" s="363"/>
      <c r="AH196" s="363"/>
      <c r="AI196" s="363"/>
      <c r="AJ196" s="363"/>
      <c r="AK196" s="363"/>
      <c r="AL196" s="363"/>
      <c r="AM196" s="363"/>
      <c r="AN196" s="363"/>
      <c r="AO196" s="363"/>
      <c r="AP196" s="363"/>
      <c r="AQ196" s="363"/>
      <c r="AR196" s="363"/>
      <c r="AS196" s="363"/>
      <c r="AT196" s="363"/>
      <c r="AU196" s="363"/>
      <c r="AV196" s="363"/>
      <c r="AW196" s="363"/>
      <c r="AX196" s="363"/>
      <c r="AY196" s="363"/>
      <c r="AZ196" s="363"/>
      <c r="BA196" s="363"/>
      <c r="BB196" s="363"/>
      <c r="BC196" s="363"/>
      <c r="BD196" s="363"/>
      <c r="BE196" s="363"/>
      <c r="BF196" s="363"/>
      <c r="BG196" s="363"/>
      <c r="BH196" s="363"/>
    </row>
    <row r="197" spans="1:60" ht="15.75" customHeight="1" x14ac:dyDescent="0.25">
      <c r="A197" s="363"/>
      <c r="J197" s="363"/>
      <c r="K197" s="363"/>
      <c r="L197" s="363"/>
      <c r="M197" s="363"/>
      <c r="N197" s="363"/>
      <c r="O197" s="363"/>
      <c r="P197" s="363"/>
      <c r="Q197" s="363"/>
      <c r="R197" s="363"/>
      <c r="S197" s="363"/>
      <c r="T197" s="363"/>
      <c r="U197" s="363"/>
      <c r="V197" s="363"/>
      <c r="W197" s="363"/>
      <c r="X197" s="363"/>
      <c r="Y197" s="363"/>
      <c r="Z197" s="363"/>
      <c r="AA197" s="363"/>
      <c r="AB197" s="363"/>
      <c r="AC197" s="363"/>
      <c r="AD197" s="363"/>
      <c r="AE197" s="363"/>
      <c r="AF197" s="363"/>
      <c r="AG197" s="363"/>
      <c r="AH197" s="363"/>
      <c r="AI197" s="363"/>
      <c r="AJ197" s="363"/>
      <c r="AK197" s="363"/>
      <c r="AL197" s="363"/>
      <c r="AM197" s="363"/>
      <c r="AN197" s="363"/>
      <c r="AO197" s="363"/>
      <c r="AP197" s="363"/>
      <c r="AQ197" s="363"/>
      <c r="AR197" s="363"/>
      <c r="AS197" s="363"/>
      <c r="AT197" s="363"/>
      <c r="AU197" s="363"/>
      <c r="AV197" s="363"/>
      <c r="AW197" s="363"/>
      <c r="AX197" s="363"/>
      <c r="AY197" s="363"/>
      <c r="AZ197" s="363"/>
      <c r="BA197" s="363"/>
      <c r="BB197" s="363"/>
      <c r="BC197" s="363"/>
      <c r="BD197" s="363"/>
      <c r="BE197" s="363"/>
      <c r="BF197" s="363"/>
      <c r="BG197" s="363"/>
      <c r="BH197" s="363"/>
    </row>
    <row r="198" spans="1:60" ht="15.75" customHeight="1" x14ac:dyDescent="0.25">
      <c r="A198" s="363"/>
      <c r="J198" s="363"/>
      <c r="K198" s="363"/>
      <c r="L198" s="363"/>
      <c r="M198" s="363"/>
      <c r="N198" s="363"/>
      <c r="O198" s="363"/>
      <c r="P198" s="363"/>
      <c r="Q198" s="363"/>
      <c r="R198" s="363"/>
      <c r="S198" s="363"/>
      <c r="T198" s="363"/>
      <c r="U198" s="363"/>
      <c r="V198" s="363"/>
      <c r="W198" s="363"/>
      <c r="X198" s="363"/>
      <c r="Y198" s="363"/>
      <c r="Z198" s="363"/>
      <c r="AA198" s="363"/>
      <c r="AB198" s="363"/>
      <c r="AC198" s="363"/>
      <c r="AD198" s="363"/>
      <c r="AE198" s="363"/>
      <c r="AF198" s="363"/>
      <c r="AG198" s="363"/>
      <c r="AH198" s="363"/>
      <c r="AI198" s="363"/>
      <c r="AJ198" s="363"/>
      <c r="AK198" s="363"/>
      <c r="AL198" s="363"/>
      <c r="AM198" s="363"/>
      <c r="AN198" s="363"/>
      <c r="AO198" s="363"/>
      <c r="AP198" s="363"/>
      <c r="AQ198" s="363"/>
      <c r="AR198" s="363"/>
      <c r="AS198" s="363"/>
      <c r="AT198" s="363"/>
      <c r="AU198" s="363"/>
      <c r="AV198" s="363"/>
      <c r="AW198" s="363"/>
      <c r="AX198" s="363"/>
      <c r="AY198" s="363"/>
      <c r="AZ198" s="363"/>
      <c r="BA198" s="363"/>
      <c r="BB198" s="363"/>
      <c r="BC198" s="363"/>
      <c r="BD198" s="363"/>
      <c r="BE198" s="363"/>
      <c r="BF198" s="363"/>
      <c r="BG198" s="363"/>
      <c r="BH198" s="363"/>
    </row>
    <row r="199" spans="1:60" ht="15.75" customHeight="1" x14ac:dyDescent="0.25">
      <c r="A199" s="363"/>
      <c r="J199" s="363"/>
      <c r="K199" s="363"/>
      <c r="L199" s="363"/>
      <c r="M199" s="363"/>
      <c r="N199" s="363"/>
      <c r="O199" s="363"/>
      <c r="P199" s="363"/>
      <c r="Q199" s="363"/>
      <c r="R199" s="363"/>
      <c r="S199" s="363"/>
      <c r="T199" s="363"/>
      <c r="U199" s="363"/>
      <c r="V199" s="363"/>
      <c r="W199" s="363"/>
      <c r="X199" s="363"/>
      <c r="Y199" s="363"/>
      <c r="Z199" s="363"/>
      <c r="AA199" s="363"/>
      <c r="AB199" s="363"/>
      <c r="AC199" s="363"/>
      <c r="AD199" s="363"/>
      <c r="AE199" s="363"/>
      <c r="AF199" s="363"/>
      <c r="AG199" s="363"/>
      <c r="AH199" s="363"/>
      <c r="AI199" s="363"/>
      <c r="AJ199" s="363"/>
      <c r="AK199" s="363"/>
      <c r="AL199" s="363"/>
      <c r="AM199" s="363"/>
      <c r="AN199" s="363"/>
      <c r="AO199" s="363"/>
      <c r="AP199" s="363"/>
      <c r="AQ199" s="363"/>
      <c r="AR199" s="363"/>
      <c r="AS199" s="363"/>
      <c r="AT199" s="363"/>
      <c r="AU199" s="363"/>
      <c r="AV199" s="363"/>
      <c r="AW199" s="363"/>
      <c r="AX199" s="363"/>
      <c r="AY199" s="363"/>
      <c r="AZ199" s="363"/>
      <c r="BA199" s="363"/>
      <c r="BB199" s="363"/>
      <c r="BC199" s="363"/>
      <c r="BD199" s="363"/>
      <c r="BE199" s="363"/>
      <c r="BF199" s="363"/>
      <c r="BG199" s="363"/>
      <c r="BH199" s="363"/>
    </row>
    <row r="200" spans="1:60" ht="15.75" customHeight="1" x14ac:dyDescent="0.25">
      <c r="A200" s="363"/>
      <c r="J200" s="363"/>
      <c r="K200" s="363"/>
      <c r="L200" s="363"/>
      <c r="M200" s="363"/>
      <c r="N200" s="363"/>
      <c r="O200" s="363"/>
      <c r="P200" s="363"/>
      <c r="Q200" s="363"/>
      <c r="R200" s="363"/>
      <c r="S200" s="363"/>
      <c r="T200" s="363"/>
      <c r="U200" s="363"/>
      <c r="V200" s="363"/>
      <c r="W200" s="363"/>
      <c r="X200" s="363"/>
      <c r="Y200" s="363"/>
      <c r="Z200" s="363"/>
      <c r="AA200" s="363"/>
      <c r="AB200" s="363"/>
      <c r="AC200" s="363"/>
      <c r="AD200" s="363"/>
      <c r="AE200" s="363"/>
      <c r="AF200" s="363"/>
      <c r="AG200" s="363"/>
      <c r="AH200" s="363"/>
      <c r="AI200" s="363"/>
      <c r="AJ200" s="363"/>
      <c r="AK200" s="363"/>
      <c r="AL200" s="363"/>
      <c r="AM200" s="363"/>
      <c r="AN200" s="363"/>
      <c r="AO200" s="363"/>
      <c r="AP200" s="363"/>
      <c r="AQ200" s="363"/>
      <c r="AR200" s="363"/>
      <c r="AS200" s="363"/>
      <c r="AT200" s="363"/>
      <c r="AU200" s="363"/>
      <c r="AV200" s="363"/>
      <c r="AW200" s="363"/>
      <c r="AX200" s="363"/>
      <c r="AY200" s="363"/>
      <c r="AZ200" s="363"/>
      <c r="BA200" s="363"/>
      <c r="BB200" s="363"/>
      <c r="BC200" s="363"/>
      <c r="BD200" s="363"/>
      <c r="BE200" s="363"/>
      <c r="BF200" s="363"/>
      <c r="BG200" s="363"/>
      <c r="BH200" s="363"/>
    </row>
    <row r="201" spans="1:60" ht="15.75" customHeight="1" x14ac:dyDescent="0.25">
      <c r="A201" s="363"/>
      <c r="J201" s="363"/>
      <c r="K201" s="363"/>
      <c r="L201" s="363"/>
      <c r="M201" s="363"/>
      <c r="N201" s="363"/>
      <c r="O201" s="363"/>
      <c r="P201" s="363"/>
      <c r="Q201" s="363"/>
      <c r="R201" s="363"/>
      <c r="S201" s="363"/>
      <c r="T201" s="363"/>
      <c r="U201" s="363"/>
      <c r="V201" s="363"/>
      <c r="W201" s="363"/>
      <c r="X201" s="363"/>
      <c r="Y201" s="363"/>
      <c r="Z201" s="363"/>
      <c r="AA201" s="363"/>
      <c r="AB201" s="363"/>
      <c r="AC201" s="363"/>
      <c r="AD201" s="363"/>
      <c r="AE201" s="363"/>
      <c r="AF201" s="363"/>
      <c r="AG201" s="363"/>
      <c r="AH201" s="363"/>
      <c r="AI201" s="363"/>
      <c r="AJ201" s="363"/>
      <c r="AK201" s="363"/>
      <c r="AL201" s="363"/>
      <c r="AM201" s="363"/>
      <c r="AN201" s="363"/>
      <c r="AO201" s="363"/>
      <c r="AP201" s="363"/>
      <c r="AQ201" s="363"/>
      <c r="AR201" s="363"/>
      <c r="AS201" s="363"/>
      <c r="AT201" s="363"/>
      <c r="AU201" s="363"/>
      <c r="AV201" s="363"/>
      <c r="AW201" s="363"/>
      <c r="AX201" s="363"/>
      <c r="AY201" s="363"/>
      <c r="AZ201" s="363"/>
      <c r="BA201" s="363"/>
      <c r="BB201" s="363"/>
      <c r="BC201" s="363"/>
      <c r="BD201" s="363"/>
      <c r="BE201" s="363"/>
      <c r="BF201" s="363"/>
      <c r="BG201" s="363"/>
      <c r="BH201" s="363"/>
    </row>
    <row r="202" spans="1:60" ht="15.75" customHeight="1" x14ac:dyDescent="0.25">
      <c r="A202" s="363"/>
      <c r="J202" s="363"/>
      <c r="K202" s="363"/>
      <c r="L202" s="363"/>
      <c r="M202" s="363"/>
      <c r="N202" s="363"/>
      <c r="O202" s="363"/>
      <c r="P202" s="363"/>
      <c r="Q202" s="363"/>
      <c r="R202" s="363"/>
      <c r="S202" s="363"/>
      <c r="T202" s="363"/>
      <c r="U202" s="363"/>
      <c r="V202" s="363"/>
      <c r="W202" s="363"/>
      <c r="X202" s="363"/>
      <c r="Y202" s="363"/>
      <c r="Z202" s="363"/>
      <c r="AA202" s="363"/>
      <c r="AB202" s="363"/>
      <c r="AC202" s="363"/>
      <c r="AD202" s="363"/>
      <c r="AE202" s="363"/>
      <c r="AF202" s="363"/>
      <c r="AG202" s="363"/>
      <c r="AH202" s="363"/>
      <c r="AI202" s="363"/>
      <c r="AJ202" s="363"/>
      <c r="AK202" s="363"/>
      <c r="AL202" s="363"/>
      <c r="AM202" s="363"/>
      <c r="AN202" s="363"/>
      <c r="AO202" s="363"/>
      <c r="AP202" s="363"/>
      <c r="AQ202" s="363"/>
      <c r="AR202" s="363"/>
      <c r="AS202" s="363"/>
      <c r="AT202" s="363"/>
      <c r="AU202" s="363"/>
      <c r="AV202" s="363"/>
      <c r="AW202" s="363"/>
      <c r="AX202" s="363"/>
      <c r="AY202" s="363"/>
      <c r="AZ202" s="363"/>
      <c r="BA202" s="363"/>
      <c r="BB202" s="363"/>
      <c r="BC202" s="363"/>
      <c r="BD202" s="363"/>
      <c r="BE202" s="363"/>
      <c r="BF202" s="363"/>
      <c r="BG202" s="363"/>
      <c r="BH202" s="363"/>
    </row>
    <row r="203" spans="1:60" ht="15.75" customHeight="1" x14ac:dyDescent="0.25">
      <c r="A203" s="363"/>
      <c r="J203" s="363"/>
      <c r="K203" s="363"/>
      <c r="L203" s="363"/>
      <c r="M203" s="363"/>
      <c r="N203" s="363"/>
      <c r="O203" s="363"/>
      <c r="P203" s="363"/>
      <c r="Q203" s="363"/>
      <c r="R203" s="363"/>
      <c r="S203" s="363"/>
      <c r="T203" s="363"/>
      <c r="U203" s="363"/>
      <c r="V203" s="363"/>
      <c r="W203" s="363"/>
      <c r="X203" s="363"/>
      <c r="Y203" s="363"/>
      <c r="Z203" s="363"/>
      <c r="AA203" s="363"/>
      <c r="AB203" s="363"/>
      <c r="AC203" s="363"/>
      <c r="AD203" s="363"/>
      <c r="AE203" s="363"/>
      <c r="AF203" s="363"/>
      <c r="AG203" s="363"/>
      <c r="AH203" s="363"/>
      <c r="AI203" s="363"/>
      <c r="AJ203" s="363"/>
      <c r="AK203" s="363"/>
      <c r="AL203" s="363"/>
      <c r="AM203" s="363"/>
      <c r="AN203" s="363"/>
      <c r="AO203" s="363"/>
      <c r="AP203" s="363"/>
      <c r="AQ203" s="363"/>
      <c r="AR203" s="363"/>
      <c r="AS203" s="363"/>
      <c r="AT203" s="363"/>
      <c r="AU203" s="363"/>
      <c r="AV203" s="363"/>
      <c r="AW203" s="363"/>
      <c r="AX203" s="363"/>
      <c r="AY203" s="363"/>
      <c r="AZ203" s="363"/>
      <c r="BA203" s="363"/>
      <c r="BB203" s="363"/>
      <c r="BC203" s="363"/>
      <c r="BD203" s="363"/>
      <c r="BE203" s="363"/>
      <c r="BF203" s="363"/>
      <c r="BG203" s="363"/>
      <c r="BH203" s="363"/>
    </row>
    <row r="204" spans="1:60" ht="15.75" customHeight="1" x14ac:dyDescent="0.25">
      <c r="A204" s="363"/>
      <c r="J204" s="363"/>
      <c r="K204" s="363"/>
      <c r="L204" s="363"/>
      <c r="M204" s="363"/>
      <c r="N204" s="363"/>
      <c r="O204" s="363"/>
      <c r="P204" s="363"/>
      <c r="Q204" s="363"/>
      <c r="R204" s="363"/>
      <c r="S204" s="363"/>
      <c r="T204" s="363"/>
      <c r="U204" s="363"/>
      <c r="V204" s="363"/>
      <c r="W204" s="363"/>
      <c r="X204" s="363"/>
      <c r="Y204" s="363"/>
      <c r="Z204" s="363"/>
      <c r="AA204" s="363"/>
      <c r="AB204" s="363"/>
      <c r="AC204" s="363"/>
      <c r="AD204" s="363"/>
      <c r="AE204" s="363"/>
      <c r="AF204" s="363"/>
      <c r="AG204" s="363"/>
      <c r="AH204" s="363"/>
      <c r="AI204" s="363"/>
      <c r="AJ204" s="363"/>
      <c r="AK204" s="363"/>
      <c r="AL204" s="363"/>
      <c r="AM204" s="363"/>
      <c r="AN204" s="363"/>
      <c r="AO204" s="363"/>
      <c r="AP204" s="363"/>
      <c r="AQ204" s="363"/>
      <c r="AR204" s="363"/>
      <c r="AS204" s="363"/>
      <c r="AT204" s="363"/>
      <c r="AU204" s="363"/>
      <c r="AV204" s="363"/>
      <c r="AW204" s="363"/>
      <c r="AX204" s="363"/>
      <c r="AY204" s="363"/>
      <c r="AZ204" s="363"/>
      <c r="BA204" s="363"/>
      <c r="BB204" s="363"/>
      <c r="BC204" s="363"/>
      <c r="BD204" s="363"/>
      <c r="BE204" s="363"/>
      <c r="BF204" s="363"/>
      <c r="BG204" s="363"/>
      <c r="BH204" s="363"/>
    </row>
    <row r="205" spans="1:60" ht="15.75" customHeight="1" x14ac:dyDescent="0.25">
      <c r="A205" s="363"/>
      <c r="J205" s="363"/>
      <c r="K205" s="363"/>
      <c r="L205" s="363"/>
      <c r="M205" s="363"/>
      <c r="N205" s="363"/>
      <c r="O205" s="363"/>
      <c r="P205" s="363"/>
      <c r="Q205" s="363"/>
      <c r="R205" s="363"/>
      <c r="S205" s="363"/>
      <c r="T205" s="363"/>
      <c r="U205" s="363"/>
      <c r="V205" s="363"/>
      <c r="W205" s="363"/>
      <c r="X205" s="363"/>
      <c r="Y205" s="363"/>
      <c r="Z205" s="363"/>
      <c r="AA205" s="363"/>
      <c r="AB205" s="363"/>
      <c r="AC205" s="363"/>
      <c r="AD205" s="363"/>
      <c r="AE205" s="363"/>
      <c r="AF205" s="363"/>
      <c r="AG205" s="363"/>
      <c r="AH205" s="363"/>
      <c r="AI205" s="363"/>
      <c r="AJ205" s="363"/>
      <c r="AK205" s="363"/>
      <c r="AL205" s="363"/>
      <c r="AM205" s="363"/>
      <c r="AN205" s="363"/>
      <c r="AO205" s="363"/>
      <c r="AP205" s="363"/>
      <c r="AQ205" s="363"/>
      <c r="AR205" s="363"/>
      <c r="AS205" s="363"/>
      <c r="AT205" s="363"/>
      <c r="AU205" s="363"/>
      <c r="AV205" s="363"/>
      <c r="AW205" s="363"/>
      <c r="AX205" s="363"/>
      <c r="AY205" s="363"/>
      <c r="AZ205" s="363"/>
      <c r="BA205" s="363"/>
      <c r="BB205" s="363"/>
      <c r="BC205" s="363"/>
      <c r="BD205" s="363"/>
      <c r="BE205" s="363"/>
      <c r="BF205" s="363"/>
      <c r="BG205" s="363"/>
      <c r="BH205" s="363"/>
    </row>
    <row r="206" spans="1:60" ht="15.75" customHeight="1" x14ac:dyDescent="0.25">
      <c r="A206" s="363"/>
      <c r="J206" s="363"/>
      <c r="K206" s="363"/>
      <c r="L206" s="363"/>
      <c r="M206" s="363"/>
      <c r="N206" s="363"/>
      <c r="O206" s="363"/>
      <c r="P206" s="363"/>
      <c r="Q206" s="363"/>
      <c r="R206" s="363"/>
      <c r="S206" s="363"/>
      <c r="T206" s="363"/>
      <c r="U206" s="363"/>
      <c r="V206" s="363"/>
      <c r="W206" s="363"/>
      <c r="X206" s="363"/>
      <c r="Y206" s="363"/>
      <c r="Z206" s="363"/>
      <c r="AA206" s="363"/>
      <c r="AB206" s="363"/>
      <c r="AC206" s="363"/>
      <c r="AD206" s="363"/>
      <c r="AE206" s="363"/>
      <c r="AF206" s="363"/>
      <c r="AG206" s="363"/>
      <c r="AH206" s="363"/>
      <c r="AI206" s="363"/>
      <c r="AJ206" s="363"/>
      <c r="AK206" s="363"/>
      <c r="AL206" s="363"/>
      <c r="AM206" s="363"/>
      <c r="AN206" s="363"/>
      <c r="AO206" s="363"/>
      <c r="AP206" s="363"/>
      <c r="AQ206" s="363"/>
      <c r="AR206" s="363"/>
      <c r="AS206" s="363"/>
      <c r="AT206" s="363"/>
      <c r="AU206" s="363"/>
      <c r="AV206" s="363"/>
      <c r="AW206" s="363"/>
      <c r="AX206" s="363"/>
      <c r="AY206" s="363"/>
      <c r="AZ206" s="363"/>
      <c r="BA206" s="363"/>
      <c r="BB206" s="363"/>
      <c r="BC206" s="363"/>
      <c r="BD206" s="363"/>
      <c r="BE206" s="363"/>
      <c r="BF206" s="363"/>
      <c r="BG206" s="363"/>
      <c r="BH206" s="363"/>
    </row>
    <row r="207" spans="1:60" ht="15.75" customHeight="1" x14ac:dyDescent="0.25">
      <c r="A207" s="363"/>
      <c r="J207" s="363"/>
      <c r="K207" s="363"/>
      <c r="L207" s="363"/>
      <c r="M207" s="363"/>
      <c r="N207" s="363"/>
      <c r="O207" s="363"/>
      <c r="P207" s="363"/>
      <c r="Q207" s="363"/>
      <c r="R207" s="363"/>
      <c r="S207" s="363"/>
      <c r="T207" s="363"/>
      <c r="U207" s="363"/>
      <c r="V207" s="363"/>
      <c r="W207" s="363"/>
      <c r="X207" s="363"/>
      <c r="Y207" s="363"/>
      <c r="Z207" s="363"/>
      <c r="AA207" s="363"/>
      <c r="AB207" s="363"/>
      <c r="AC207" s="363"/>
      <c r="AD207" s="363"/>
      <c r="AE207" s="363"/>
      <c r="AF207" s="363"/>
      <c r="AG207" s="363"/>
      <c r="AH207" s="363"/>
      <c r="AI207" s="363"/>
      <c r="AJ207" s="363"/>
      <c r="AK207" s="363"/>
      <c r="AL207" s="363"/>
      <c r="AM207" s="363"/>
      <c r="AN207" s="363"/>
      <c r="AO207" s="363"/>
      <c r="AP207" s="363"/>
      <c r="AQ207" s="363"/>
      <c r="AR207" s="363"/>
      <c r="AS207" s="363"/>
      <c r="AT207" s="363"/>
      <c r="AU207" s="363"/>
      <c r="AV207" s="363"/>
      <c r="AW207" s="363"/>
      <c r="AX207" s="363"/>
      <c r="AY207" s="363"/>
      <c r="AZ207" s="363"/>
      <c r="BA207" s="363"/>
      <c r="BB207" s="363"/>
      <c r="BC207" s="363"/>
      <c r="BD207" s="363"/>
      <c r="BE207" s="363"/>
      <c r="BF207" s="363"/>
      <c r="BG207" s="363"/>
      <c r="BH207" s="363"/>
    </row>
    <row r="208" spans="1:60" ht="15.75" customHeight="1" x14ac:dyDescent="0.25">
      <c r="A208" s="363"/>
      <c r="J208" s="363"/>
      <c r="K208" s="363"/>
      <c r="L208" s="363"/>
      <c r="M208" s="363"/>
      <c r="N208" s="363"/>
      <c r="O208" s="363"/>
      <c r="P208" s="363"/>
      <c r="Q208" s="363"/>
      <c r="R208" s="363"/>
      <c r="S208" s="363"/>
      <c r="T208" s="363"/>
      <c r="U208" s="363"/>
      <c r="V208" s="363"/>
      <c r="W208" s="363"/>
      <c r="X208" s="363"/>
      <c r="Y208" s="363"/>
      <c r="Z208" s="363"/>
      <c r="AA208" s="363"/>
      <c r="AB208" s="363"/>
      <c r="AC208" s="363"/>
      <c r="AD208" s="363"/>
      <c r="AE208" s="363"/>
      <c r="AF208" s="363"/>
      <c r="AG208" s="363"/>
      <c r="AH208" s="363"/>
      <c r="AI208" s="363"/>
      <c r="AJ208" s="363"/>
      <c r="AK208" s="363"/>
      <c r="AL208" s="363"/>
      <c r="AM208" s="363"/>
      <c r="AN208" s="363"/>
      <c r="AO208" s="363"/>
      <c r="AP208" s="363"/>
      <c r="AQ208" s="363"/>
      <c r="AR208" s="363"/>
      <c r="AS208" s="363"/>
      <c r="AT208" s="363"/>
      <c r="AU208" s="363"/>
      <c r="AV208" s="363"/>
      <c r="AW208" s="363"/>
      <c r="AX208" s="363"/>
      <c r="AY208" s="363"/>
      <c r="AZ208" s="363"/>
      <c r="BA208" s="363"/>
      <c r="BB208" s="363"/>
      <c r="BC208" s="363"/>
      <c r="BD208" s="363"/>
      <c r="BE208" s="363"/>
      <c r="BF208" s="363"/>
      <c r="BG208" s="363"/>
      <c r="BH208" s="363"/>
    </row>
    <row r="209" spans="1:60" ht="15.75" customHeight="1" x14ac:dyDescent="0.25">
      <c r="A209" s="363"/>
      <c r="J209" s="363"/>
      <c r="K209" s="363"/>
      <c r="L209" s="363"/>
      <c r="M209" s="363"/>
      <c r="N209" s="363"/>
      <c r="O209" s="363"/>
      <c r="P209" s="363"/>
      <c r="Q209" s="363"/>
      <c r="R209" s="363"/>
      <c r="S209" s="363"/>
      <c r="T209" s="363"/>
      <c r="U209" s="363"/>
      <c r="V209" s="363"/>
      <c r="W209" s="363"/>
      <c r="X209" s="363"/>
      <c r="Y209" s="363"/>
      <c r="Z209" s="363"/>
      <c r="AA209" s="363"/>
      <c r="AB209" s="363"/>
      <c r="AC209" s="363"/>
      <c r="AD209" s="363"/>
      <c r="AE209" s="363"/>
      <c r="AF209" s="363"/>
      <c r="AG209" s="363"/>
      <c r="AH209" s="363"/>
      <c r="AI209" s="363"/>
      <c r="AJ209" s="363"/>
      <c r="AK209" s="363"/>
      <c r="AL209" s="363"/>
      <c r="AM209" s="363"/>
      <c r="AN209" s="363"/>
      <c r="AO209" s="363"/>
      <c r="AP209" s="363"/>
      <c r="AQ209" s="363"/>
      <c r="AR209" s="363"/>
      <c r="AS209" s="363"/>
      <c r="AT209" s="363"/>
      <c r="AU209" s="363"/>
      <c r="AV209" s="363"/>
      <c r="AW209" s="363"/>
      <c r="AX209" s="363"/>
      <c r="AY209" s="363"/>
      <c r="AZ209" s="363"/>
      <c r="BA209" s="363"/>
      <c r="BB209" s="363"/>
      <c r="BC209" s="363"/>
      <c r="BD209" s="363"/>
      <c r="BE209" s="363"/>
      <c r="BF209" s="363"/>
      <c r="BG209" s="363"/>
      <c r="BH209" s="363"/>
    </row>
    <row r="210" spans="1:60" ht="15.75" customHeight="1" x14ac:dyDescent="0.25">
      <c r="A210" s="363"/>
      <c r="J210" s="363"/>
      <c r="K210" s="363"/>
      <c r="L210" s="363"/>
      <c r="M210" s="363"/>
      <c r="N210" s="363"/>
      <c r="O210" s="363"/>
      <c r="P210" s="363"/>
      <c r="Q210" s="363"/>
      <c r="R210" s="363"/>
      <c r="S210" s="363"/>
      <c r="T210" s="363"/>
      <c r="U210" s="363"/>
      <c r="V210" s="363"/>
      <c r="W210" s="363"/>
      <c r="X210" s="363"/>
      <c r="Y210" s="363"/>
      <c r="Z210" s="363"/>
      <c r="AA210" s="363"/>
      <c r="AB210" s="363"/>
      <c r="AC210" s="363"/>
      <c r="AD210" s="363"/>
      <c r="AE210" s="363"/>
      <c r="AF210" s="363"/>
      <c r="AG210" s="363"/>
      <c r="AH210" s="363"/>
      <c r="AI210" s="363"/>
      <c r="AJ210" s="363"/>
      <c r="AK210" s="363"/>
      <c r="AL210" s="363"/>
      <c r="AM210" s="363"/>
      <c r="AN210" s="363"/>
      <c r="AO210" s="363"/>
      <c r="AP210" s="363"/>
      <c r="AQ210" s="363"/>
      <c r="AR210" s="363"/>
      <c r="AS210" s="363"/>
      <c r="AT210" s="363"/>
      <c r="AU210" s="363"/>
      <c r="AV210" s="363"/>
      <c r="AW210" s="363"/>
      <c r="AX210" s="363"/>
      <c r="AY210" s="363"/>
      <c r="AZ210" s="363"/>
      <c r="BA210" s="363"/>
      <c r="BB210" s="363"/>
      <c r="BC210" s="363"/>
      <c r="BD210" s="363"/>
      <c r="BE210" s="363"/>
      <c r="BF210" s="363"/>
      <c r="BG210" s="363"/>
      <c r="BH210" s="363"/>
    </row>
    <row r="211" spans="1:60" ht="15.75" customHeight="1" x14ac:dyDescent="0.25">
      <c r="A211" s="363"/>
      <c r="J211" s="363"/>
      <c r="K211" s="363"/>
      <c r="L211" s="363"/>
      <c r="M211" s="363"/>
      <c r="N211" s="363"/>
      <c r="O211" s="363"/>
      <c r="P211" s="363"/>
      <c r="Q211" s="363"/>
      <c r="R211" s="363"/>
      <c r="S211" s="363"/>
      <c r="T211" s="363"/>
      <c r="U211" s="363"/>
      <c r="V211" s="363"/>
      <c r="W211" s="363"/>
      <c r="X211" s="363"/>
      <c r="Y211" s="363"/>
      <c r="Z211" s="363"/>
      <c r="AA211" s="363"/>
      <c r="AB211" s="363"/>
      <c r="AC211" s="363"/>
      <c r="AD211" s="363"/>
      <c r="AE211" s="363"/>
      <c r="AF211" s="363"/>
      <c r="AG211" s="363"/>
      <c r="AH211" s="363"/>
      <c r="AI211" s="363"/>
      <c r="AJ211" s="363"/>
      <c r="AK211" s="363"/>
      <c r="AL211" s="363"/>
      <c r="AM211" s="363"/>
      <c r="AN211" s="363"/>
      <c r="AO211" s="363"/>
      <c r="AP211" s="363"/>
      <c r="AQ211" s="363"/>
      <c r="AR211" s="363"/>
      <c r="AS211" s="363"/>
      <c r="AT211" s="363"/>
      <c r="AU211" s="363"/>
      <c r="AV211" s="363"/>
      <c r="AW211" s="363"/>
      <c r="AX211" s="363"/>
      <c r="AY211" s="363"/>
      <c r="AZ211" s="363"/>
      <c r="BA211" s="363"/>
      <c r="BB211" s="363"/>
      <c r="BC211" s="363"/>
      <c r="BD211" s="363"/>
      <c r="BE211" s="363"/>
      <c r="BF211" s="363"/>
      <c r="BG211" s="363"/>
      <c r="BH211" s="363"/>
    </row>
    <row r="212" spans="1:60" ht="15.75" customHeight="1" x14ac:dyDescent="0.25">
      <c r="A212" s="363"/>
      <c r="J212" s="363"/>
      <c r="K212" s="363"/>
      <c r="L212" s="363"/>
      <c r="M212" s="363"/>
      <c r="N212" s="363"/>
      <c r="O212" s="363"/>
      <c r="P212" s="363"/>
      <c r="Q212" s="363"/>
      <c r="R212" s="363"/>
      <c r="S212" s="363"/>
      <c r="T212" s="363"/>
      <c r="U212" s="363"/>
      <c r="V212" s="363"/>
      <c r="W212" s="363"/>
      <c r="X212" s="363"/>
      <c r="Y212" s="363"/>
      <c r="Z212" s="363"/>
      <c r="AA212" s="363"/>
      <c r="AB212" s="363"/>
      <c r="AC212" s="363"/>
      <c r="AD212" s="363"/>
      <c r="AE212" s="363"/>
      <c r="AF212" s="363"/>
      <c r="AG212" s="363"/>
      <c r="AH212" s="363"/>
      <c r="AI212" s="363"/>
      <c r="AJ212" s="363"/>
      <c r="AK212" s="363"/>
      <c r="AL212" s="363"/>
      <c r="AM212" s="363"/>
      <c r="AN212" s="363"/>
      <c r="AO212" s="363"/>
      <c r="AP212" s="363"/>
      <c r="AQ212" s="363"/>
      <c r="AR212" s="363"/>
      <c r="AS212" s="363"/>
      <c r="AT212" s="363"/>
      <c r="AU212" s="363"/>
      <c r="AV212" s="363"/>
      <c r="AW212" s="363"/>
      <c r="AX212" s="363"/>
      <c r="AY212" s="363"/>
      <c r="AZ212" s="363"/>
      <c r="BA212" s="363"/>
      <c r="BB212" s="363"/>
      <c r="BC212" s="363"/>
      <c r="BD212" s="363"/>
      <c r="BE212" s="363"/>
      <c r="BF212" s="363"/>
      <c r="BG212" s="363"/>
      <c r="BH212" s="363"/>
    </row>
    <row r="213" spans="1:60" ht="15.75" customHeight="1" x14ac:dyDescent="0.25">
      <c r="A213" s="363"/>
      <c r="J213" s="363"/>
      <c r="K213" s="363"/>
      <c r="L213" s="363"/>
      <c r="M213" s="363"/>
      <c r="N213" s="363"/>
      <c r="O213" s="363"/>
      <c r="P213" s="363"/>
      <c r="Q213" s="363"/>
      <c r="R213" s="363"/>
      <c r="S213" s="363"/>
      <c r="T213" s="363"/>
      <c r="U213" s="363"/>
      <c r="V213" s="363"/>
      <c r="W213" s="363"/>
      <c r="X213" s="363"/>
      <c r="Y213" s="363"/>
      <c r="Z213" s="363"/>
      <c r="AA213" s="363"/>
      <c r="AB213" s="363"/>
      <c r="AC213" s="363"/>
      <c r="AD213" s="363"/>
      <c r="AE213" s="363"/>
      <c r="AF213" s="363"/>
      <c r="AG213" s="363"/>
      <c r="AH213" s="363"/>
      <c r="AI213" s="363"/>
      <c r="AJ213" s="363"/>
      <c r="AK213" s="363"/>
      <c r="AL213" s="363"/>
      <c r="AM213" s="363"/>
      <c r="AN213" s="363"/>
      <c r="AO213" s="363"/>
      <c r="AP213" s="363"/>
      <c r="AQ213" s="363"/>
      <c r="AR213" s="363"/>
      <c r="AS213" s="363"/>
      <c r="AT213" s="363"/>
      <c r="AU213" s="363"/>
      <c r="AV213" s="363"/>
      <c r="AW213" s="363"/>
      <c r="AX213" s="363"/>
      <c r="AY213" s="363"/>
      <c r="AZ213" s="363"/>
      <c r="BA213" s="363"/>
      <c r="BB213" s="363"/>
      <c r="BC213" s="363"/>
      <c r="BD213" s="363"/>
      <c r="BE213" s="363"/>
      <c r="BF213" s="363"/>
      <c r="BG213" s="363"/>
      <c r="BH213" s="363"/>
    </row>
    <row r="214" spans="1:60" ht="15.75" customHeight="1" x14ac:dyDescent="0.25">
      <c r="A214" s="363"/>
      <c r="J214" s="363"/>
      <c r="K214" s="363"/>
      <c r="L214" s="363"/>
      <c r="M214" s="363"/>
      <c r="N214" s="363"/>
      <c r="O214" s="363"/>
      <c r="P214" s="363"/>
      <c r="Q214" s="363"/>
      <c r="R214" s="363"/>
      <c r="S214" s="363"/>
      <c r="T214" s="363"/>
      <c r="U214" s="363"/>
      <c r="V214" s="363"/>
      <c r="W214" s="363"/>
      <c r="X214" s="363"/>
      <c r="Y214" s="363"/>
      <c r="Z214" s="363"/>
      <c r="AA214" s="363"/>
      <c r="AB214" s="363"/>
      <c r="AC214" s="363"/>
      <c r="AD214" s="363"/>
      <c r="AE214" s="363"/>
      <c r="AF214" s="363"/>
      <c r="AG214" s="363"/>
      <c r="AH214" s="363"/>
      <c r="AI214" s="363"/>
      <c r="AJ214" s="363"/>
      <c r="AK214" s="363"/>
      <c r="AL214" s="363"/>
      <c r="AM214" s="363"/>
      <c r="AN214" s="363"/>
      <c r="AO214" s="363"/>
      <c r="AP214" s="363"/>
      <c r="AQ214" s="363"/>
      <c r="AR214" s="363"/>
      <c r="AS214" s="363"/>
      <c r="AT214" s="363"/>
      <c r="AU214" s="363"/>
      <c r="AV214" s="363"/>
      <c r="AW214" s="363"/>
      <c r="AX214" s="363"/>
      <c r="AY214" s="363"/>
      <c r="AZ214" s="363"/>
      <c r="BA214" s="363"/>
      <c r="BB214" s="363"/>
      <c r="BC214" s="363"/>
      <c r="BD214" s="363"/>
      <c r="BE214" s="363"/>
      <c r="BF214" s="363"/>
      <c r="BG214" s="363"/>
      <c r="BH214" s="363"/>
    </row>
    <row r="215" spans="1:60" ht="15.75" customHeight="1" x14ac:dyDescent="0.25">
      <c r="A215" s="363"/>
      <c r="J215" s="363"/>
      <c r="K215" s="363"/>
      <c r="L215" s="363"/>
      <c r="M215" s="363"/>
      <c r="N215" s="363"/>
      <c r="O215" s="363"/>
      <c r="P215" s="363"/>
      <c r="Q215" s="363"/>
      <c r="R215" s="363"/>
      <c r="S215" s="363"/>
      <c r="T215" s="363"/>
      <c r="U215" s="363"/>
      <c r="V215" s="363"/>
      <c r="W215" s="363"/>
      <c r="X215" s="363"/>
      <c r="Y215" s="363"/>
      <c r="Z215" s="363"/>
      <c r="AA215" s="363"/>
      <c r="AB215" s="363"/>
      <c r="AC215" s="363"/>
      <c r="AD215" s="363"/>
      <c r="AE215" s="363"/>
      <c r="AF215" s="363"/>
      <c r="AG215" s="363"/>
      <c r="AH215" s="363"/>
      <c r="AI215" s="363"/>
      <c r="AJ215" s="363"/>
      <c r="AK215" s="363"/>
      <c r="AL215" s="363"/>
      <c r="AM215" s="363"/>
      <c r="AN215" s="363"/>
      <c r="AO215" s="363"/>
      <c r="AP215" s="363"/>
      <c r="AQ215" s="363"/>
      <c r="AR215" s="363"/>
      <c r="AS215" s="363"/>
      <c r="AT215" s="363"/>
      <c r="AU215" s="363"/>
      <c r="AV215" s="363"/>
      <c r="AW215" s="363"/>
      <c r="AX215" s="363"/>
      <c r="AY215" s="363"/>
      <c r="AZ215" s="363"/>
      <c r="BA215" s="363"/>
      <c r="BB215" s="363"/>
      <c r="BC215" s="363"/>
      <c r="BD215" s="363"/>
      <c r="BE215" s="363"/>
      <c r="BF215" s="363"/>
      <c r="BG215" s="363"/>
      <c r="BH215" s="363"/>
    </row>
    <row r="216" spans="1:60" ht="15.75" customHeight="1" x14ac:dyDescent="0.25">
      <c r="A216" s="363"/>
      <c r="J216" s="363"/>
      <c r="K216" s="363"/>
      <c r="L216" s="363"/>
      <c r="M216" s="363"/>
      <c r="N216" s="363"/>
      <c r="O216" s="363"/>
      <c r="P216" s="363"/>
      <c r="Q216" s="363"/>
      <c r="R216" s="363"/>
      <c r="S216" s="363"/>
      <c r="T216" s="363"/>
      <c r="U216" s="363"/>
      <c r="V216" s="363"/>
      <c r="W216" s="363"/>
      <c r="X216" s="363"/>
      <c r="Y216" s="363"/>
      <c r="Z216" s="363"/>
      <c r="AA216" s="363"/>
      <c r="AB216" s="363"/>
      <c r="AC216" s="363"/>
      <c r="AD216" s="363"/>
      <c r="AE216" s="363"/>
      <c r="AF216" s="363"/>
      <c r="AG216" s="363"/>
      <c r="AH216" s="363"/>
      <c r="AI216" s="363"/>
      <c r="AJ216" s="363"/>
      <c r="AK216" s="363"/>
      <c r="AL216" s="363"/>
      <c r="AM216" s="363"/>
      <c r="AN216" s="363"/>
      <c r="AO216" s="363"/>
      <c r="AP216" s="363"/>
      <c r="AQ216" s="363"/>
      <c r="AR216" s="363"/>
      <c r="AS216" s="363"/>
      <c r="AT216" s="363"/>
      <c r="AU216" s="363"/>
      <c r="AV216" s="363"/>
      <c r="AW216" s="363"/>
      <c r="AX216" s="363"/>
      <c r="AY216" s="363"/>
      <c r="AZ216" s="363"/>
      <c r="BA216" s="363"/>
      <c r="BB216" s="363"/>
      <c r="BC216" s="363"/>
      <c r="BD216" s="363"/>
      <c r="BE216" s="363"/>
      <c r="BF216" s="363"/>
      <c r="BG216" s="363"/>
      <c r="BH216" s="363"/>
    </row>
    <row r="217" spans="1:60" ht="15.75" customHeight="1" x14ac:dyDescent="0.25">
      <c r="A217" s="363"/>
      <c r="J217" s="363"/>
      <c r="K217" s="363"/>
      <c r="L217" s="363"/>
      <c r="M217" s="363"/>
      <c r="N217" s="363"/>
      <c r="O217" s="363"/>
      <c r="P217" s="363"/>
      <c r="Q217" s="363"/>
      <c r="R217" s="363"/>
      <c r="S217" s="363"/>
      <c r="T217" s="363"/>
      <c r="U217" s="363"/>
      <c r="V217" s="363"/>
      <c r="W217" s="363"/>
      <c r="X217" s="363"/>
      <c r="Y217" s="363"/>
      <c r="Z217" s="363"/>
      <c r="AA217" s="363"/>
      <c r="AB217" s="363"/>
      <c r="AC217" s="363"/>
      <c r="AD217" s="363"/>
      <c r="AE217" s="363"/>
      <c r="AF217" s="363"/>
      <c r="AG217" s="363"/>
      <c r="AH217" s="363"/>
      <c r="AI217" s="363"/>
      <c r="AJ217" s="363"/>
      <c r="AK217" s="363"/>
      <c r="AL217" s="363"/>
      <c r="AM217" s="363"/>
      <c r="AN217" s="363"/>
      <c r="AO217" s="363"/>
      <c r="AP217" s="363"/>
      <c r="AQ217" s="363"/>
      <c r="AR217" s="363"/>
      <c r="AS217" s="363"/>
      <c r="AT217" s="363"/>
      <c r="AU217" s="363"/>
      <c r="AV217" s="363"/>
      <c r="AW217" s="363"/>
      <c r="AX217" s="363"/>
      <c r="AY217" s="363"/>
      <c r="AZ217" s="363"/>
      <c r="BA217" s="363"/>
      <c r="BB217" s="363"/>
      <c r="BC217" s="363"/>
      <c r="BD217" s="363"/>
      <c r="BE217" s="363"/>
      <c r="BF217" s="363"/>
      <c r="BG217" s="363"/>
      <c r="BH217" s="363"/>
    </row>
    <row r="218" spans="1:60" ht="15.75" customHeight="1" x14ac:dyDescent="0.25">
      <c r="A218" s="363"/>
      <c r="J218" s="363"/>
      <c r="K218" s="363"/>
      <c r="L218" s="363"/>
      <c r="M218" s="363"/>
      <c r="N218" s="363"/>
      <c r="O218" s="363"/>
      <c r="P218" s="363"/>
      <c r="Q218" s="363"/>
      <c r="R218" s="363"/>
      <c r="S218" s="363"/>
      <c r="T218" s="363"/>
      <c r="U218" s="363"/>
      <c r="V218" s="363"/>
      <c r="W218" s="363"/>
      <c r="X218" s="363"/>
      <c r="Y218" s="363"/>
      <c r="Z218" s="363"/>
      <c r="AA218" s="363"/>
      <c r="AB218" s="363"/>
      <c r="AC218" s="363"/>
      <c r="AD218" s="363"/>
      <c r="AE218" s="363"/>
      <c r="AF218" s="363"/>
      <c r="AG218" s="363"/>
      <c r="AH218" s="363"/>
      <c r="AI218" s="363"/>
      <c r="AJ218" s="363"/>
      <c r="AK218" s="363"/>
      <c r="AL218" s="363"/>
      <c r="AM218" s="363"/>
      <c r="AN218" s="363"/>
      <c r="AO218" s="363"/>
      <c r="AP218" s="363"/>
      <c r="AQ218" s="363"/>
      <c r="AR218" s="363"/>
      <c r="AS218" s="363"/>
      <c r="AT218" s="363"/>
      <c r="AU218" s="363"/>
      <c r="AV218" s="363"/>
      <c r="AW218" s="363"/>
      <c r="AX218" s="363"/>
      <c r="AY218" s="363"/>
      <c r="AZ218" s="363"/>
      <c r="BA218" s="363"/>
      <c r="BB218" s="363"/>
      <c r="BC218" s="363"/>
      <c r="BD218" s="363"/>
      <c r="BE218" s="363"/>
      <c r="BF218" s="363"/>
      <c r="BG218" s="363"/>
      <c r="BH218" s="363"/>
    </row>
    <row r="219" spans="1:60" ht="15.75" customHeight="1" x14ac:dyDescent="0.25">
      <c r="A219" s="363"/>
      <c r="J219" s="363"/>
      <c r="K219" s="363"/>
      <c r="L219" s="363"/>
      <c r="M219" s="363"/>
      <c r="N219" s="363"/>
      <c r="O219" s="363"/>
      <c r="P219" s="363"/>
      <c r="Q219" s="363"/>
      <c r="R219" s="363"/>
      <c r="S219" s="363"/>
      <c r="T219" s="363"/>
      <c r="U219" s="363"/>
      <c r="V219" s="363"/>
      <c r="W219" s="363"/>
      <c r="X219" s="363"/>
      <c r="Y219" s="363"/>
      <c r="Z219" s="363"/>
      <c r="AA219" s="363"/>
      <c r="AB219" s="363"/>
      <c r="AC219" s="363"/>
      <c r="AD219" s="363"/>
      <c r="AE219" s="363"/>
      <c r="AF219" s="363"/>
      <c r="AG219" s="363"/>
      <c r="AH219" s="363"/>
      <c r="AI219" s="363"/>
      <c r="AJ219" s="363"/>
      <c r="AK219" s="363"/>
      <c r="AL219" s="363"/>
      <c r="AM219" s="363"/>
      <c r="AN219" s="363"/>
      <c r="AO219" s="363"/>
      <c r="AP219" s="363"/>
      <c r="AQ219" s="363"/>
      <c r="AR219" s="363"/>
      <c r="AS219" s="363"/>
      <c r="AT219" s="363"/>
      <c r="AU219" s="363"/>
      <c r="AV219" s="363"/>
      <c r="AW219" s="363"/>
      <c r="AX219" s="363"/>
      <c r="AY219" s="363"/>
      <c r="AZ219" s="363"/>
      <c r="BA219" s="363"/>
      <c r="BB219" s="363"/>
      <c r="BC219" s="363"/>
      <c r="BD219" s="363"/>
      <c r="BE219" s="363"/>
      <c r="BF219" s="363"/>
      <c r="BG219" s="363"/>
      <c r="BH219" s="363"/>
    </row>
    <row r="220" spans="1:60" ht="15.75" customHeight="1" x14ac:dyDescent="0.25">
      <c r="A220" s="363"/>
      <c r="J220" s="363"/>
      <c r="K220" s="363"/>
      <c r="L220" s="363"/>
      <c r="M220" s="363"/>
      <c r="N220" s="363"/>
      <c r="O220" s="363"/>
      <c r="P220" s="363"/>
      <c r="Q220" s="363"/>
      <c r="R220" s="363"/>
      <c r="S220" s="363"/>
      <c r="T220" s="363"/>
      <c r="U220" s="363"/>
      <c r="V220" s="363"/>
      <c r="W220" s="363"/>
      <c r="X220" s="363"/>
      <c r="Y220" s="363"/>
      <c r="Z220" s="363"/>
      <c r="AA220" s="363"/>
      <c r="AB220" s="363"/>
      <c r="AC220" s="363"/>
      <c r="AD220" s="363"/>
      <c r="AE220" s="363"/>
      <c r="AF220" s="363"/>
      <c r="AG220" s="363"/>
      <c r="AH220" s="363"/>
      <c r="AI220" s="363"/>
      <c r="AJ220" s="363"/>
      <c r="AK220" s="363"/>
      <c r="AL220" s="363"/>
      <c r="AM220" s="363"/>
      <c r="AN220" s="363"/>
      <c r="AO220" s="363"/>
      <c r="AP220" s="363"/>
      <c r="AQ220" s="363"/>
      <c r="AR220" s="363"/>
      <c r="AS220" s="363"/>
      <c r="AT220" s="363"/>
      <c r="AU220" s="363"/>
      <c r="AV220" s="363"/>
      <c r="AW220" s="363"/>
      <c r="AX220" s="363"/>
      <c r="AY220" s="363"/>
      <c r="AZ220" s="363"/>
      <c r="BA220" s="363"/>
      <c r="BB220" s="363"/>
      <c r="BC220" s="363"/>
      <c r="BD220" s="363"/>
      <c r="BE220" s="363"/>
      <c r="BF220" s="363"/>
      <c r="BG220" s="363"/>
      <c r="BH220" s="363"/>
    </row>
    <row r="221" spans="1:60" ht="15.75" customHeight="1" x14ac:dyDescent="0.25">
      <c r="A221" s="363"/>
      <c r="J221" s="363"/>
      <c r="K221" s="363"/>
      <c r="L221" s="363"/>
      <c r="M221" s="363"/>
      <c r="N221" s="363"/>
      <c r="O221" s="363"/>
      <c r="P221" s="363"/>
      <c r="Q221" s="363"/>
      <c r="R221" s="363"/>
      <c r="S221" s="363"/>
      <c r="T221" s="363"/>
      <c r="U221" s="363"/>
      <c r="V221" s="363"/>
      <c r="W221" s="363"/>
      <c r="X221" s="363"/>
      <c r="Y221" s="363"/>
      <c r="Z221" s="363"/>
      <c r="AA221" s="363"/>
      <c r="AB221" s="363"/>
      <c r="AC221" s="363"/>
      <c r="AD221" s="363"/>
      <c r="AE221" s="363"/>
      <c r="AF221" s="363"/>
      <c r="AG221" s="363"/>
      <c r="AH221" s="363"/>
      <c r="AI221" s="363"/>
      <c r="AJ221" s="363"/>
      <c r="AK221" s="363"/>
      <c r="AL221" s="363"/>
      <c r="AM221" s="363"/>
      <c r="AN221" s="363"/>
      <c r="AO221" s="363"/>
      <c r="AP221" s="363"/>
      <c r="AQ221" s="363"/>
      <c r="AR221" s="363"/>
      <c r="AS221" s="363"/>
      <c r="AT221" s="363"/>
      <c r="AU221" s="363"/>
      <c r="AV221" s="363"/>
      <c r="AW221" s="363"/>
      <c r="AX221" s="363"/>
      <c r="AY221" s="363"/>
      <c r="AZ221" s="363"/>
      <c r="BA221" s="363"/>
      <c r="BB221" s="363"/>
      <c r="BC221" s="363"/>
      <c r="BD221" s="363"/>
      <c r="BE221" s="363"/>
      <c r="BF221" s="363"/>
      <c r="BG221" s="363"/>
      <c r="BH221" s="363"/>
    </row>
    <row r="222" spans="1:60" ht="15.75" customHeight="1" x14ac:dyDescent="0.25">
      <c r="A222" s="363"/>
      <c r="J222" s="363"/>
      <c r="K222" s="363"/>
      <c r="L222" s="363"/>
      <c r="M222" s="363"/>
      <c r="N222" s="363"/>
      <c r="O222" s="363"/>
      <c r="P222" s="363"/>
      <c r="Q222" s="363"/>
      <c r="R222" s="363"/>
      <c r="S222" s="363"/>
      <c r="T222" s="363"/>
      <c r="U222" s="363"/>
      <c r="V222" s="363"/>
      <c r="W222" s="363"/>
      <c r="X222" s="363"/>
      <c r="Y222" s="363"/>
      <c r="Z222" s="363"/>
      <c r="AA222" s="363"/>
      <c r="AB222" s="363"/>
      <c r="AC222" s="363"/>
      <c r="AD222" s="363"/>
      <c r="AE222" s="363"/>
      <c r="AF222" s="363"/>
      <c r="AG222" s="363"/>
      <c r="AH222" s="363"/>
      <c r="AI222" s="363"/>
      <c r="AJ222" s="363"/>
      <c r="AK222" s="363"/>
      <c r="AL222" s="363"/>
      <c r="AM222" s="363"/>
      <c r="AN222" s="363"/>
      <c r="AO222" s="363"/>
      <c r="AP222" s="363"/>
      <c r="AQ222" s="363"/>
      <c r="AR222" s="363"/>
      <c r="AS222" s="363"/>
      <c r="AT222" s="363"/>
      <c r="AU222" s="363"/>
      <c r="AV222" s="363"/>
      <c r="AW222" s="363"/>
      <c r="AX222" s="363"/>
      <c r="AY222" s="363"/>
      <c r="AZ222" s="363"/>
      <c r="BA222" s="363"/>
      <c r="BB222" s="363"/>
      <c r="BC222" s="363"/>
      <c r="BD222" s="363"/>
      <c r="BE222" s="363"/>
      <c r="BF222" s="363"/>
      <c r="BG222" s="363"/>
      <c r="BH222" s="363"/>
    </row>
    <row r="223" spans="1:60" ht="15.75" customHeight="1" x14ac:dyDescent="0.25">
      <c r="A223" s="363"/>
      <c r="J223" s="363"/>
      <c r="K223" s="363"/>
      <c r="L223" s="363"/>
      <c r="M223" s="363"/>
      <c r="N223" s="363"/>
      <c r="O223" s="363"/>
      <c r="P223" s="363"/>
      <c r="Q223" s="363"/>
      <c r="R223" s="363"/>
      <c r="S223" s="363"/>
      <c r="T223" s="363"/>
      <c r="U223" s="363"/>
      <c r="V223" s="363"/>
      <c r="W223" s="363"/>
      <c r="X223" s="363"/>
      <c r="Y223" s="363"/>
      <c r="Z223" s="363"/>
      <c r="AA223" s="363"/>
      <c r="AB223" s="363"/>
      <c r="AC223" s="363"/>
      <c r="AD223" s="363"/>
      <c r="AE223" s="363"/>
      <c r="AF223" s="363"/>
      <c r="AG223" s="363"/>
      <c r="AH223" s="363"/>
      <c r="AI223" s="363"/>
      <c r="AJ223" s="363"/>
      <c r="AK223" s="363"/>
      <c r="AL223" s="363"/>
      <c r="AM223" s="363"/>
      <c r="AN223" s="363"/>
      <c r="AO223" s="363"/>
      <c r="AP223" s="363"/>
      <c r="AQ223" s="363"/>
      <c r="AR223" s="363"/>
      <c r="AS223" s="363"/>
      <c r="AT223" s="363"/>
      <c r="AU223" s="363"/>
      <c r="AV223" s="363"/>
      <c r="AW223" s="363"/>
      <c r="AX223" s="363"/>
      <c r="AY223" s="363"/>
      <c r="AZ223" s="363"/>
      <c r="BA223" s="363"/>
      <c r="BB223" s="363"/>
      <c r="BC223" s="363"/>
      <c r="BD223" s="363"/>
      <c r="BE223" s="363"/>
      <c r="BF223" s="363"/>
      <c r="BG223" s="363"/>
      <c r="BH223" s="363"/>
    </row>
    <row r="224" spans="1:60" ht="15.75" customHeight="1" x14ac:dyDescent="0.25">
      <c r="A224" s="363"/>
      <c r="J224" s="363"/>
      <c r="K224" s="363"/>
      <c r="L224" s="363"/>
      <c r="M224" s="363"/>
      <c r="N224" s="363"/>
      <c r="O224" s="363"/>
      <c r="P224" s="363"/>
      <c r="Q224" s="363"/>
      <c r="R224" s="363"/>
      <c r="S224" s="363"/>
      <c r="T224" s="363"/>
      <c r="U224" s="363"/>
      <c r="V224" s="363"/>
      <c r="W224" s="363"/>
      <c r="X224" s="363"/>
      <c r="Y224" s="363"/>
      <c r="Z224" s="363"/>
      <c r="AA224" s="363"/>
      <c r="AB224" s="363"/>
      <c r="AC224" s="363"/>
      <c r="AD224" s="363"/>
      <c r="AE224" s="363"/>
      <c r="AF224" s="363"/>
      <c r="AG224" s="363"/>
      <c r="AH224" s="363"/>
      <c r="AI224" s="363"/>
      <c r="AJ224" s="363"/>
      <c r="AK224" s="363"/>
      <c r="AL224" s="363"/>
      <c r="AM224" s="363"/>
      <c r="AN224" s="363"/>
      <c r="AO224" s="363"/>
      <c r="AP224" s="363"/>
      <c r="AQ224" s="363"/>
      <c r="AR224" s="363"/>
      <c r="AS224" s="363"/>
      <c r="AT224" s="363"/>
      <c r="AU224" s="363"/>
      <c r="AV224" s="363"/>
      <c r="AW224" s="363"/>
      <c r="AX224" s="363"/>
      <c r="AY224" s="363"/>
      <c r="AZ224" s="363"/>
      <c r="BA224" s="363"/>
      <c r="BB224" s="363"/>
      <c r="BC224" s="363"/>
      <c r="BD224" s="363"/>
      <c r="BE224" s="363"/>
      <c r="BF224" s="363"/>
      <c r="BG224" s="363"/>
      <c r="BH224" s="363"/>
    </row>
    <row r="225" spans="1:60" ht="15.75" customHeight="1" x14ac:dyDescent="0.25">
      <c r="A225" s="363"/>
      <c r="J225" s="363"/>
      <c r="K225" s="363"/>
      <c r="L225" s="363"/>
      <c r="M225" s="363"/>
      <c r="N225" s="363"/>
      <c r="O225" s="363"/>
      <c r="P225" s="363"/>
      <c r="Q225" s="363"/>
      <c r="R225" s="363"/>
      <c r="S225" s="363"/>
      <c r="T225" s="363"/>
      <c r="U225" s="363"/>
      <c r="V225" s="363"/>
      <c r="W225" s="363"/>
      <c r="X225" s="363"/>
      <c r="Y225" s="363"/>
      <c r="Z225" s="363"/>
      <c r="AA225" s="363"/>
      <c r="AB225" s="363"/>
      <c r="AC225" s="363"/>
      <c r="AD225" s="363"/>
      <c r="AE225" s="363"/>
      <c r="AF225" s="363"/>
      <c r="AG225" s="363"/>
      <c r="AH225" s="363"/>
      <c r="AI225" s="363"/>
      <c r="AJ225" s="363"/>
      <c r="AK225" s="363"/>
      <c r="AL225" s="363"/>
      <c r="AM225" s="363"/>
      <c r="AN225" s="363"/>
      <c r="AO225" s="363"/>
      <c r="AP225" s="363"/>
      <c r="AQ225" s="363"/>
      <c r="AR225" s="363"/>
      <c r="AS225" s="363"/>
      <c r="AT225" s="363"/>
      <c r="AU225" s="363"/>
      <c r="AV225" s="363"/>
      <c r="AW225" s="363"/>
      <c r="AX225" s="363"/>
      <c r="AY225" s="363"/>
      <c r="AZ225" s="363"/>
      <c r="BA225" s="363"/>
      <c r="BB225" s="363"/>
      <c r="BC225" s="363"/>
      <c r="BD225" s="363"/>
      <c r="BE225" s="363"/>
      <c r="BF225" s="363"/>
      <c r="BG225" s="363"/>
      <c r="BH225" s="363"/>
    </row>
    <row r="226" spans="1:60" ht="15.75" customHeight="1" x14ac:dyDescent="0.25">
      <c r="A226" s="363"/>
      <c r="J226" s="363"/>
      <c r="K226" s="363"/>
      <c r="L226" s="363"/>
      <c r="M226" s="363"/>
      <c r="N226" s="363"/>
      <c r="O226" s="363"/>
      <c r="P226" s="363"/>
      <c r="Q226" s="363"/>
      <c r="R226" s="363"/>
      <c r="S226" s="363"/>
      <c r="T226" s="363"/>
      <c r="U226" s="363"/>
      <c r="V226" s="363"/>
      <c r="W226" s="363"/>
      <c r="X226" s="363"/>
      <c r="Y226" s="363"/>
      <c r="Z226" s="363"/>
      <c r="AA226" s="363"/>
      <c r="AB226" s="363"/>
      <c r="AC226" s="363"/>
      <c r="AD226" s="363"/>
      <c r="AE226" s="363"/>
      <c r="AF226" s="363"/>
      <c r="AG226" s="363"/>
      <c r="AH226" s="363"/>
      <c r="AI226" s="363"/>
      <c r="AJ226" s="363"/>
      <c r="AK226" s="363"/>
      <c r="AL226" s="363"/>
      <c r="AM226" s="363"/>
      <c r="AN226" s="363"/>
      <c r="AO226" s="363"/>
      <c r="AP226" s="363"/>
      <c r="AQ226" s="363"/>
      <c r="AR226" s="363"/>
      <c r="AS226" s="363"/>
      <c r="AT226" s="363"/>
      <c r="AU226" s="363"/>
      <c r="AV226" s="363"/>
      <c r="AW226" s="363"/>
      <c r="AX226" s="363"/>
      <c r="AY226" s="363"/>
      <c r="AZ226" s="363"/>
      <c r="BA226" s="363"/>
      <c r="BB226" s="363"/>
      <c r="BC226" s="363"/>
      <c r="BD226" s="363"/>
      <c r="BE226" s="363"/>
      <c r="BF226" s="363"/>
      <c r="BG226" s="363"/>
      <c r="BH226" s="363"/>
    </row>
    <row r="227" spans="1:60" ht="15.75" customHeight="1" x14ac:dyDescent="0.25">
      <c r="A227" s="363"/>
      <c r="J227" s="363"/>
      <c r="K227" s="363"/>
      <c r="L227" s="363"/>
      <c r="M227" s="363"/>
      <c r="N227" s="363"/>
      <c r="O227" s="363"/>
      <c r="P227" s="363"/>
      <c r="Q227" s="363"/>
      <c r="R227" s="363"/>
      <c r="S227" s="363"/>
      <c r="T227" s="363"/>
      <c r="U227" s="363"/>
      <c r="V227" s="363"/>
      <c r="W227" s="363"/>
      <c r="X227" s="363"/>
      <c r="Y227" s="363"/>
      <c r="Z227" s="363"/>
      <c r="AA227" s="363"/>
      <c r="AB227" s="363"/>
      <c r="AC227" s="363"/>
      <c r="AD227" s="363"/>
      <c r="AE227" s="363"/>
      <c r="AF227" s="363"/>
      <c r="AG227" s="363"/>
      <c r="AH227" s="363"/>
      <c r="AI227" s="363"/>
      <c r="AJ227" s="363"/>
      <c r="AK227" s="363"/>
      <c r="AL227" s="363"/>
      <c r="AM227" s="363"/>
      <c r="AN227" s="363"/>
      <c r="AO227" s="363"/>
      <c r="AP227" s="363"/>
      <c r="AQ227" s="363"/>
      <c r="AR227" s="363"/>
      <c r="AS227" s="363"/>
      <c r="AT227" s="363"/>
      <c r="AU227" s="363"/>
      <c r="AV227" s="363"/>
      <c r="AW227" s="363"/>
      <c r="AX227" s="363"/>
      <c r="AY227" s="363"/>
      <c r="AZ227" s="363"/>
      <c r="BA227" s="363"/>
      <c r="BB227" s="363"/>
      <c r="BC227" s="363"/>
      <c r="BD227" s="363"/>
      <c r="BE227" s="363"/>
      <c r="BF227" s="363"/>
      <c r="BG227" s="363"/>
      <c r="BH227" s="363"/>
    </row>
    <row r="228" spans="1:60" ht="15.75" customHeight="1" x14ac:dyDescent="0.25">
      <c r="A228" s="363"/>
      <c r="J228" s="363"/>
      <c r="K228" s="363"/>
      <c r="L228" s="363"/>
      <c r="M228" s="363"/>
      <c r="N228" s="363"/>
      <c r="O228" s="363"/>
      <c r="P228" s="363"/>
      <c r="Q228" s="363"/>
      <c r="R228" s="363"/>
      <c r="S228" s="363"/>
      <c r="T228" s="363"/>
      <c r="U228" s="363"/>
      <c r="V228" s="363"/>
      <c r="W228" s="363"/>
      <c r="X228" s="363"/>
      <c r="Y228" s="363"/>
      <c r="Z228" s="363"/>
      <c r="AA228" s="363"/>
      <c r="AB228" s="363"/>
      <c r="AC228" s="363"/>
      <c r="AD228" s="363"/>
      <c r="AE228" s="363"/>
      <c r="AF228" s="363"/>
      <c r="AG228" s="363"/>
      <c r="AH228" s="363"/>
      <c r="AI228" s="363"/>
      <c r="AJ228" s="363"/>
      <c r="AK228" s="363"/>
      <c r="AL228" s="363"/>
      <c r="AM228" s="363"/>
      <c r="AN228" s="363"/>
      <c r="AO228" s="363"/>
      <c r="AP228" s="363"/>
      <c r="AQ228" s="363"/>
      <c r="AR228" s="363"/>
      <c r="AS228" s="363"/>
      <c r="AT228" s="363"/>
      <c r="AU228" s="363"/>
      <c r="AV228" s="363"/>
      <c r="AW228" s="363"/>
      <c r="AX228" s="363"/>
      <c r="AY228" s="363"/>
      <c r="AZ228" s="363"/>
      <c r="BA228" s="363"/>
      <c r="BB228" s="363"/>
      <c r="BC228" s="363"/>
      <c r="BD228" s="363"/>
      <c r="BE228" s="363"/>
      <c r="BF228" s="363"/>
      <c r="BG228" s="363"/>
      <c r="BH228" s="363"/>
    </row>
    <row r="229" spans="1:60" ht="15.75" customHeight="1" x14ac:dyDescent="0.25">
      <c r="A229" s="363"/>
      <c r="J229" s="363"/>
      <c r="K229" s="363"/>
      <c r="L229" s="363"/>
      <c r="M229" s="363"/>
      <c r="N229" s="363"/>
      <c r="O229" s="363"/>
      <c r="P229" s="363"/>
      <c r="Q229" s="363"/>
      <c r="R229" s="363"/>
      <c r="S229" s="363"/>
      <c r="T229" s="363"/>
      <c r="U229" s="363"/>
      <c r="V229" s="363"/>
      <c r="W229" s="363"/>
      <c r="X229" s="363"/>
      <c r="Y229" s="363"/>
      <c r="Z229" s="363"/>
      <c r="AA229" s="363"/>
      <c r="AB229" s="363"/>
      <c r="AC229" s="363"/>
      <c r="AD229" s="363"/>
      <c r="AE229" s="363"/>
      <c r="AF229" s="363"/>
      <c r="AG229" s="363"/>
      <c r="AH229" s="363"/>
      <c r="AI229" s="363"/>
      <c r="AJ229" s="363"/>
      <c r="AK229" s="363"/>
      <c r="AL229" s="363"/>
      <c r="AM229" s="363"/>
      <c r="AN229" s="363"/>
      <c r="AO229" s="363"/>
      <c r="AP229" s="363"/>
      <c r="AQ229" s="363"/>
      <c r="AR229" s="363"/>
      <c r="AS229" s="363"/>
      <c r="AT229" s="363"/>
      <c r="AU229" s="363"/>
      <c r="AV229" s="363"/>
      <c r="AW229" s="363"/>
      <c r="AX229" s="363"/>
      <c r="AY229" s="363"/>
      <c r="AZ229" s="363"/>
      <c r="BA229" s="363"/>
      <c r="BB229" s="363"/>
      <c r="BC229" s="363"/>
      <c r="BD229" s="363"/>
      <c r="BE229" s="363"/>
      <c r="BF229" s="363"/>
      <c r="BG229" s="363"/>
      <c r="BH229" s="363"/>
    </row>
    <row r="230" spans="1:60" ht="15.75" customHeight="1" x14ac:dyDescent="0.25">
      <c r="A230" s="363"/>
      <c r="J230" s="363"/>
      <c r="K230" s="363"/>
      <c r="L230" s="363"/>
      <c r="M230" s="363"/>
      <c r="N230" s="363"/>
      <c r="O230" s="363"/>
      <c r="P230" s="363"/>
      <c r="Q230" s="363"/>
      <c r="R230" s="363"/>
      <c r="S230" s="363"/>
      <c r="T230" s="363"/>
      <c r="U230" s="363"/>
      <c r="V230" s="363"/>
      <c r="W230" s="363"/>
      <c r="X230" s="363"/>
      <c r="Y230" s="363"/>
      <c r="Z230" s="363"/>
      <c r="AA230" s="363"/>
      <c r="AB230" s="363"/>
      <c r="AC230" s="363"/>
      <c r="AD230" s="363"/>
      <c r="AE230" s="363"/>
      <c r="AF230" s="363"/>
      <c r="AG230" s="363"/>
      <c r="AH230" s="363"/>
      <c r="AI230" s="363"/>
      <c r="AJ230" s="363"/>
      <c r="AK230" s="363"/>
      <c r="AL230" s="363"/>
      <c r="AM230" s="363"/>
      <c r="AN230" s="363"/>
      <c r="AO230" s="363"/>
      <c r="AP230" s="363"/>
      <c r="AQ230" s="363"/>
      <c r="AR230" s="363"/>
      <c r="AS230" s="363"/>
      <c r="AT230" s="363"/>
      <c r="AU230" s="363"/>
      <c r="AV230" s="363"/>
      <c r="AW230" s="363"/>
      <c r="AX230" s="363"/>
      <c r="AY230" s="363"/>
      <c r="AZ230" s="363"/>
      <c r="BA230" s="363"/>
      <c r="BB230" s="363"/>
      <c r="BC230" s="363"/>
      <c r="BD230" s="363"/>
      <c r="BE230" s="363"/>
      <c r="BF230" s="363"/>
      <c r="BG230" s="363"/>
      <c r="BH230" s="363"/>
    </row>
    <row r="231" spans="1:60" ht="15.75" customHeight="1" x14ac:dyDescent="0.25">
      <c r="A231" s="363"/>
      <c r="J231" s="363"/>
      <c r="K231" s="363"/>
      <c r="L231" s="363"/>
      <c r="M231" s="363"/>
      <c r="N231" s="363"/>
      <c r="O231" s="363"/>
      <c r="P231" s="363"/>
      <c r="Q231" s="363"/>
      <c r="R231" s="363"/>
      <c r="S231" s="363"/>
      <c r="T231" s="363"/>
      <c r="U231" s="363"/>
      <c r="V231" s="363"/>
      <c r="W231" s="363"/>
      <c r="X231" s="363"/>
      <c r="Y231" s="363"/>
      <c r="Z231" s="363"/>
      <c r="AA231" s="363"/>
      <c r="AB231" s="363"/>
      <c r="AC231" s="363"/>
      <c r="AD231" s="363"/>
      <c r="AE231" s="363"/>
      <c r="AF231" s="363"/>
      <c r="AG231" s="363"/>
      <c r="AH231" s="363"/>
      <c r="AI231" s="363"/>
      <c r="AJ231" s="363"/>
      <c r="AK231" s="363"/>
      <c r="AL231" s="363"/>
      <c r="AM231" s="363"/>
      <c r="AN231" s="363"/>
      <c r="AO231" s="363"/>
      <c r="AP231" s="363"/>
      <c r="AQ231" s="363"/>
      <c r="AR231" s="363"/>
      <c r="AS231" s="363"/>
      <c r="AT231" s="363"/>
      <c r="AU231" s="363"/>
      <c r="AV231" s="363"/>
      <c r="AW231" s="363"/>
      <c r="AX231" s="363"/>
      <c r="AY231" s="363"/>
      <c r="AZ231" s="363"/>
      <c r="BA231" s="363"/>
      <c r="BB231" s="363"/>
      <c r="BC231" s="363"/>
      <c r="BD231" s="363"/>
      <c r="BE231" s="363"/>
      <c r="BF231" s="363"/>
      <c r="BG231" s="363"/>
      <c r="BH231" s="363"/>
    </row>
    <row r="232" spans="1:60" ht="15.75" customHeight="1" x14ac:dyDescent="0.25">
      <c r="A232" s="363"/>
      <c r="J232" s="363"/>
      <c r="K232" s="363"/>
      <c r="L232" s="363"/>
      <c r="M232" s="363"/>
      <c r="N232" s="363"/>
      <c r="O232" s="363"/>
      <c r="P232" s="363"/>
      <c r="Q232" s="363"/>
      <c r="R232" s="363"/>
      <c r="S232" s="363"/>
      <c r="T232" s="363"/>
      <c r="U232" s="363"/>
      <c r="V232" s="363"/>
      <c r="W232" s="363"/>
      <c r="X232" s="363"/>
      <c r="Y232" s="363"/>
      <c r="Z232" s="363"/>
      <c r="AA232" s="363"/>
      <c r="AB232" s="363"/>
      <c r="AC232" s="363"/>
      <c r="AD232" s="363"/>
      <c r="AE232" s="363"/>
      <c r="AF232" s="363"/>
      <c r="AG232" s="363"/>
      <c r="AH232" s="363"/>
      <c r="AI232" s="363"/>
      <c r="AJ232" s="363"/>
      <c r="AK232" s="363"/>
      <c r="AL232" s="363"/>
      <c r="AM232" s="363"/>
      <c r="AN232" s="363"/>
      <c r="AO232" s="363"/>
      <c r="AP232" s="363"/>
      <c r="AQ232" s="363"/>
      <c r="AR232" s="363"/>
      <c r="AS232" s="363"/>
      <c r="AT232" s="363"/>
      <c r="AU232" s="363"/>
      <c r="AV232" s="363"/>
      <c r="AW232" s="363"/>
      <c r="AX232" s="363"/>
      <c r="AY232" s="363"/>
      <c r="AZ232" s="363"/>
      <c r="BA232" s="363"/>
      <c r="BB232" s="363"/>
      <c r="BC232" s="363"/>
      <c r="BD232" s="363"/>
      <c r="BE232" s="363"/>
      <c r="BF232" s="363"/>
      <c r="BG232" s="363"/>
      <c r="BH232" s="363"/>
    </row>
    <row r="233" spans="1:60" ht="15.75" customHeight="1" x14ac:dyDescent="0.25">
      <c r="A233" s="363"/>
      <c r="J233" s="363"/>
      <c r="K233" s="363"/>
      <c r="L233" s="363"/>
      <c r="M233" s="363"/>
      <c r="N233" s="363"/>
      <c r="O233" s="363"/>
      <c r="P233" s="363"/>
      <c r="Q233" s="363"/>
      <c r="R233" s="363"/>
      <c r="S233" s="363"/>
      <c r="T233" s="363"/>
      <c r="U233" s="363"/>
      <c r="V233" s="363"/>
      <c r="W233" s="363"/>
      <c r="X233" s="363"/>
      <c r="Y233" s="363"/>
      <c r="Z233" s="363"/>
      <c r="AA233" s="363"/>
      <c r="AB233" s="363"/>
      <c r="AC233" s="363"/>
      <c r="AD233" s="363"/>
      <c r="AE233" s="363"/>
      <c r="AF233" s="363"/>
      <c r="AG233" s="363"/>
      <c r="AH233" s="363"/>
      <c r="AI233" s="363"/>
      <c r="AJ233" s="363"/>
      <c r="AK233" s="363"/>
      <c r="AL233" s="363"/>
      <c r="AM233" s="363"/>
      <c r="AN233" s="363"/>
      <c r="AO233" s="363"/>
      <c r="AP233" s="363"/>
      <c r="AQ233" s="363"/>
      <c r="AR233" s="363"/>
      <c r="AS233" s="363"/>
      <c r="AT233" s="363"/>
      <c r="AU233" s="363"/>
      <c r="AV233" s="363"/>
      <c r="AW233" s="363"/>
      <c r="AX233" s="363"/>
      <c r="AY233" s="363"/>
      <c r="AZ233" s="363"/>
      <c r="BA233" s="363"/>
      <c r="BB233" s="363"/>
      <c r="BC233" s="363"/>
      <c r="BD233" s="363"/>
      <c r="BE233" s="363"/>
      <c r="BF233" s="363"/>
      <c r="BG233" s="363"/>
      <c r="BH233" s="363"/>
    </row>
    <row r="234" spans="1:60" ht="15.75" customHeight="1" x14ac:dyDescent="0.25">
      <c r="A234" s="363"/>
      <c r="J234" s="363"/>
      <c r="K234" s="363"/>
      <c r="L234" s="363"/>
      <c r="M234" s="363"/>
      <c r="N234" s="363"/>
      <c r="O234" s="363"/>
      <c r="P234" s="363"/>
      <c r="Q234" s="363"/>
      <c r="R234" s="363"/>
      <c r="S234" s="363"/>
      <c r="T234" s="363"/>
      <c r="U234" s="363"/>
      <c r="V234" s="363"/>
      <c r="W234" s="363"/>
      <c r="X234" s="363"/>
      <c r="Y234" s="363"/>
      <c r="Z234" s="363"/>
      <c r="AA234" s="363"/>
      <c r="AB234" s="363"/>
      <c r="AC234" s="363"/>
      <c r="AD234" s="363"/>
      <c r="AE234" s="363"/>
      <c r="AF234" s="363"/>
      <c r="AG234" s="363"/>
      <c r="AH234" s="363"/>
      <c r="AI234" s="363"/>
      <c r="AJ234" s="363"/>
      <c r="AK234" s="363"/>
      <c r="AL234" s="363"/>
      <c r="AM234" s="363"/>
      <c r="AN234" s="363"/>
      <c r="AO234" s="363"/>
      <c r="AP234" s="363"/>
      <c r="AQ234" s="363"/>
      <c r="AR234" s="363"/>
      <c r="AS234" s="363"/>
      <c r="AT234" s="363"/>
      <c r="AU234" s="363"/>
      <c r="AV234" s="363"/>
      <c r="AW234" s="363"/>
      <c r="AX234" s="363"/>
      <c r="AY234" s="363"/>
      <c r="AZ234" s="363"/>
      <c r="BA234" s="363"/>
      <c r="BB234" s="363"/>
      <c r="BC234" s="363"/>
      <c r="BD234" s="363"/>
      <c r="BE234" s="363"/>
      <c r="BF234" s="363"/>
      <c r="BG234" s="363"/>
      <c r="BH234" s="363"/>
    </row>
    <row r="235" spans="1:60" ht="15.75" customHeight="1" x14ac:dyDescent="0.25">
      <c r="A235" s="363"/>
      <c r="J235" s="363"/>
      <c r="K235" s="363"/>
      <c r="L235" s="363"/>
      <c r="M235" s="363"/>
      <c r="N235" s="363"/>
      <c r="O235" s="363"/>
      <c r="P235" s="363"/>
      <c r="Q235" s="363"/>
      <c r="R235" s="363"/>
      <c r="S235" s="363"/>
      <c r="T235" s="363"/>
      <c r="U235" s="363"/>
      <c r="V235" s="363"/>
      <c r="W235" s="363"/>
      <c r="X235" s="363"/>
      <c r="Y235" s="363"/>
      <c r="Z235" s="363"/>
      <c r="AA235" s="363"/>
      <c r="AB235" s="363"/>
      <c r="AC235" s="363"/>
      <c r="AD235" s="363"/>
      <c r="AE235" s="363"/>
      <c r="AF235" s="363"/>
      <c r="AG235" s="363"/>
      <c r="AH235" s="363"/>
      <c r="AI235" s="363"/>
      <c r="AJ235" s="363"/>
      <c r="AK235" s="363"/>
      <c r="AL235" s="363"/>
      <c r="AM235" s="363"/>
      <c r="AN235" s="363"/>
      <c r="AO235" s="363"/>
      <c r="AP235" s="363"/>
      <c r="AQ235" s="363"/>
      <c r="AR235" s="363"/>
      <c r="AS235" s="363"/>
      <c r="AT235" s="363"/>
      <c r="AU235" s="363"/>
      <c r="AV235" s="363"/>
      <c r="AW235" s="363"/>
      <c r="AX235" s="363"/>
      <c r="AY235" s="363"/>
      <c r="AZ235" s="363"/>
      <c r="BA235" s="363"/>
      <c r="BB235" s="363"/>
      <c r="BC235" s="363"/>
      <c r="BD235" s="363"/>
      <c r="BE235" s="363"/>
      <c r="BF235" s="363"/>
      <c r="BG235" s="363"/>
      <c r="BH235" s="363"/>
    </row>
    <row r="236" spans="1:60" ht="15.75" customHeight="1" x14ac:dyDescent="0.25">
      <c r="A236" s="363"/>
      <c r="J236" s="363"/>
      <c r="K236" s="363"/>
      <c r="L236" s="363"/>
      <c r="M236" s="363"/>
      <c r="N236" s="363"/>
      <c r="O236" s="363"/>
      <c r="P236" s="363"/>
      <c r="Q236" s="363"/>
      <c r="R236" s="363"/>
      <c r="S236" s="363"/>
      <c r="T236" s="363"/>
      <c r="U236" s="363"/>
      <c r="V236" s="363"/>
      <c r="W236" s="363"/>
      <c r="X236" s="363"/>
      <c r="Y236" s="363"/>
      <c r="Z236" s="363"/>
      <c r="AA236" s="363"/>
      <c r="AB236" s="363"/>
      <c r="AC236" s="363"/>
      <c r="AD236" s="363"/>
      <c r="AE236" s="363"/>
      <c r="AF236" s="363"/>
      <c r="AG236" s="363"/>
      <c r="AH236" s="363"/>
      <c r="AI236" s="363"/>
      <c r="AJ236" s="363"/>
      <c r="AK236" s="363"/>
      <c r="AL236" s="363"/>
      <c r="AM236" s="363"/>
      <c r="AN236" s="363"/>
      <c r="AO236" s="363"/>
      <c r="AP236" s="363"/>
      <c r="AQ236" s="363"/>
      <c r="AR236" s="363"/>
      <c r="AS236" s="363"/>
      <c r="AT236" s="363"/>
      <c r="AU236" s="363"/>
      <c r="AV236" s="363"/>
      <c r="AW236" s="363"/>
      <c r="AX236" s="363"/>
      <c r="AY236" s="363"/>
      <c r="AZ236" s="363"/>
      <c r="BA236" s="363"/>
      <c r="BB236" s="363"/>
      <c r="BC236" s="363"/>
      <c r="BD236" s="363"/>
      <c r="BE236" s="363"/>
      <c r="BF236" s="363"/>
      <c r="BG236" s="363"/>
      <c r="BH236" s="363"/>
    </row>
    <row r="237" spans="1:60" ht="15.75" customHeight="1" x14ac:dyDescent="0.25">
      <c r="A237" s="363"/>
      <c r="J237" s="363"/>
      <c r="K237" s="363"/>
      <c r="L237" s="363"/>
      <c r="M237" s="363"/>
      <c r="N237" s="363"/>
      <c r="O237" s="363"/>
      <c r="P237" s="363"/>
      <c r="Q237" s="363"/>
      <c r="R237" s="363"/>
      <c r="S237" s="363"/>
      <c r="T237" s="363"/>
      <c r="U237" s="363"/>
      <c r="V237" s="363"/>
      <c r="W237" s="363"/>
      <c r="X237" s="363"/>
      <c r="Y237" s="363"/>
      <c r="Z237" s="363"/>
      <c r="AA237" s="363"/>
      <c r="AB237" s="363"/>
      <c r="AC237" s="363"/>
      <c r="AD237" s="363"/>
      <c r="AE237" s="363"/>
      <c r="AF237" s="363"/>
      <c r="AG237" s="363"/>
      <c r="AH237" s="363"/>
      <c r="AI237" s="363"/>
      <c r="AJ237" s="363"/>
      <c r="AK237" s="363"/>
      <c r="AL237" s="363"/>
      <c r="AM237" s="363"/>
      <c r="AN237" s="363"/>
      <c r="AO237" s="363"/>
      <c r="AP237" s="363"/>
      <c r="AQ237" s="363"/>
      <c r="AR237" s="363"/>
      <c r="AS237" s="363"/>
      <c r="AT237" s="363"/>
      <c r="AU237" s="363"/>
      <c r="AV237" s="363"/>
      <c r="AW237" s="363"/>
      <c r="AX237" s="363"/>
      <c r="AY237" s="363"/>
      <c r="AZ237" s="363"/>
      <c r="BA237" s="363"/>
      <c r="BB237" s="363"/>
      <c r="BC237" s="363"/>
      <c r="BD237" s="363"/>
      <c r="BE237" s="363"/>
      <c r="BF237" s="363"/>
      <c r="BG237" s="363"/>
      <c r="BH237" s="363"/>
    </row>
    <row r="238" spans="1:60" ht="15.75" customHeight="1" x14ac:dyDescent="0.25">
      <c r="A238" s="363"/>
      <c r="J238" s="363"/>
      <c r="K238" s="363"/>
      <c r="L238" s="363"/>
      <c r="M238" s="363"/>
      <c r="N238" s="363"/>
      <c r="O238" s="363"/>
      <c r="P238" s="363"/>
      <c r="Q238" s="363"/>
      <c r="R238" s="363"/>
      <c r="S238" s="363"/>
      <c r="T238" s="363"/>
      <c r="U238" s="363"/>
      <c r="V238" s="363"/>
      <c r="W238" s="363"/>
      <c r="X238" s="363"/>
      <c r="Y238" s="363"/>
      <c r="Z238" s="363"/>
      <c r="AA238" s="363"/>
      <c r="AB238" s="363"/>
      <c r="AC238" s="363"/>
      <c r="AD238" s="363"/>
      <c r="AE238" s="363"/>
      <c r="AF238" s="363"/>
      <c r="AG238" s="363"/>
      <c r="AH238" s="363"/>
      <c r="AI238" s="363"/>
      <c r="AJ238" s="363"/>
      <c r="AK238" s="363"/>
      <c r="AL238" s="363"/>
      <c r="AM238" s="363"/>
      <c r="AN238" s="363"/>
      <c r="AO238" s="363"/>
      <c r="AP238" s="363"/>
      <c r="AQ238" s="363"/>
      <c r="AR238" s="363"/>
      <c r="AS238" s="363"/>
      <c r="AT238" s="363"/>
      <c r="AU238" s="363"/>
      <c r="AV238" s="363"/>
      <c r="AW238" s="363"/>
      <c r="AX238" s="363"/>
      <c r="AY238" s="363"/>
      <c r="AZ238" s="363"/>
      <c r="BA238" s="363"/>
      <c r="BB238" s="363"/>
      <c r="BC238" s="363"/>
      <c r="BD238" s="363"/>
      <c r="BE238" s="363"/>
      <c r="BF238" s="363"/>
      <c r="BG238" s="363"/>
      <c r="BH238" s="363"/>
    </row>
    <row r="239" spans="1:60" ht="15.75" customHeight="1" x14ac:dyDescent="0.25">
      <c r="A239" s="363"/>
      <c r="J239" s="363"/>
      <c r="K239" s="363"/>
      <c r="L239" s="363"/>
      <c r="M239" s="363"/>
      <c r="N239" s="363"/>
      <c r="O239" s="363"/>
      <c r="P239" s="363"/>
      <c r="Q239" s="363"/>
      <c r="R239" s="363"/>
      <c r="S239" s="363"/>
      <c r="T239" s="363"/>
      <c r="U239" s="363"/>
      <c r="V239" s="363"/>
      <c r="W239" s="363"/>
      <c r="X239" s="363"/>
      <c r="Y239" s="363"/>
      <c r="Z239" s="363"/>
      <c r="AA239" s="363"/>
      <c r="AB239" s="363"/>
      <c r="AC239" s="363"/>
      <c r="AD239" s="363"/>
      <c r="AE239" s="363"/>
      <c r="AF239" s="363"/>
      <c r="AG239" s="363"/>
      <c r="AH239" s="363"/>
      <c r="AI239" s="363"/>
      <c r="AJ239" s="363"/>
      <c r="AK239" s="363"/>
      <c r="AL239" s="363"/>
      <c r="AM239" s="363"/>
      <c r="AN239" s="363"/>
      <c r="AO239" s="363"/>
      <c r="AP239" s="363"/>
      <c r="AQ239" s="363"/>
      <c r="AR239" s="363"/>
      <c r="AS239" s="363"/>
      <c r="AT239" s="363"/>
      <c r="AU239" s="363"/>
      <c r="AV239" s="363"/>
      <c r="AW239" s="363"/>
      <c r="AX239" s="363"/>
      <c r="AY239" s="363"/>
      <c r="AZ239" s="363"/>
      <c r="BA239" s="363"/>
      <c r="BB239" s="363"/>
      <c r="BC239" s="363"/>
      <c r="BD239" s="363"/>
      <c r="BE239" s="363"/>
      <c r="BF239" s="363"/>
      <c r="BG239" s="363"/>
      <c r="BH239" s="363"/>
    </row>
    <row r="240" spans="1:60" ht="15.75" customHeight="1" x14ac:dyDescent="0.25">
      <c r="A240" s="363"/>
      <c r="J240" s="363"/>
      <c r="K240" s="363"/>
      <c r="L240" s="363"/>
      <c r="M240" s="363"/>
      <c r="N240" s="363"/>
      <c r="O240" s="363"/>
      <c r="P240" s="363"/>
      <c r="Q240" s="363"/>
      <c r="R240" s="363"/>
      <c r="S240" s="363"/>
      <c r="T240" s="363"/>
      <c r="U240" s="363"/>
      <c r="V240" s="363"/>
      <c r="W240" s="363"/>
      <c r="X240" s="363"/>
      <c r="Y240" s="363"/>
      <c r="Z240" s="363"/>
      <c r="AA240" s="363"/>
      <c r="AB240" s="363"/>
      <c r="AC240" s="363"/>
      <c r="AD240" s="363"/>
      <c r="AE240" s="363"/>
      <c r="AF240" s="363"/>
      <c r="AG240" s="363"/>
      <c r="AH240" s="363"/>
      <c r="AI240" s="363"/>
      <c r="AJ240" s="363"/>
      <c r="AK240" s="363"/>
      <c r="AL240" s="363"/>
      <c r="AM240" s="363"/>
      <c r="AN240" s="363"/>
      <c r="AO240" s="363"/>
      <c r="AP240" s="363"/>
      <c r="AQ240" s="363"/>
      <c r="AR240" s="363"/>
      <c r="AS240" s="363"/>
      <c r="AT240" s="363"/>
      <c r="AU240" s="363"/>
      <c r="AV240" s="363"/>
      <c r="AW240" s="363"/>
      <c r="AX240" s="363"/>
      <c r="AY240" s="363"/>
      <c r="AZ240" s="363"/>
      <c r="BA240" s="363"/>
      <c r="BB240" s="363"/>
      <c r="BC240" s="363"/>
      <c r="BD240" s="363"/>
      <c r="BE240" s="363"/>
      <c r="BF240" s="363"/>
      <c r="BG240" s="363"/>
      <c r="BH240" s="363"/>
    </row>
    <row r="241" spans="1:60" ht="15.75" customHeight="1" x14ac:dyDescent="0.25">
      <c r="A241" s="363"/>
      <c r="J241" s="363"/>
      <c r="K241" s="363"/>
      <c r="L241" s="363"/>
      <c r="M241" s="363"/>
      <c r="N241" s="363"/>
      <c r="O241" s="363"/>
      <c r="P241" s="363"/>
      <c r="Q241" s="363"/>
      <c r="R241" s="363"/>
      <c r="S241" s="363"/>
      <c r="T241" s="363"/>
      <c r="U241" s="363"/>
      <c r="V241" s="363"/>
      <c r="W241" s="363"/>
      <c r="X241" s="363"/>
      <c r="Y241" s="363"/>
      <c r="Z241" s="363"/>
      <c r="AA241" s="363"/>
      <c r="AB241" s="363"/>
      <c r="AC241" s="363"/>
      <c r="AD241" s="363"/>
      <c r="AE241" s="363"/>
      <c r="AF241" s="363"/>
      <c r="AG241" s="363"/>
      <c r="AH241" s="363"/>
      <c r="AI241" s="363"/>
      <c r="AJ241" s="363"/>
      <c r="AK241" s="363"/>
      <c r="AL241" s="363"/>
      <c r="AM241" s="363"/>
      <c r="AN241" s="363"/>
      <c r="AO241" s="363"/>
      <c r="AP241" s="363"/>
      <c r="AQ241" s="363"/>
      <c r="AR241" s="363"/>
      <c r="AS241" s="363"/>
      <c r="AT241" s="363"/>
      <c r="AU241" s="363"/>
      <c r="AV241" s="363"/>
      <c r="AW241" s="363"/>
      <c r="AX241" s="363"/>
      <c r="AY241" s="363"/>
      <c r="AZ241" s="363"/>
      <c r="BA241" s="363"/>
      <c r="BB241" s="363"/>
      <c r="BC241" s="363"/>
      <c r="BD241" s="363"/>
      <c r="BE241" s="363"/>
      <c r="BF241" s="363"/>
      <c r="BG241" s="363"/>
      <c r="BH241" s="363"/>
    </row>
    <row r="242" spans="1:60" ht="15.75" customHeight="1" x14ac:dyDescent="0.25">
      <c r="A242" s="363"/>
      <c r="J242" s="363"/>
      <c r="K242" s="363"/>
      <c r="L242" s="363"/>
      <c r="M242" s="363"/>
      <c r="N242" s="363"/>
      <c r="O242" s="363"/>
      <c r="P242" s="363"/>
      <c r="Q242" s="363"/>
      <c r="R242" s="363"/>
      <c r="S242" s="363"/>
      <c r="T242" s="363"/>
      <c r="U242" s="363"/>
      <c r="V242" s="363"/>
      <c r="W242" s="363"/>
      <c r="X242" s="363"/>
      <c r="Y242" s="363"/>
      <c r="Z242" s="363"/>
      <c r="AA242" s="363"/>
      <c r="AB242" s="363"/>
      <c r="AC242" s="363"/>
      <c r="AD242" s="363"/>
      <c r="AE242" s="363"/>
      <c r="AF242" s="363"/>
      <c r="AG242" s="363"/>
      <c r="AH242" s="363"/>
      <c r="AI242" s="363"/>
      <c r="AJ242" s="363"/>
      <c r="AK242" s="363"/>
      <c r="AL242" s="363"/>
      <c r="AM242" s="363"/>
      <c r="AN242" s="363"/>
      <c r="AO242" s="363"/>
      <c r="AP242" s="363"/>
      <c r="AQ242" s="363"/>
      <c r="AR242" s="363"/>
      <c r="AS242" s="363"/>
      <c r="AT242" s="363"/>
      <c r="AU242" s="363"/>
      <c r="AV242" s="363"/>
      <c r="AW242" s="363"/>
      <c r="AX242" s="363"/>
      <c r="AY242" s="363"/>
      <c r="AZ242" s="363"/>
      <c r="BA242" s="363"/>
      <c r="BB242" s="363"/>
      <c r="BC242" s="363"/>
      <c r="BD242" s="363"/>
      <c r="BE242" s="363"/>
      <c r="BF242" s="363"/>
      <c r="BG242" s="363"/>
      <c r="BH242" s="363"/>
    </row>
    <row r="243" spans="1:60" ht="15.75" customHeight="1" x14ac:dyDescent="0.25">
      <c r="A243" s="363"/>
      <c r="J243" s="363"/>
      <c r="K243" s="363"/>
      <c r="L243" s="363"/>
      <c r="M243" s="363"/>
      <c r="N243" s="363"/>
      <c r="O243" s="363"/>
      <c r="P243" s="363"/>
      <c r="Q243" s="363"/>
      <c r="R243" s="363"/>
      <c r="S243" s="363"/>
      <c r="T243" s="363"/>
      <c r="U243" s="363"/>
      <c r="V243" s="363"/>
      <c r="W243" s="363"/>
      <c r="X243" s="363"/>
      <c r="Y243" s="363"/>
      <c r="Z243" s="363"/>
      <c r="AA243" s="363"/>
      <c r="AB243" s="363"/>
      <c r="AC243" s="363"/>
      <c r="AD243" s="363"/>
      <c r="AE243" s="363"/>
      <c r="AF243" s="363"/>
      <c r="AG243" s="363"/>
      <c r="AH243" s="363"/>
      <c r="AI243" s="363"/>
      <c r="AJ243" s="363"/>
      <c r="AK243" s="363"/>
      <c r="AL243" s="363"/>
      <c r="AM243" s="363"/>
      <c r="AN243" s="363"/>
      <c r="AO243" s="363"/>
      <c r="AP243" s="363"/>
      <c r="AQ243" s="363"/>
      <c r="AR243" s="363"/>
      <c r="AS243" s="363"/>
      <c r="AT243" s="363"/>
      <c r="AU243" s="363"/>
      <c r="AV243" s="363"/>
      <c r="AW243" s="363"/>
      <c r="AX243" s="363"/>
      <c r="AY243" s="363"/>
      <c r="AZ243" s="363"/>
      <c r="BA243" s="363"/>
      <c r="BB243" s="363"/>
      <c r="BC243" s="363"/>
      <c r="BD243" s="363"/>
      <c r="BE243" s="363"/>
      <c r="BF243" s="363"/>
      <c r="BG243" s="363"/>
      <c r="BH243" s="363"/>
    </row>
    <row r="244" spans="1:60" ht="15.75" customHeight="1" x14ac:dyDescent="0.25">
      <c r="A244" s="363"/>
      <c r="J244" s="363"/>
      <c r="K244" s="363"/>
      <c r="L244" s="363"/>
      <c r="M244" s="363"/>
      <c r="N244" s="363"/>
      <c r="O244" s="363"/>
      <c r="P244" s="363"/>
      <c r="Q244" s="363"/>
      <c r="R244" s="363"/>
      <c r="S244" s="363"/>
      <c r="T244" s="363"/>
      <c r="U244" s="363"/>
      <c r="V244" s="363"/>
      <c r="W244" s="363"/>
      <c r="X244" s="363"/>
      <c r="Y244" s="363"/>
      <c r="Z244" s="363"/>
      <c r="AA244" s="363"/>
      <c r="AB244" s="363"/>
      <c r="AC244" s="363"/>
      <c r="AD244" s="363"/>
      <c r="AE244" s="363"/>
      <c r="AF244" s="363"/>
      <c r="AG244" s="363"/>
      <c r="AH244" s="363"/>
      <c r="AI244" s="363"/>
      <c r="AJ244" s="363"/>
      <c r="AK244" s="363"/>
      <c r="AL244" s="363"/>
      <c r="AM244" s="363"/>
      <c r="AN244" s="363"/>
      <c r="AO244" s="363"/>
      <c r="AP244" s="363"/>
      <c r="AQ244" s="363"/>
      <c r="AR244" s="363"/>
      <c r="AS244" s="363"/>
      <c r="AT244" s="363"/>
      <c r="AU244" s="363"/>
      <c r="AV244" s="363"/>
      <c r="AW244" s="363"/>
      <c r="AX244" s="363"/>
      <c r="AY244" s="363"/>
      <c r="AZ244" s="363"/>
      <c r="BA244" s="363"/>
      <c r="BB244" s="363"/>
      <c r="BC244" s="363"/>
      <c r="BD244" s="363"/>
      <c r="BE244" s="363"/>
      <c r="BF244" s="363"/>
      <c r="BG244" s="363"/>
      <c r="BH244" s="363"/>
    </row>
    <row r="245" spans="1:60" ht="15.75" customHeight="1" x14ac:dyDescent="0.25">
      <c r="A245" s="363"/>
    </row>
    <row r="246" spans="1:60" ht="15.75" customHeight="1" x14ac:dyDescent="0.25">
      <c r="A246" s="363"/>
    </row>
    <row r="247" spans="1:60" ht="15.75" customHeight="1" x14ac:dyDescent="0.25">
      <c r="A247" s="363"/>
    </row>
    <row r="248" spans="1:60" ht="15.75" customHeight="1" x14ac:dyDescent="0.25">
      <c r="A248" s="363"/>
    </row>
    <row r="249" spans="1:60" ht="15.75" customHeight="1" x14ac:dyDescent="0.2"/>
    <row r="250" spans="1:60" ht="15.75" customHeight="1" x14ac:dyDescent="0.2"/>
    <row r="251" spans="1:60" ht="15.75" customHeight="1" x14ac:dyDescent="0.2"/>
    <row r="252" spans="1:60" ht="15.75" customHeight="1" x14ac:dyDescent="0.2"/>
    <row r="253" spans="1:60" ht="15.75" customHeight="1" x14ac:dyDescent="0.2"/>
    <row r="254" spans="1:60" ht="15.75" customHeight="1" x14ac:dyDescent="0.2"/>
    <row r="255" spans="1:60" ht="15.75" customHeight="1" x14ac:dyDescent="0.2"/>
    <row r="256" spans="1:60"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J56:O61"/>
    <mergeCell ref="P56:U61"/>
    <mergeCell ref="V56:AA61"/>
    <mergeCell ref="AB56:AG61"/>
    <mergeCell ref="AH56:AM61"/>
    <mergeCell ref="B2:I4"/>
    <mergeCell ref="J2:AM4"/>
    <mergeCell ref="B6:D55"/>
    <mergeCell ref="E6:I15"/>
    <mergeCell ref="AO6:AT15"/>
    <mergeCell ref="E16:I25"/>
    <mergeCell ref="AO16:AT25"/>
    <mergeCell ref="E26:I35"/>
    <mergeCell ref="AO26:AT35"/>
    <mergeCell ref="E36:I45"/>
    <mergeCell ref="AO36:AT45"/>
    <mergeCell ref="E46:I55"/>
  </mergeCells>
  <pageMargins left="0.70866141732283472" right="0.70866141732283472" top="0.74803149606299213" bottom="0.74803149606299213" header="0" footer="0"/>
  <pageSetup scale="33" orientation="portrait" r:id="rId1"/>
  <headerFooter>
    <oddHeader>&amp;L&amp;G&amp;C&amp;"Verdana,Negrita"MATRIZ DE RIESGOS</oddHeader>
    <oddFooter>&amp;RCódigo:E-02-F-014
Versión: 5
Fecha: Ver Isolución</oddFooter>
  </headerFooter>
  <colBreaks count="1" manualBreakCount="1">
    <brk id="46" max="104857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tint="-0.249977111117893"/>
  </sheetPr>
  <dimension ref="A1:C1003"/>
  <sheetViews>
    <sheetView zoomScale="115" zoomScaleNormal="115" workbookViewId="0">
      <selection activeCell="C4" sqref="C4"/>
    </sheetView>
  </sheetViews>
  <sheetFormatPr baseColWidth="10" defaultColWidth="12.625" defaultRowHeight="15" customHeight="1" x14ac:dyDescent="0.2"/>
  <cols>
    <col min="1" max="1" width="32.625" bestFit="1" customWidth="1"/>
    <col min="2" max="2" width="78" customWidth="1"/>
    <col min="3" max="3" width="25.875" customWidth="1"/>
    <col min="4" max="5" width="9.375" customWidth="1"/>
    <col min="6" max="6" width="15.875" customWidth="1"/>
    <col min="7" max="26" width="9.375" customWidth="1"/>
  </cols>
  <sheetData>
    <row r="1" spans="1:3" ht="6" customHeight="1" x14ac:dyDescent="0.2"/>
    <row r="2" spans="1:3" ht="24.75" customHeight="1" x14ac:dyDescent="0.2">
      <c r="A2" s="889" t="s">
        <v>18</v>
      </c>
      <c r="B2" s="889"/>
      <c r="C2" s="889"/>
    </row>
    <row r="3" spans="1:3" ht="33.75" customHeight="1" x14ac:dyDescent="0.2">
      <c r="A3" s="117" t="s">
        <v>19</v>
      </c>
      <c r="B3" s="118" t="s">
        <v>20</v>
      </c>
      <c r="C3" s="117" t="s">
        <v>21</v>
      </c>
    </row>
    <row r="4" spans="1:3" ht="186" x14ac:dyDescent="0.2">
      <c r="A4" s="218" t="s">
        <v>22</v>
      </c>
      <c r="B4" s="491" t="s">
        <v>23</v>
      </c>
      <c r="C4" s="220" t="s">
        <v>24</v>
      </c>
    </row>
    <row r="5" spans="1:3" ht="200.25" customHeight="1" x14ac:dyDescent="0.2">
      <c r="A5" s="218" t="s">
        <v>25</v>
      </c>
      <c r="B5" s="508" t="s">
        <v>26</v>
      </c>
      <c r="C5" s="220" t="s">
        <v>27</v>
      </c>
    </row>
    <row r="6" spans="1:3" ht="159" customHeight="1" x14ac:dyDescent="0.2">
      <c r="A6" s="218" t="s">
        <v>28</v>
      </c>
      <c r="B6" s="491" t="s">
        <v>29</v>
      </c>
      <c r="C6" s="220" t="s">
        <v>30</v>
      </c>
    </row>
    <row r="7" spans="1:3" ht="409.5" x14ac:dyDescent="0.2">
      <c r="A7" s="218" t="s">
        <v>31</v>
      </c>
      <c r="B7" s="491" t="s">
        <v>32</v>
      </c>
      <c r="C7" s="220" t="s">
        <v>33</v>
      </c>
    </row>
    <row r="8" spans="1:3" ht="14.25" x14ac:dyDescent="0.2">
      <c r="A8" s="890" t="s">
        <v>34</v>
      </c>
      <c r="B8" s="893" t="s">
        <v>35</v>
      </c>
      <c r="C8" s="896" t="s">
        <v>36</v>
      </c>
    </row>
    <row r="9" spans="1:3" ht="15" customHeight="1" x14ac:dyDescent="0.2">
      <c r="A9" s="891"/>
      <c r="B9" s="894"/>
      <c r="C9" s="897"/>
    </row>
    <row r="10" spans="1:3" ht="137.25" customHeight="1" x14ac:dyDescent="0.2">
      <c r="A10" s="892"/>
      <c r="B10" s="895"/>
      <c r="C10" s="898"/>
    </row>
    <row r="11" spans="1:3" ht="114" x14ac:dyDescent="0.2">
      <c r="A11" s="219" t="s">
        <v>37</v>
      </c>
      <c r="B11" s="219" t="s">
        <v>38</v>
      </c>
      <c r="C11" s="220" t="s">
        <v>39</v>
      </c>
    </row>
    <row r="12" spans="1:3" ht="114" x14ac:dyDescent="0.2">
      <c r="A12" s="219" t="s">
        <v>40</v>
      </c>
      <c r="B12" s="219" t="s">
        <v>41</v>
      </c>
      <c r="C12" s="220" t="s">
        <v>42</v>
      </c>
    </row>
    <row r="13" spans="1:3" ht="42.75" x14ac:dyDescent="0.2">
      <c r="A13" s="219" t="s">
        <v>43</v>
      </c>
      <c r="B13" s="219" t="s">
        <v>44</v>
      </c>
      <c r="C13" s="220" t="s">
        <v>45</v>
      </c>
    </row>
    <row r="14" spans="1:3" ht="106.5" customHeight="1" x14ac:dyDescent="0.2">
      <c r="A14" s="219" t="s">
        <v>46</v>
      </c>
      <c r="B14" s="219" t="s">
        <v>47</v>
      </c>
      <c r="C14" s="220" t="s">
        <v>48</v>
      </c>
    </row>
    <row r="15" spans="1:3" ht="106.5" customHeight="1" x14ac:dyDescent="0.2">
      <c r="A15" s="219" t="s">
        <v>49</v>
      </c>
      <c r="B15" s="219" t="s">
        <v>50</v>
      </c>
      <c r="C15" s="220" t="s">
        <v>51</v>
      </c>
    </row>
    <row r="16" spans="1:3" ht="327.75" x14ac:dyDescent="0.2">
      <c r="A16" s="219" t="s">
        <v>52</v>
      </c>
      <c r="B16" s="219" t="s">
        <v>53</v>
      </c>
      <c r="C16" s="220" t="s">
        <v>54</v>
      </c>
    </row>
    <row r="17" spans="1:3" ht="42.75" x14ac:dyDescent="0.2">
      <c r="A17" s="219" t="s">
        <v>55</v>
      </c>
      <c r="B17" s="219" t="s">
        <v>56</v>
      </c>
      <c r="C17" s="220" t="s">
        <v>57</v>
      </c>
    </row>
    <row r="18" spans="1:3" ht="85.5" x14ac:dyDescent="0.2">
      <c r="A18" s="219" t="s">
        <v>58</v>
      </c>
      <c r="B18" s="219" t="s">
        <v>59</v>
      </c>
      <c r="C18" s="220" t="s">
        <v>60</v>
      </c>
    </row>
    <row r="19" spans="1:3" ht="156.75" x14ac:dyDescent="0.2">
      <c r="A19" s="219" t="s">
        <v>61</v>
      </c>
      <c r="B19" s="219" t="s">
        <v>62</v>
      </c>
      <c r="C19" s="220" t="s">
        <v>63</v>
      </c>
    </row>
    <row r="20" spans="1:3" ht="242.25" x14ac:dyDescent="0.2">
      <c r="A20" s="219" t="s">
        <v>64</v>
      </c>
      <c r="B20" s="219" t="s">
        <v>65</v>
      </c>
      <c r="C20" s="220" t="s">
        <v>66</v>
      </c>
    </row>
    <row r="21" spans="1:3" ht="71.25" x14ac:dyDescent="0.2">
      <c r="A21" s="219" t="s">
        <v>67</v>
      </c>
      <c r="B21" s="219" t="s">
        <v>68</v>
      </c>
      <c r="C21" s="220" t="s">
        <v>69</v>
      </c>
    </row>
    <row r="22" spans="1:3" ht="14.25" x14ac:dyDescent="0.2">
      <c r="A22" s="116"/>
      <c r="B22" s="116"/>
      <c r="C22" s="116"/>
    </row>
    <row r="23" spans="1:3" ht="15" customHeight="1" x14ac:dyDescent="0.2">
      <c r="A23" s="116"/>
      <c r="B23" s="116"/>
      <c r="C23" s="116"/>
    </row>
    <row r="24" spans="1:3" ht="15.75" customHeight="1" x14ac:dyDescent="0.2">
      <c r="A24" s="116"/>
      <c r="B24" s="116"/>
      <c r="C24" s="116"/>
    </row>
    <row r="25" spans="1:3" ht="15.75" customHeight="1" x14ac:dyDescent="0.2">
      <c r="A25" s="116"/>
      <c r="B25" s="116"/>
      <c r="C25" s="116"/>
    </row>
    <row r="26" spans="1:3" ht="15.75" customHeight="1" x14ac:dyDescent="0.2">
      <c r="A26" s="116"/>
      <c r="B26" s="116"/>
      <c r="C26" s="116"/>
    </row>
    <row r="27" spans="1:3" ht="15.75" customHeight="1" x14ac:dyDescent="0.2">
      <c r="A27" s="116"/>
      <c r="B27" s="116"/>
      <c r="C27" s="116"/>
    </row>
    <row r="28" spans="1:3" ht="15.75" customHeight="1" x14ac:dyDescent="0.2"/>
    <row r="29" spans="1:3" ht="15.75" customHeight="1" x14ac:dyDescent="0.2"/>
    <row r="30" spans="1:3" ht="15.75" customHeight="1" x14ac:dyDescent="0.2"/>
    <row r="31" spans="1:3" ht="15.75" customHeight="1" x14ac:dyDescent="0.2"/>
    <row r="32" spans="1:3"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sheetData>
  <sheetProtection algorithmName="SHA-512" hashValue="8zFwMEldswqraqZnX2L0yTlDgABU/lDZUKaIZoh+v8IUdqAnoE22E0Zclt5nOTpfTgdOuSjlb4XZ0A6aqM9roA==" saltValue="MKj58uaOL7we4ZawwOgRVQ==" spinCount="100000" sheet="1" objects="1" scenarios="1"/>
  <mergeCells count="4">
    <mergeCell ref="A2:C2"/>
    <mergeCell ref="A8:A10"/>
    <mergeCell ref="B8:B10"/>
    <mergeCell ref="C8:C10"/>
  </mergeCells>
  <pageMargins left="0.70866141732283472" right="0.70866141732283472" top="0.74803149606299213" bottom="0.74803149606299213" header="0" footer="0"/>
  <pageSetup scale="77" orientation="landscape" r:id="rId1"/>
  <headerFooter>
    <oddHeader>&amp;L&amp;G&amp;C
MATRIZ DE RIESGOS</oddHeader>
    <oddFooter>&amp;RCódigo:E-02-F-014
Versión: 5 
Fecha: Ver Isolución</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sheetPr>
  <dimension ref="A1:Z1001"/>
  <sheetViews>
    <sheetView zoomScaleNormal="100" zoomScaleSheetLayoutView="115" zoomScalePageLayoutView="55" workbookViewId="0">
      <selection activeCell="G13" sqref="G13"/>
    </sheetView>
  </sheetViews>
  <sheetFormatPr baseColWidth="10" defaultColWidth="12.625" defaultRowHeight="15" customHeight="1" x14ac:dyDescent="0.2"/>
  <cols>
    <col min="1" max="1" width="2.5" style="196" customWidth="1"/>
    <col min="2" max="3" width="21.625" style="192" customWidth="1"/>
    <col min="4" max="4" width="14" style="192" customWidth="1"/>
    <col min="5" max="5" width="24.375" style="192" customWidth="1"/>
    <col min="6" max="6" width="31.875" style="192" customWidth="1"/>
    <col min="7" max="7" width="21.625" style="192" customWidth="1"/>
    <col min="8" max="8" width="38.5" style="192" customWidth="1"/>
    <col min="9" max="26" width="9.375" style="196" customWidth="1"/>
    <col min="27" max="16384" width="12.625" style="192"/>
  </cols>
  <sheetData>
    <row r="1" spans="2:8" ht="14.25" x14ac:dyDescent="0.2">
      <c r="B1" s="196"/>
      <c r="C1" s="196"/>
      <c r="D1" s="196"/>
      <c r="E1" s="196"/>
      <c r="F1" s="196"/>
      <c r="G1" s="196"/>
      <c r="H1" s="196"/>
    </row>
    <row r="2" spans="2:8" ht="48.75" customHeight="1" x14ac:dyDescent="0.25">
      <c r="B2" s="899" t="s">
        <v>70</v>
      </c>
      <c r="C2" s="900"/>
      <c r="D2" s="900"/>
      <c r="E2" s="900"/>
      <c r="F2" s="900"/>
      <c r="G2" s="900"/>
      <c r="H2" s="901"/>
    </row>
    <row r="3" spans="2:8" ht="14.25" x14ac:dyDescent="0.2">
      <c r="B3" s="197"/>
      <c r="C3" s="198"/>
      <c r="D3" s="198"/>
      <c r="E3" s="198"/>
      <c r="F3" s="198"/>
      <c r="G3" s="198"/>
      <c r="H3" s="199"/>
    </row>
    <row r="4" spans="2:8" ht="137.25" customHeight="1" x14ac:dyDescent="0.2">
      <c r="B4" s="902" t="s">
        <v>71</v>
      </c>
      <c r="C4" s="903"/>
      <c r="D4" s="903"/>
      <c r="E4" s="903"/>
      <c r="F4" s="903"/>
      <c r="G4" s="903"/>
      <c r="H4" s="904"/>
    </row>
    <row r="5" spans="2:8" ht="42" customHeight="1" x14ac:dyDescent="0.2">
      <c r="B5" s="905"/>
      <c r="C5" s="906"/>
      <c r="D5" s="906"/>
      <c r="E5" s="906"/>
      <c r="F5" s="906"/>
      <c r="G5" s="906"/>
      <c r="H5" s="907"/>
    </row>
    <row r="6" spans="2:8" ht="22.5" customHeight="1" x14ac:dyDescent="0.2">
      <c r="B6" s="908" t="s">
        <v>72</v>
      </c>
      <c r="C6" s="909"/>
      <c r="D6" s="909"/>
      <c r="E6" s="909"/>
      <c r="F6" s="909"/>
      <c r="G6" s="909"/>
      <c r="H6" s="910"/>
    </row>
    <row r="7" spans="2:8" ht="117.75" customHeight="1" x14ac:dyDescent="0.2">
      <c r="B7" s="911" t="s">
        <v>73</v>
      </c>
      <c r="C7" s="906"/>
      <c r="D7" s="906"/>
      <c r="E7" s="906"/>
      <c r="F7" s="906"/>
      <c r="G7" s="906"/>
      <c r="H7" s="907"/>
    </row>
    <row r="8" spans="2:8" ht="14.25" x14ac:dyDescent="0.2">
      <c r="B8" s="200"/>
      <c r="C8" s="201"/>
      <c r="D8" s="201"/>
      <c r="E8" s="201"/>
      <c r="F8" s="201"/>
      <c r="G8" s="201"/>
      <c r="H8" s="202"/>
    </row>
    <row r="9" spans="2:8" ht="16.5" customHeight="1" x14ac:dyDescent="0.2">
      <c r="B9" s="912" t="s">
        <v>74</v>
      </c>
      <c r="C9" s="903"/>
      <c r="D9" s="903"/>
      <c r="E9" s="903"/>
      <c r="F9" s="903"/>
      <c r="G9" s="903"/>
      <c r="H9" s="904"/>
    </row>
    <row r="10" spans="2:8" ht="55.5" customHeight="1" x14ac:dyDescent="0.2">
      <c r="B10" s="913"/>
      <c r="C10" s="903"/>
      <c r="D10" s="903"/>
      <c r="E10" s="903"/>
      <c r="F10" s="903"/>
      <c r="G10" s="903"/>
      <c r="H10" s="904"/>
    </row>
    <row r="11" spans="2:8" ht="14.25" x14ac:dyDescent="0.2">
      <c r="B11" s="203"/>
      <c r="C11" s="204"/>
      <c r="D11" s="205"/>
      <c r="E11" s="206"/>
      <c r="F11" s="206"/>
      <c r="G11" s="206"/>
      <c r="H11" s="207"/>
    </row>
    <row r="12" spans="2:8" ht="14.25" x14ac:dyDescent="0.2">
      <c r="B12" s="203"/>
      <c r="C12" s="914" t="s">
        <v>75</v>
      </c>
      <c r="D12" s="915"/>
      <c r="E12" s="916" t="s">
        <v>76</v>
      </c>
      <c r="F12" s="917"/>
      <c r="G12" s="204"/>
      <c r="H12" s="207"/>
    </row>
    <row r="13" spans="2:8" ht="71.25" customHeight="1" x14ac:dyDescent="0.2">
      <c r="B13" s="203"/>
      <c r="C13" s="923" t="s">
        <v>77</v>
      </c>
      <c r="D13" s="919"/>
      <c r="E13" s="922" t="s">
        <v>78</v>
      </c>
      <c r="F13" s="921"/>
      <c r="G13" s="204"/>
      <c r="H13" s="207"/>
    </row>
    <row r="14" spans="2:8" ht="35.25" customHeight="1" x14ac:dyDescent="0.2">
      <c r="B14" s="203"/>
      <c r="C14" s="918" t="s">
        <v>79</v>
      </c>
      <c r="D14" s="919"/>
      <c r="E14" s="920" t="s">
        <v>80</v>
      </c>
      <c r="F14" s="921"/>
      <c r="G14" s="204"/>
      <c r="H14" s="207"/>
    </row>
    <row r="15" spans="2:8" ht="17.25" customHeight="1" x14ac:dyDescent="0.2">
      <c r="B15" s="203"/>
      <c r="C15" s="918" t="s">
        <v>81</v>
      </c>
      <c r="D15" s="919"/>
      <c r="E15" s="920" t="s">
        <v>82</v>
      </c>
      <c r="F15" s="921"/>
      <c r="G15" s="204"/>
      <c r="H15" s="207"/>
    </row>
    <row r="16" spans="2:8" ht="19.5" customHeight="1" x14ac:dyDescent="0.2">
      <c r="B16" s="203"/>
      <c r="C16" s="918" t="s">
        <v>83</v>
      </c>
      <c r="D16" s="919"/>
      <c r="E16" s="920" t="s">
        <v>84</v>
      </c>
      <c r="F16" s="921"/>
      <c r="G16" s="204"/>
      <c r="H16" s="207"/>
    </row>
    <row r="17" spans="2:8" ht="34.5" customHeight="1" x14ac:dyDescent="0.2">
      <c r="B17" s="203"/>
      <c r="C17" s="924" t="s">
        <v>1</v>
      </c>
      <c r="D17" s="925"/>
      <c r="E17" s="926" t="s">
        <v>85</v>
      </c>
      <c r="F17" s="927"/>
      <c r="G17" s="204"/>
      <c r="H17" s="207"/>
    </row>
    <row r="18" spans="2:8" ht="55.5" customHeight="1" x14ac:dyDescent="0.2">
      <c r="B18" s="203"/>
      <c r="C18" s="928" t="s">
        <v>86</v>
      </c>
      <c r="D18" s="929"/>
      <c r="E18" s="931" t="s">
        <v>87</v>
      </c>
      <c r="F18" s="927"/>
      <c r="G18" s="204"/>
      <c r="H18" s="207"/>
    </row>
    <row r="19" spans="2:8" ht="39" customHeight="1" x14ac:dyDescent="0.2">
      <c r="B19" s="203"/>
      <c r="C19" s="928" t="s">
        <v>88</v>
      </c>
      <c r="D19" s="929"/>
      <c r="E19" s="931" t="s">
        <v>89</v>
      </c>
      <c r="F19" s="927"/>
      <c r="G19" s="204"/>
      <c r="H19" s="207"/>
    </row>
    <row r="20" spans="2:8" ht="72.75" customHeight="1" x14ac:dyDescent="0.2">
      <c r="B20" s="203"/>
      <c r="C20" s="928" t="s">
        <v>90</v>
      </c>
      <c r="D20" s="929"/>
      <c r="E20" s="931" t="s">
        <v>91</v>
      </c>
      <c r="F20" s="927"/>
      <c r="G20" s="204"/>
      <c r="H20" s="207"/>
    </row>
    <row r="21" spans="2:8" ht="64.5" customHeight="1" x14ac:dyDescent="0.2">
      <c r="B21" s="203"/>
      <c r="C21" s="928" t="s">
        <v>92</v>
      </c>
      <c r="D21" s="929"/>
      <c r="E21" s="931" t="s">
        <v>93</v>
      </c>
      <c r="F21" s="927"/>
      <c r="G21" s="204"/>
      <c r="H21" s="207"/>
    </row>
    <row r="22" spans="2:8" ht="64.5" customHeight="1" x14ac:dyDescent="0.2">
      <c r="B22" s="203"/>
      <c r="C22" s="928" t="s">
        <v>94</v>
      </c>
      <c r="D22" s="930"/>
      <c r="E22" s="931" t="s">
        <v>95</v>
      </c>
      <c r="F22" s="932"/>
      <c r="G22" s="204"/>
      <c r="H22" s="207"/>
    </row>
    <row r="23" spans="2:8" ht="71.25" customHeight="1" x14ac:dyDescent="0.2">
      <c r="B23" s="203"/>
      <c r="C23" s="928" t="s">
        <v>96</v>
      </c>
      <c r="D23" s="929"/>
      <c r="E23" s="931" t="s">
        <v>97</v>
      </c>
      <c r="F23" s="927"/>
      <c r="G23" s="204"/>
      <c r="H23" s="207"/>
    </row>
    <row r="24" spans="2:8" ht="55.5" customHeight="1" x14ac:dyDescent="0.2">
      <c r="B24" s="203"/>
      <c r="C24" s="928" t="s">
        <v>98</v>
      </c>
      <c r="D24" s="929"/>
      <c r="E24" s="931" t="s">
        <v>99</v>
      </c>
      <c r="F24" s="927"/>
      <c r="G24" s="204"/>
      <c r="H24" s="207"/>
    </row>
    <row r="25" spans="2:8" ht="42" customHeight="1" x14ac:dyDescent="0.2">
      <c r="B25" s="203"/>
      <c r="C25" s="928" t="s">
        <v>100</v>
      </c>
      <c r="D25" s="929"/>
      <c r="E25" s="931" t="s">
        <v>101</v>
      </c>
      <c r="F25" s="927"/>
      <c r="G25" s="204"/>
      <c r="H25" s="207"/>
    </row>
    <row r="26" spans="2:8" ht="59.25" customHeight="1" x14ac:dyDescent="0.2">
      <c r="B26" s="203"/>
      <c r="C26" s="928" t="s">
        <v>102</v>
      </c>
      <c r="D26" s="929"/>
      <c r="E26" s="931" t="s">
        <v>103</v>
      </c>
      <c r="F26" s="927"/>
      <c r="G26" s="204"/>
      <c r="H26" s="207"/>
    </row>
    <row r="27" spans="2:8" ht="23.25" customHeight="1" x14ac:dyDescent="0.2">
      <c r="B27" s="203"/>
      <c r="C27" s="928" t="s">
        <v>104</v>
      </c>
      <c r="D27" s="929"/>
      <c r="E27" s="931" t="s">
        <v>105</v>
      </c>
      <c r="F27" s="927"/>
      <c r="G27" s="204"/>
      <c r="H27" s="207"/>
    </row>
    <row r="28" spans="2:8" ht="30.75" customHeight="1" x14ac:dyDescent="0.2">
      <c r="B28" s="203"/>
      <c r="C28" s="928" t="s">
        <v>106</v>
      </c>
      <c r="D28" s="929"/>
      <c r="E28" s="931" t="s">
        <v>107</v>
      </c>
      <c r="F28" s="927"/>
      <c r="G28" s="204"/>
      <c r="H28" s="207"/>
    </row>
    <row r="29" spans="2:8" ht="35.25" customHeight="1" x14ac:dyDescent="0.2">
      <c r="B29" s="203"/>
      <c r="C29" s="928" t="s">
        <v>108</v>
      </c>
      <c r="D29" s="929"/>
      <c r="E29" s="931" t="s">
        <v>109</v>
      </c>
      <c r="F29" s="927"/>
      <c r="G29" s="204"/>
      <c r="H29" s="207"/>
    </row>
    <row r="30" spans="2:8" ht="33" customHeight="1" x14ac:dyDescent="0.2">
      <c r="B30" s="203"/>
      <c r="C30" s="928" t="s">
        <v>108</v>
      </c>
      <c r="D30" s="929"/>
      <c r="E30" s="931" t="s">
        <v>109</v>
      </c>
      <c r="F30" s="927"/>
      <c r="G30" s="204"/>
      <c r="H30" s="207"/>
    </row>
    <row r="31" spans="2:8" ht="30" customHeight="1" x14ac:dyDescent="0.2">
      <c r="B31" s="203"/>
      <c r="C31" s="928" t="s">
        <v>110</v>
      </c>
      <c r="D31" s="929"/>
      <c r="E31" s="931" t="s">
        <v>111</v>
      </c>
      <c r="F31" s="927"/>
      <c r="G31" s="204"/>
      <c r="H31" s="207"/>
    </row>
    <row r="32" spans="2:8" ht="35.25" customHeight="1" x14ac:dyDescent="0.2">
      <c r="B32" s="203"/>
      <c r="C32" s="928" t="s">
        <v>112</v>
      </c>
      <c r="D32" s="929"/>
      <c r="E32" s="931" t="s">
        <v>113</v>
      </c>
      <c r="F32" s="927"/>
      <c r="G32" s="204"/>
      <c r="H32" s="207"/>
    </row>
    <row r="33" spans="1:26" ht="31.5" customHeight="1" x14ac:dyDescent="0.2">
      <c r="B33" s="203"/>
      <c r="C33" s="928" t="s">
        <v>114</v>
      </c>
      <c r="D33" s="929"/>
      <c r="E33" s="931" t="s">
        <v>115</v>
      </c>
      <c r="F33" s="927"/>
      <c r="G33" s="204"/>
      <c r="H33" s="207"/>
    </row>
    <row r="34" spans="1:26" ht="35.25" customHeight="1" x14ac:dyDescent="0.2">
      <c r="B34" s="203"/>
      <c r="C34" s="928" t="s">
        <v>116</v>
      </c>
      <c r="D34" s="929"/>
      <c r="E34" s="931" t="s">
        <v>117</v>
      </c>
      <c r="F34" s="927"/>
      <c r="G34" s="204"/>
      <c r="H34" s="207"/>
    </row>
    <row r="35" spans="1:26" ht="59.25" customHeight="1" x14ac:dyDescent="0.2">
      <c r="B35" s="203"/>
      <c r="C35" s="928" t="s">
        <v>118</v>
      </c>
      <c r="D35" s="929"/>
      <c r="E35" s="931" t="s">
        <v>119</v>
      </c>
      <c r="F35" s="927"/>
      <c r="G35" s="204"/>
      <c r="H35" s="207"/>
    </row>
    <row r="36" spans="1:26" ht="55.5" customHeight="1" x14ac:dyDescent="0.2">
      <c r="B36" s="203"/>
      <c r="C36" s="928" t="s">
        <v>120</v>
      </c>
      <c r="D36" s="929"/>
      <c r="E36" s="931" t="s">
        <v>121</v>
      </c>
      <c r="F36" s="927"/>
      <c r="G36" s="204"/>
      <c r="H36" s="207"/>
    </row>
    <row r="37" spans="1:26" ht="105.75" customHeight="1" x14ac:dyDescent="0.2">
      <c r="B37" s="203"/>
      <c r="C37" s="928" t="s">
        <v>122</v>
      </c>
      <c r="D37" s="929"/>
      <c r="E37" s="931" t="s">
        <v>123</v>
      </c>
      <c r="F37" s="927"/>
      <c r="G37" s="204"/>
      <c r="H37" s="207"/>
    </row>
    <row r="38" spans="1:26" ht="82.5" customHeight="1" x14ac:dyDescent="0.2">
      <c r="B38" s="203"/>
      <c r="C38" s="928" t="s">
        <v>124</v>
      </c>
      <c r="D38" s="929"/>
      <c r="E38" s="931" t="s">
        <v>125</v>
      </c>
      <c r="F38" s="927"/>
      <c r="G38" s="204"/>
      <c r="H38" s="207"/>
    </row>
    <row r="39" spans="1:26" ht="202.5" customHeight="1" x14ac:dyDescent="0.2">
      <c r="B39" s="203"/>
      <c r="C39" s="924" t="s">
        <v>126</v>
      </c>
      <c r="D39" s="929"/>
      <c r="E39" s="926" t="s">
        <v>127</v>
      </c>
      <c r="F39" s="927"/>
      <c r="G39" s="204"/>
      <c r="H39" s="207"/>
    </row>
    <row r="40" spans="1:26" ht="15.75" customHeight="1" x14ac:dyDescent="0.2">
      <c r="B40" s="203"/>
      <c r="C40" s="208"/>
      <c r="D40" s="208"/>
      <c r="E40" s="209"/>
      <c r="F40" s="209"/>
      <c r="G40" s="204"/>
      <c r="H40" s="207"/>
    </row>
    <row r="41" spans="1:26" ht="45" customHeight="1" x14ac:dyDescent="0.2">
      <c r="B41" s="933" t="s">
        <v>128</v>
      </c>
      <c r="C41" s="934"/>
      <c r="D41" s="934"/>
      <c r="E41" s="934"/>
      <c r="F41" s="934"/>
      <c r="G41" s="934"/>
      <c r="H41" s="904"/>
    </row>
    <row r="42" spans="1:26" s="211" customFormat="1" ht="38.25" customHeight="1" x14ac:dyDescent="0.2">
      <c r="A42" s="210"/>
      <c r="B42" s="933" t="s">
        <v>129</v>
      </c>
      <c r="C42" s="935"/>
      <c r="D42" s="935"/>
      <c r="E42" s="935"/>
      <c r="F42" s="935"/>
      <c r="G42" s="935"/>
      <c r="H42" s="936"/>
      <c r="I42" s="210"/>
      <c r="J42" s="210"/>
      <c r="K42" s="210"/>
      <c r="L42" s="210"/>
      <c r="M42" s="210"/>
      <c r="N42" s="210"/>
      <c r="O42" s="210"/>
      <c r="P42" s="210"/>
      <c r="Q42" s="210"/>
      <c r="R42" s="210"/>
      <c r="S42" s="210"/>
      <c r="T42" s="210"/>
      <c r="U42" s="210"/>
      <c r="V42" s="210"/>
      <c r="W42" s="210"/>
      <c r="X42" s="210"/>
      <c r="Y42" s="210"/>
      <c r="Z42" s="210"/>
    </row>
    <row r="43" spans="1:26" ht="20.25" customHeight="1" x14ac:dyDescent="0.2">
      <c r="B43" s="933" t="s">
        <v>130</v>
      </c>
      <c r="C43" s="934"/>
      <c r="D43" s="934"/>
      <c r="E43" s="934"/>
      <c r="F43" s="934"/>
      <c r="G43" s="934"/>
      <c r="H43" s="904"/>
    </row>
    <row r="44" spans="1:26" ht="20.25" customHeight="1" x14ac:dyDescent="0.2">
      <c r="B44" s="933" t="s">
        <v>131</v>
      </c>
      <c r="C44" s="934"/>
      <c r="D44" s="934"/>
      <c r="E44" s="934"/>
      <c r="F44" s="934"/>
      <c r="G44" s="934"/>
      <c r="H44" s="904"/>
    </row>
    <row r="45" spans="1:26" ht="15.75" customHeight="1" x14ac:dyDescent="0.2">
      <c r="B45" s="933" t="s">
        <v>132</v>
      </c>
      <c r="C45" s="934"/>
      <c r="D45" s="934"/>
      <c r="E45" s="934"/>
      <c r="F45" s="934"/>
      <c r="G45" s="934"/>
      <c r="H45" s="904"/>
    </row>
    <row r="46" spans="1:26" ht="15.75" customHeight="1" x14ac:dyDescent="0.2">
      <c r="B46" s="212"/>
      <c r="C46" s="213"/>
      <c r="D46" s="213"/>
      <c r="E46" s="213"/>
      <c r="F46" s="213"/>
      <c r="G46" s="213"/>
      <c r="H46" s="214"/>
    </row>
    <row r="47" spans="1:26" ht="15.75" customHeight="1" x14ac:dyDescent="0.2">
      <c r="B47" s="196"/>
      <c r="C47" s="196"/>
      <c r="D47" s="196"/>
      <c r="E47" s="196"/>
      <c r="F47" s="196"/>
      <c r="G47" s="196"/>
      <c r="H47" s="196"/>
    </row>
    <row r="48" spans="1:26" ht="15.75" customHeight="1" x14ac:dyDescent="0.2">
      <c r="B48" s="196"/>
      <c r="C48" s="196"/>
      <c r="D48" s="196"/>
      <c r="E48" s="196"/>
      <c r="F48" s="196"/>
      <c r="G48" s="196"/>
      <c r="H48" s="196"/>
    </row>
    <row r="49" spans="2:8" ht="15.75" customHeight="1" x14ac:dyDescent="0.2">
      <c r="B49" s="196"/>
      <c r="C49" s="196"/>
      <c r="D49" s="196"/>
      <c r="E49" s="196"/>
      <c r="F49" s="196"/>
      <c r="G49" s="196"/>
      <c r="H49" s="196"/>
    </row>
    <row r="50" spans="2:8" ht="15.75" customHeight="1" x14ac:dyDescent="0.2">
      <c r="B50" s="196"/>
      <c r="C50" s="196"/>
      <c r="D50" s="196"/>
      <c r="E50" s="196"/>
      <c r="F50" s="196"/>
      <c r="G50" s="196"/>
      <c r="H50" s="196"/>
    </row>
    <row r="51" spans="2:8" ht="15.75" customHeight="1" x14ac:dyDescent="0.2">
      <c r="B51" s="196"/>
      <c r="C51" s="196"/>
      <c r="D51" s="196"/>
      <c r="E51" s="196"/>
      <c r="F51" s="196"/>
      <c r="G51" s="196"/>
      <c r="H51" s="196"/>
    </row>
    <row r="52" spans="2:8" ht="15.75" customHeight="1" x14ac:dyDescent="0.2">
      <c r="B52" s="196"/>
      <c r="C52" s="196"/>
      <c r="D52" s="196"/>
      <c r="E52" s="196"/>
      <c r="F52" s="196"/>
      <c r="G52" s="196"/>
      <c r="H52" s="196"/>
    </row>
    <row r="53" spans="2:8" ht="15.75" customHeight="1" x14ac:dyDescent="0.2">
      <c r="B53" s="196"/>
      <c r="C53" s="196"/>
      <c r="D53" s="196"/>
      <c r="E53" s="196"/>
      <c r="F53" s="196"/>
      <c r="G53" s="196"/>
      <c r="H53" s="196"/>
    </row>
    <row r="54" spans="2:8" ht="15.75" customHeight="1" x14ac:dyDescent="0.2">
      <c r="B54" s="196"/>
      <c r="C54" s="196"/>
      <c r="D54" s="196"/>
      <c r="E54" s="196"/>
      <c r="F54" s="196"/>
      <c r="G54" s="196"/>
      <c r="H54" s="196"/>
    </row>
    <row r="55" spans="2:8" ht="15.75" customHeight="1" x14ac:dyDescent="0.2">
      <c r="B55" s="196"/>
      <c r="C55" s="196"/>
      <c r="D55" s="196"/>
      <c r="E55" s="196"/>
      <c r="F55" s="196"/>
      <c r="G55" s="196"/>
      <c r="H55" s="196"/>
    </row>
    <row r="56" spans="2:8" ht="15.75" customHeight="1" x14ac:dyDescent="0.2">
      <c r="B56" s="196"/>
      <c r="C56" s="196"/>
      <c r="D56" s="196"/>
      <c r="E56" s="196"/>
      <c r="F56" s="196"/>
      <c r="G56" s="196"/>
      <c r="H56" s="196"/>
    </row>
    <row r="57" spans="2:8" ht="15.75" customHeight="1" x14ac:dyDescent="0.2">
      <c r="B57" s="196"/>
      <c r="C57" s="196"/>
      <c r="D57" s="196"/>
      <c r="E57" s="196"/>
      <c r="F57" s="196"/>
      <c r="G57" s="196"/>
      <c r="H57" s="196"/>
    </row>
    <row r="58" spans="2:8" ht="15.75" customHeight="1" x14ac:dyDescent="0.2">
      <c r="B58" s="196"/>
      <c r="C58" s="196"/>
      <c r="D58" s="196"/>
      <c r="E58" s="196"/>
      <c r="F58" s="196"/>
      <c r="G58" s="196"/>
      <c r="H58" s="196"/>
    </row>
    <row r="59" spans="2:8" ht="15.75" customHeight="1" x14ac:dyDescent="0.2">
      <c r="B59" s="196"/>
      <c r="C59" s="196"/>
      <c r="D59" s="196"/>
      <c r="E59" s="196"/>
      <c r="F59" s="196"/>
      <c r="G59" s="196"/>
      <c r="H59" s="196"/>
    </row>
    <row r="60" spans="2:8" ht="15.75" customHeight="1" x14ac:dyDescent="0.2">
      <c r="B60" s="196"/>
      <c r="C60" s="196"/>
      <c r="D60" s="196"/>
      <c r="E60" s="196"/>
      <c r="F60" s="196"/>
      <c r="G60" s="196"/>
      <c r="H60" s="196"/>
    </row>
    <row r="61" spans="2:8" ht="15.75" customHeight="1" x14ac:dyDescent="0.2">
      <c r="B61" s="196"/>
      <c r="C61" s="196"/>
      <c r="D61" s="196"/>
      <c r="E61" s="196"/>
      <c r="F61" s="196"/>
      <c r="G61" s="196"/>
      <c r="H61" s="196"/>
    </row>
    <row r="62" spans="2:8" ht="15.75" customHeight="1" x14ac:dyDescent="0.2">
      <c r="B62" s="196"/>
      <c r="C62" s="196"/>
      <c r="D62" s="196"/>
      <c r="E62" s="196"/>
      <c r="F62" s="196"/>
      <c r="G62" s="196"/>
      <c r="H62" s="196"/>
    </row>
    <row r="63" spans="2:8" ht="15.75" customHeight="1" x14ac:dyDescent="0.2">
      <c r="B63" s="196"/>
      <c r="C63" s="196"/>
      <c r="D63" s="196"/>
      <c r="E63" s="196"/>
      <c r="F63" s="196"/>
      <c r="G63" s="196"/>
      <c r="H63" s="196"/>
    </row>
    <row r="64" spans="2:8" ht="15.75" customHeight="1" x14ac:dyDescent="0.2">
      <c r="B64" s="196"/>
      <c r="C64" s="196"/>
      <c r="D64" s="196"/>
      <c r="E64" s="196"/>
      <c r="F64" s="196"/>
      <c r="G64" s="196"/>
      <c r="H64" s="196"/>
    </row>
    <row r="65" spans="2:8" ht="15.75" customHeight="1" x14ac:dyDescent="0.2">
      <c r="B65" s="196"/>
      <c r="C65" s="196"/>
      <c r="D65" s="196"/>
      <c r="E65" s="196"/>
      <c r="F65" s="196"/>
      <c r="G65" s="196"/>
      <c r="H65" s="196"/>
    </row>
    <row r="66" spans="2:8" ht="15.75" customHeight="1" x14ac:dyDescent="0.2">
      <c r="B66" s="196"/>
      <c r="C66" s="196"/>
      <c r="D66" s="196"/>
      <c r="E66" s="196"/>
      <c r="F66" s="196"/>
      <c r="G66" s="196"/>
      <c r="H66" s="196"/>
    </row>
    <row r="67" spans="2:8" ht="15.75" customHeight="1" x14ac:dyDescent="0.2">
      <c r="B67" s="196"/>
      <c r="C67" s="196"/>
      <c r="D67" s="196"/>
      <c r="E67" s="196"/>
      <c r="F67" s="196"/>
      <c r="G67" s="196"/>
      <c r="H67" s="196"/>
    </row>
    <row r="68" spans="2:8" ht="15.75" customHeight="1" x14ac:dyDescent="0.2">
      <c r="B68" s="196"/>
      <c r="C68" s="196"/>
      <c r="D68" s="196"/>
      <c r="E68" s="196"/>
      <c r="F68" s="196"/>
      <c r="G68" s="196"/>
      <c r="H68" s="196"/>
    </row>
    <row r="69" spans="2:8" ht="15.75" customHeight="1" x14ac:dyDescent="0.2">
      <c r="B69" s="196"/>
      <c r="C69" s="196"/>
      <c r="D69" s="196"/>
      <c r="E69" s="196"/>
      <c r="F69" s="196"/>
      <c r="G69" s="196"/>
      <c r="H69" s="196"/>
    </row>
    <row r="70" spans="2:8" ht="15.75" customHeight="1" x14ac:dyDescent="0.2">
      <c r="B70" s="196"/>
      <c r="C70" s="196"/>
      <c r="D70" s="196"/>
      <c r="E70" s="196"/>
      <c r="F70" s="196"/>
      <c r="G70" s="196"/>
      <c r="H70" s="196"/>
    </row>
    <row r="71" spans="2:8" ht="15.75" customHeight="1" x14ac:dyDescent="0.2">
      <c r="B71" s="196"/>
      <c r="C71" s="196"/>
      <c r="D71" s="196"/>
      <c r="E71" s="196"/>
      <c r="F71" s="196"/>
      <c r="G71" s="196"/>
      <c r="H71" s="196"/>
    </row>
    <row r="72" spans="2:8" ht="15.75" customHeight="1" x14ac:dyDescent="0.2">
      <c r="B72" s="196"/>
      <c r="C72" s="196"/>
      <c r="D72" s="196"/>
      <c r="E72" s="196"/>
      <c r="F72" s="196"/>
      <c r="G72" s="196"/>
      <c r="H72" s="196"/>
    </row>
    <row r="73" spans="2:8" ht="15.75" customHeight="1" x14ac:dyDescent="0.2">
      <c r="B73" s="196"/>
      <c r="C73" s="196"/>
      <c r="D73" s="196"/>
      <c r="E73" s="196"/>
      <c r="F73" s="196"/>
      <c r="G73" s="196"/>
      <c r="H73" s="196"/>
    </row>
    <row r="74" spans="2:8" ht="15.75" customHeight="1" x14ac:dyDescent="0.2">
      <c r="B74" s="196"/>
      <c r="C74" s="196"/>
      <c r="D74" s="196"/>
      <c r="E74" s="196"/>
      <c r="F74" s="196"/>
      <c r="G74" s="196"/>
      <c r="H74" s="196"/>
    </row>
    <row r="75" spans="2:8" ht="15.75" customHeight="1" x14ac:dyDescent="0.2">
      <c r="B75" s="196"/>
      <c r="C75" s="196"/>
      <c r="D75" s="196"/>
      <c r="E75" s="196"/>
      <c r="F75" s="196"/>
      <c r="G75" s="196"/>
      <c r="H75" s="196"/>
    </row>
    <row r="76" spans="2:8" ht="15.75" customHeight="1" x14ac:dyDescent="0.2">
      <c r="B76" s="196"/>
      <c r="C76" s="196"/>
      <c r="D76" s="196"/>
      <c r="E76" s="196"/>
      <c r="F76" s="196"/>
      <c r="G76" s="196"/>
      <c r="H76" s="196"/>
    </row>
    <row r="77" spans="2:8" ht="15.75" customHeight="1" x14ac:dyDescent="0.2">
      <c r="B77" s="196"/>
      <c r="C77" s="196"/>
      <c r="D77" s="196"/>
      <c r="E77" s="196"/>
      <c r="F77" s="196"/>
      <c r="G77" s="196"/>
      <c r="H77" s="196"/>
    </row>
    <row r="78" spans="2:8" ht="15.75" customHeight="1" x14ac:dyDescent="0.2">
      <c r="B78" s="196"/>
      <c r="C78" s="196"/>
      <c r="D78" s="196"/>
      <c r="E78" s="196"/>
      <c r="F78" s="196"/>
      <c r="G78" s="196"/>
      <c r="H78" s="196"/>
    </row>
    <row r="79" spans="2:8" ht="15.75" customHeight="1" x14ac:dyDescent="0.2">
      <c r="B79" s="196"/>
      <c r="C79" s="196"/>
      <c r="D79" s="196"/>
      <c r="E79" s="196"/>
      <c r="F79" s="196"/>
      <c r="G79" s="196"/>
      <c r="H79" s="196"/>
    </row>
    <row r="80" spans="2:8" ht="15.75" customHeight="1" x14ac:dyDescent="0.2">
      <c r="B80" s="196"/>
      <c r="C80" s="196"/>
      <c r="D80" s="196"/>
      <c r="E80" s="196"/>
      <c r="F80" s="196"/>
      <c r="G80" s="196"/>
      <c r="H80" s="196"/>
    </row>
    <row r="81" spans="2:8" ht="15.75" customHeight="1" x14ac:dyDescent="0.2">
      <c r="B81" s="196"/>
      <c r="C81" s="196"/>
      <c r="D81" s="196"/>
      <c r="E81" s="196"/>
      <c r="F81" s="196"/>
      <c r="G81" s="196"/>
      <c r="H81" s="196"/>
    </row>
    <row r="82" spans="2:8" ht="15.75" customHeight="1" x14ac:dyDescent="0.2">
      <c r="B82" s="196"/>
      <c r="C82" s="196"/>
      <c r="D82" s="196"/>
      <c r="E82" s="196"/>
      <c r="F82" s="196"/>
      <c r="G82" s="196"/>
      <c r="H82" s="196"/>
    </row>
    <row r="83" spans="2:8" ht="15.75" customHeight="1" x14ac:dyDescent="0.2">
      <c r="B83" s="196"/>
      <c r="C83" s="196"/>
      <c r="D83" s="196"/>
      <c r="E83" s="196"/>
      <c r="F83" s="196"/>
      <c r="G83" s="196"/>
      <c r="H83" s="196"/>
    </row>
    <row r="84" spans="2:8" ht="15.75" customHeight="1" x14ac:dyDescent="0.2">
      <c r="B84" s="196"/>
      <c r="C84" s="196"/>
      <c r="D84" s="196"/>
      <c r="E84" s="196"/>
      <c r="F84" s="196"/>
      <c r="G84" s="196"/>
      <c r="H84" s="196"/>
    </row>
    <row r="85" spans="2:8" ht="15.75" customHeight="1" x14ac:dyDescent="0.2">
      <c r="B85" s="196"/>
      <c r="C85" s="196"/>
      <c r="D85" s="196"/>
      <c r="E85" s="196"/>
      <c r="F85" s="196"/>
      <c r="G85" s="196"/>
      <c r="H85" s="196"/>
    </row>
    <row r="86" spans="2:8" ht="15.75" customHeight="1" x14ac:dyDescent="0.2">
      <c r="B86" s="196"/>
      <c r="C86" s="196"/>
      <c r="D86" s="196"/>
      <c r="E86" s="196"/>
      <c r="F86" s="196"/>
      <c r="G86" s="196"/>
      <c r="H86" s="196"/>
    </row>
    <row r="87" spans="2:8" ht="15.75" customHeight="1" x14ac:dyDescent="0.2">
      <c r="B87" s="196"/>
      <c r="C87" s="196"/>
      <c r="D87" s="196"/>
      <c r="E87" s="196"/>
      <c r="F87" s="196"/>
      <c r="G87" s="196"/>
      <c r="H87" s="196"/>
    </row>
    <row r="88" spans="2:8" ht="15.75" customHeight="1" x14ac:dyDescent="0.2">
      <c r="B88" s="196"/>
      <c r="C88" s="196"/>
      <c r="D88" s="196"/>
      <c r="E88" s="196"/>
      <c r="F88" s="196"/>
      <c r="G88" s="196"/>
      <c r="H88" s="196"/>
    </row>
    <row r="89" spans="2:8" ht="15.75" customHeight="1" x14ac:dyDescent="0.2">
      <c r="B89" s="196"/>
      <c r="C89" s="196"/>
      <c r="D89" s="196"/>
      <c r="E89" s="196"/>
      <c r="F89" s="196"/>
      <c r="G89" s="196"/>
      <c r="H89" s="196"/>
    </row>
    <row r="90" spans="2:8" ht="15.75" customHeight="1" x14ac:dyDescent="0.2">
      <c r="B90" s="196"/>
      <c r="C90" s="196"/>
      <c r="D90" s="196"/>
      <c r="E90" s="196"/>
      <c r="F90" s="196"/>
      <c r="G90" s="196"/>
      <c r="H90" s="196"/>
    </row>
    <row r="91" spans="2:8" ht="15.75" customHeight="1" x14ac:dyDescent="0.2">
      <c r="B91" s="196"/>
      <c r="C91" s="196"/>
      <c r="D91" s="196"/>
      <c r="E91" s="196"/>
      <c r="F91" s="196"/>
      <c r="G91" s="196"/>
      <c r="H91" s="196"/>
    </row>
    <row r="92" spans="2:8" ht="15.75" customHeight="1" x14ac:dyDescent="0.2">
      <c r="B92" s="196"/>
      <c r="C92" s="196"/>
      <c r="D92" s="196"/>
      <c r="E92" s="196"/>
      <c r="F92" s="196"/>
      <c r="G92" s="196"/>
      <c r="H92" s="196"/>
    </row>
    <row r="93" spans="2:8" ht="15.75" customHeight="1" x14ac:dyDescent="0.2">
      <c r="B93" s="196"/>
      <c r="C93" s="196"/>
      <c r="D93" s="196"/>
      <c r="E93" s="196"/>
      <c r="F93" s="196"/>
      <c r="G93" s="196"/>
      <c r="H93" s="196"/>
    </row>
    <row r="94" spans="2:8" ht="15.75" customHeight="1" x14ac:dyDescent="0.2">
      <c r="B94" s="196"/>
      <c r="C94" s="196"/>
      <c r="D94" s="196"/>
      <c r="E94" s="196"/>
      <c r="F94" s="196"/>
      <c r="G94" s="196"/>
      <c r="H94" s="196"/>
    </row>
    <row r="95" spans="2:8" ht="15.75" customHeight="1" x14ac:dyDescent="0.2">
      <c r="B95" s="196"/>
      <c r="C95" s="196"/>
      <c r="D95" s="196"/>
      <c r="E95" s="196"/>
      <c r="F95" s="196"/>
      <c r="G95" s="196"/>
      <c r="H95" s="196"/>
    </row>
    <row r="96" spans="2:8" ht="15.75" customHeight="1" x14ac:dyDescent="0.2">
      <c r="B96" s="196"/>
      <c r="C96" s="196"/>
      <c r="D96" s="196"/>
      <c r="E96" s="196"/>
      <c r="F96" s="196"/>
      <c r="G96" s="196"/>
      <c r="H96" s="196"/>
    </row>
    <row r="97" spans="2:8" ht="15.75" customHeight="1" x14ac:dyDescent="0.2">
      <c r="B97" s="196"/>
      <c r="C97" s="196"/>
      <c r="D97" s="196"/>
      <c r="E97" s="196"/>
      <c r="F97" s="196"/>
      <c r="G97" s="196"/>
      <c r="H97" s="196"/>
    </row>
    <row r="98" spans="2:8" ht="15.75" customHeight="1" x14ac:dyDescent="0.2">
      <c r="B98" s="196"/>
      <c r="C98" s="196"/>
      <c r="D98" s="196"/>
      <c r="E98" s="196"/>
      <c r="F98" s="196"/>
      <c r="G98" s="196"/>
      <c r="H98" s="196"/>
    </row>
    <row r="99" spans="2:8" ht="15.75" customHeight="1" x14ac:dyDescent="0.2">
      <c r="B99" s="196"/>
      <c r="C99" s="196"/>
      <c r="D99" s="196"/>
      <c r="E99" s="196"/>
      <c r="F99" s="196"/>
      <c r="G99" s="196"/>
      <c r="H99" s="196"/>
    </row>
    <row r="100" spans="2:8" ht="15.75" customHeight="1" x14ac:dyDescent="0.2">
      <c r="B100" s="196"/>
      <c r="C100" s="196"/>
      <c r="D100" s="196"/>
      <c r="E100" s="196"/>
      <c r="F100" s="196"/>
      <c r="G100" s="196"/>
      <c r="H100" s="196"/>
    </row>
    <row r="101" spans="2:8" ht="15.75" customHeight="1" x14ac:dyDescent="0.2">
      <c r="B101" s="196"/>
      <c r="C101" s="196"/>
      <c r="D101" s="196"/>
      <c r="E101" s="196"/>
      <c r="F101" s="196"/>
      <c r="G101" s="196"/>
      <c r="H101" s="196"/>
    </row>
    <row r="102" spans="2:8" ht="15.75" customHeight="1" x14ac:dyDescent="0.2">
      <c r="B102" s="196"/>
      <c r="C102" s="196"/>
      <c r="D102" s="196"/>
      <c r="E102" s="196"/>
      <c r="F102" s="196"/>
      <c r="G102" s="196"/>
      <c r="H102" s="196"/>
    </row>
    <row r="103" spans="2:8" ht="15.75" customHeight="1" x14ac:dyDescent="0.2">
      <c r="B103" s="196"/>
      <c r="C103" s="196"/>
      <c r="D103" s="196"/>
      <c r="E103" s="196"/>
      <c r="F103" s="196"/>
      <c r="G103" s="196"/>
      <c r="H103" s="196"/>
    </row>
    <row r="104" spans="2:8" ht="15.75" customHeight="1" x14ac:dyDescent="0.2">
      <c r="B104" s="196"/>
      <c r="C104" s="196"/>
      <c r="D104" s="196"/>
      <c r="E104" s="196"/>
      <c r="F104" s="196"/>
      <c r="G104" s="196"/>
      <c r="H104" s="196"/>
    </row>
    <row r="105" spans="2:8" ht="15.75" customHeight="1" x14ac:dyDescent="0.2">
      <c r="B105" s="196"/>
      <c r="C105" s="196"/>
      <c r="D105" s="196"/>
      <c r="E105" s="196"/>
      <c r="F105" s="196"/>
      <c r="G105" s="196"/>
      <c r="H105" s="196"/>
    </row>
    <row r="106" spans="2:8" ht="15.75" customHeight="1" x14ac:dyDescent="0.2">
      <c r="B106" s="196"/>
      <c r="C106" s="196"/>
      <c r="D106" s="196"/>
      <c r="E106" s="196"/>
      <c r="F106" s="196"/>
      <c r="G106" s="196"/>
      <c r="H106" s="196"/>
    </row>
    <row r="107" spans="2:8" ht="15.75" customHeight="1" x14ac:dyDescent="0.2">
      <c r="B107" s="196"/>
      <c r="C107" s="196"/>
      <c r="D107" s="196"/>
      <c r="E107" s="196"/>
      <c r="F107" s="196"/>
      <c r="G107" s="196"/>
      <c r="H107" s="196"/>
    </row>
    <row r="108" spans="2:8" ht="15.75" customHeight="1" x14ac:dyDescent="0.2">
      <c r="B108" s="196"/>
      <c r="C108" s="196"/>
      <c r="D108" s="196"/>
      <c r="E108" s="196"/>
      <c r="F108" s="196"/>
      <c r="G108" s="196"/>
      <c r="H108" s="196"/>
    </row>
    <row r="109" spans="2:8" ht="15.75" customHeight="1" x14ac:dyDescent="0.2">
      <c r="B109" s="196"/>
      <c r="C109" s="196"/>
      <c r="D109" s="196"/>
      <c r="E109" s="196"/>
      <c r="F109" s="196"/>
      <c r="G109" s="196"/>
      <c r="H109" s="196"/>
    </row>
    <row r="110" spans="2:8" ht="15.75" customHeight="1" x14ac:dyDescent="0.2">
      <c r="B110" s="196"/>
      <c r="C110" s="196"/>
      <c r="D110" s="196"/>
      <c r="E110" s="196"/>
      <c r="F110" s="196"/>
      <c r="G110" s="196"/>
      <c r="H110" s="196"/>
    </row>
    <row r="111" spans="2:8" ht="15.75" customHeight="1" x14ac:dyDescent="0.2">
      <c r="B111" s="196"/>
      <c r="C111" s="196"/>
      <c r="D111" s="196"/>
      <c r="E111" s="196"/>
      <c r="F111" s="196"/>
      <c r="G111" s="196"/>
      <c r="H111" s="196"/>
    </row>
    <row r="112" spans="2:8" ht="15.75" customHeight="1" x14ac:dyDescent="0.2">
      <c r="B112" s="196"/>
      <c r="C112" s="196"/>
      <c r="D112" s="196"/>
      <c r="E112" s="196"/>
      <c r="F112" s="196"/>
      <c r="G112" s="196"/>
      <c r="H112" s="196"/>
    </row>
    <row r="113" spans="2:8" ht="15.75" customHeight="1" x14ac:dyDescent="0.2">
      <c r="B113" s="196"/>
      <c r="C113" s="196"/>
      <c r="D113" s="196"/>
      <c r="E113" s="196"/>
      <c r="F113" s="196"/>
      <c r="G113" s="196"/>
      <c r="H113" s="196"/>
    </row>
    <row r="114" spans="2:8" ht="15.75" customHeight="1" x14ac:dyDescent="0.2">
      <c r="B114" s="196"/>
      <c r="C114" s="196"/>
      <c r="D114" s="196"/>
      <c r="E114" s="196"/>
      <c r="F114" s="196"/>
      <c r="G114" s="196"/>
      <c r="H114" s="196"/>
    </row>
    <row r="115" spans="2:8" ht="15.75" customHeight="1" x14ac:dyDescent="0.2">
      <c r="B115" s="196"/>
      <c r="C115" s="196"/>
      <c r="D115" s="196"/>
      <c r="E115" s="196"/>
      <c r="F115" s="196"/>
      <c r="G115" s="196"/>
      <c r="H115" s="196"/>
    </row>
    <row r="116" spans="2:8" ht="15.75" customHeight="1" x14ac:dyDescent="0.2">
      <c r="B116" s="196"/>
      <c r="C116" s="196"/>
      <c r="D116" s="196"/>
      <c r="E116" s="196"/>
      <c r="F116" s="196"/>
      <c r="G116" s="196"/>
      <c r="H116" s="196"/>
    </row>
    <row r="117" spans="2:8" ht="15.75" customHeight="1" x14ac:dyDescent="0.2">
      <c r="B117" s="196"/>
      <c r="C117" s="196"/>
      <c r="D117" s="196"/>
      <c r="E117" s="196"/>
      <c r="F117" s="196"/>
      <c r="G117" s="196"/>
      <c r="H117" s="196"/>
    </row>
    <row r="118" spans="2:8" ht="15.75" customHeight="1" x14ac:dyDescent="0.2">
      <c r="B118" s="196"/>
      <c r="C118" s="196"/>
      <c r="D118" s="196"/>
      <c r="E118" s="196"/>
      <c r="F118" s="196"/>
      <c r="G118" s="196"/>
      <c r="H118" s="196"/>
    </row>
    <row r="119" spans="2:8" ht="15.75" customHeight="1" x14ac:dyDescent="0.2">
      <c r="B119" s="196"/>
      <c r="C119" s="196"/>
      <c r="D119" s="196"/>
      <c r="E119" s="196"/>
      <c r="F119" s="196"/>
      <c r="G119" s="196"/>
      <c r="H119" s="196"/>
    </row>
    <row r="120" spans="2:8" ht="15.75" customHeight="1" x14ac:dyDescent="0.2">
      <c r="B120" s="196"/>
      <c r="C120" s="196"/>
      <c r="D120" s="196"/>
      <c r="E120" s="196"/>
      <c r="F120" s="196"/>
      <c r="G120" s="196"/>
      <c r="H120" s="196"/>
    </row>
    <row r="121" spans="2:8" ht="15.75" customHeight="1" x14ac:dyDescent="0.2">
      <c r="B121" s="196"/>
      <c r="C121" s="196"/>
      <c r="D121" s="196"/>
      <c r="E121" s="196"/>
      <c r="F121" s="196"/>
      <c r="G121" s="196"/>
      <c r="H121" s="196"/>
    </row>
    <row r="122" spans="2:8" ht="15.75" customHeight="1" x14ac:dyDescent="0.2">
      <c r="B122" s="196"/>
      <c r="C122" s="196"/>
      <c r="D122" s="196"/>
      <c r="E122" s="196"/>
      <c r="F122" s="196"/>
      <c r="G122" s="196"/>
      <c r="H122" s="196"/>
    </row>
    <row r="123" spans="2:8" ht="15.75" customHeight="1" x14ac:dyDescent="0.2">
      <c r="B123" s="196"/>
      <c r="C123" s="196"/>
      <c r="D123" s="196"/>
      <c r="E123" s="196"/>
      <c r="F123" s="196"/>
      <c r="G123" s="196"/>
      <c r="H123" s="196"/>
    </row>
    <row r="124" spans="2:8" ht="15.75" customHeight="1" x14ac:dyDescent="0.2">
      <c r="B124" s="196"/>
      <c r="C124" s="196"/>
      <c r="D124" s="196"/>
      <c r="E124" s="196"/>
      <c r="F124" s="196"/>
      <c r="G124" s="196"/>
      <c r="H124" s="196"/>
    </row>
    <row r="125" spans="2:8" ht="15.75" customHeight="1" x14ac:dyDescent="0.2">
      <c r="B125" s="196"/>
      <c r="C125" s="196"/>
      <c r="D125" s="196"/>
      <c r="E125" s="196"/>
      <c r="F125" s="196"/>
      <c r="G125" s="196"/>
      <c r="H125" s="196"/>
    </row>
    <row r="126" spans="2:8" ht="15.75" customHeight="1" x14ac:dyDescent="0.2">
      <c r="B126" s="196"/>
      <c r="C126" s="196"/>
      <c r="D126" s="196"/>
      <c r="E126" s="196"/>
      <c r="F126" s="196"/>
      <c r="G126" s="196"/>
      <c r="H126" s="196"/>
    </row>
    <row r="127" spans="2:8" ht="15.75" customHeight="1" x14ac:dyDescent="0.2">
      <c r="B127" s="196"/>
      <c r="C127" s="196"/>
      <c r="D127" s="196"/>
      <c r="E127" s="196"/>
      <c r="F127" s="196"/>
      <c r="G127" s="196"/>
      <c r="H127" s="196"/>
    </row>
    <row r="128" spans="2:8" ht="15.75" customHeight="1" x14ac:dyDescent="0.2">
      <c r="B128" s="196"/>
      <c r="C128" s="196"/>
      <c r="D128" s="196"/>
      <c r="E128" s="196"/>
      <c r="F128" s="196"/>
      <c r="G128" s="196"/>
      <c r="H128" s="196"/>
    </row>
    <row r="129" spans="2:8" ht="15.75" customHeight="1" x14ac:dyDescent="0.2">
      <c r="B129" s="196"/>
      <c r="C129" s="196"/>
      <c r="D129" s="196"/>
      <c r="E129" s="196"/>
      <c r="F129" s="196"/>
      <c r="G129" s="196"/>
      <c r="H129" s="196"/>
    </row>
    <row r="130" spans="2:8" ht="15.75" customHeight="1" x14ac:dyDescent="0.2">
      <c r="B130" s="196"/>
      <c r="C130" s="196"/>
      <c r="D130" s="196"/>
      <c r="E130" s="196"/>
      <c r="F130" s="196"/>
      <c r="G130" s="196"/>
      <c r="H130" s="196"/>
    </row>
    <row r="131" spans="2:8" ht="15.75" customHeight="1" x14ac:dyDescent="0.2">
      <c r="B131" s="196"/>
      <c r="C131" s="196"/>
      <c r="D131" s="196"/>
      <c r="E131" s="196"/>
      <c r="F131" s="196"/>
      <c r="G131" s="196"/>
      <c r="H131" s="196"/>
    </row>
    <row r="132" spans="2:8" ht="15.75" customHeight="1" x14ac:dyDescent="0.2">
      <c r="B132" s="196"/>
      <c r="C132" s="196"/>
      <c r="D132" s="196"/>
      <c r="E132" s="196"/>
      <c r="F132" s="196"/>
      <c r="G132" s="196"/>
      <c r="H132" s="196"/>
    </row>
    <row r="133" spans="2:8" ht="15.75" customHeight="1" x14ac:dyDescent="0.2">
      <c r="B133" s="196"/>
      <c r="C133" s="196"/>
      <c r="D133" s="196"/>
      <c r="E133" s="196"/>
      <c r="F133" s="196"/>
      <c r="G133" s="196"/>
      <c r="H133" s="196"/>
    </row>
    <row r="134" spans="2:8" ht="15.75" customHeight="1" x14ac:dyDescent="0.2">
      <c r="B134" s="196"/>
      <c r="C134" s="196"/>
      <c r="D134" s="196"/>
      <c r="E134" s="196"/>
      <c r="F134" s="196"/>
      <c r="G134" s="196"/>
      <c r="H134" s="196"/>
    </row>
    <row r="135" spans="2:8" ht="15.75" customHeight="1" x14ac:dyDescent="0.2">
      <c r="B135" s="196"/>
      <c r="C135" s="196"/>
      <c r="D135" s="196"/>
      <c r="E135" s="196"/>
      <c r="F135" s="196"/>
      <c r="G135" s="196"/>
      <c r="H135" s="196"/>
    </row>
    <row r="136" spans="2:8" ht="15.75" customHeight="1" x14ac:dyDescent="0.2">
      <c r="B136" s="196"/>
      <c r="C136" s="196"/>
      <c r="D136" s="196"/>
      <c r="E136" s="196"/>
      <c r="F136" s="196"/>
      <c r="G136" s="196"/>
      <c r="H136" s="196"/>
    </row>
    <row r="137" spans="2:8" ht="15.75" customHeight="1" x14ac:dyDescent="0.2">
      <c r="B137" s="196"/>
      <c r="C137" s="196"/>
      <c r="D137" s="196"/>
      <c r="E137" s="196"/>
      <c r="F137" s="196"/>
      <c r="G137" s="196"/>
      <c r="H137" s="196"/>
    </row>
    <row r="138" spans="2:8" ht="15.75" customHeight="1" x14ac:dyDescent="0.2">
      <c r="B138" s="196"/>
      <c r="C138" s="196"/>
      <c r="D138" s="196"/>
      <c r="E138" s="196"/>
      <c r="F138" s="196"/>
      <c r="G138" s="196"/>
      <c r="H138" s="196"/>
    </row>
    <row r="139" spans="2:8" ht="15.75" customHeight="1" x14ac:dyDescent="0.2">
      <c r="B139" s="196"/>
      <c r="C139" s="196"/>
      <c r="D139" s="196"/>
      <c r="E139" s="196"/>
      <c r="F139" s="196"/>
      <c r="G139" s="196"/>
      <c r="H139" s="196"/>
    </row>
    <row r="140" spans="2:8" ht="15.75" customHeight="1" x14ac:dyDescent="0.2">
      <c r="B140" s="196"/>
      <c r="C140" s="196"/>
      <c r="D140" s="196"/>
      <c r="E140" s="196"/>
      <c r="F140" s="196"/>
      <c r="G140" s="196"/>
      <c r="H140" s="196"/>
    </row>
    <row r="141" spans="2:8" ht="15.75" customHeight="1" x14ac:dyDescent="0.2">
      <c r="B141" s="196"/>
      <c r="C141" s="196"/>
      <c r="D141" s="196"/>
      <c r="E141" s="196"/>
      <c r="F141" s="196"/>
      <c r="G141" s="196"/>
      <c r="H141" s="196"/>
    </row>
    <row r="142" spans="2:8" ht="15.75" customHeight="1" x14ac:dyDescent="0.2">
      <c r="B142" s="196"/>
      <c r="C142" s="196"/>
      <c r="D142" s="196"/>
      <c r="E142" s="196"/>
      <c r="F142" s="196"/>
      <c r="G142" s="196"/>
      <c r="H142" s="196"/>
    </row>
    <row r="143" spans="2:8" ht="15.75" customHeight="1" x14ac:dyDescent="0.2">
      <c r="B143" s="196"/>
      <c r="C143" s="196"/>
      <c r="D143" s="196"/>
      <c r="E143" s="196"/>
      <c r="F143" s="196"/>
      <c r="G143" s="196"/>
      <c r="H143" s="196"/>
    </row>
    <row r="144" spans="2:8" ht="15.75" customHeight="1" x14ac:dyDescent="0.2">
      <c r="B144" s="196"/>
      <c r="C144" s="196"/>
      <c r="D144" s="196"/>
      <c r="E144" s="196"/>
      <c r="F144" s="196"/>
      <c r="G144" s="196"/>
      <c r="H144" s="196"/>
    </row>
    <row r="145" spans="2:8" ht="15.75" customHeight="1" x14ac:dyDescent="0.2">
      <c r="B145" s="196"/>
      <c r="C145" s="196"/>
      <c r="D145" s="196"/>
      <c r="E145" s="196"/>
      <c r="F145" s="196"/>
      <c r="G145" s="196"/>
      <c r="H145" s="196"/>
    </row>
    <row r="146" spans="2:8" ht="15.75" customHeight="1" x14ac:dyDescent="0.2">
      <c r="B146" s="196"/>
      <c r="C146" s="196"/>
      <c r="D146" s="196"/>
      <c r="E146" s="196"/>
      <c r="F146" s="196"/>
      <c r="G146" s="196"/>
      <c r="H146" s="196"/>
    </row>
    <row r="147" spans="2:8" ht="15.75" customHeight="1" x14ac:dyDescent="0.2">
      <c r="B147" s="196"/>
      <c r="C147" s="196"/>
      <c r="D147" s="196"/>
      <c r="E147" s="196"/>
      <c r="F147" s="196"/>
      <c r="G147" s="196"/>
      <c r="H147" s="196"/>
    </row>
    <row r="148" spans="2:8" ht="15.75" customHeight="1" x14ac:dyDescent="0.2">
      <c r="B148" s="196"/>
      <c r="C148" s="196"/>
      <c r="D148" s="196"/>
      <c r="E148" s="196"/>
      <c r="F148" s="196"/>
      <c r="G148" s="196"/>
      <c r="H148" s="196"/>
    </row>
    <row r="149" spans="2:8" ht="15.75" customHeight="1" x14ac:dyDescent="0.2">
      <c r="B149" s="196"/>
      <c r="C149" s="196"/>
      <c r="D149" s="196"/>
      <c r="E149" s="196"/>
      <c r="F149" s="196"/>
      <c r="G149" s="196"/>
      <c r="H149" s="196"/>
    </row>
    <row r="150" spans="2:8" ht="15.75" customHeight="1" x14ac:dyDescent="0.2">
      <c r="B150" s="196"/>
      <c r="C150" s="196"/>
      <c r="D150" s="196"/>
      <c r="E150" s="196"/>
      <c r="F150" s="196"/>
      <c r="G150" s="196"/>
      <c r="H150" s="196"/>
    </row>
    <row r="151" spans="2:8" ht="15.75" customHeight="1" x14ac:dyDescent="0.2">
      <c r="B151" s="196"/>
      <c r="C151" s="196"/>
      <c r="D151" s="196"/>
      <c r="E151" s="196"/>
      <c r="F151" s="196"/>
      <c r="G151" s="196"/>
      <c r="H151" s="196"/>
    </row>
    <row r="152" spans="2:8" ht="15.75" customHeight="1" x14ac:dyDescent="0.2">
      <c r="B152" s="196"/>
      <c r="C152" s="196"/>
      <c r="D152" s="196"/>
      <c r="E152" s="196"/>
      <c r="F152" s="196"/>
      <c r="G152" s="196"/>
      <c r="H152" s="196"/>
    </row>
    <row r="153" spans="2:8" ht="15.75" customHeight="1" x14ac:dyDescent="0.2">
      <c r="B153" s="196"/>
      <c r="C153" s="196"/>
      <c r="D153" s="196"/>
      <c r="E153" s="196"/>
      <c r="F153" s="196"/>
      <c r="G153" s="196"/>
      <c r="H153" s="196"/>
    </row>
    <row r="154" spans="2:8" ht="15.75" customHeight="1" x14ac:dyDescent="0.2">
      <c r="B154" s="196"/>
      <c r="C154" s="196"/>
      <c r="D154" s="196"/>
      <c r="E154" s="196"/>
      <c r="F154" s="196"/>
      <c r="G154" s="196"/>
      <c r="H154" s="196"/>
    </row>
    <row r="155" spans="2:8" ht="15.75" customHeight="1" x14ac:dyDescent="0.2">
      <c r="B155" s="196"/>
      <c r="C155" s="196"/>
      <c r="D155" s="196"/>
      <c r="E155" s="196"/>
      <c r="F155" s="196"/>
      <c r="G155" s="196"/>
      <c r="H155" s="196"/>
    </row>
    <row r="156" spans="2:8" ht="15.75" customHeight="1" x14ac:dyDescent="0.2">
      <c r="B156" s="196"/>
      <c r="C156" s="196"/>
      <c r="D156" s="196"/>
      <c r="E156" s="196"/>
      <c r="F156" s="196"/>
      <c r="G156" s="196"/>
      <c r="H156" s="196"/>
    </row>
    <row r="157" spans="2:8" ht="15.75" customHeight="1" x14ac:dyDescent="0.2">
      <c r="B157" s="196"/>
      <c r="C157" s="196"/>
      <c r="D157" s="196"/>
      <c r="E157" s="196"/>
      <c r="F157" s="196"/>
      <c r="G157" s="196"/>
      <c r="H157" s="196"/>
    </row>
    <row r="158" spans="2:8" ht="15.75" customHeight="1" x14ac:dyDescent="0.2">
      <c r="B158" s="196"/>
      <c r="C158" s="196"/>
      <c r="D158" s="196"/>
      <c r="E158" s="196"/>
      <c r="F158" s="196"/>
      <c r="G158" s="196"/>
      <c r="H158" s="196"/>
    </row>
    <row r="159" spans="2:8" ht="15.75" customHeight="1" x14ac:dyDescent="0.2">
      <c r="B159" s="196"/>
      <c r="C159" s="196"/>
      <c r="D159" s="196"/>
      <c r="E159" s="196"/>
      <c r="F159" s="196"/>
      <c r="G159" s="196"/>
      <c r="H159" s="196"/>
    </row>
    <row r="160" spans="2:8" ht="15.75" customHeight="1" x14ac:dyDescent="0.2">
      <c r="B160" s="196"/>
      <c r="C160" s="196"/>
      <c r="D160" s="196"/>
      <c r="E160" s="196"/>
      <c r="F160" s="196"/>
      <c r="G160" s="196"/>
      <c r="H160" s="196"/>
    </row>
    <row r="161" spans="2:8" ht="15.75" customHeight="1" x14ac:dyDescent="0.2">
      <c r="B161" s="196"/>
      <c r="C161" s="196"/>
      <c r="D161" s="196"/>
      <c r="E161" s="196"/>
      <c r="F161" s="196"/>
      <c r="G161" s="196"/>
      <c r="H161" s="196"/>
    </row>
    <row r="162" spans="2:8" ht="15.75" customHeight="1" x14ac:dyDescent="0.2">
      <c r="B162" s="196"/>
      <c r="C162" s="196"/>
      <c r="D162" s="196"/>
      <c r="E162" s="196"/>
      <c r="F162" s="196"/>
      <c r="G162" s="196"/>
      <c r="H162" s="196"/>
    </row>
    <row r="163" spans="2:8" ht="15.75" customHeight="1" x14ac:dyDescent="0.2">
      <c r="B163" s="196"/>
      <c r="C163" s="196"/>
      <c r="D163" s="196"/>
      <c r="E163" s="196"/>
      <c r="F163" s="196"/>
      <c r="G163" s="196"/>
      <c r="H163" s="196"/>
    </row>
    <row r="164" spans="2:8" ht="15.75" customHeight="1" x14ac:dyDescent="0.2">
      <c r="B164" s="196"/>
      <c r="C164" s="196"/>
      <c r="D164" s="196"/>
      <c r="E164" s="196"/>
      <c r="F164" s="196"/>
      <c r="G164" s="196"/>
      <c r="H164" s="196"/>
    </row>
    <row r="165" spans="2:8" ht="15.75" customHeight="1" x14ac:dyDescent="0.2">
      <c r="B165" s="196"/>
      <c r="C165" s="196"/>
      <c r="D165" s="196"/>
      <c r="E165" s="196"/>
      <c r="F165" s="196"/>
      <c r="G165" s="196"/>
      <c r="H165" s="196"/>
    </row>
    <row r="166" spans="2:8" ht="15.75" customHeight="1" x14ac:dyDescent="0.2">
      <c r="B166" s="196"/>
      <c r="C166" s="196"/>
      <c r="D166" s="196"/>
      <c r="E166" s="196"/>
      <c r="F166" s="196"/>
      <c r="G166" s="196"/>
      <c r="H166" s="196"/>
    </row>
    <row r="167" spans="2:8" ht="15.75" customHeight="1" x14ac:dyDescent="0.2">
      <c r="B167" s="196"/>
      <c r="C167" s="196"/>
      <c r="D167" s="196"/>
      <c r="E167" s="196"/>
      <c r="F167" s="196"/>
      <c r="G167" s="196"/>
      <c r="H167" s="196"/>
    </row>
    <row r="168" spans="2:8" ht="15.75" customHeight="1" x14ac:dyDescent="0.2">
      <c r="B168" s="196"/>
      <c r="C168" s="196"/>
      <c r="D168" s="196"/>
      <c r="E168" s="196"/>
      <c r="F168" s="196"/>
      <c r="G168" s="196"/>
      <c r="H168" s="196"/>
    </row>
    <row r="169" spans="2:8" ht="15.75" customHeight="1" x14ac:dyDescent="0.2">
      <c r="B169" s="196"/>
      <c r="C169" s="196"/>
      <c r="D169" s="196"/>
      <c r="E169" s="196"/>
      <c r="F169" s="196"/>
      <c r="G169" s="196"/>
      <c r="H169" s="196"/>
    </row>
    <row r="170" spans="2:8" ht="15.75" customHeight="1" x14ac:dyDescent="0.2">
      <c r="B170" s="196"/>
      <c r="C170" s="196"/>
      <c r="D170" s="196"/>
      <c r="E170" s="196"/>
      <c r="F170" s="196"/>
      <c r="G170" s="196"/>
      <c r="H170" s="196"/>
    </row>
    <row r="171" spans="2:8" ht="15.75" customHeight="1" x14ac:dyDescent="0.2">
      <c r="B171" s="196"/>
      <c r="C171" s="196"/>
      <c r="D171" s="196"/>
      <c r="E171" s="196"/>
      <c r="F171" s="196"/>
      <c r="G171" s="196"/>
      <c r="H171" s="196"/>
    </row>
    <row r="172" spans="2:8" ht="15.75" customHeight="1" x14ac:dyDescent="0.2">
      <c r="B172" s="196"/>
      <c r="C172" s="196"/>
      <c r="D172" s="196"/>
      <c r="E172" s="196"/>
      <c r="F172" s="196"/>
      <c r="G172" s="196"/>
      <c r="H172" s="196"/>
    </row>
    <row r="173" spans="2:8" ht="15.75" customHeight="1" x14ac:dyDescent="0.2">
      <c r="B173" s="196"/>
      <c r="C173" s="196"/>
      <c r="D173" s="196"/>
      <c r="E173" s="196"/>
      <c r="F173" s="196"/>
      <c r="G173" s="196"/>
      <c r="H173" s="196"/>
    </row>
    <row r="174" spans="2:8" ht="15.75" customHeight="1" x14ac:dyDescent="0.2">
      <c r="B174" s="196"/>
      <c r="C174" s="196"/>
      <c r="D174" s="196"/>
      <c r="E174" s="196"/>
      <c r="F174" s="196"/>
      <c r="G174" s="196"/>
      <c r="H174" s="196"/>
    </row>
    <row r="175" spans="2:8" ht="15.75" customHeight="1" x14ac:dyDescent="0.2">
      <c r="B175" s="196"/>
      <c r="C175" s="196"/>
      <c r="D175" s="196"/>
      <c r="E175" s="196"/>
      <c r="F175" s="196"/>
      <c r="G175" s="196"/>
      <c r="H175" s="196"/>
    </row>
    <row r="176" spans="2:8" ht="15.75" customHeight="1" x14ac:dyDescent="0.2">
      <c r="B176" s="196"/>
      <c r="C176" s="196"/>
      <c r="D176" s="196"/>
      <c r="E176" s="196"/>
      <c r="F176" s="196"/>
      <c r="G176" s="196"/>
      <c r="H176" s="196"/>
    </row>
    <row r="177" spans="2:8" ht="15.75" customHeight="1" x14ac:dyDescent="0.2">
      <c r="B177" s="196"/>
      <c r="C177" s="196"/>
      <c r="D177" s="196"/>
      <c r="E177" s="196"/>
      <c r="F177" s="196"/>
      <c r="G177" s="196"/>
      <c r="H177" s="196"/>
    </row>
    <row r="178" spans="2:8" ht="15.75" customHeight="1" x14ac:dyDescent="0.2">
      <c r="B178" s="196"/>
      <c r="C178" s="196"/>
      <c r="D178" s="196"/>
      <c r="E178" s="196"/>
      <c r="F178" s="196"/>
      <c r="G178" s="196"/>
      <c r="H178" s="196"/>
    </row>
    <row r="179" spans="2:8" ht="15.75" customHeight="1" x14ac:dyDescent="0.2">
      <c r="B179" s="196"/>
      <c r="C179" s="196"/>
      <c r="D179" s="196"/>
      <c r="E179" s="196"/>
      <c r="F179" s="196"/>
      <c r="G179" s="196"/>
      <c r="H179" s="196"/>
    </row>
    <row r="180" spans="2:8" ht="15.75" customHeight="1" x14ac:dyDescent="0.2">
      <c r="B180" s="196"/>
      <c r="C180" s="196"/>
      <c r="D180" s="196"/>
      <c r="E180" s="196"/>
      <c r="F180" s="196"/>
      <c r="G180" s="196"/>
      <c r="H180" s="196"/>
    </row>
    <row r="181" spans="2:8" ht="15.75" customHeight="1" x14ac:dyDescent="0.2">
      <c r="B181" s="196"/>
      <c r="C181" s="196"/>
      <c r="D181" s="196"/>
      <c r="E181" s="196"/>
      <c r="F181" s="196"/>
      <c r="G181" s="196"/>
      <c r="H181" s="196"/>
    </row>
    <row r="182" spans="2:8" ht="15.75" customHeight="1" x14ac:dyDescent="0.2">
      <c r="B182" s="196"/>
      <c r="C182" s="196"/>
      <c r="D182" s="196"/>
      <c r="E182" s="196"/>
      <c r="F182" s="196"/>
      <c r="G182" s="196"/>
      <c r="H182" s="196"/>
    </row>
    <row r="183" spans="2:8" ht="15.75" customHeight="1" x14ac:dyDescent="0.2">
      <c r="B183" s="196"/>
      <c r="C183" s="196"/>
      <c r="D183" s="196"/>
      <c r="E183" s="196"/>
      <c r="F183" s="196"/>
      <c r="G183" s="196"/>
      <c r="H183" s="196"/>
    </row>
    <row r="184" spans="2:8" ht="15.75" customHeight="1" x14ac:dyDescent="0.2">
      <c r="B184" s="196"/>
      <c r="C184" s="196"/>
      <c r="D184" s="196"/>
      <c r="E184" s="196"/>
      <c r="F184" s="196"/>
      <c r="G184" s="196"/>
      <c r="H184" s="196"/>
    </row>
    <row r="185" spans="2:8" ht="15.75" customHeight="1" x14ac:dyDescent="0.2">
      <c r="B185" s="196"/>
      <c r="C185" s="196"/>
      <c r="D185" s="196"/>
      <c r="E185" s="196"/>
      <c r="F185" s="196"/>
      <c r="G185" s="196"/>
      <c r="H185" s="196"/>
    </row>
    <row r="186" spans="2:8" ht="15.75" customHeight="1" x14ac:dyDescent="0.2">
      <c r="B186" s="196"/>
      <c r="C186" s="196"/>
      <c r="D186" s="196"/>
      <c r="E186" s="196"/>
      <c r="F186" s="196"/>
      <c r="G186" s="196"/>
      <c r="H186" s="196"/>
    </row>
    <row r="187" spans="2:8" ht="15.75" customHeight="1" x14ac:dyDescent="0.2">
      <c r="B187" s="196"/>
      <c r="C187" s="196"/>
      <c r="D187" s="196"/>
      <c r="E187" s="196"/>
      <c r="F187" s="196"/>
      <c r="G187" s="196"/>
      <c r="H187" s="196"/>
    </row>
    <row r="188" spans="2:8" ht="15.75" customHeight="1" x14ac:dyDescent="0.2">
      <c r="B188" s="196"/>
      <c r="C188" s="196"/>
      <c r="D188" s="196"/>
      <c r="E188" s="196"/>
      <c r="F188" s="196"/>
      <c r="G188" s="196"/>
      <c r="H188" s="196"/>
    </row>
    <row r="189" spans="2:8" ht="15.75" customHeight="1" x14ac:dyDescent="0.2">
      <c r="B189" s="196"/>
      <c r="C189" s="196"/>
      <c r="D189" s="196"/>
      <c r="E189" s="196"/>
      <c r="F189" s="196"/>
      <c r="G189" s="196"/>
      <c r="H189" s="196"/>
    </row>
    <row r="190" spans="2:8" ht="15.75" customHeight="1" x14ac:dyDescent="0.2">
      <c r="B190" s="196"/>
      <c r="C190" s="196"/>
      <c r="D190" s="196"/>
      <c r="E190" s="196"/>
      <c r="F190" s="196"/>
      <c r="G190" s="196"/>
      <c r="H190" s="196"/>
    </row>
    <row r="191" spans="2:8" ht="15.75" customHeight="1" x14ac:dyDescent="0.2">
      <c r="B191" s="196"/>
      <c r="C191" s="196"/>
      <c r="D191" s="196"/>
      <c r="E191" s="196"/>
      <c r="F191" s="196"/>
      <c r="G191" s="196"/>
      <c r="H191" s="196"/>
    </row>
    <row r="192" spans="2:8" ht="15.75" customHeight="1" x14ac:dyDescent="0.2">
      <c r="B192" s="196"/>
      <c r="C192" s="196"/>
      <c r="D192" s="196"/>
      <c r="E192" s="196"/>
      <c r="F192" s="196"/>
      <c r="G192" s="196"/>
      <c r="H192" s="196"/>
    </row>
    <row r="193" spans="2:8" ht="15.75" customHeight="1" x14ac:dyDescent="0.2">
      <c r="B193" s="196"/>
      <c r="C193" s="196"/>
      <c r="D193" s="196"/>
      <c r="E193" s="196"/>
      <c r="F193" s="196"/>
      <c r="G193" s="196"/>
      <c r="H193" s="196"/>
    </row>
    <row r="194" spans="2:8" ht="15.75" customHeight="1" x14ac:dyDescent="0.2">
      <c r="B194" s="196"/>
      <c r="C194" s="196"/>
      <c r="D194" s="196"/>
      <c r="E194" s="196"/>
      <c r="F194" s="196"/>
      <c r="G194" s="196"/>
      <c r="H194" s="196"/>
    </row>
    <row r="195" spans="2:8" ht="15.75" customHeight="1" x14ac:dyDescent="0.2">
      <c r="B195" s="196"/>
      <c r="C195" s="196"/>
      <c r="D195" s="196"/>
      <c r="E195" s="196"/>
      <c r="F195" s="196"/>
      <c r="G195" s="196"/>
      <c r="H195" s="196"/>
    </row>
    <row r="196" spans="2:8" ht="15.75" customHeight="1" x14ac:dyDescent="0.2">
      <c r="B196" s="196"/>
      <c r="C196" s="196"/>
      <c r="D196" s="196"/>
      <c r="E196" s="196"/>
      <c r="F196" s="196"/>
      <c r="G196" s="196"/>
      <c r="H196" s="196"/>
    </row>
    <row r="197" spans="2:8" ht="15.75" customHeight="1" x14ac:dyDescent="0.2">
      <c r="B197" s="196"/>
      <c r="C197" s="196"/>
      <c r="D197" s="196"/>
      <c r="E197" s="196"/>
      <c r="F197" s="196"/>
      <c r="G197" s="196"/>
      <c r="H197" s="196"/>
    </row>
    <row r="198" spans="2:8" ht="15.75" customHeight="1" x14ac:dyDescent="0.2">
      <c r="B198" s="196"/>
      <c r="C198" s="196"/>
      <c r="D198" s="196"/>
      <c r="E198" s="196"/>
      <c r="F198" s="196"/>
      <c r="G198" s="196"/>
      <c r="H198" s="196"/>
    </row>
    <row r="199" spans="2:8" ht="15.75" customHeight="1" x14ac:dyDescent="0.2">
      <c r="B199" s="196"/>
      <c r="C199" s="196"/>
      <c r="D199" s="196"/>
      <c r="E199" s="196"/>
      <c r="F199" s="196"/>
      <c r="G199" s="196"/>
      <c r="H199" s="196"/>
    </row>
    <row r="200" spans="2:8" ht="15.75" customHeight="1" x14ac:dyDescent="0.2">
      <c r="B200" s="196"/>
      <c r="C200" s="196"/>
      <c r="D200" s="196"/>
      <c r="E200" s="196"/>
      <c r="F200" s="196"/>
      <c r="G200" s="196"/>
      <c r="H200" s="196"/>
    </row>
    <row r="201" spans="2:8" ht="15.75" customHeight="1" x14ac:dyDescent="0.2">
      <c r="B201" s="196"/>
      <c r="C201" s="196"/>
      <c r="D201" s="196"/>
      <c r="E201" s="196"/>
      <c r="F201" s="196"/>
      <c r="G201" s="196"/>
      <c r="H201" s="196"/>
    </row>
    <row r="202" spans="2:8" ht="15.75" customHeight="1" x14ac:dyDescent="0.2">
      <c r="B202" s="196"/>
      <c r="C202" s="196"/>
      <c r="D202" s="196"/>
      <c r="E202" s="196"/>
      <c r="F202" s="196"/>
      <c r="G202" s="196"/>
      <c r="H202" s="196"/>
    </row>
    <row r="203" spans="2:8" ht="15.75" customHeight="1" x14ac:dyDescent="0.2">
      <c r="B203" s="196"/>
      <c r="C203" s="196"/>
      <c r="D203" s="196"/>
      <c r="E203" s="196"/>
      <c r="F203" s="196"/>
      <c r="G203" s="196"/>
      <c r="H203" s="196"/>
    </row>
    <row r="204" spans="2:8" ht="15.75" customHeight="1" x14ac:dyDescent="0.2">
      <c r="B204" s="196"/>
      <c r="C204" s="196"/>
      <c r="D204" s="196"/>
      <c r="E204" s="196"/>
      <c r="F204" s="196"/>
      <c r="G204" s="196"/>
      <c r="H204" s="196"/>
    </row>
    <row r="205" spans="2:8" ht="15.75" customHeight="1" x14ac:dyDescent="0.2">
      <c r="B205" s="196"/>
      <c r="C205" s="196"/>
      <c r="D205" s="196"/>
      <c r="E205" s="196"/>
      <c r="F205" s="196"/>
      <c r="G205" s="196"/>
      <c r="H205" s="196"/>
    </row>
    <row r="206" spans="2:8" ht="15.75" customHeight="1" x14ac:dyDescent="0.2">
      <c r="B206" s="196"/>
      <c r="C206" s="196"/>
      <c r="D206" s="196"/>
      <c r="E206" s="196"/>
      <c r="F206" s="196"/>
      <c r="G206" s="196"/>
      <c r="H206" s="196"/>
    </row>
    <row r="207" spans="2:8" ht="15.75" customHeight="1" x14ac:dyDescent="0.2">
      <c r="B207" s="196"/>
      <c r="C207" s="196"/>
      <c r="D207" s="196"/>
      <c r="E207" s="196"/>
      <c r="F207" s="196"/>
      <c r="G207" s="196"/>
      <c r="H207" s="196"/>
    </row>
    <row r="208" spans="2:8" ht="15.75" customHeight="1" x14ac:dyDescent="0.2">
      <c r="B208" s="196"/>
      <c r="C208" s="196"/>
      <c r="D208" s="196"/>
      <c r="E208" s="196"/>
      <c r="F208" s="196"/>
      <c r="G208" s="196"/>
      <c r="H208" s="196"/>
    </row>
    <row r="209" spans="2:8" ht="15.75" customHeight="1" x14ac:dyDescent="0.2">
      <c r="B209" s="196"/>
      <c r="C209" s="196"/>
      <c r="D209" s="196"/>
      <c r="E209" s="196"/>
      <c r="F209" s="196"/>
      <c r="G209" s="196"/>
      <c r="H209" s="196"/>
    </row>
    <row r="210" spans="2:8" ht="15.75" customHeight="1" x14ac:dyDescent="0.2">
      <c r="B210" s="196"/>
      <c r="C210" s="196"/>
      <c r="D210" s="196"/>
      <c r="E210" s="196"/>
      <c r="F210" s="196"/>
      <c r="G210" s="196"/>
      <c r="H210" s="196"/>
    </row>
    <row r="211" spans="2:8" ht="15.75" customHeight="1" x14ac:dyDescent="0.2">
      <c r="B211" s="196"/>
      <c r="C211" s="196"/>
      <c r="D211" s="196"/>
      <c r="E211" s="196"/>
      <c r="F211" s="196"/>
      <c r="G211" s="196"/>
      <c r="H211" s="196"/>
    </row>
    <row r="212" spans="2:8" ht="15.75" customHeight="1" x14ac:dyDescent="0.2">
      <c r="B212" s="196"/>
      <c r="C212" s="196"/>
      <c r="D212" s="196"/>
      <c r="E212" s="196"/>
      <c r="F212" s="196"/>
      <c r="G212" s="196"/>
      <c r="H212" s="196"/>
    </row>
    <row r="213" spans="2:8" ht="15.75" customHeight="1" x14ac:dyDescent="0.2">
      <c r="B213" s="196"/>
      <c r="C213" s="196"/>
      <c r="D213" s="196"/>
      <c r="E213" s="196"/>
      <c r="F213" s="196"/>
      <c r="G213" s="196"/>
      <c r="H213" s="196"/>
    </row>
    <row r="214" spans="2:8" ht="15.75" customHeight="1" x14ac:dyDescent="0.2">
      <c r="B214" s="196"/>
      <c r="C214" s="196"/>
      <c r="D214" s="196"/>
      <c r="E214" s="196"/>
      <c r="F214" s="196"/>
      <c r="G214" s="196"/>
      <c r="H214" s="196"/>
    </row>
    <row r="215" spans="2:8" ht="15.75" customHeight="1" x14ac:dyDescent="0.2">
      <c r="B215" s="196"/>
      <c r="C215" s="196"/>
      <c r="D215" s="196"/>
      <c r="E215" s="196"/>
      <c r="F215" s="196"/>
      <c r="G215" s="196"/>
      <c r="H215" s="196"/>
    </row>
    <row r="216" spans="2:8" ht="15.75" customHeight="1" x14ac:dyDescent="0.2">
      <c r="B216" s="196"/>
      <c r="C216" s="196"/>
      <c r="D216" s="196"/>
      <c r="E216" s="196"/>
      <c r="F216" s="196"/>
      <c r="G216" s="196"/>
      <c r="H216" s="196"/>
    </row>
    <row r="217" spans="2:8" ht="15.75" customHeight="1" x14ac:dyDescent="0.2">
      <c r="B217" s="196"/>
      <c r="C217" s="196"/>
      <c r="D217" s="196"/>
      <c r="E217" s="196"/>
      <c r="F217" s="196"/>
      <c r="G217" s="196"/>
      <c r="H217" s="196"/>
    </row>
    <row r="218" spans="2:8" ht="15.75" customHeight="1" x14ac:dyDescent="0.2">
      <c r="B218" s="196"/>
      <c r="C218" s="196"/>
      <c r="D218" s="196"/>
      <c r="E218" s="196"/>
      <c r="F218" s="196"/>
      <c r="G218" s="196"/>
      <c r="H218" s="196"/>
    </row>
    <row r="219" spans="2:8" ht="15.75" customHeight="1" x14ac:dyDescent="0.2">
      <c r="B219" s="196"/>
      <c r="C219" s="196"/>
      <c r="D219" s="196"/>
      <c r="E219" s="196"/>
      <c r="F219" s="196"/>
      <c r="G219" s="196"/>
      <c r="H219" s="196"/>
    </row>
    <row r="220" spans="2:8" ht="15.75" customHeight="1" x14ac:dyDescent="0.2">
      <c r="B220" s="196"/>
      <c r="C220" s="196"/>
      <c r="D220" s="196"/>
      <c r="E220" s="196"/>
      <c r="F220" s="196"/>
      <c r="G220" s="196"/>
      <c r="H220" s="196"/>
    </row>
    <row r="221" spans="2:8" ht="15.75" customHeight="1" x14ac:dyDescent="0.2">
      <c r="B221" s="196"/>
      <c r="C221" s="196"/>
      <c r="D221" s="196"/>
      <c r="E221" s="196"/>
      <c r="F221" s="196"/>
      <c r="G221" s="196"/>
      <c r="H221" s="196"/>
    </row>
    <row r="222" spans="2:8" ht="15.75" customHeight="1" x14ac:dyDescent="0.2">
      <c r="B222" s="196"/>
      <c r="C222" s="196"/>
      <c r="D222" s="196"/>
      <c r="E222" s="196"/>
      <c r="F222" s="196"/>
      <c r="G222" s="196"/>
      <c r="H222" s="196"/>
    </row>
    <row r="223" spans="2:8" ht="15.75" customHeight="1" x14ac:dyDescent="0.2">
      <c r="B223" s="196"/>
      <c r="C223" s="196"/>
      <c r="D223" s="196"/>
      <c r="E223" s="196"/>
      <c r="F223" s="196"/>
      <c r="G223" s="196"/>
      <c r="H223" s="196"/>
    </row>
    <row r="224" spans="2:8" ht="15.75" customHeight="1" x14ac:dyDescent="0.2">
      <c r="B224" s="196"/>
      <c r="C224" s="196"/>
      <c r="D224" s="196"/>
      <c r="E224" s="196"/>
      <c r="F224" s="196"/>
      <c r="G224" s="196"/>
      <c r="H224" s="196"/>
    </row>
    <row r="225" spans="2:8" ht="15.75" customHeight="1" x14ac:dyDescent="0.2">
      <c r="B225" s="196"/>
      <c r="C225" s="196"/>
      <c r="D225" s="196"/>
      <c r="E225" s="196"/>
      <c r="F225" s="196"/>
      <c r="G225" s="196"/>
      <c r="H225" s="196"/>
    </row>
    <row r="226" spans="2:8" ht="15.75" customHeight="1" x14ac:dyDescent="0.2">
      <c r="B226" s="196"/>
      <c r="C226" s="196"/>
      <c r="D226" s="196"/>
      <c r="E226" s="196"/>
      <c r="F226" s="196"/>
      <c r="G226" s="196"/>
      <c r="H226" s="196"/>
    </row>
    <row r="227" spans="2:8" ht="15.75" customHeight="1" x14ac:dyDescent="0.2">
      <c r="B227" s="196"/>
      <c r="C227" s="196"/>
      <c r="D227" s="196"/>
      <c r="E227" s="196"/>
      <c r="F227" s="196"/>
      <c r="G227" s="196"/>
      <c r="H227" s="196"/>
    </row>
    <row r="228" spans="2:8" ht="15.75" customHeight="1" x14ac:dyDescent="0.2">
      <c r="B228" s="196"/>
      <c r="C228" s="196"/>
      <c r="D228" s="196"/>
      <c r="E228" s="196"/>
      <c r="F228" s="196"/>
      <c r="G228" s="196"/>
      <c r="H228" s="196"/>
    </row>
    <row r="229" spans="2:8" ht="15.75" customHeight="1" x14ac:dyDescent="0.2">
      <c r="B229" s="196"/>
      <c r="C229" s="196"/>
      <c r="D229" s="196"/>
      <c r="E229" s="196"/>
      <c r="F229" s="196"/>
      <c r="G229" s="196"/>
      <c r="H229" s="196"/>
    </row>
    <row r="230" spans="2:8" ht="15.75" customHeight="1" x14ac:dyDescent="0.2">
      <c r="B230" s="196"/>
      <c r="C230" s="196"/>
      <c r="D230" s="196"/>
      <c r="E230" s="196"/>
      <c r="F230" s="196"/>
      <c r="G230" s="196"/>
      <c r="H230" s="196"/>
    </row>
    <row r="231" spans="2:8" ht="15.75" customHeight="1" x14ac:dyDescent="0.2">
      <c r="B231" s="196"/>
      <c r="C231" s="196"/>
      <c r="D231" s="196"/>
      <c r="E231" s="196"/>
      <c r="F231" s="196"/>
      <c r="G231" s="196"/>
      <c r="H231" s="196"/>
    </row>
    <row r="232" spans="2:8" ht="15.75" customHeight="1" x14ac:dyDescent="0.2">
      <c r="B232" s="196"/>
      <c r="C232" s="196"/>
      <c r="D232" s="196"/>
      <c r="E232" s="196"/>
      <c r="F232" s="196"/>
      <c r="G232" s="196"/>
      <c r="H232" s="196"/>
    </row>
    <row r="233" spans="2:8" ht="15.75" customHeight="1" x14ac:dyDescent="0.2">
      <c r="B233" s="196"/>
      <c r="C233" s="196"/>
      <c r="D233" s="196"/>
      <c r="E233" s="196"/>
      <c r="F233" s="196"/>
      <c r="G233" s="196"/>
      <c r="H233" s="196"/>
    </row>
    <row r="234" spans="2:8" ht="15.75" customHeight="1" x14ac:dyDescent="0.2">
      <c r="B234" s="196"/>
      <c r="C234" s="196"/>
      <c r="D234" s="196"/>
      <c r="E234" s="196"/>
      <c r="F234" s="196"/>
      <c r="G234" s="196"/>
      <c r="H234" s="196"/>
    </row>
    <row r="235" spans="2:8" ht="15.75" customHeight="1" x14ac:dyDescent="0.2">
      <c r="B235" s="196"/>
      <c r="C235" s="196"/>
      <c r="D235" s="196"/>
      <c r="E235" s="196"/>
      <c r="F235" s="196"/>
      <c r="G235" s="196"/>
      <c r="H235" s="196"/>
    </row>
    <row r="236" spans="2:8" ht="15.75" customHeight="1" x14ac:dyDescent="0.2">
      <c r="B236" s="196"/>
      <c r="C236" s="196"/>
      <c r="D236" s="196"/>
      <c r="E236" s="196"/>
      <c r="F236" s="196"/>
      <c r="G236" s="196"/>
      <c r="H236" s="196"/>
    </row>
    <row r="237" spans="2:8" ht="15.75" customHeight="1" x14ac:dyDescent="0.2">
      <c r="B237" s="196"/>
      <c r="C237" s="196"/>
      <c r="D237" s="196"/>
      <c r="E237" s="196"/>
      <c r="F237" s="196"/>
      <c r="G237" s="196"/>
      <c r="H237" s="196"/>
    </row>
    <row r="238" spans="2:8" ht="15.75" customHeight="1" x14ac:dyDescent="0.2">
      <c r="B238" s="196"/>
      <c r="C238" s="196"/>
      <c r="D238" s="196"/>
      <c r="E238" s="196"/>
      <c r="F238" s="196"/>
      <c r="G238" s="196"/>
      <c r="H238" s="196"/>
    </row>
    <row r="239" spans="2:8" ht="15.75" customHeight="1" x14ac:dyDescent="0.2">
      <c r="B239" s="196"/>
      <c r="C239" s="196"/>
      <c r="D239" s="196"/>
      <c r="E239" s="196"/>
      <c r="F239" s="196"/>
      <c r="G239" s="196"/>
      <c r="H239" s="196"/>
    </row>
    <row r="240" spans="2:8" ht="15.75" customHeight="1" x14ac:dyDescent="0.2">
      <c r="B240" s="196"/>
      <c r="C240" s="196"/>
      <c r="D240" s="196"/>
      <c r="E240" s="196"/>
      <c r="F240" s="196"/>
      <c r="G240" s="196"/>
      <c r="H240" s="196"/>
    </row>
    <row r="241" spans="2:8" ht="15.75" customHeight="1" x14ac:dyDescent="0.2">
      <c r="B241" s="196"/>
      <c r="C241" s="196"/>
      <c r="D241" s="196"/>
      <c r="E241" s="196"/>
      <c r="F241" s="196"/>
      <c r="G241" s="196"/>
      <c r="H241" s="196"/>
    </row>
    <row r="242" spans="2:8" ht="15.75" customHeight="1" x14ac:dyDescent="0.2">
      <c r="B242" s="196"/>
      <c r="C242" s="196"/>
      <c r="D242" s="196"/>
      <c r="E242" s="196"/>
      <c r="F242" s="196"/>
      <c r="G242" s="196"/>
      <c r="H242" s="196"/>
    </row>
    <row r="243" spans="2:8" ht="15.75" customHeight="1" x14ac:dyDescent="0.2">
      <c r="B243" s="196"/>
      <c r="C243" s="196"/>
      <c r="D243" s="196"/>
      <c r="E243" s="196"/>
      <c r="F243" s="196"/>
      <c r="G243" s="196"/>
      <c r="H243" s="196"/>
    </row>
    <row r="244" spans="2:8" ht="15.75" customHeight="1" x14ac:dyDescent="0.2">
      <c r="B244" s="196"/>
      <c r="C244" s="196"/>
      <c r="D244" s="196"/>
      <c r="E244" s="196"/>
      <c r="F244" s="196"/>
      <c r="G244" s="196"/>
      <c r="H244" s="196"/>
    </row>
    <row r="245" spans="2:8" ht="15.75" customHeight="1" x14ac:dyDescent="0.2">
      <c r="B245" s="196"/>
      <c r="C245" s="196"/>
      <c r="D245" s="196"/>
      <c r="E245" s="196"/>
      <c r="F245" s="196"/>
      <c r="G245" s="196"/>
      <c r="H245" s="196"/>
    </row>
    <row r="246" spans="2:8" ht="15.75" customHeight="1" x14ac:dyDescent="0.2">
      <c r="B246" s="196"/>
      <c r="C246" s="196"/>
      <c r="D246" s="196"/>
      <c r="E246" s="196"/>
      <c r="F246" s="196"/>
      <c r="G246" s="196"/>
      <c r="H246" s="196"/>
    </row>
    <row r="247" spans="2:8" ht="15.75" customHeight="1" x14ac:dyDescent="0.2">
      <c r="B247" s="196"/>
      <c r="C247" s="196"/>
      <c r="D247" s="196"/>
      <c r="E247" s="196"/>
      <c r="F247" s="196"/>
      <c r="G247" s="196"/>
      <c r="H247" s="196"/>
    </row>
    <row r="248" spans="2:8" ht="15.75" customHeight="1" x14ac:dyDescent="0.2">
      <c r="B248" s="196"/>
      <c r="C248" s="196"/>
      <c r="D248" s="196"/>
      <c r="E248" s="196"/>
      <c r="F248" s="196"/>
      <c r="G248" s="196"/>
      <c r="H248" s="196"/>
    </row>
    <row r="249" spans="2:8" ht="15.75" customHeight="1" x14ac:dyDescent="0.2">
      <c r="B249" s="196"/>
      <c r="C249" s="196"/>
      <c r="D249" s="196"/>
      <c r="E249" s="196"/>
      <c r="F249" s="196"/>
      <c r="G249" s="196"/>
      <c r="H249" s="196"/>
    </row>
    <row r="250" spans="2:8" ht="15.75" customHeight="1" x14ac:dyDescent="0.2">
      <c r="B250" s="196"/>
      <c r="C250" s="196"/>
      <c r="D250" s="196"/>
      <c r="E250" s="196"/>
      <c r="F250" s="196"/>
      <c r="G250" s="196"/>
      <c r="H250" s="196"/>
    </row>
    <row r="251" spans="2:8" ht="15.75" customHeight="1" x14ac:dyDescent="0.2">
      <c r="B251" s="196"/>
      <c r="C251" s="196"/>
      <c r="D251" s="196"/>
      <c r="E251" s="196"/>
      <c r="F251" s="196"/>
      <c r="G251" s="196"/>
      <c r="H251" s="196"/>
    </row>
    <row r="252" spans="2:8" ht="15.75" customHeight="1" x14ac:dyDescent="0.2">
      <c r="B252" s="196"/>
      <c r="C252" s="196"/>
      <c r="D252" s="196"/>
      <c r="E252" s="196"/>
      <c r="F252" s="196"/>
      <c r="G252" s="196"/>
      <c r="H252" s="196"/>
    </row>
    <row r="253" spans="2:8" ht="15.75" customHeight="1" x14ac:dyDescent="0.2">
      <c r="B253" s="196"/>
      <c r="C253" s="196"/>
      <c r="D253" s="196"/>
      <c r="E253" s="196"/>
      <c r="F253" s="196"/>
      <c r="G253" s="196"/>
      <c r="H253" s="196"/>
    </row>
    <row r="254" spans="2:8" ht="15.75" customHeight="1" x14ac:dyDescent="0.2">
      <c r="B254" s="196"/>
      <c r="C254" s="196"/>
      <c r="D254" s="196"/>
      <c r="E254" s="196"/>
      <c r="F254" s="196"/>
      <c r="G254" s="196"/>
      <c r="H254" s="196"/>
    </row>
    <row r="255" spans="2:8" ht="15.75" customHeight="1" x14ac:dyDescent="0.2">
      <c r="B255" s="196"/>
      <c r="C255" s="196"/>
      <c r="D255" s="196"/>
      <c r="E255" s="196"/>
      <c r="F255" s="196"/>
      <c r="G255" s="196"/>
      <c r="H255" s="196"/>
    </row>
    <row r="256" spans="2:8" ht="15.75" customHeight="1" x14ac:dyDescent="0.2">
      <c r="B256" s="196"/>
      <c r="C256" s="196"/>
      <c r="D256" s="196"/>
      <c r="E256" s="196"/>
      <c r="F256" s="196"/>
      <c r="G256" s="196"/>
      <c r="H256" s="196"/>
    </row>
    <row r="257" spans="2:8" ht="15.75" customHeight="1" x14ac:dyDescent="0.2">
      <c r="B257" s="196"/>
      <c r="C257" s="196"/>
      <c r="D257" s="196"/>
      <c r="E257" s="196"/>
      <c r="F257" s="196"/>
      <c r="G257" s="196"/>
      <c r="H257" s="196"/>
    </row>
    <row r="258" spans="2:8" ht="15.75" customHeight="1" x14ac:dyDescent="0.2">
      <c r="B258" s="196"/>
      <c r="C258" s="196"/>
      <c r="D258" s="196"/>
      <c r="E258" s="196"/>
      <c r="F258" s="196"/>
      <c r="G258" s="196"/>
      <c r="H258" s="196"/>
    </row>
    <row r="259" spans="2:8" ht="15.75" customHeight="1" x14ac:dyDescent="0.2">
      <c r="B259" s="196"/>
      <c r="C259" s="196"/>
      <c r="D259" s="196"/>
      <c r="E259" s="196"/>
      <c r="F259" s="196"/>
      <c r="G259" s="196"/>
      <c r="H259" s="196"/>
    </row>
    <row r="260" spans="2:8" ht="15.75" customHeight="1" x14ac:dyDescent="0.2">
      <c r="B260" s="196"/>
      <c r="C260" s="196"/>
      <c r="D260" s="196"/>
      <c r="E260" s="196"/>
      <c r="F260" s="196"/>
      <c r="G260" s="196"/>
      <c r="H260" s="196"/>
    </row>
    <row r="261" spans="2:8" ht="15.75" customHeight="1" x14ac:dyDescent="0.2">
      <c r="B261" s="196"/>
      <c r="C261" s="196"/>
      <c r="D261" s="196"/>
      <c r="E261" s="196"/>
      <c r="F261" s="196"/>
      <c r="G261" s="196"/>
      <c r="H261" s="196"/>
    </row>
    <row r="262" spans="2:8" ht="15.75" customHeight="1" x14ac:dyDescent="0.2">
      <c r="B262" s="196"/>
      <c r="C262" s="196"/>
      <c r="D262" s="196"/>
      <c r="E262" s="196"/>
      <c r="F262" s="196"/>
      <c r="G262" s="196"/>
      <c r="H262" s="196"/>
    </row>
    <row r="263" spans="2:8" ht="15.75" customHeight="1" x14ac:dyDescent="0.2">
      <c r="B263" s="196"/>
      <c r="C263" s="196"/>
      <c r="D263" s="196"/>
      <c r="E263" s="196"/>
      <c r="F263" s="196"/>
      <c r="G263" s="196"/>
      <c r="H263" s="196"/>
    </row>
    <row r="264" spans="2:8" ht="15.75" customHeight="1" x14ac:dyDescent="0.2">
      <c r="B264" s="196"/>
      <c r="C264" s="196"/>
      <c r="D264" s="196"/>
      <c r="E264" s="196"/>
      <c r="F264" s="196"/>
      <c r="G264" s="196"/>
      <c r="H264" s="196"/>
    </row>
    <row r="265" spans="2:8" ht="15.75" customHeight="1" x14ac:dyDescent="0.2">
      <c r="B265" s="196"/>
      <c r="C265" s="196"/>
      <c r="D265" s="196"/>
      <c r="E265" s="196"/>
      <c r="F265" s="196"/>
      <c r="G265" s="196"/>
      <c r="H265" s="196"/>
    </row>
    <row r="266" spans="2:8" ht="15.75" customHeight="1" x14ac:dyDescent="0.2">
      <c r="B266" s="196"/>
      <c r="C266" s="196"/>
      <c r="D266" s="196"/>
      <c r="E266" s="196"/>
      <c r="F266" s="196"/>
      <c r="G266" s="196"/>
      <c r="H266" s="196"/>
    </row>
    <row r="267" spans="2:8" ht="15.75" customHeight="1" x14ac:dyDescent="0.2">
      <c r="B267" s="196"/>
      <c r="C267" s="196"/>
      <c r="D267" s="196"/>
      <c r="E267" s="196"/>
      <c r="F267" s="196"/>
      <c r="G267" s="196"/>
      <c r="H267" s="196"/>
    </row>
    <row r="268" spans="2:8" ht="15.75" customHeight="1" x14ac:dyDescent="0.2">
      <c r="B268" s="196"/>
      <c r="C268" s="196"/>
      <c r="D268" s="196"/>
      <c r="E268" s="196"/>
      <c r="F268" s="196"/>
      <c r="G268" s="196"/>
      <c r="H268" s="196"/>
    </row>
    <row r="269" spans="2:8" ht="15.75" customHeight="1" x14ac:dyDescent="0.2">
      <c r="B269" s="196"/>
      <c r="C269" s="196"/>
      <c r="D269" s="196"/>
      <c r="E269" s="196"/>
      <c r="F269" s="196"/>
      <c r="G269" s="196"/>
      <c r="H269" s="196"/>
    </row>
    <row r="270" spans="2:8" ht="15.75" customHeight="1" x14ac:dyDescent="0.2">
      <c r="B270" s="196"/>
      <c r="C270" s="196"/>
      <c r="D270" s="196"/>
      <c r="E270" s="196"/>
      <c r="F270" s="196"/>
      <c r="G270" s="196"/>
      <c r="H270" s="196"/>
    </row>
    <row r="271" spans="2:8" ht="15.75" customHeight="1" x14ac:dyDescent="0.2">
      <c r="B271" s="196"/>
      <c r="C271" s="196"/>
      <c r="D271" s="196"/>
      <c r="E271" s="196"/>
      <c r="F271" s="196"/>
      <c r="G271" s="196"/>
      <c r="H271" s="196"/>
    </row>
    <row r="272" spans="2:8" ht="15.75" customHeight="1" x14ac:dyDescent="0.2">
      <c r="B272" s="196"/>
      <c r="C272" s="196"/>
      <c r="D272" s="196"/>
      <c r="E272" s="196"/>
      <c r="F272" s="196"/>
      <c r="G272" s="196"/>
      <c r="H272" s="196"/>
    </row>
    <row r="273" spans="2:8" ht="15.75" customHeight="1" x14ac:dyDescent="0.2">
      <c r="B273" s="196"/>
      <c r="C273" s="196"/>
      <c r="D273" s="196"/>
      <c r="E273" s="196"/>
      <c r="F273" s="196"/>
      <c r="G273" s="196"/>
      <c r="H273" s="196"/>
    </row>
    <row r="274" spans="2:8" ht="15.75" customHeight="1" x14ac:dyDescent="0.2">
      <c r="B274" s="196"/>
      <c r="C274" s="196"/>
      <c r="D274" s="196"/>
      <c r="E274" s="196"/>
      <c r="F274" s="196"/>
      <c r="G274" s="196"/>
      <c r="H274" s="196"/>
    </row>
    <row r="275" spans="2:8" ht="15.75" customHeight="1" x14ac:dyDescent="0.2">
      <c r="B275" s="196"/>
      <c r="C275" s="196"/>
      <c r="D275" s="196"/>
      <c r="E275" s="196"/>
      <c r="F275" s="196"/>
      <c r="G275" s="196"/>
      <c r="H275" s="196"/>
    </row>
    <row r="276" spans="2:8" ht="15.75" customHeight="1" x14ac:dyDescent="0.2">
      <c r="B276" s="196"/>
      <c r="C276" s="196"/>
      <c r="D276" s="196"/>
      <c r="E276" s="196"/>
      <c r="F276" s="196"/>
      <c r="G276" s="196"/>
      <c r="H276" s="196"/>
    </row>
    <row r="277" spans="2:8" ht="15.75" customHeight="1" x14ac:dyDescent="0.2">
      <c r="B277" s="196"/>
      <c r="C277" s="196"/>
      <c r="D277" s="196"/>
      <c r="E277" s="196"/>
      <c r="F277" s="196"/>
      <c r="G277" s="196"/>
      <c r="H277" s="196"/>
    </row>
    <row r="278" spans="2:8" ht="15.75" customHeight="1" x14ac:dyDescent="0.2">
      <c r="B278" s="196"/>
      <c r="C278" s="196"/>
      <c r="D278" s="196"/>
      <c r="E278" s="196"/>
      <c r="F278" s="196"/>
      <c r="G278" s="196"/>
      <c r="H278" s="196"/>
    </row>
    <row r="279" spans="2:8" ht="15.75" customHeight="1" x14ac:dyDescent="0.2">
      <c r="B279" s="196"/>
      <c r="C279" s="196"/>
      <c r="D279" s="196"/>
      <c r="E279" s="196"/>
      <c r="F279" s="196"/>
      <c r="G279" s="196"/>
      <c r="H279" s="196"/>
    </row>
    <row r="280" spans="2:8" ht="15.75" customHeight="1" x14ac:dyDescent="0.2">
      <c r="B280" s="196"/>
      <c r="C280" s="196"/>
      <c r="D280" s="196"/>
      <c r="E280" s="196"/>
      <c r="F280" s="196"/>
      <c r="G280" s="196"/>
      <c r="H280" s="196"/>
    </row>
    <row r="281" spans="2:8" ht="15.75" customHeight="1" x14ac:dyDescent="0.2">
      <c r="B281" s="196"/>
      <c r="C281" s="196"/>
      <c r="D281" s="196"/>
      <c r="E281" s="196"/>
      <c r="F281" s="196"/>
      <c r="G281" s="196"/>
      <c r="H281" s="196"/>
    </row>
    <row r="282" spans="2:8" ht="15.75" customHeight="1" x14ac:dyDescent="0.2">
      <c r="B282" s="196"/>
      <c r="C282" s="196"/>
      <c r="D282" s="196"/>
      <c r="E282" s="196"/>
      <c r="F282" s="196"/>
      <c r="G282" s="196"/>
      <c r="H282" s="196"/>
    </row>
    <row r="283" spans="2:8" ht="15.75" customHeight="1" x14ac:dyDescent="0.2">
      <c r="B283" s="196"/>
      <c r="C283" s="196"/>
      <c r="D283" s="196"/>
      <c r="E283" s="196"/>
      <c r="F283" s="196"/>
      <c r="G283" s="196"/>
      <c r="H283" s="196"/>
    </row>
    <row r="284" spans="2:8" ht="15.75" customHeight="1" x14ac:dyDescent="0.2">
      <c r="B284" s="196"/>
      <c r="C284" s="196"/>
      <c r="D284" s="196"/>
      <c r="E284" s="196"/>
      <c r="F284" s="196"/>
      <c r="G284" s="196"/>
      <c r="H284" s="196"/>
    </row>
    <row r="285" spans="2:8" ht="15.75" customHeight="1" x14ac:dyDescent="0.2">
      <c r="B285" s="196"/>
      <c r="C285" s="196"/>
      <c r="D285" s="196"/>
      <c r="E285" s="196"/>
      <c r="F285" s="196"/>
      <c r="G285" s="196"/>
      <c r="H285" s="196"/>
    </row>
    <row r="286" spans="2:8" ht="15.75" customHeight="1" x14ac:dyDescent="0.2">
      <c r="B286" s="196"/>
      <c r="C286" s="196"/>
      <c r="D286" s="196"/>
      <c r="E286" s="196"/>
      <c r="F286" s="196"/>
      <c r="G286" s="196"/>
      <c r="H286" s="196"/>
    </row>
    <row r="287" spans="2:8" ht="15.75" customHeight="1" x14ac:dyDescent="0.2">
      <c r="B287" s="196"/>
      <c r="C287" s="196"/>
      <c r="D287" s="196"/>
      <c r="E287" s="196"/>
      <c r="F287" s="196"/>
      <c r="G287" s="196"/>
      <c r="H287" s="196"/>
    </row>
    <row r="288" spans="2:8" ht="15.75" customHeight="1" x14ac:dyDescent="0.2">
      <c r="B288" s="196"/>
      <c r="C288" s="196"/>
      <c r="D288" s="196"/>
      <c r="E288" s="196"/>
      <c r="F288" s="196"/>
      <c r="G288" s="196"/>
      <c r="H288" s="196"/>
    </row>
    <row r="289" spans="2:8" ht="15.75" customHeight="1" x14ac:dyDescent="0.2">
      <c r="B289" s="196"/>
      <c r="C289" s="196"/>
      <c r="D289" s="196"/>
      <c r="E289" s="196"/>
      <c r="F289" s="196"/>
      <c r="G289" s="196"/>
      <c r="H289" s="196"/>
    </row>
    <row r="290" spans="2:8" ht="15.75" customHeight="1" x14ac:dyDescent="0.2">
      <c r="B290" s="196"/>
      <c r="C290" s="196"/>
      <c r="D290" s="196"/>
      <c r="E290" s="196"/>
      <c r="F290" s="196"/>
      <c r="G290" s="196"/>
      <c r="H290" s="196"/>
    </row>
    <row r="291" spans="2:8" ht="15.75" customHeight="1" x14ac:dyDescent="0.2">
      <c r="B291" s="196"/>
      <c r="C291" s="196"/>
      <c r="D291" s="196"/>
      <c r="E291" s="196"/>
      <c r="F291" s="196"/>
      <c r="G291" s="196"/>
      <c r="H291" s="196"/>
    </row>
    <row r="292" spans="2:8" ht="15.75" customHeight="1" x14ac:dyDescent="0.2">
      <c r="B292" s="196"/>
      <c r="C292" s="196"/>
      <c r="D292" s="196"/>
      <c r="E292" s="196"/>
      <c r="F292" s="196"/>
      <c r="G292" s="196"/>
      <c r="H292" s="196"/>
    </row>
    <row r="293" spans="2:8" ht="15.75" customHeight="1" x14ac:dyDescent="0.2">
      <c r="B293" s="196"/>
      <c r="C293" s="196"/>
      <c r="D293" s="196"/>
      <c r="E293" s="196"/>
      <c r="F293" s="196"/>
      <c r="G293" s="196"/>
      <c r="H293" s="196"/>
    </row>
    <row r="294" spans="2:8" ht="15.75" customHeight="1" x14ac:dyDescent="0.2">
      <c r="B294" s="196"/>
      <c r="C294" s="196"/>
      <c r="D294" s="196"/>
      <c r="E294" s="196"/>
      <c r="F294" s="196"/>
      <c r="G294" s="196"/>
      <c r="H294" s="196"/>
    </row>
    <row r="295" spans="2:8" ht="15.75" customHeight="1" x14ac:dyDescent="0.2">
      <c r="B295" s="196"/>
      <c r="C295" s="196"/>
      <c r="D295" s="196"/>
      <c r="E295" s="196"/>
      <c r="F295" s="196"/>
      <c r="G295" s="196"/>
      <c r="H295" s="196"/>
    </row>
    <row r="296" spans="2:8" ht="15.75" customHeight="1" x14ac:dyDescent="0.2">
      <c r="B296" s="196"/>
      <c r="C296" s="196"/>
      <c r="D296" s="196"/>
      <c r="E296" s="196"/>
      <c r="F296" s="196"/>
      <c r="G296" s="196"/>
      <c r="H296" s="196"/>
    </row>
    <row r="297" spans="2:8" ht="15.75" customHeight="1" x14ac:dyDescent="0.2">
      <c r="B297" s="196"/>
      <c r="C297" s="196"/>
      <c r="D297" s="196"/>
      <c r="E297" s="196"/>
      <c r="F297" s="196"/>
      <c r="G297" s="196"/>
      <c r="H297" s="196"/>
    </row>
    <row r="298" spans="2:8" ht="15.75" customHeight="1" x14ac:dyDescent="0.2">
      <c r="B298" s="196"/>
      <c r="C298" s="196"/>
      <c r="D298" s="196"/>
      <c r="E298" s="196"/>
      <c r="F298" s="196"/>
      <c r="G298" s="196"/>
      <c r="H298" s="196"/>
    </row>
    <row r="299" spans="2:8" ht="15.75" customHeight="1" x14ac:dyDescent="0.2">
      <c r="B299" s="196"/>
      <c r="C299" s="196"/>
      <c r="D299" s="196"/>
      <c r="E299" s="196"/>
      <c r="F299" s="196"/>
      <c r="G299" s="196"/>
      <c r="H299" s="196"/>
    </row>
    <row r="300" spans="2:8" ht="15.75" customHeight="1" x14ac:dyDescent="0.2">
      <c r="B300" s="196"/>
      <c r="C300" s="196"/>
      <c r="D300" s="196"/>
      <c r="E300" s="196"/>
      <c r="F300" s="196"/>
      <c r="G300" s="196"/>
      <c r="H300" s="196"/>
    </row>
    <row r="301" spans="2:8" ht="15.75" customHeight="1" x14ac:dyDescent="0.2">
      <c r="B301" s="196"/>
      <c r="C301" s="196"/>
      <c r="D301" s="196"/>
      <c r="E301" s="196"/>
      <c r="F301" s="196"/>
      <c r="G301" s="196"/>
      <c r="H301" s="196"/>
    </row>
    <row r="302" spans="2:8" ht="15.75" customHeight="1" x14ac:dyDescent="0.2">
      <c r="B302" s="196"/>
      <c r="C302" s="196"/>
      <c r="D302" s="196"/>
      <c r="E302" s="196"/>
      <c r="F302" s="196"/>
      <c r="G302" s="196"/>
      <c r="H302" s="196"/>
    </row>
    <row r="303" spans="2:8" ht="15.75" customHeight="1" x14ac:dyDescent="0.2">
      <c r="B303" s="196"/>
      <c r="C303" s="196"/>
      <c r="D303" s="196"/>
      <c r="E303" s="196"/>
      <c r="F303" s="196"/>
      <c r="G303" s="196"/>
      <c r="H303" s="196"/>
    </row>
    <row r="304" spans="2:8" ht="15.75" customHeight="1" x14ac:dyDescent="0.2">
      <c r="B304" s="196"/>
      <c r="C304" s="196"/>
      <c r="D304" s="196"/>
      <c r="E304" s="196"/>
      <c r="F304" s="196"/>
      <c r="G304" s="196"/>
      <c r="H304" s="196"/>
    </row>
    <row r="305" spans="2:8" ht="15.75" customHeight="1" x14ac:dyDescent="0.2">
      <c r="B305" s="196"/>
      <c r="C305" s="196"/>
      <c r="D305" s="196"/>
      <c r="E305" s="196"/>
      <c r="F305" s="196"/>
      <c r="G305" s="196"/>
      <c r="H305" s="196"/>
    </row>
    <row r="306" spans="2:8" ht="15.75" customHeight="1" x14ac:dyDescent="0.2">
      <c r="B306" s="196"/>
      <c r="C306" s="196"/>
      <c r="D306" s="196"/>
      <c r="E306" s="196"/>
      <c r="F306" s="196"/>
      <c r="G306" s="196"/>
      <c r="H306" s="196"/>
    </row>
    <row r="307" spans="2:8" ht="15.75" customHeight="1" x14ac:dyDescent="0.2">
      <c r="B307" s="196"/>
      <c r="C307" s="196"/>
      <c r="D307" s="196"/>
      <c r="E307" s="196"/>
      <c r="F307" s="196"/>
      <c r="G307" s="196"/>
      <c r="H307" s="196"/>
    </row>
    <row r="308" spans="2:8" ht="15.75" customHeight="1" x14ac:dyDescent="0.2">
      <c r="B308" s="196"/>
      <c r="C308" s="196"/>
      <c r="D308" s="196"/>
      <c r="E308" s="196"/>
      <c r="F308" s="196"/>
      <c r="G308" s="196"/>
      <c r="H308" s="196"/>
    </row>
    <row r="309" spans="2:8" ht="15.75" customHeight="1" x14ac:dyDescent="0.2">
      <c r="B309" s="196"/>
      <c r="C309" s="196"/>
      <c r="D309" s="196"/>
      <c r="E309" s="196"/>
      <c r="F309" s="196"/>
      <c r="G309" s="196"/>
      <c r="H309" s="196"/>
    </row>
    <row r="310" spans="2:8" ht="15.75" customHeight="1" x14ac:dyDescent="0.2">
      <c r="B310" s="196"/>
      <c r="C310" s="196"/>
      <c r="D310" s="196"/>
      <c r="E310" s="196"/>
      <c r="F310" s="196"/>
      <c r="G310" s="196"/>
      <c r="H310" s="196"/>
    </row>
    <row r="311" spans="2:8" ht="15.75" customHeight="1" x14ac:dyDescent="0.2">
      <c r="B311" s="196"/>
      <c r="C311" s="196"/>
      <c r="D311" s="196"/>
      <c r="E311" s="196"/>
      <c r="F311" s="196"/>
      <c r="G311" s="196"/>
      <c r="H311" s="196"/>
    </row>
    <row r="312" spans="2:8" ht="15.75" customHeight="1" x14ac:dyDescent="0.2">
      <c r="B312" s="196"/>
      <c r="C312" s="196"/>
      <c r="D312" s="196"/>
      <c r="E312" s="196"/>
      <c r="F312" s="196"/>
      <c r="G312" s="196"/>
      <c r="H312" s="196"/>
    </row>
    <row r="313" spans="2:8" ht="15.75" customHeight="1" x14ac:dyDescent="0.2">
      <c r="B313" s="196"/>
      <c r="C313" s="196"/>
      <c r="D313" s="196"/>
      <c r="E313" s="196"/>
      <c r="F313" s="196"/>
      <c r="G313" s="196"/>
      <c r="H313" s="196"/>
    </row>
    <row r="314" spans="2:8" ht="15.75" customHeight="1" x14ac:dyDescent="0.2">
      <c r="B314" s="196"/>
      <c r="C314" s="196"/>
      <c r="D314" s="196"/>
      <c r="E314" s="196"/>
      <c r="F314" s="196"/>
      <c r="G314" s="196"/>
      <c r="H314" s="196"/>
    </row>
    <row r="315" spans="2:8" ht="15.75" customHeight="1" x14ac:dyDescent="0.2">
      <c r="B315" s="196"/>
      <c r="C315" s="196"/>
      <c r="D315" s="196"/>
      <c r="E315" s="196"/>
      <c r="F315" s="196"/>
      <c r="G315" s="196"/>
      <c r="H315" s="196"/>
    </row>
    <row r="316" spans="2:8" ht="15.75" customHeight="1" x14ac:dyDescent="0.2">
      <c r="B316" s="196"/>
      <c r="C316" s="196"/>
      <c r="D316" s="196"/>
      <c r="E316" s="196"/>
      <c r="F316" s="196"/>
      <c r="G316" s="196"/>
      <c r="H316" s="196"/>
    </row>
    <row r="317" spans="2:8" ht="15.75" customHeight="1" x14ac:dyDescent="0.2">
      <c r="B317" s="196"/>
      <c r="C317" s="196"/>
      <c r="D317" s="196"/>
      <c r="E317" s="196"/>
      <c r="F317" s="196"/>
      <c r="G317" s="196"/>
      <c r="H317" s="196"/>
    </row>
    <row r="318" spans="2:8" ht="15.75" customHeight="1" x14ac:dyDescent="0.2">
      <c r="B318" s="196"/>
      <c r="C318" s="196"/>
      <c r="D318" s="196"/>
      <c r="E318" s="196"/>
      <c r="F318" s="196"/>
      <c r="G318" s="196"/>
      <c r="H318" s="196"/>
    </row>
    <row r="319" spans="2:8" ht="15.75" customHeight="1" x14ac:dyDescent="0.2">
      <c r="B319" s="196"/>
      <c r="C319" s="196"/>
      <c r="D319" s="196"/>
      <c r="E319" s="196"/>
      <c r="F319" s="196"/>
      <c r="G319" s="196"/>
      <c r="H319" s="196"/>
    </row>
    <row r="320" spans="2:8" ht="15.75" customHeight="1" x14ac:dyDescent="0.2">
      <c r="B320" s="196"/>
      <c r="C320" s="196"/>
      <c r="D320" s="196"/>
      <c r="E320" s="196"/>
      <c r="F320" s="196"/>
      <c r="G320" s="196"/>
      <c r="H320" s="196"/>
    </row>
    <row r="321" spans="2:8" ht="15.75" customHeight="1" x14ac:dyDescent="0.2">
      <c r="B321" s="196"/>
      <c r="C321" s="196"/>
      <c r="D321" s="196"/>
      <c r="E321" s="196"/>
      <c r="F321" s="196"/>
      <c r="G321" s="196"/>
      <c r="H321" s="196"/>
    </row>
    <row r="322" spans="2:8" ht="15.75" customHeight="1" x14ac:dyDescent="0.2">
      <c r="B322" s="196"/>
      <c r="C322" s="196"/>
      <c r="D322" s="196"/>
      <c r="E322" s="196"/>
      <c r="F322" s="196"/>
      <c r="G322" s="196"/>
      <c r="H322" s="196"/>
    </row>
    <row r="323" spans="2:8" ht="15.75" customHeight="1" x14ac:dyDescent="0.2">
      <c r="B323" s="196"/>
      <c r="C323" s="196"/>
      <c r="D323" s="196"/>
      <c r="E323" s="196"/>
      <c r="F323" s="196"/>
      <c r="G323" s="196"/>
      <c r="H323" s="196"/>
    </row>
    <row r="324" spans="2:8" ht="15.75" customHeight="1" x14ac:dyDescent="0.2">
      <c r="B324" s="196"/>
      <c r="C324" s="196"/>
      <c r="D324" s="196"/>
      <c r="E324" s="196"/>
      <c r="F324" s="196"/>
      <c r="G324" s="196"/>
      <c r="H324" s="196"/>
    </row>
    <row r="325" spans="2:8" ht="15.75" customHeight="1" x14ac:dyDescent="0.2">
      <c r="B325" s="196"/>
      <c r="C325" s="196"/>
      <c r="D325" s="196"/>
      <c r="E325" s="196"/>
      <c r="F325" s="196"/>
      <c r="G325" s="196"/>
      <c r="H325" s="196"/>
    </row>
    <row r="326" spans="2:8" ht="15.75" customHeight="1" x14ac:dyDescent="0.2">
      <c r="B326" s="196"/>
      <c r="C326" s="196"/>
      <c r="D326" s="196"/>
      <c r="E326" s="196"/>
      <c r="F326" s="196"/>
      <c r="G326" s="196"/>
      <c r="H326" s="196"/>
    </row>
    <row r="327" spans="2:8" ht="15.75" customHeight="1" x14ac:dyDescent="0.2">
      <c r="B327" s="196"/>
      <c r="C327" s="196"/>
      <c r="D327" s="196"/>
      <c r="E327" s="196"/>
      <c r="F327" s="196"/>
      <c r="G327" s="196"/>
      <c r="H327" s="196"/>
    </row>
    <row r="328" spans="2:8" ht="15.75" customHeight="1" x14ac:dyDescent="0.2">
      <c r="B328" s="196"/>
      <c r="C328" s="196"/>
      <c r="D328" s="196"/>
      <c r="E328" s="196"/>
      <c r="F328" s="196"/>
      <c r="G328" s="196"/>
      <c r="H328" s="196"/>
    </row>
    <row r="329" spans="2:8" ht="15.75" customHeight="1" x14ac:dyDescent="0.2">
      <c r="B329" s="196"/>
      <c r="C329" s="196"/>
      <c r="D329" s="196"/>
      <c r="E329" s="196"/>
      <c r="F329" s="196"/>
      <c r="G329" s="196"/>
      <c r="H329" s="196"/>
    </row>
    <row r="330" spans="2:8" ht="15.75" customHeight="1" x14ac:dyDescent="0.2">
      <c r="B330" s="196"/>
      <c r="C330" s="196"/>
      <c r="D330" s="196"/>
      <c r="E330" s="196"/>
      <c r="F330" s="196"/>
      <c r="G330" s="196"/>
      <c r="H330" s="196"/>
    </row>
    <row r="331" spans="2:8" ht="15.75" customHeight="1" x14ac:dyDescent="0.2">
      <c r="B331" s="196"/>
      <c r="C331" s="196"/>
      <c r="D331" s="196"/>
      <c r="E331" s="196"/>
      <c r="F331" s="196"/>
      <c r="G331" s="196"/>
      <c r="H331" s="196"/>
    </row>
    <row r="332" spans="2:8" ht="15.75" customHeight="1" x14ac:dyDescent="0.2">
      <c r="B332" s="196"/>
      <c r="C332" s="196"/>
      <c r="D332" s="196"/>
      <c r="E332" s="196"/>
      <c r="F332" s="196"/>
      <c r="G332" s="196"/>
      <c r="H332" s="196"/>
    </row>
    <row r="333" spans="2:8" ht="15.75" customHeight="1" x14ac:dyDescent="0.2">
      <c r="B333" s="196"/>
      <c r="C333" s="196"/>
      <c r="D333" s="196"/>
      <c r="E333" s="196"/>
      <c r="F333" s="196"/>
      <c r="G333" s="196"/>
      <c r="H333" s="196"/>
    </row>
    <row r="334" spans="2:8" ht="15.75" customHeight="1" x14ac:dyDescent="0.2">
      <c r="B334" s="196"/>
      <c r="C334" s="196"/>
      <c r="D334" s="196"/>
      <c r="E334" s="196"/>
      <c r="F334" s="196"/>
      <c r="G334" s="196"/>
      <c r="H334" s="196"/>
    </row>
    <row r="335" spans="2:8" ht="15.75" customHeight="1" x14ac:dyDescent="0.2">
      <c r="B335" s="196"/>
      <c r="C335" s="196"/>
      <c r="D335" s="196"/>
      <c r="E335" s="196"/>
      <c r="F335" s="196"/>
      <c r="G335" s="196"/>
      <c r="H335" s="196"/>
    </row>
    <row r="336" spans="2:8" ht="15.75" customHeight="1" x14ac:dyDescent="0.2">
      <c r="B336" s="196"/>
      <c r="C336" s="196"/>
      <c r="D336" s="196"/>
      <c r="E336" s="196"/>
      <c r="F336" s="196"/>
      <c r="G336" s="196"/>
      <c r="H336" s="196"/>
    </row>
    <row r="337" spans="2:8" ht="15.75" customHeight="1" x14ac:dyDescent="0.2">
      <c r="B337" s="196"/>
      <c r="C337" s="196"/>
      <c r="D337" s="196"/>
      <c r="E337" s="196"/>
      <c r="F337" s="196"/>
      <c r="G337" s="196"/>
      <c r="H337" s="196"/>
    </row>
    <row r="338" spans="2:8" ht="15.75" customHeight="1" x14ac:dyDescent="0.2">
      <c r="B338" s="196"/>
      <c r="C338" s="196"/>
      <c r="D338" s="196"/>
      <c r="E338" s="196"/>
      <c r="F338" s="196"/>
      <c r="G338" s="196"/>
      <c r="H338" s="196"/>
    </row>
    <row r="339" spans="2:8" ht="15.75" customHeight="1" x14ac:dyDescent="0.2">
      <c r="B339" s="196"/>
      <c r="C339" s="196"/>
      <c r="D339" s="196"/>
      <c r="E339" s="196"/>
      <c r="F339" s="196"/>
      <c r="G339" s="196"/>
      <c r="H339" s="196"/>
    </row>
    <row r="340" spans="2:8" ht="15.75" customHeight="1" x14ac:dyDescent="0.2">
      <c r="B340" s="196"/>
      <c r="C340" s="196"/>
      <c r="D340" s="196"/>
      <c r="E340" s="196"/>
      <c r="F340" s="196"/>
      <c r="G340" s="196"/>
      <c r="H340" s="196"/>
    </row>
    <row r="341" spans="2:8" ht="15.75" customHeight="1" x14ac:dyDescent="0.2">
      <c r="B341" s="196"/>
      <c r="C341" s="196"/>
      <c r="D341" s="196"/>
      <c r="E341" s="196"/>
      <c r="F341" s="196"/>
      <c r="G341" s="196"/>
      <c r="H341" s="196"/>
    </row>
    <row r="342" spans="2:8" ht="15.75" customHeight="1" x14ac:dyDescent="0.2">
      <c r="B342" s="196"/>
      <c r="C342" s="196"/>
      <c r="D342" s="196"/>
      <c r="E342" s="196"/>
      <c r="F342" s="196"/>
      <c r="G342" s="196"/>
      <c r="H342" s="196"/>
    </row>
    <row r="343" spans="2:8" ht="15.75" customHeight="1" x14ac:dyDescent="0.2">
      <c r="B343" s="196"/>
      <c r="C343" s="196"/>
      <c r="D343" s="196"/>
      <c r="E343" s="196"/>
      <c r="F343" s="196"/>
      <c r="G343" s="196"/>
      <c r="H343" s="196"/>
    </row>
    <row r="344" spans="2:8" ht="15.75" customHeight="1" x14ac:dyDescent="0.2">
      <c r="B344" s="196"/>
      <c r="C344" s="196"/>
      <c r="D344" s="196"/>
      <c r="E344" s="196"/>
      <c r="F344" s="196"/>
      <c r="G344" s="196"/>
      <c r="H344" s="196"/>
    </row>
    <row r="345" spans="2:8" ht="15.75" customHeight="1" x14ac:dyDescent="0.2">
      <c r="B345" s="196"/>
      <c r="C345" s="196"/>
      <c r="D345" s="196"/>
      <c r="E345" s="196"/>
      <c r="F345" s="196"/>
      <c r="G345" s="196"/>
      <c r="H345" s="196"/>
    </row>
    <row r="346" spans="2:8" ht="15.75" customHeight="1" x14ac:dyDescent="0.2">
      <c r="B346" s="196"/>
      <c r="C346" s="196"/>
      <c r="D346" s="196"/>
      <c r="E346" s="196"/>
      <c r="F346" s="196"/>
      <c r="G346" s="196"/>
      <c r="H346" s="196"/>
    </row>
    <row r="347" spans="2:8" ht="15.75" customHeight="1" x14ac:dyDescent="0.2">
      <c r="B347" s="196"/>
      <c r="C347" s="196"/>
      <c r="D347" s="196"/>
      <c r="E347" s="196"/>
      <c r="F347" s="196"/>
      <c r="G347" s="196"/>
      <c r="H347" s="196"/>
    </row>
    <row r="348" spans="2:8" ht="15.75" customHeight="1" x14ac:dyDescent="0.2">
      <c r="B348" s="196"/>
      <c r="C348" s="196"/>
      <c r="D348" s="196"/>
      <c r="E348" s="196"/>
      <c r="F348" s="196"/>
      <c r="G348" s="196"/>
      <c r="H348" s="196"/>
    </row>
    <row r="349" spans="2:8" ht="15.75" customHeight="1" x14ac:dyDescent="0.2">
      <c r="B349" s="196"/>
      <c r="C349" s="196"/>
      <c r="D349" s="196"/>
      <c r="E349" s="196"/>
      <c r="F349" s="196"/>
      <c r="G349" s="196"/>
      <c r="H349" s="196"/>
    </row>
    <row r="350" spans="2:8" ht="15.75" customHeight="1" x14ac:dyDescent="0.2">
      <c r="B350" s="196"/>
      <c r="C350" s="196"/>
      <c r="D350" s="196"/>
      <c r="E350" s="196"/>
      <c r="F350" s="196"/>
      <c r="G350" s="196"/>
      <c r="H350" s="196"/>
    </row>
    <row r="351" spans="2:8" ht="15.75" customHeight="1" x14ac:dyDescent="0.2">
      <c r="B351" s="196"/>
      <c r="C351" s="196"/>
      <c r="D351" s="196"/>
      <c r="E351" s="196"/>
      <c r="F351" s="196"/>
      <c r="G351" s="196"/>
      <c r="H351" s="196"/>
    </row>
    <row r="352" spans="2:8" ht="15.75" customHeight="1" x14ac:dyDescent="0.2">
      <c r="B352" s="196"/>
      <c r="C352" s="196"/>
      <c r="D352" s="196"/>
      <c r="E352" s="196"/>
      <c r="F352" s="196"/>
      <c r="G352" s="196"/>
      <c r="H352" s="196"/>
    </row>
    <row r="353" spans="2:8" ht="15.75" customHeight="1" x14ac:dyDescent="0.2">
      <c r="B353" s="196"/>
      <c r="C353" s="196"/>
      <c r="D353" s="196"/>
      <c r="E353" s="196"/>
      <c r="F353" s="196"/>
      <c r="G353" s="196"/>
      <c r="H353" s="196"/>
    </row>
    <row r="354" spans="2:8" ht="15.75" customHeight="1" x14ac:dyDescent="0.2">
      <c r="B354" s="196"/>
      <c r="C354" s="196"/>
      <c r="D354" s="196"/>
      <c r="E354" s="196"/>
      <c r="F354" s="196"/>
      <c r="G354" s="196"/>
      <c r="H354" s="196"/>
    </row>
    <row r="355" spans="2:8" ht="15.75" customHeight="1" x14ac:dyDescent="0.2">
      <c r="B355" s="196"/>
      <c r="C355" s="196"/>
      <c r="D355" s="196"/>
      <c r="E355" s="196"/>
      <c r="F355" s="196"/>
      <c r="G355" s="196"/>
      <c r="H355" s="196"/>
    </row>
    <row r="356" spans="2:8" ht="15.75" customHeight="1" x14ac:dyDescent="0.2">
      <c r="B356" s="196"/>
      <c r="C356" s="196"/>
      <c r="D356" s="196"/>
      <c r="E356" s="196"/>
      <c r="F356" s="196"/>
      <c r="G356" s="196"/>
      <c r="H356" s="196"/>
    </row>
    <row r="357" spans="2:8" ht="15.75" customHeight="1" x14ac:dyDescent="0.2">
      <c r="B357" s="196"/>
      <c r="C357" s="196"/>
      <c r="D357" s="196"/>
      <c r="E357" s="196"/>
      <c r="F357" s="196"/>
      <c r="G357" s="196"/>
      <c r="H357" s="196"/>
    </row>
    <row r="358" spans="2:8" ht="15.75" customHeight="1" x14ac:dyDescent="0.2">
      <c r="B358" s="196"/>
      <c r="C358" s="196"/>
      <c r="D358" s="196"/>
      <c r="E358" s="196"/>
      <c r="F358" s="196"/>
      <c r="G358" s="196"/>
      <c r="H358" s="196"/>
    </row>
    <row r="359" spans="2:8" ht="15.75" customHeight="1" x14ac:dyDescent="0.2">
      <c r="B359" s="196"/>
      <c r="C359" s="196"/>
      <c r="D359" s="196"/>
      <c r="E359" s="196"/>
      <c r="F359" s="196"/>
      <c r="G359" s="196"/>
      <c r="H359" s="196"/>
    </row>
    <row r="360" spans="2:8" ht="15.75" customHeight="1" x14ac:dyDescent="0.2">
      <c r="B360" s="196"/>
      <c r="C360" s="196"/>
      <c r="D360" s="196"/>
      <c r="E360" s="196"/>
      <c r="F360" s="196"/>
      <c r="G360" s="196"/>
      <c r="H360" s="196"/>
    </row>
    <row r="361" spans="2:8" ht="15.75" customHeight="1" x14ac:dyDescent="0.2">
      <c r="B361" s="196"/>
      <c r="C361" s="196"/>
      <c r="D361" s="196"/>
      <c r="E361" s="196"/>
      <c r="F361" s="196"/>
      <c r="G361" s="196"/>
      <c r="H361" s="196"/>
    </row>
    <row r="362" spans="2:8" ht="15.75" customHeight="1" x14ac:dyDescent="0.2">
      <c r="B362" s="196"/>
      <c r="C362" s="196"/>
      <c r="D362" s="196"/>
      <c r="E362" s="196"/>
      <c r="F362" s="196"/>
      <c r="G362" s="196"/>
      <c r="H362" s="196"/>
    </row>
    <row r="363" spans="2:8" ht="15.75" customHeight="1" x14ac:dyDescent="0.2">
      <c r="B363" s="196"/>
      <c r="C363" s="196"/>
      <c r="D363" s="196"/>
      <c r="E363" s="196"/>
      <c r="F363" s="196"/>
      <c r="G363" s="196"/>
      <c r="H363" s="196"/>
    </row>
    <row r="364" spans="2:8" ht="15.75" customHeight="1" x14ac:dyDescent="0.2">
      <c r="B364" s="196"/>
      <c r="C364" s="196"/>
      <c r="D364" s="196"/>
      <c r="E364" s="196"/>
      <c r="F364" s="196"/>
      <c r="G364" s="196"/>
      <c r="H364" s="196"/>
    </row>
    <row r="365" spans="2:8" ht="15.75" customHeight="1" x14ac:dyDescent="0.2">
      <c r="B365" s="196"/>
      <c r="C365" s="196"/>
      <c r="D365" s="196"/>
      <c r="E365" s="196"/>
      <c r="F365" s="196"/>
      <c r="G365" s="196"/>
      <c r="H365" s="196"/>
    </row>
    <row r="366" spans="2:8" ht="15.75" customHeight="1" x14ac:dyDescent="0.2">
      <c r="B366" s="196"/>
      <c r="C366" s="196"/>
      <c r="D366" s="196"/>
      <c r="E366" s="196"/>
      <c r="F366" s="196"/>
      <c r="G366" s="196"/>
      <c r="H366" s="196"/>
    </row>
    <row r="367" spans="2:8" ht="15.75" customHeight="1" x14ac:dyDescent="0.2">
      <c r="B367" s="196"/>
      <c r="C367" s="196"/>
      <c r="D367" s="196"/>
      <c r="E367" s="196"/>
      <c r="F367" s="196"/>
      <c r="G367" s="196"/>
      <c r="H367" s="196"/>
    </row>
    <row r="368" spans="2:8" ht="15.75" customHeight="1" x14ac:dyDescent="0.2">
      <c r="B368" s="196"/>
      <c r="C368" s="196"/>
      <c r="D368" s="196"/>
      <c r="E368" s="196"/>
      <c r="F368" s="196"/>
      <c r="G368" s="196"/>
      <c r="H368" s="196"/>
    </row>
    <row r="369" spans="2:8" ht="15.75" customHeight="1" x14ac:dyDescent="0.2">
      <c r="B369" s="196"/>
      <c r="C369" s="196"/>
      <c r="D369" s="196"/>
      <c r="E369" s="196"/>
      <c r="F369" s="196"/>
      <c r="G369" s="196"/>
      <c r="H369" s="196"/>
    </row>
    <row r="370" spans="2:8" ht="15.75" customHeight="1" x14ac:dyDescent="0.2">
      <c r="B370" s="196"/>
      <c r="C370" s="196"/>
      <c r="D370" s="196"/>
      <c r="E370" s="196"/>
      <c r="F370" s="196"/>
      <c r="G370" s="196"/>
      <c r="H370" s="196"/>
    </row>
    <row r="371" spans="2:8" ht="15.75" customHeight="1" x14ac:dyDescent="0.2">
      <c r="B371" s="196"/>
      <c r="C371" s="196"/>
      <c r="D371" s="196"/>
      <c r="E371" s="196"/>
      <c r="F371" s="196"/>
      <c r="G371" s="196"/>
      <c r="H371" s="196"/>
    </row>
    <row r="372" spans="2:8" ht="15.75" customHeight="1" x14ac:dyDescent="0.2">
      <c r="B372" s="196"/>
      <c r="C372" s="196"/>
      <c r="D372" s="196"/>
      <c r="E372" s="196"/>
      <c r="F372" s="196"/>
      <c r="G372" s="196"/>
      <c r="H372" s="196"/>
    </row>
    <row r="373" spans="2:8" ht="15.75" customHeight="1" x14ac:dyDescent="0.2">
      <c r="B373" s="196"/>
      <c r="C373" s="196"/>
      <c r="D373" s="196"/>
      <c r="E373" s="196"/>
      <c r="F373" s="196"/>
      <c r="G373" s="196"/>
      <c r="H373" s="196"/>
    </row>
    <row r="374" spans="2:8" ht="15.75" customHeight="1" x14ac:dyDescent="0.2">
      <c r="B374" s="196"/>
      <c r="C374" s="196"/>
      <c r="D374" s="196"/>
      <c r="E374" s="196"/>
      <c r="F374" s="196"/>
      <c r="G374" s="196"/>
      <c r="H374" s="196"/>
    </row>
    <row r="375" spans="2:8" ht="15.75" customHeight="1" x14ac:dyDescent="0.2">
      <c r="B375" s="196"/>
      <c r="C375" s="196"/>
      <c r="D375" s="196"/>
      <c r="E375" s="196"/>
      <c r="F375" s="196"/>
      <c r="G375" s="196"/>
      <c r="H375" s="196"/>
    </row>
    <row r="376" spans="2:8" ht="15.75" customHeight="1" x14ac:dyDescent="0.2">
      <c r="B376" s="196"/>
      <c r="C376" s="196"/>
      <c r="D376" s="196"/>
      <c r="E376" s="196"/>
      <c r="F376" s="196"/>
      <c r="G376" s="196"/>
      <c r="H376" s="196"/>
    </row>
    <row r="377" spans="2:8" ht="15.75" customHeight="1" x14ac:dyDescent="0.2">
      <c r="B377" s="196"/>
      <c r="C377" s="196"/>
      <c r="D377" s="196"/>
      <c r="E377" s="196"/>
      <c r="F377" s="196"/>
      <c r="G377" s="196"/>
      <c r="H377" s="196"/>
    </row>
    <row r="378" spans="2:8" ht="15.75" customHeight="1" x14ac:dyDescent="0.2">
      <c r="B378" s="196"/>
      <c r="C378" s="196"/>
      <c r="D378" s="196"/>
      <c r="E378" s="196"/>
      <c r="F378" s="196"/>
      <c r="G378" s="196"/>
      <c r="H378" s="196"/>
    </row>
    <row r="379" spans="2:8" ht="15.75" customHeight="1" x14ac:dyDescent="0.2">
      <c r="B379" s="196"/>
      <c r="C379" s="196"/>
      <c r="D379" s="196"/>
      <c r="E379" s="196"/>
      <c r="F379" s="196"/>
      <c r="G379" s="196"/>
      <c r="H379" s="196"/>
    </row>
    <row r="380" spans="2:8" ht="15.75" customHeight="1" x14ac:dyDescent="0.2">
      <c r="B380" s="196"/>
      <c r="C380" s="196"/>
      <c r="D380" s="196"/>
      <c r="E380" s="196"/>
      <c r="F380" s="196"/>
      <c r="G380" s="196"/>
      <c r="H380" s="196"/>
    </row>
    <row r="381" spans="2:8" ht="15.75" customHeight="1" x14ac:dyDescent="0.2">
      <c r="B381" s="196"/>
      <c r="C381" s="196"/>
      <c r="D381" s="196"/>
      <c r="E381" s="196"/>
      <c r="F381" s="196"/>
      <c r="G381" s="196"/>
      <c r="H381" s="196"/>
    </row>
    <row r="382" spans="2:8" ht="15.75" customHeight="1" x14ac:dyDescent="0.2">
      <c r="B382" s="196"/>
      <c r="C382" s="196"/>
      <c r="D382" s="196"/>
      <c r="E382" s="196"/>
      <c r="F382" s="196"/>
      <c r="G382" s="196"/>
      <c r="H382" s="196"/>
    </row>
    <row r="383" spans="2:8" ht="15.75" customHeight="1" x14ac:dyDescent="0.2">
      <c r="B383" s="196"/>
      <c r="C383" s="196"/>
      <c r="D383" s="196"/>
      <c r="E383" s="196"/>
      <c r="F383" s="196"/>
      <c r="G383" s="196"/>
      <c r="H383" s="196"/>
    </row>
    <row r="384" spans="2:8" ht="15.75" customHeight="1" x14ac:dyDescent="0.2">
      <c r="B384" s="196"/>
      <c r="C384" s="196"/>
      <c r="D384" s="196"/>
      <c r="E384" s="196"/>
      <c r="F384" s="196"/>
      <c r="G384" s="196"/>
      <c r="H384" s="196"/>
    </row>
    <row r="385" spans="2:8" ht="15.75" customHeight="1" x14ac:dyDescent="0.2">
      <c r="B385" s="196"/>
      <c r="C385" s="196"/>
      <c r="D385" s="196"/>
      <c r="E385" s="196"/>
      <c r="F385" s="196"/>
      <c r="G385" s="196"/>
      <c r="H385" s="196"/>
    </row>
    <row r="386" spans="2:8" ht="15.75" customHeight="1" x14ac:dyDescent="0.2">
      <c r="B386" s="196"/>
      <c r="C386" s="196"/>
      <c r="D386" s="196"/>
      <c r="E386" s="196"/>
      <c r="F386" s="196"/>
      <c r="G386" s="196"/>
      <c r="H386" s="196"/>
    </row>
    <row r="387" spans="2:8" ht="15.75" customHeight="1" x14ac:dyDescent="0.2">
      <c r="B387" s="196"/>
      <c r="C387" s="196"/>
      <c r="D387" s="196"/>
      <c r="E387" s="196"/>
      <c r="F387" s="196"/>
      <c r="G387" s="196"/>
      <c r="H387" s="196"/>
    </row>
    <row r="388" spans="2:8" ht="15.75" customHeight="1" x14ac:dyDescent="0.2">
      <c r="B388" s="196"/>
      <c r="C388" s="196"/>
      <c r="D388" s="196"/>
      <c r="E388" s="196"/>
      <c r="F388" s="196"/>
      <c r="G388" s="196"/>
      <c r="H388" s="196"/>
    </row>
    <row r="389" spans="2:8" ht="15.75" customHeight="1" x14ac:dyDescent="0.2">
      <c r="B389" s="196"/>
      <c r="C389" s="196"/>
      <c r="D389" s="196"/>
      <c r="E389" s="196"/>
      <c r="F389" s="196"/>
      <c r="G389" s="196"/>
      <c r="H389" s="196"/>
    </row>
    <row r="390" spans="2:8" ht="15.75" customHeight="1" x14ac:dyDescent="0.2">
      <c r="B390" s="196"/>
      <c r="C390" s="196"/>
      <c r="D390" s="196"/>
      <c r="E390" s="196"/>
      <c r="F390" s="196"/>
      <c r="G390" s="196"/>
      <c r="H390" s="196"/>
    </row>
    <row r="391" spans="2:8" ht="15.75" customHeight="1" x14ac:dyDescent="0.2">
      <c r="B391" s="196"/>
      <c r="C391" s="196"/>
      <c r="D391" s="196"/>
      <c r="E391" s="196"/>
      <c r="F391" s="196"/>
      <c r="G391" s="196"/>
      <c r="H391" s="196"/>
    </row>
    <row r="392" spans="2:8" ht="15.75" customHeight="1" x14ac:dyDescent="0.2">
      <c r="B392" s="196"/>
      <c r="C392" s="196"/>
      <c r="D392" s="196"/>
      <c r="E392" s="196"/>
      <c r="F392" s="196"/>
      <c r="G392" s="196"/>
      <c r="H392" s="196"/>
    </row>
    <row r="393" spans="2:8" ht="15.75" customHeight="1" x14ac:dyDescent="0.2">
      <c r="B393" s="196"/>
      <c r="C393" s="196"/>
      <c r="D393" s="196"/>
      <c r="E393" s="196"/>
      <c r="F393" s="196"/>
      <c r="G393" s="196"/>
      <c r="H393" s="196"/>
    </row>
    <row r="394" spans="2:8" ht="15.75" customHeight="1" x14ac:dyDescent="0.2">
      <c r="B394" s="196"/>
      <c r="C394" s="196"/>
      <c r="D394" s="196"/>
      <c r="E394" s="196"/>
      <c r="F394" s="196"/>
      <c r="G394" s="196"/>
      <c r="H394" s="196"/>
    </row>
    <row r="395" spans="2:8" ht="15.75" customHeight="1" x14ac:dyDescent="0.2">
      <c r="B395" s="196"/>
      <c r="C395" s="196"/>
      <c r="D395" s="196"/>
      <c r="E395" s="196"/>
      <c r="F395" s="196"/>
      <c r="G395" s="196"/>
      <c r="H395" s="196"/>
    </row>
    <row r="396" spans="2:8" ht="15.75" customHeight="1" x14ac:dyDescent="0.2">
      <c r="B396" s="196"/>
      <c r="C396" s="196"/>
      <c r="D396" s="196"/>
      <c r="E396" s="196"/>
      <c r="F396" s="196"/>
      <c r="G396" s="196"/>
      <c r="H396" s="196"/>
    </row>
    <row r="397" spans="2:8" ht="15.75" customHeight="1" x14ac:dyDescent="0.2">
      <c r="B397" s="196"/>
      <c r="C397" s="196"/>
      <c r="D397" s="196"/>
      <c r="E397" s="196"/>
      <c r="F397" s="196"/>
      <c r="G397" s="196"/>
      <c r="H397" s="196"/>
    </row>
    <row r="398" spans="2:8" ht="15.75" customHeight="1" x14ac:dyDescent="0.2">
      <c r="B398" s="196"/>
      <c r="C398" s="196"/>
      <c r="D398" s="196"/>
      <c r="E398" s="196"/>
      <c r="F398" s="196"/>
      <c r="G398" s="196"/>
      <c r="H398" s="196"/>
    </row>
    <row r="399" spans="2:8" ht="15.75" customHeight="1" x14ac:dyDescent="0.2">
      <c r="B399" s="196"/>
      <c r="C399" s="196"/>
      <c r="D399" s="196"/>
      <c r="E399" s="196"/>
      <c r="F399" s="196"/>
      <c r="G399" s="196"/>
      <c r="H399" s="196"/>
    </row>
    <row r="400" spans="2:8" ht="15.75" customHeight="1" x14ac:dyDescent="0.2">
      <c r="B400" s="196"/>
      <c r="C400" s="196"/>
      <c r="D400" s="196"/>
      <c r="E400" s="196"/>
      <c r="F400" s="196"/>
      <c r="G400" s="196"/>
      <c r="H400" s="196"/>
    </row>
    <row r="401" spans="2:8" ht="15.75" customHeight="1" x14ac:dyDescent="0.2">
      <c r="B401" s="196"/>
      <c r="C401" s="196"/>
      <c r="D401" s="196"/>
      <c r="E401" s="196"/>
      <c r="F401" s="196"/>
      <c r="G401" s="196"/>
      <c r="H401" s="196"/>
    </row>
    <row r="402" spans="2:8" ht="15.75" customHeight="1" x14ac:dyDescent="0.2">
      <c r="B402" s="196"/>
      <c r="C402" s="196"/>
      <c r="D402" s="196"/>
      <c r="E402" s="196"/>
      <c r="F402" s="196"/>
      <c r="G402" s="196"/>
      <c r="H402" s="196"/>
    </row>
    <row r="403" spans="2:8" ht="15.75" customHeight="1" x14ac:dyDescent="0.2">
      <c r="B403" s="196"/>
      <c r="C403" s="196"/>
      <c r="D403" s="196"/>
      <c r="E403" s="196"/>
      <c r="F403" s="196"/>
      <c r="G403" s="196"/>
      <c r="H403" s="196"/>
    </row>
    <row r="404" spans="2:8" ht="15.75" customHeight="1" x14ac:dyDescent="0.2">
      <c r="B404" s="196"/>
      <c r="C404" s="196"/>
      <c r="D404" s="196"/>
      <c r="E404" s="196"/>
      <c r="F404" s="196"/>
      <c r="G404" s="196"/>
      <c r="H404" s="196"/>
    </row>
    <row r="405" spans="2:8" ht="15.75" customHeight="1" x14ac:dyDescent="0.2">
      <c r="B405" s="196"/>
      <c r="C405" s="196"/>
      <c r="D405" s="196"/>
      <c r="E405" s="196"/>
      <c r="F405" s="196"/>
      <c r="G405" s="196"/>
      <c r="H405" s="196"/>
    </row>
    <row r="406" spans="2:8" ht="15.75" customHeight="1" x14ac:dyDescent="0.2">
      <c r="B406" s="196"/>
      <c r="C406" s="196"/>
      <c r="D406" s="196"/>
      <c r="E406" s="196"/>
      <c r="F406" s="196"/>
      <c r="G406" s="196"/>
      <c r="H406" s="196"/>
    </row>
    <row r="407" spans="2:8" ht="15.75" customHeight="1" x14ac:dyDescent="0.2">
      <c r="B407" s="196"/>
      <c r="C407" s="196"/>
      <c r="D407" s="196"/>
      <c r="E407" s="196"/>
      <c r="F407" s="196"/>
      <c r="G407" s="196"/>
      <c r="H407" s="196"/>
    </row>
    <row r="408" spans="2:8" ht="15.75" customHeight="1" x14ac:dyDescent="0.2">
      <c r="B408" s="196"/>
      <c r="C408" s="196"/>
      <c r="D408" s="196"/>
      <c r="E408" s="196"/>
      <c r="F408" s="196"/>
      <c r="G408" s="196"/>
      <c r="H408" s="196"/>
    </row>
    <row r="409" spans="2:8" ht="15.75" customHeight="1" x14ac:dyDescent="0.2">
      <c r="B409" s="196"/>
      <c r="C409" s="196"/>
      <c r="D409" s="196"/>
      <c r="E409" s="196"/>
      <c r="F409" s="196"/>
      <c r="G409" s="196"/>
      <c r="H409" s="196"/>
    </row>
    <row r="410" spans="2:8" ht="15.75" customHeight="1" x14ac:dyDescent="0.2">
      <c r="B410" s="196"/>
      <c r="C410" s="196"/>
      <c r="D410" s="196"/>
      <c r="E410" s="196"/>
      <c r="F410" s="196"/>
      <c r="G410" s="196"/>
      <c r="H410" s="196"/>
    </row>
    <row r="411" spans="2:8" ht="15.75" customHeight="1" x14ac:dyDescent="0.2">
      <c r="B411" s="196"/>
      <c r="C411" s="196"/>
      <c r="D411" s="196"/>
      <c r="E411" s="196"/>
      <c r="F411" s="196"/>
      <c r="G411" s="196"/>
      <c r="H411" s="196"/>
    </row>
    <row r="412" spans="2:8" ht="15.75" customHeight="1" x14ac:dyDescent="0.2">
      <c r="B412" s="196"/>
      <c r="C412" s="196"/>
      <c r="D412" s="196"/>
      <c r="E412" s="196"/>
      <c r="F412" s="196"/>
      <c r="G412" s="196"/>
      <c r="H412" s="196"/>
    </row>
    <row r="413" spans="2:8" ht="15.75" customHeight="1" x14ac:dyDescent="0.2">
      <c r="B413" s="196"/>
      <c r="C413" s="196"/>
      <c r="D413" s="196"/>
      <c r="E413" s="196"/>
      <c r="F413" s="196"/>
      <c r="G413" s="196"/>
      <c r="H413" s="196"/>
    </row>
    <row r="414" spans="2:8" ht="15.75" customHeight="1" x14ac:dyDescent="0.2">
      <c r="B414" s="196"/>
      <c r="C414" s="196"/>
      <c r="D414" s="196"/>
      <c r="E414" s="196"/>
      <c r="F414" s="196"/>
      <c r="G414" s="196"/>
      <c r="H414" s="196"/>
    </row>
    <row r="415" spans="2:8" ht="15.75" customHeight="1" x14ac:dyDescent="0.2">
      <c r="B415" s="196"/>
      <c r="C415" s="196"/>
      <c r="D415" s="196"/>
      <c r="E415" s="196"/>
      <c r="F415" s="196"/>
      <c r="G415" s="196"/>
      <c r="H415" s="196"/>
    </row>
    <row r="416" spans="2:8" ht="15.75" customHeight="1" x14ac:dyDescent="0.2">
      <c r="B416" s="196"/>
      <c r="C416" s="196"/>
      <c r="D416" s="196"/>
      <c r="E416" s="196"/>
      <c r="F416" s="196"/>
      <c r="G416" s="196"/>
      <c r="H416" s="196"/>
    </row>
    <row r="417" spans="2:8" ht="15.75" customHeight="1" x14ac:dyDescent="0.2">
      <c r="B417" s="196"/>
      <c r="C417" s="196"/>
      <c r="D417" s="196"/>
      <c r="E417" s="196"/>
      <c r="F417" s="196"/>
      <c r="G417" s="196"/>
      <c r="H417" s="196"/>
    </row>
    <row r="418" spans="2:8" ht="15.75" customHeight="1" x14ac:dyDescent="0.2">
      <c r="B418" s="196"/>
      <c r="C418" s="196"/>
      <c r="D418" s="196"/>
      <c r="E418" s="196"/>
      <c r="F418" s="196"/>
      <c r="G418" s="196"/>
      <c r="H418" s="196"/>
    </row>
    <row r="419" spans="2:8" ht="15.75" customHeight="1" x14ac:dyDescent="0.2">
      <c r="B419" s="196"/>
      <c r="C419" s="196"/>
      <c r="D419" s="196"/>
      <c r="E419" s="196"/>
      <c r="F419" s="196"/>
      <c r="G419" s="196"/>
      <c r="H419" s="196"/>
    </row>
    <row r="420" spans="2:8" ht="15.75" customHeight="1" x14ac:dyDescent="0.2">
      <c r="B420" s="196"/>
      <c r="C420" s="196"/>
      <c r="D420" s="196"/>
      <c r="E420" s="196"/>
      <c r="F420" s="196"/>
      <c r="G420" s="196"/>
      <c r="H420" s="196"/>
    </row>
    <row r="421" spans="2:8" ht="15.75" customHeight="1" x14ac:dyDescent="0.2">
      <c r="B421" s="196"/>
      <c r="C421" s="196"/>
      <c r="D421" s="196"/>
      <c r="E421" s="196"/>
      <c r="F421" s="196"/>
      <c r="G421" s="196"/>
      <c r="H421" s="196"/>
    </row>
    <row r="422" spans="2:8" ht="15.75" customHeight="1" x14ac:dyDescent="0.2">
      <c r="B422" s="196"/>
      <c r="C422" s="196"/>
      <c r="D422" s="196"/>
      <c r="E422" s="196"/>
      <c r="F422" s="196"/>
      <c r="G422" s="196"/>
      <c r="H422" s="196"/>
    </row>
    <row r="423" spans="2:8" ht="15.75" customHeight="1" x14ac:dyDescent="0.2">
      <c r="B423" s="196"/>
      <c r="C423" s="196"/>
      <c r="D423" s="196"/>
      <c r="E423" s="196"/>
      <c r="F423" s="196"/>
      <c r="G423" s="196"/>
      <c r="H423" s="196"/>
    </row>
    <row r="424" spans="2:8" ht="15.75" customHeight="1" x14ac:dyDescent="0.2">
      <c r="B424" s="196"/>
      <c r="C424" s="196"/>
      <c r="D424" s="196"/>
      <c r="E424" s="196"/>
      <c r="F424" s="196"/>
      <c r="G424" s="196"/>
      <c r="H424" s="196"/>
    </row>
    <row r="425" spans="2:8" ht="15.75" customHeight="1" x14ac:dyDescent="0.2">
      <c r="B425" s="196"/>
      <c r="C425" s="196"/>
      <c r="D425" s="196"/>
      <c r="E425" s="196"/>
      <c r="F425" s="196"/>
      <c r="G425" s="196"/>
      <c r="H425" s="196"/>
    </row>
    <row r="426" spans="2:8" ht="15.75" customHeight="1" x14ac:dyDescent="0.2">
      <c r="B426" s="196"/>
      <c r="C426" s="196"/>
      <c r="D426" s="196"/>
      <c r="E426" s="196"/>
      <c r="F426" s="196"/>
      <c r="G426" s="196"/>
      <c r="H426" s="196"/>
    </row>
    <row r="427" spans="2:8" ht="15.75" customHeight="1" x14ac:dyDescent="0.2">
      <c r="B427" s="196"/>
      <c r="C427" s="196"/>
      <c r="D427" s="196"/>
      <c r="E427" s="196"/>
      <c r="F427" s="196"/>
      <c r="G427" s="196"/>
      <c r="H427" s="196"/>
    </row>
    <row r="428" spans="2:8" ht="15.75" customHeight="1" x14ac:dyDescent="0.2">
      <c r="B428" s="196"/>
      <c r="C428" s="196"/>
      <c r="D428" s="196"/>
      <c r="E428" s="196"/>
      <c r="F428" s="196"/>
      <c r="G428" s="196"/>
      <c r="H428" s="196"/>
    </row>
    <row r="429" spans="2:8" ht="15.75" customHeight="1" x14ac:dyDescent="0.2">
      <c r="B429" s="196"/>
      <c r="C429" s="196"/>
      <c r="D429" s="196"/>
      <c r="E429" s="196"/>
      <c r="F429" s="196"/>
      <c r="G429" s="196"/>
      <c r="H429" s="196"/>
    </row>
    <row r="430" spans="2:8" ht="15.75" customHeight="1" x14ac:dyDescent="0.2">
      <c r="B430" s="196"/>
      <c r="C430" s="196"/>
      <c r="D430" s="196"/>
      <c r="E430" s="196"/>
      <c r="F430" s="196"/>
      <c r="G430" s="196"/>
      <c r="H430" s="196"/>
    </row>
    <row r="431" spans="2:8" ht="15.75" customHeight="1" x14ac:dyDescent="0.2">
      <c r="B431" s="196"/>
      <c r="C431" s="196"/>
      <c r="D431" s="196"/>
      <c r="E431" s="196"/>
      <c r="F431" s="196"/>
      <c r="G431" s="196"/>
      <c r="H431" s="196"/>
    </row>
    <row r="432" spans="2:8" ht="15.75" customHeight="1" x14ac:dyDescent="0.2">
      <c r="B432" s="196"/>
      <c r="C432" s="196"/>
      <c r="D432" s="196"/>
      <c r="E432" s="196"/>
      <c r="F432" s="196"/>
      <c r="G432" s="196"/>
      <c r="H432" s="196"/>
    </row>
    <row r="433" spans="2:8" ht="15.75" customHeight="1" x14ac:dyDescent="0.2">
      <c r="B433" s="196"/>
      <c r="C433" s="196"/>
      <c r="D433" s="196"/>
      <c r="E433" s="196"/>
      <c r="F433" s="196"/>
      <c r="G433" s="196"/>
      <c r="H433" s="196"/>
    </row>
    <row r="434" spans="2:8" ht="15.75" customHeight="1" x14ac:dyDescent="0.2">
      <c r="B434" s="196"/>
      <c r="C434" s="196"/>
      <c r="D434" s="196"/>
      <c r="E434" s="196"/>
      <c r="F434" s="196"/>
      <c r="G434" s="196"/>
      <c r="H434" s="196"/>
    </row>
    <row r="435" spans="2:8" ht="15.75" customHeight="1" x14ac:dyDescent="0.2">
      <c r="B435" s="196"/>
      <c r="C435" s="196"/>
      <c r="D435" s="196"/>
      <c r="E435" s="196"/>
      <c r="F435" s="196"/>
      <c r="G435" s="196"/>
      <c r="H435" s="196"/>
    </row>
    <row r="436" spans="2:8" ht="15.75" customHeight="1" x14ac:dyDescent="0.2">
      <c r="B436" s="196"/>
      <c r="C436" s="196"/>
      <c r="D436" s="196"/>
      <c r="E436" s="196"/>
      <c r="F436" s="196"/>
      <c r="G436" s="196"/>
      <c r="H436" s="196"/>
    </row>
    <row r="437" spans="2:8" ht="15.75" customHeight="1" x14ac:dyDescent="0.2">
      <c r="B437" s="196"/>
      <c r="C437" s="196"/>
      <c r="D437" s="196"/>
      <c r="E437" s="196"/>
      <c r="F437" s="196"/>
      <c r="G437" s="196"/>
      <c r="H437" s="196"/>
    </row>
    <row r="438" spans="2:8" ht="15.75" customHeight="1" x14ac:dyDescent="0.2">
      <c r="B438" s="196"/>
      <c r="C438" s="196"/>
      <c r="D438" s="196"/>
      <c r="E438" s="196"/>
      <c r="F438" s="196"/>
      <c r="G438" s="196"/>
      <c r="H438" s="196"/>
    </row>
    <row r="439" spans="2:8" ht="15.75" customHeight="1" x14ac:dyDescent="0.2">
      <c r="B439" s="196"/>
      <c r="C439" s="196"/>
      <c r="D439" s="196"/>
      <c r="E439" s="196"/>
      <c r="F439" s="196"/>
      <c r="G439" s="196"/>
      <c r="H439" s="196"/>
    </row>
    <row r="440" spans="2:8" ht="15.75" customHeight="1" x14ac:dyDescent="0.2">
      <c r="B440" s="196"/>
      <c r="C440" s="196"/>
      <c r="D440" s="196"/>
      <c r="E440" s="196"/>
      <c r="F440" s="196"/>
      <c r="G440" s="196"/>
      <c r="H440" s="196"/>
    </row>
    <row r="441" spans="2:8" ht="15.75" customHeight="1" x14ac:dyDescent="0.2">
      <c r="B441" s="196"/>
      <c r="C441" s="196"/>
      <c r="D441" s="196"/>
      <c r="E441" s="196"/>
      <c r="F441" s="196"/>
      <c r="G441" s="196"/>
      <c r="H441" s="196"/>
    </row>
    <row r="442" spans="2:8" ht="15.75" customHeight="1" x14ac:dyDescent="0.2">
      <c r="B442" s="196"/>
      <c r="C442" s="196"/>
      <c r="D442" s="196"/>
      <c r="E442" s="196"/>
      <c r="F442" s="196"/>
      <c r="G442" s="196"/>
      <c r="H442" s="196"/>
    </row>
    <row r="443" spans="2:8" ht="15.75" customHeight="1" x14ac:dyDescent="0.2">
      <c r="B443" s="196"/>
      <c r="C443" s="196"/>
      <c r="D443" s="196"/>
      <c r="E443" s="196"/>
      <c r="F443" s="196"/>
      <c r="G443" s="196"/>
      <c r="H443" s="196"/>
    </row>
    <row r="444" spans="2:8" ht="15.75" customHeight="1" x14ac:dyDescent="0.2">
      <c r="B444" s="196"/>
      <c r="C444" s="196"/>
      <c r="D444" s="196"/>
      <c r="E444" s="196"/>
      <c r="F444" s="196"/>
      <c r="G444" s="196"/>
      <c r="H444" s="196"/>
    </row>
    <row r="445" spans="2:8" ht="15.75" customHeight="1" x14ac:dyDescent="0.2">
      <c r="B445" s="196"/>
      <c r="C445" s="196"/>
      <c r="D445" s="196"/>
      <c r="E445" s="196"/>
      <c r="F445" s="196"/>
      <c r="G445" s="196"/>
      <c r="H445" s="196"/>
    </row>
    <row r="446" spans="2:8" ht="15.75" customHeight="1" x14ac:dyDescent="0.2">
      <c r="B446" s="196"/>
      <c r="C446" s="196"/>
      <c r="D446" s="196"/>
      <c r="E446" s="196"/>
      <c r="F446" s="196"/>
      <c r="G446" s="196"/>
      <c r="H446" s="196"/>
    </row>
    <row r="447" spans="2:8" ht="15.75" customHeight="1" x14ac:dyDescent="0.2">
      <c r="B447" s="196"/>
      <c r="C447" s="196"/>
      <c r="D447" s="196"/>
      <c r="E447" s="196"/>
      <c r="F447" s="196"/>
      <c r="G447" s="196"/>
      <c r="H447" s="196"/>
    </row>
    <row r="448" spans="2:8" ht="15.75" customHeight="1" x14ac:dyDescent="0.2">
      <c r="B448" s="196"/>
      <c r="C448" s="196"/>
      <c r="D448" s="196"/>
      <c r="E448" s="196"/>
      <c r="F448" s="196"/>
      <c r="G448" s="196"/>
      <c r="H448" s="196"/>
    </row>
    <row r="449" spans="2:8" ht="15.75" customHeight="1" x14ac:dyDescent="0.2">
      <c r="B449" s="196"/>
      <c r="C449" s="196"/>
      <c r="D449" s="196"/>
      <c r="E449" s="196"/>
      <c r="F449" s="196"/>
      <c r="G449" s="196"/>
      <c r="H449" s="196"/>
    </row>
    <row r="450" spans="2:8" ht="15.75" customHeight="1" x14ac:dyDescent="0.2">
      <c r="B450" s="196"/>
      <c r="C450" s="196"/>
      <c r="D450" s="196"/>
      <c r="E450" s="196"/>
      <c r="F450" s="196"/>
      <c r="G450" s="196"/>
      <c r="H450" s="196"/>
    </row>
    <row r="451" spans="2:8" ht="15.75" customHeight="1" x14ac:dyDescent="0.2">
      <c r="B451" s="196"/>
      <c r="C451" s="196"/>
      <c r="D451" s="196"/>
      <c r="E451" s="196"/>
      <c r="F451" s="196"/>
      <c r="G451" s="196"/>
      <c r="H451" s="196"/>
    </row>
    <row r="452" spans="2:8" ht="15.75" customHeight="1" x14ac:dyDescent="0.2">
      <c r="B452" s="196"/>
      <c r="C452" s="196"/>
      <c r="D452" s="196"/>
      <c r="E452" s="196"/>
      <c r="F452" s="196"/>
      <c r="G452" s="196"/>
      <c r="H452" s="196"/>
    </row>
    <row r="453" spans="2:8" ht="15.75" customHeight="1" x14ac:dyDescent="0.2">
      <c r="B453" s="196"/>
      <c r="C453" s="196"/>
      <c r="D453" s="196"/>
      <c r="E453" s="196"/>
      <c r="F453" s="196"/>
      <c r="G453" s="196"/>
      <c r="H453" s="196"/>
    </row>
    <row r="454" spans="2:8" ht="15.75" customHeight="1" x14ac:dyDescent="0.2">
      <c r="B454" s="196"/>
      <c r="C454" s="196"/>
      <c r="D454" s="196"/>
      <c r="E454" s="196"/>
      <c r="F454" s="196"/>
      <c r="G454" s="196"/>
      <c r="H454" s="196"/>
    </row>
    <row r="455" spans="2:8" ht="15.75" customHeight="1" x14ac:dyDescent="0.2">
      <c r="B455" s="196"/>
      <c r="C455" s="196"/>
      <c r="D455" s="196"/>
      <c r="E455" s="196"/>
      <c r="F455" s="196"/>
      <c r="G455" s="196"/>
      <c r="H455" s="196"/>
    </row>
    <row r="456" spans="2:8" ht="15.75" customHeight="1" x14ac:dyDescent="0.2">
      <c r="B456" s="196"/>
      <c r="C456" s="196"/>
      <c r="D456" s="196"/>
      <c r="E456" s="196"/>
      <c r="F456" s="196"/>
      <c r="G456" s="196"/>
      <c r="H456" s="196"/>
    </row>
    <row r="457" spans="2:8" ht="15.75" customHeight="1" x14ac:dyDescent="0.2">
      <c r="B457" s="196"/>
      <c r="C457" s="196"/>
      <c r="D457" s="196"/>
      <c r="E457" s="196"/>
      <c r="F457" s="196"/>
      <c r="G457" s="196"/>
      <c r="H457" s="196"/>
    </row>
    <row r="458" spans="2:8" ht="15.75" customHeight="1" x14ac:dyDescent="0.2">
      <c r="B458" s="196"/>
      <c r="C458" s="196"/>
      <c r="D458" s="196"/>
      <c r="E458" s="196"/>
      <c r="F458" s="196"/>
      <c r="G458" s="196"/>
      <c r="H458" s="196"/>
    </row>
    <row r="459" spans="2:8" ht="15.75" customHeight="1" x14ac:dyDescent="0.2">
      <c r="B459" s="196"/>
      <c r="C459" s="196"/>
      <c r="D459" s="196"/>
      <c r="E459" s="196"/>
      <c r="F459" s="196"/>
      <c r="G459" s="196"/>
      <c r="H459" s="196"/>
    </row>
    <row r="460" spans="2:8" ht="15.75" customHeight="1" x14ac:dyDescent="0.2">
      <c r="B460" s="196"/>
      <c r="C460" s="196"/>
      <c r="D460" s="196"/>
      <c r="E460" s="196"/>
      <c r="F460" s="196"/>
      <c r="G460" s="196"/>
      <c r="H460" s="196"/>
    </row>
    <row r="461" spans="2:8" ht="15.75" customHeight="1" x14ac:dyDescent="0.2">
      <c r="B461" s="196"/>
      <c r="C461" s="196"/>
      <c r="D461" s="196"/>
      <c r="E461" s="196"/>
      <c r="F461" s="196"/>
      <c r="G461" s="196"/>
      <c r="H461" s="196"/>
    </row>
    <row r="462" spans="2:8" ht="15.75" customHeight="1" x14ac:dyDescent="0.2">
      <c r="B462" s="196"/>
      <c r="C462" s="196"/>
      <c r="D462" s="196"/>
      <c r="E462" s="196"/>
      <c r="F462" s="196"/>
      <c r="G462" s="196"/>
      <c r="H462" s="196"/>
    </row>
    <row r="463" spans="2:8" ht="15.75" customHeight="1" x14ac:dyDescent="0.2">
      <c r="B463" s="196"/>
      <c r="C463" s="196"/>
      <c r="D463" s="196"/>
      <c r="E463" s="196"/>
      <c r="F463" s="196"/>
      <c r="G463" s="196"/>
      <c r="H463" s="196"/>
    </row>
    <row r="464" spans="2:8" ht="15.75" customHeight="1" x14ac:dyDescent="0.2">
      <c r="B464" s="196"/>
      <c r="C464" s="196"/>
      <c r="D464" s="196"/>
      <c r="E464" s="196"/>
      <c r="F464" s="196"/>
      <c r="G464" s="196"/>
      <c r="H464" s="196"/>
    </row>
    <row r="465" spans="2:8" ht="15.75" customHeight="1" x14ac:dyDescent="0.2">
      <c r="B465" s="196"/>
      <c r="C465" s="196"/>
      <c r="D465" s="196"/>
      <c r="E465" s="196"/>
      <c r="F465" s="196"/>
      <c r="G465" s="196"/>
      <c r="H465" s="196"/>
    </row>
    <row r="466" spans="2:8" ht="15.75" customHeight="1" x14ac:dyDescent="0.2">
      <c r="B466" s="196"/>
      <c r="C466" s="196"/>
      <c r="D466" s="196"/>
      <c r="E466" s="196"/>
      <c r="F466" s="196"/>
      <c r="G466" s="196"/>
      <c r="H466" s="196"/>
    </row>
    <row r="467" spans="2:8" ht="15.75" customHeight="1" x14ac:dyDescent="0.2">
      <c r="B467" s="196"/>
      <c r="C467" s="196"/>
      <c r="D467" s="196"/>
      <c r="E467" s="196"/>
      <c r="F467" s="196"/>
      <c r="G467" s="196"/>
      <c r="H467" s="196"/>
    </row>
    <row r="468" spans="2:8" ht="15.75" customHeight="1" x14ac:dyDescent="0.2">
      <c r="B468" s="196"/>
      <c r="C468" s="196"/>
      <c r="D468" s="196"/>
      <c r="E468" s="196"/>
      <c r="F468" s="196"/>
      <c r="G468" s="196"/>
      <c r="H468" s="196"/>
    </row>
    <row r="469" spans="2:8" ht="15.75" customHeight="1" x14ac:dyDescent="0.2">
      <c r="B469" s="196"/>
      <c r="C469" s="196"/>
      <c r="D469" s="196"/>
      <c r="E469" s="196"/>
      <c r="F469" s="196"/>
      <c r="G469" s="196"/>
      <c r="H469" s="196"/>
    </row>
    <row r="470" spans="2:8" ht="15.75" customHeight="1" x14ac:dyDescent="0.2">
      <c r="B470" s="196"/>
      <c r="C470" s="196"/>
      <c r="D470" s="196"/>
      <c r="E470" s="196"/>
      <c r="F470" s="196"/>
      <c r="G470" s="196"/>
      <c r="H470" s="196"/>
    </row>
    <row r="471" spans="2:8" ht="15.75" customHeight="1" x14ac:dyDescent="0.2">
      <c r="B471" s="196"/>
      <c r="C471" s="196"/>
      <c r="D471" s="196"/>
      <c r="E471" s="196"/>
      <c r="F471" s="196"/>
      <c r="G471" s="196"/>
      <c r="H471" s="196"/>
    </row>
    <row r="472" spans="2:8" ht="15.75" customHeight="1" x14ac:dyDescent="0.2">
      <c r="B472" s="196"/>
      <c r="C472" s="196"/>
      <c r="D472" s="196"/>
      <c r="E472" s="196"/>
      <c r="F472" s="196"/>
      <c r="G472" s="196"/>
      <c r="H472" s="196"/>
    </row>
    <row r="473" spans="2:8" ht="15.75" customHeight="1" x14ac:dyDescent="0.2">
      <c r="B473" s="196"/>
      <c r="C473" s="196"/>
      <c r="D473" s="196"/>
      <c r="E473" s="196"/>
      <c r="F473" s="196"/>
      <c r="G473" s="196"/>
      <c r="H473" s="196"/>
    </row>
    <row r="474" spans="2:8" ht="15.75" customHeight="1" x14ac:dyDescent="0.2">
      <c r="B474" s="196"/>
      <c r="C474" s="196"/>
      <c r="D474" s="196"/>
      <c r="E474" s="196"/>
      <c r="F474" s="196"/>
      <c r="G474" s="196"/>
      <c r="H474" s="196"/>
    </row>
    <row r="475" spans="2:8" ht="15.75" customHeight="1" x14ac:dyDescent="0.2">
      <c r="B475" s="196"/>
      <c r="C475" s="196"/>
      <c r="D475" s="196"/>
      <c r="E475" s="196"/>
      <c r="F475" s="196"/>
      <c r="G475" s="196"/>
      <c r="H475" s="196"/>
    </row>
    <row r="476" spans="2:8" ht="15.75" customHeight="1" x14ac:dyDescent="0.2">
      <c r="B476" s="196"/>
      <c r="C476" s="196"/>
      <c r="D476" s="196"/>
      <c r="E476" s="196"/>
      <c r="F476" s="196"/>
      <c r="G476" s="196"/>
      <c r="H476" s="196"/>
    </row>
    <row r="477" spans="2:8" ht="15.75" customHeight="1" x14ac:dyDescent="0.2">
      <c r="B477" s="196"/>
      <c r="C477" s="196"/>
      <c r="D477" s="196"/>
      <c r="E477" s="196"/>
      <c r="F477" s="196"/>
      <c r="G477" s="196"/>
      <c r="H477" s="196"/>
    </row>
    <row r="478" spans="2:8" ht="15.75" customHeight="1" x14ac:dyDescent="0.2">
      <c r="B478" s="196"/>
      <c r="C478" s="196"/>
      <c r="D478" s="196"/>
      <c r="E478" s="196"/>
      <c r="F478" s="196"/>
      <c r="G478" s="196"/>
      <c r="H478" s="196"/>
    </row>
    <row r="479" spans="2:8" ht="15.75" customHeight="1" x14ac:dyDescent="0.2">
      <c r="B479" s="196"/>
      <c r="C479" s="196"/>
      <c r="D479" s="196"/>
      <c r="E479" s="196"/>
      <c r="F479" s="196"/>
      <c r="G479" s="196"/>
      <c r="H479" s="196"/>
    </row>
    <row r="480" spans="2:8" ht="15.75" customHeight="1" x14ac:dyDescent="0.2">
      <c r="B480" s="196"/>
      <c r="C480" s="196"/>
      <c r="D480" s="196"/>
      <c r="E480" s="196"/>
      <c r="F480" s="196"/>
      <c r="G480" s="196"/>
      <c r="H480" s="196"/>
    </row>
    <row r="481" spans="2:8" ht="15.75" customHeight="1" x14ac:dyDescent="0.2">
      <c r="B481" s="196"/>
      <c r="C481" s="196"/>
      <c r="D481" s="196"/>
      <c r="E481" s="196"/>
      <c r="F481" s="196"/>
      <c r="G481" s="196"/>
      <c r="H481" s="196"/>
    </row>
    <row r="482" spans="2:8" ht="15.75" customHeight="1" x14ac:dyDescent="0.2">
      <c r="B482" s="196"/>
      <c r="C482" s="196"/>
      <c r="D482" s="196"/>
      <c r="E482" s="196"/>
      <c r="F482" s="196"/>
      <c r="G482" s="196"/>
      <c r="H482" s="196"/>
    </row>
    <row r="483" spans="2:8" ht="15.75" customHeight="1" x14ac:dyDescent="0.2">
      <c r="B483" s="196"/>
      <c r="C483" s="196"/>
      <c r="D483" s="196"/>
      <c r="E483" s="196"/>
      <c r="F483" s="196"/>
      <c r="G483" s="196"/>
      <c r="H483" s="196"/>
    </row>
    <row r="484" spans="2:8" ht="15.75" customHeight="1" x14ac:dyDescent="0.2">
      <c r="B484" s="196"/>
      <c r="C484" s="196"/>
      <c r="D484" s="196"/>
      <c r="E484" s="196"/>
      <c r="F484" s="196"/>
      <c r="G484" s="196"/>
      <c r="H484" s="196"/>
    </row>
    <row r="485" spans="2:8" ht="15.75" customHeight="1" x14ac:dyDescent="0.2">
      <c r="B485" s="196"/>
      <c r="C485" s="196"/>
      <c r="D485" s="196"/>
      <c r="E485" s="196"/>
      <c r="F485" s="196"/>
      <c r="G485" s="196"/>
      <c r="H485" s="196"/>
    </row>
    <row r="486" spans="2:8" ht="15.75" customHeight="1" x14ac:dyDescent="0.2">
      <c r="B486" s="196"/>
      <c r="C486" s="196"/>
      <c r="D486" s="196"/>
      <c r="E486" s="196"/>
      <c r="F486" s="196"/>
      <c r="G486" s="196"/>
      <c r="H486" s="196"/>
    </row>
    <row r="487" spans="2:8" ht="15.75" customHeight="1" x14ac:dyDescent="0.2">
      <c r="B487" s="196"/>
      <c r="C487" s="196"/>
      <c r="D487" s="196"/>
      <c r="E487" s="196"/>
      <c r="F487" s="196"/>
      <c r="G487" s="196"/>
      <c r="H487" s="196"/>
    </row>
    <row r="488" spans="2:8" ht="15.75" customHeight="1" x14ac:dyDescent="0.2">
      <c r="B488" s="196"/>
      <c r="C488" s="196"/>
      <c r="D488" s="196"/>
      <c r="E488" s="196"/>
      <c r="F488" s="196"/>
      <c r="G488" s="196"/>
      <c r="H488" s="196"/>
    </row>
    <row r="489" spans="2:8" ht="15.75" customHeight="1" x14ac:dyDescent="0.2">
      <c r="B489" s="196"/>
      <c r="C489" s="196"/>
      <c r="D489" s="196"/>
      <c r="E489" s="196"/>
      <c r="F489" s="196"/>
      <c r="G489" s="196"/>
      <c r="H489" s="196"/>
    </row>
    <row r="490" spans="2:8" ht="15.75" customHeight="1" x14ac:dyDescent="0.2">
      <c r="B490" s="196"/>
      <c r="C490" s="196"/>
      <c r="D490" s="196"/>
      <c r="E490" s="196"/>
      <c r="F490" s="196"/>
      <c r="G490" s="196"/>
      <c r="H490" s="196"/>
    </row>
    <row r="491" spans="2:8" ht="15.75" customHeight="1" x14ac:dyDescent="0.2">
      <c r="B491" s="196"/>
      <c r="C491" s="196"/>
      <c r="D491" s="196"/>
      <c r="E491" s="196"/>
      <c r="F491" s="196"/>
      <c r="G491" s="196"/>
      <c r="H491" s="196"/>
    </row>
    <row r="492" spans="2:8" ht="15.75" customHeight="1" x14ac:dyDescent="0.2">
      <c r="B492" s="196"/>
      <c r="C492" s="196"/>
      <c r="D492" s="196"/>
      <c r="E492" s="196"/>
      <c r="F492" s="196"/>
      <c r="G492" s="196"/>
      <c r="H492" s="196"/>
    </row>
    <row r="493" spans="2:8" ht="15.75" customHeight="1" x14ac:dyDescent="0.2">
      <c r="B493" s="196"/>
      <c r="C493" s="196"/>
      <c r="D493" s="196"/>
      <c r="E493" s="196"/>
      <c r="F493" s="196"/>
      <c r="G493" s="196"/>
      <c r="H493" s="196"/>
    </row>
    <row r="494" spans="2:8" ht="15.75" customHeight="1" x14ac:dyDescent="0.2">
      <c r="B494" s="196"/>
      <c r="C494" s="196"/>
      <c r="D494" s="196"/>
      <c r="E494" s="196"/>
      <c r="F494" s="196"/>
      <c r="G494" s="196"/>
      <c r="H494" s="196"/>
    </row>
    <row r="495" spans="2:8" ht="15.75" customHeight="1" x14ac:dyDescent="0.2">
      <c r="B495" s="196"/>
      <c r="C495" s="196"/>
      <c r="D495" s="196"/>
      <c r="E495" s="196"/>
      <c r="F495" s="196"/>
      <c r="G495" s="196"/>
      <c r="H495" s="196"/>
    </row>
    <row r="496" spans="2:8" ht="15.75" customHeight="1" x14ac:dyDescent="0.2">
      <c r="B496" s="196"/>
      <c r="C496" s="196"/>
      <c r="D496" s="196"/>
      <c r="E496" s="196"/>
      <c r="F496" s="196"/>
      <c r="G496" s="196"/>
      <c r="H496" s="196"/>
    </row>
    <row r="497" spans="2:8" ht="15.75" customHeight="1" x14ac:dyDescent="0.2">
      <c r="B497" s="196"/>
      <c r="C497" s="196"/>
      <c r="D497" s="196"/>
      <c r="E497" s="196"/>
      <c r="F497" s="196"/>
      <c r="G497" s="196"/>
      <c r="H497" s="196"/>
    </row>
    <row r="498" spans="2:8" ht="15.75" customHeight="1" x14ac:dyDescent="0.2">
      <c r="B498" s="196"/>
      <c r="C498" s="196"/>
      <c r="D498" s="196"/>
      <c r="E498" s="196"/>
      <c r="F498" s="196"/>
      <c r="G498" s="196"/>
      <c r="H498" s="196"/>
    </row>
    <row r="499" spans="2:8" ht="15.75" customHeight="1" x14ac:dyDescent="0.2">
      <c r="B499" s="196"/>
      <c r="C499" s="196"/>
      <c r="D499" s="196"/>
      <c r="E499" s="196"/>
      <c r="F499" s="196"/>
      <c r="G499" s="196"/>
      <c r="H499" s="196"/>
    </row>
    <row r="500" spans="2:8" ht="15.75" customHeight="1" x14ac:dyDescent="0.2">
      <c r="B500" s="196"/>
      <c r="C500" s="196"/>
      <c r="D500" s="196"/>
      <c r="E500" s="196"/>
      <c r="F500" s="196"/>
      <c r="G500" s="196"/>
      <c r="H500" s="196"/>
    </row>
    <row r="501" spans="2:8" ht="15.75" customHeight="1" x14ac:dyDescent="0.2">
      <c r="B501" s="196"/>
      <c r="C501" s="196"/>
      <c r="D501" s="196"/>
      <c r="E501" s="196"/>
      <c r="F501" s="196"/>
      <c r="G501" s="196"/>
      <c r="H501" s="196"/>
    </row>
    <row r="502" spans="2:8" ht="15.75" customHeight="1" x14ac:dyDescent="0.2">
      <c r="B502" s="196"/>
      <c r="C502" s="196"/>
      <c r="D502" s="196"/>
      <c r="E502" s="196"/>
      <c r="F502" s="196"/>
      <c r="G502" s="196"/>
      <c r="H502" s="196"/>
    </row>
    <row r="503" spans="2:8" ht="15.75" customHeight="1" x14ac:dyDescent="0.2">
      <c r="B503" s="196"/>
      <c r="C503" s="196"/>
      <c r="D503" s="196"/>
      <c r="E503" s="196"/>
      <c r="F503" s="196"/>
      <c r="G503" s="196"/>
      <c r="H503" s="196"/>
    </row>
    <row r="504" spans="2:8" ht="15.75" customHeight="1" x14ac:dyDescent="0.2">
      <c r="B504" s="196"/>
      <c r="C504" s="196"/>
      <c r="D504" s="196"/>
      <c r="E504" s="196"/>
      <c r="F504" s="196"/>
      <c r="G504" s="196"/>
      <c r="H504" s="196"/>
    </row>
    <row r="505" spans="2:8" ht="15.75" customHeight="1" x14ac:dyDescent="0.2">
      <c r="B505" s="196"/>
      <c r="C505" s="196"/>
      <c r="D505" s="196"/>
      <c r="E505" s="196"/>
      <c r="F505" s="196"/>
      <c r="G505" s="196"/>
      <c r="H505" s="196"/>
    </row>
    <row r="506" spans="2:8" ht="15.75" customHeight="1" x14ac:dyDescent="0.2">
      <c r="B506" s="196"/>
      <c r="C506" s="196"/>
      <c r="D506" s="196"/>
      <c r="E506" s="196"/>
      <c r="F506" s="196"/>
      <c r="G506" s="196"/>
      <c r="H506" s="196"/>
    </row>
    <row r="507" spans="2:8" ht="15.75" customHeight="1" x14ac:dyDescent="0.2">
      <c r="B507" s="196"/>
      <c r="C507" s="196"/>
      <c r="D507" s="196"/>
      <c r="E507" s="196"/>
      <c r="F507" s="196"/>
      <c r="G507" s="196"/>
      <c r="H507" s="196"/>
    </row>
    <row r="508" spans="2:8" ht="15.75" customHeight="1" x14ac:dyDescent="0.2">
      <c r="B508" s="196"/>
      <c r="C508" s="196"/>
      <c r="D508" s="196"/>
      <c r="E508" s="196"/>
      <c r="F508" s="196"/>
      <c r="G508" s="196"/>
      <c r="H508" s="196"/>
    </row>
    <row r="509" spans="2:8" ht="15.75" customHeight="1" x14ac:dyDescent="0.2">
      <c r="B509" s="196"/>
      <c r="C509" s="196"/>
      <c r="D509" s="196"/>
      <c r="E509" s="196"/>
      <c r="F509" s="196"/>
      <c r="G509" s="196"/>
      <c r="H509" s="196"/>
    </row>
    <row r="510" spans="2:8" ht="15.75" customHeight="1" x14ac:dyDescent="0.2">
      <c r="B510" s="196"/>
      <c r="C510" s="196"/>
      <c r="D510" s="196"/>
      <c r="E510" s="196"/>
      <c r="F510" s="196"/>
      <c r="G510" s="196"/>
      <c r="H510" s="196"/>
    </row>
    <row r="511" spans="2:8" ht="15.75" customHeight="1" x14ac:dyDescent="0.2">
      <c r="B511" s="196"/>
      <c r="C511" s="196"/>
      <c r="D511" s="196"/>
      <c r="E511" s="196"/>
      <c r="F511" s="196"/>
      <c r="G511" s="196"/>
      <c r="H511" s="196"/>
    </row>
    <row r="512" spans="2:8" ht="15.75" customHeight="1" x14ac:dyDescent="0.2">
      <c r="B512" s="196"/>
      <c r="C512" s="196"/>
      <c r="D512" s="196"/>
      <c r="E512" s="196"/>
      <c r="F512" s="196"/>
      <c r="G512" s="196"/>
      <c r="H512" s="196"/>
    </row>
    <row r="513" spans="2:8" ht="15.75" customHeight="1" x14ac:dyDescent="0.2">
      <c r="B513" s="196"/>
      <c r="C513" s="196"/>
      <c r="D513" s="196"/>
      <c r="E513" s="196"/>
      <c r="F513" s="196"/>
      <c r="G513" s="196"/>
      <c r="H513" s="196"/>
    </row>
    <row r="514" spans="2:8" ht="15.75" customHeight="1" x14ac:dyDescent="0.2">
      <c r="B514" s="196"/>
      <c r="C514" s="196"/>
      <c r="D514" s="196"/>
      <c r="E514" s="196"/>
      <c r="F514" s="196"/>
      <c r="G514" s="196"/>
      <c r="H514" s="196"/>
    </row>
    <row r="515" spans="2:8" ht="15.75" customHeight="1" x14ac:dyDescent="0.2">
      <c r="B515" s="196"/>
      <c r="C515" s="196"/>
      <c r="D515" s="196"/>
      <c r="E515" s="196"/>
      <c r="F515" s="196"/>
      <c r="G515" s="196"/>
      <c r="H515" s="196"/>
    </row>
    <row r="516" spans="2:8" ht="15.75" customHeight="1" x14ac:dyDescent="0.2">
      <c r="B516" s="196"/>
      <c r="C516" s="196"/>
      <c r="D516" s="196"/>
      <c r="E516" s="196"/>
      <c r="F516" s="196"/>
      <c r="G516" s="196"/>
      <c r="H516" s="196"/>
    </row>
    <row r="517" spans="2:8" ht="15.75" customHeight="1" x14ac:dyDescent="0.2">
      <c r="B517" s="196"/>
      <c r="C517" s="196"/>
      <c r="D517" s="196"/>
      <c r="E517" s="196"/>
      <c r="F517" s="196"/>
      <c r="G517" s="196"/>
      <c r="H517" s="196"/>
    </row>
    <row r="518" spans="2:8" ht="15.75" customHeight="1" x14ac:dyDescent="0.2">
      <c r="B518" s="196"/>
      <c r="C518" s="196"/>
      <c r="D518" s="196"/>
      <c r="E518" s="196"/>
      <c r="F518" s="196"/>
      <c r="G518" s="196"/>
      <c r="H518" s="196"/>
    </row>
    <row r="519" spans="2:8" ht="15.75" customHeight="1" x14ac:dyDescent="0.2">
      <c r="B519" s="196"/>
      <c r="C519" s="196"/>
      <c r="D519" s="196"/>
      <c r="E519" s="196"/>
      <c r="F519" s="196"/>
      <c r="G519" s="196"/>
      <c r="H519" s="196"/>
    </row>
    <row r="520" spans="2:8" ht="15.75" customHeight="1" x14ac:dyDescent="0.2">
      <c r="B520" s="196"/>
      <c r="C520" s="196"/>
      <c r="D520" s="196"/>
      <c r="E520" s="196"/>
      <c r="F520" s="196"/>
      <c r="G520" s="196"/>
      <c r="H520" s="196"/>
    </row>
    <row r="521" spans="2:8" ht="15.75" customHeight="1" x14ac:dyDescent="0.2">
      <c r="B521" s="196"/>
      <c r="C521" s="196"/>
      <c r="D521" s="196"/>
      <c r="E521" s="196"/>
      <c r="F521" s="196"/>
      <c r="G521" s="196"/>
      <c r="H521" s="196"/>
    </row>
    <row r="522" spans="2:8" ht="15.75" customHeight="1" x14ac:dyDescent="0.2">
      <c r="B522" s="196"/>
      <c r="C522" s="196"/>
      <c r="D522" s="196"/>
      <c r="E522" s="196"/>
      <c r="F522" s="196"/>
      <c r="G522" s="196"/>
      <c r="H522" s="196"/>
    </row>
    <row r="523" spans="2:8" ht="15.75" customHeight="1" x14ac:dyDescent="0.2">
      <c r="B523" s="196"/>
      <c r="C523" s="196"/>
      <c r="D523" s="196"/>
      <c r="E523" s="196"/>
      <c r="F523" s="196"/>
      <c r="G523" s="196"/>
      <c r="H523" s="196"/>
    </row>
    <row r="524" spans="2:8" ht="15.75" customHeight="1" x14ac:dyDescent="0.2">
      <c r="B524" s="196"/>
      <c r="C524" s="196"/>
      <c r="D524" s="196"/>
      <c r="E524" s="196"/>
      <c r="F524" s="196"/>
      <c r="G524" s="196"/>
      <c r="H524" s="196"/>
    </row>
    <row r="525" spans="2:8" ht="15.75" customHeight="1" x14ac:dyDescent="0.2">
      <c r="B525" s="196"/>
      <c r="C525" s="196"/>
      <c r="D525" s="196"/>
      <c r="E525" s="196"/>
      <c r="F525" s="196"/>
      <c r="G525" s="196"/>
      <c r="H525" s="196"/>
    </row>
    <row r="526" spans="2:8" ht="15.75" customHeight="1" x14ac:dyDescent="0.2">
      <c r="B526" s="196"/>
      <c r="C526" s="196"/>
      <c r="D526" s="196"/>
      <c r="E526" s="196"/>
      <c r="F526" s="196"/>
      <c r="G526" s="196"/>
      <c r="H526" s="196"/>
    </row>
    <row r="527" spans="2:8" ht="15.75" customHeight="1" x14ac:dyDescent="0.2">
      <c r="B527" s="196"/>
      <c r="C527" s="196"/>
      <c r="D527" s="196"/>
      <c r="E527" s="196"/>
      <c r="F527" s="196"/>
      <c r="G527" s="196"/>
      <c r="H527" s="196"/>
    </row>
    <row r="528" spans="2:8" ht="15.75" customHeight="1" x14ac:dyDescent="0.2">
      <c r="B528" s="196"/>
      <c r="C528" s="196"/>
      <c r="D528" s="196"/>
      <c r="E528" s="196"/>
      <c r="F528" s="196"/>
      <c r="G528" s="196"/>
      <c r="H528" s="196"/>
    </row>
    <row r="529" spans="2:8" ht="15.75" customHeight="1" x14ac:dyDescent="0.2">
      <c r="B529" s="196"/>
      <c r="C529" s="196"/>
      <c r="D529" s="196"/>
      <c r="E529" s="196"/>
      <c r="F529" s="196"/>
      <c r="G529" s="196"/>
      <c r="H529" s="196"/>
    </row>
    <row r="530" spans="2:8" ht="15.75" customHeight="1" x14ac:dyDescent="0.2">
      <c r="B530" s="196"/>
      <c r="C530" s="196"/>
      <c r="D530" s="196"/>
      <c r="E530" s="196"/>
      <c r="F530" s="196"/>
      <c r="G530" s="196"/>
      <c r="H530" s="196"/>
    </row>
    <row r="531" spans="2:8" ht="15.75" customHeight="1" x14ac:dyDescent="0.2">
      <c r="B531" s="196"/>
      <c r="C531" s="196"/>
      <c r="D531" s="196"/>
      <c r="E531" s="196"/>
      <c r="F531" s="196"/>
      <c r="G531" s="196"/>
      <c r="H531" s="196"/>
    </row>
    <row r="532" spans="2:8" ht="15.75" customHeight="1" x14ac:dyDescent="0.2">
      <c r="B532" s="196"/>
      <c r="C532" s="196"/>
      <c r="D532" s="196"/>
      <c r="E532" s="196"/>
      <c r="F532" s="196"/>
      <c r="G532" s="196"/>
      <c r="H532" s="196"/>
    </row>
    <row r="533" spans="2:8" ht="15.75" customHeight="1" x14ac:dyDescent="0.2">
      <c r="B533" s="196"/>
      <c r="C533" s="196"/>
      <c r="D533" s="196"/>
      <c r="E533" s="196"/>
      <c r="F533" s="196"/>
      <c r="G533" s="196"/>
      <c r="H533" s="196"/>
    </row>
    <row r="534" spans="2:8" ht="15.75" customHeight="1" x14ac:dyDescent="0.2">
      <c r="B534" s="196"/>
      <c r="C534" s="196"/>
      <c r="D534" s="196"/>
      <c r="E534" s="196"/>
      <c r="F534" s="196"/>
      <c r="G534" s="196"/>
      <c r="H534" s="196"/>
    </row>
    <row r="535" spans="2:8" ht="15.75" customHeight="1" x14ac:dyDescent="0.2">
      <c r="B535" s="196"/>
      <c r="C535" s="196"/>
      <c r="D535" s="196"/>
      <c r="E535" s="196"/>
      <c r="F535" s="196"/>
      <c r="G535" s="196"/>
      <c r="H535" s="196"/>
    </row>
    <row r="536" spans="2:8" ht="15.75" customHeight="1" x14ac:dyDescent="0.2">
      <c r="B536" s="196"/>
      <c r="C536" s="196"/>
      <c r="D536" s="196"/>
      <c r="E536" s="196"/>
      <c r="F536" s="196"/>
      <c r="G536" s="196"/>
      <c r="H536" s="196"/>
    </row>
    <row r="537" spans="2:8" ht="15.75" customHeight="1" x14ac:dyDescent="0.2">
      <c r="B537" s="196"/>
      <c r="C537" s="196"/>
      <c r="D537" s="196"/>
      <c r="E537" s="196"/>
      <c r="F537" s="196"/>
      <c r="G537" s="196"/>
      <c r="H537" s="196"/>
    </row>
    <row r="538" spans="2:8" ht="15.75" customHeight="1" x14ac:dyDescent="0.2">
      <c r="B538" s="196"/>
      <c r="C538" s="196"/>
      <c r="D538" s="196"/>
      <c r="E538" s="196"/>
      <c r="F538" s="196"/>
      <c r="G538" s="196"/>
      <c r="H538" s="196"/>
    </row>
    <row r="539" spans="2:8" ht="15.75" customHeight="1" x14ac:dyDescent="0.2">
      <c r="B539" s="196"/>
      <c r="C539" s="196"/>
      <c r="D539" s="196"/>
      <c r="E539" s="196"/>
      <c r="F539" s="196"/>
      <c r="G539" s="196"/>
      <c r="H539" s="196"/>
    </row>
    <row r="540" spans="2:8" ht="15.75" customHeight="1" x14ac:dyDescent="0.2">
      <c r="B540" s="196"/>
      <c r="C540" s="196"/>
      <c r="D540" s="196"/>
      <c r="E540" s="196"/>
      <c r="F540" s="196"/>
      <c r="G540" s="196"/>
      <c r="H540" s="196"/>
    </row>
    <row r="541" spans="2:8" ht="15.75" customHeight="1" x14ac:dyDescent="0.2">
      <c r="B541" s="196"/>
      <c r="C541" s="196"/>
      <c r="D541" s="196"/>
      <c r="E541" s="196"/>
      <c r="F541" s="196"/>
      <c r="G541" s="196"/>
      <c r="H541" s="196"/>
    </row>
    <row r="542" spans="2:8" ht="15.75" customHeight="1" x14ac:dyDescent="0.2">
      <c r="B542" s="196"/>
      <c r="C542" s="196"/>
      <c r="D542" s="196"/>
      <c r="E542" s="196"/>
      <c r="F542" s="196"/>
      <c r="G542" s="196"/>
      <c r="H542" s="196"/>
    </row>
    <row r="543" spans="2:8" ht="15.75" customHeight="1" x14ac:dyDescent="0.2">
      <c r="B543" s="196"/>
      <c r="C543" s="196"/>
      <c r="D543" s="196"/>
      <c r="E543" s="196"/>
      <c r="F543" s="196"/>
      <c r="G543" s="196"/>
      <c r="H543" s="196"/>
    </row>
    <row r="544" spans="2:8" ht="15.75" customHeight="1" x14ac:dyDescent="0.2">
      <c r="B544" s="196"/>
      <c r="C544" s="196"/>
      <c r="D544" s="196"/>
      <c r="E544" s="196"/>
      <c r="F544" s="196"/>
      <c r="G544" s="196"/>
      <c r="H544" s="196"/>
    </row>
    <row r="545" spans="2:8" ht="15.75" customHeight="1" x14ac:dyDescent="0.2">
      <c r="B545" s="196"/>
      <c r="C545" s="196"/>
      <c r="D545" s="196"/>
      <c r="E545" s="196"/>
      <c r="F545" s="196"/>
      <c r="G545" s="196"/>
      <c r="H545" s="196"/>
    </row>
    <row r="546" spans="2:8" ht="15.75" customHeight="1" x14ac:dyDescent="0.2">
      <c r="B546" s="196"/>
      <c r="C546" s="196"/>
      <c r="D546" s="196"/>
      <c r="E546" s="196"/>
      <c r="F546" s="196"/>
      <c r="G546" s="196"/>
      <c r="H546" s="196"/>
    </row>
    <row r="547" spans="2:8" ht="15.75" customHeight="1" x14ac:dyDescent="0.2">
      <c r="B547" s="196"/>
      <c r="C547" s="196"/>
      <c r="D547" s="196"/>
      <c r="E547" s="196"/>
      <c r="F547" s="196"/>
      <c r="G547" s="196"/>
      <c r="H547" s="196"/>
    </row>
    <row r="548" spans="2:8" ht="15.75" customHeight="1" x14ac:dyDescent="0.2">
      <c r="B548" s="196"/>
      <c r="C548" s="196"/>
      <c r="D548" s="196"/>
      <c r="E548" s="196"/>
      <c r="F548" s="196"/>
      <c r="G548" s="196"/>
      <c r="H548" s="196"/>
    </row>
    <row r="549" spans="2:8" ht="15.75" customHeight="1" x14ac:dyDescent="0.2">
      <c r="B549" s="196"/>
      <c r="C549" s="196"/>
      <c r="D549" s="196"/>
      <c r="E549" s="196"/>
      <c r="F549" s="196"/>
      <c r="G549" s="196"/>
      <c r="H549" s="196"/>
    </row>
    <row r="550" spans="2:8" ht="15.75" customHeight="1" x14ac:dyDescent="0.2">
      <c r="B550" s="196"/>
      <c r="C550" s="196"/>
      <c r="D550" s="196"/>
      <c r="E550" s="196"/>
      <c r="F550" s="196"/>
      <c r="G550" s="196"/>
      <c r="H550" s="196"/>
    </row>
    <row r="551" spans="2:8" ht="15.75" customHeight="1" x14ac:dyDescent="0.2">
      <c r="B551" s="196"/>
      <c r="C551" s="196"/>
      <c r="D551" s="196"/>
      <c r="E551" s="196"/>
      <c r="F551" s="196"/>
      <c r="G551" s="196"/>
      <c r="H551" s="196"/>
    </row>
    <row r="552" spans="2:8" ht="15.75" customHeight="1" x14ac:dyDescent="0.2">
      <c r="B552" s="196"/>
      <c r="C552" s="196"/>
      <c r="D552" s="196"/>
      <c r="E552" s="196"/>
      <c r="F552" s="196"/>
      <c r="G552" s="196"/>
      <c r="H552" s="196"/>
    </row>
    <row r="553" spans="2:8" ht="15.75" customHeight="1" x14ac:dyDescent="0.2">
      <c r="B553" s="196"/>
      <c r="C553" s="196"/>
      <c r="D553" s="196"/>
      <c r="E553" s="196"/>
      <c r="F553" s="196"/>
      <c r="G553" s="196"/>
      <c r="H553" s="196"/>
    </row>
    <row r="554" spans="2:8" ht="15.75" customHeight="1" x14ac:dyDescent="0.2">
      <c r="B554" s="196"/>
      <c r="C554" s="196"/>
      <c r="D554" s="196"/>
      <c r="E554" s="196"/>
      <c r="F554" s="196"/>
      <c r="G554" s="196"/>
      <c r="H554" s="196"/>
    </row>
    <row r="555" spans="2:8" ht="15.75" customHeight="1" x14ac:dyDescent="0.2">
      <c r="B555" s="196"/>
      <c r="C555" s="196"/>
      <c r="D555" s="196"/>
      <c r="E555" s="196"/>
      <c r="F555" s="196"/>
      <c r="G555" s="196"/>
      <c r="H555" s="196"/>
    </row>
    <row r="556" spans="2:8" ht="15.75" customHeight="1" x14ac:dyDescent="0.2">
      <c r="B556" s="196"/>
      <c r="C556" s="196"/>
      <c r="D556" s="196"/>
      <c r="E556" s="196"/>
      <c r="F556" s="196"/>
      <c r="G556" s="196"/>
      <c r="H556" s="196"/>
    </row>
    <row r="557" spans="2:8" ht="15.75" customHeight="1" x14ac:dyDescent="0.2">
      <c r="B557" s="196"/>
      <c r="C557" s="196"/>
      <c r="D557" s="196"/>
      <c r="E557" s="196"/>
      <c r="F557" s="196"/>
      <c r="G557" s="196"/>
      <c r="H557" s="196"/>
    </row>
    <row r="558" spans="2:8" ht="15.75" customHeight="1" x14ac:dyDescent="0.2">
      <c r="B558" s="196"/>
      <c r="C558" s="196"/>
      <c r="D558" s="196"/>
      <c r="E558" s="196"/>
      <c r="F558" s="196"/>
      <c r="G558" s="196"/>
      <c r="H558" s="196"/>
    </row>
    <row r="559" spans="2:8" ht="15.75" customHeight="1" x14ac:dyDescent="0.2">
      <c r="B559" s="196"/>
      <c r="C559" s="196"/>
      <c r="D559" s="196"/>
      <c r="E559" s="196"/>
      <c r="F559" s="196"/>
      <c r="G559" s="196"/>
      <c r="H559" s="196"/>
    </row>
    <row r="560" spans="2:8" ht="15.75" customHeight="1" x14ac:dyDescent="0.2">
      <c r="B560" s="196"/>
      <c r="C560" s="196"/>
      <c r="D560" s="196"/>
      <c r="E560" s="196"/>
      <c r="F560" s="196"/>
      <c r="G560" s="196"/>
      <c r="H560" s="196"/>
    </row>
    <row r="561" spans="2:8" ht="15.75" customHeight="1" x14ac:dyDescent="0.2">
      <c r="B561" s="196"/>
      <c r="C561" s="196"/>
      <c r="D561" s="196"/>
      <c r="E561" s="196"/>
      <c r="F561" s="196"/>
      <c r="G561" s="196"/>
      <c r="H561" s="196"/>
    </row>
    <row r="562" spans="2:8" ht="15.75" customHeight="1" x14ac:dyDescent="0.2">
      <c r="B562" s="196"/>
      <c r="C562" s="196"/>
      <c r="D562" s="196"/>
      <c r="E562" s="196"/>
      <c r="F562" s="196"/>
      <c r="G562" s="196"/>
      <c r="H562" s="196"/>
    </row>
    <row r="563" spans="2:8" ht="15.75" customHeight="1" x14ac:dyDescent="0.2">
      <c r="B563" s="196"/>
      <c r="C563" s="196"/>
      <c r="D563" s="196"/>
      <c r="E563" s="196"/>
      <c r="F563" s="196"/>
      <c r="G563" s="196"/>
      <c r="H563" s="196"/>
    </row>
    <row r="564" spans="2:8" ht="15.75" customHeight="1" x14ac:dyDescent="0.2">
      <c r="B564" s="196"/>
      <c r="C564" s="196"/>
      <c r="D564" s="196"/>
      <c r="E564" s="196"/>
      <c r="F564" s="196"/>
      <c r="G564" s="196"/>
      <c r="H564" s="196"/>
    </row>
    <row r="565" spans="2:8" ht="15.75" customHeight="1" x14ac:dyDescent="0.2">
      <c r="B565" s="196"/>
      <c r="C565" s="196"/>
      <c r="D565" s="196"/>
      <c r="E565" s="196"/>
      <c r="F565" s="196"/>
      <c r="G565" s="196"/>
      <c r="H565" s="196"/>
    </row>
    <row r="566" spans="2:8" ht="15.75" customHeight="1" x14ac:dyDescent="0.2">
      <c r="B566" s="196"/>
      <c r="C566" s="196"/>
      <c r="D566" s="196"/>
      <c r="E566" s="196"/>
      <c r="F566" s="196"/>
      <c r="G566" s="196"/>
      <c r="H566" s="196"/>
    </row>
    <row r="567" spans="2:8" ht="15.75" customHeight="1" x14ac:dyDescent="0.2">
      <c r="B567" s="196"/>
      <c r="C567" s="196"/>
      <c r="D567" s="196"/>
      <c r="E567" s="196"/>
      <c r="F567" s="196"/>
      <c r="G567" s="196"/>
      <c r="H567" s="196"/>
    </row>
    <row r="568" spans="2:8" ht="15.75" customHeight="1" x14ac:dyDescent="0.2">
      <c r="B568" s="196"/>
      <c r="C568" s="196"/>
      <c r="D568" s="196"/>
      <c r="E568" s="196"/>
      <c r="F568" s="196"/>
      <c r="G568" s="196"/>
      <c r="H568" s="196"/>
    </row>
    <row r="569" spans="2:8" ht="15.75" customHeight="1" x14ac:dyDescent="0.2">
      <c r="B569" s="196"/>
      <c r="C569" s="196"/>
      <c r="D569" s="196"/>
      <c r="E569" s="196"/>
      <c r="F569" s="196"/>
      <c r="G569" s="196"/>
      <c r="H569" s="196"/>
    </row>
    <row r="570" spans="2:8" ht="15.75" customHeight="1" x14ac:dyDescent="0.2">
      <c r="B570" s="196"/>
      <c r="C570" s="196"/>
      <c r="D570" s="196"/>
      <c r="E570" s="196"/>
      <c r="F570" s="196"/>
      <c r="G570" s="196"/>
      <c r="H570" s="196"/>
    </row>
    <row r="571" spans="2:8" ht="15.75" customHeight="1" x14ac:dyDescent="0.2">
      <c r="B571" s="196"/>
      <c r="C571" s="196"/>
      <c r="D571" s="196"/>
      <c r="E571" s="196"/>
      <c r="F571" s="196"/>
      <c r="G571" s="196"/>
      <c r="H571" s="196"/>
    </row>
    <row r="572" spans="2:8" ht="15.75" customHeight="1" x14ac:dyDescent="0.2">
      <c r="B572" s="196"/>
      <c r="C572" s="196"/>
      <c r="D572" s="196"/>
      <c r="E572" s="196"/>
      <c r="F572" s="196"/>
      <c r="G572" s="196"/>
      <c r="H572" s="196"/>
    </row>
    <row r="573" spans="2:8" ht="15.75" customHeight="1" x14ac:dyDescent="0.2">
      <c r="B573" s="196"/>
      <c r="C573" s="196"/>
      <c r="D573" s="196"/>
      <c r="E573" s="196"/>
      <c r="F573" s="196"/>
      <c r="G573" s="196"/>
      <c r="H573" s="196"/>
    </row>
    <row r="574" spans="2:8" ht="15.75" customHeight="1" x14ac:dyDescent="0.2">
      <c r="B574" s="196"/>
      <c r="C574" s="196"/>
      <c r="D574" s="196"/>
      <c r="E574" s="196"/>
      <c r="F574" s="196"/>
      <c r="G574" s="196"/>
      <c r="H574" s="196"/>
    </row>
    <row r="575" spans="2:8" ht="15.75" customHeight="1" x14ac:dyDescent="0.2">
      <c r="B575" s="196"/>
      <c r="C575" s="196"/>
      <c r="D575" s="196"/>
      <c r="E575" s="196"/>
      <c r="F575" s="196"/>
      <c r="G575" s="196"/>
      <c r="H575" s="196"/>
    </row>
    <row r="576" spans="2:8" ht="15.75" customHeight="1" x14ac:dyDescent="0.2">
      <c r="B576" s="196"/>
      <c r="C576" s="196"/>
      <c r="D576" s="196"/>
      <c r="E576" s="196"/>
      <c r="F576" s="196"/>
      <c r="G576" s="196"/>
      <c r="H576" s="196"/>
    </row>
    <row r="577" spans="2:8" ht="15.75" customHeight="1" x14ac:dyDescent="0.2">
      <c r="B577" s="196"/>
      <c r="C577" s="196"/>
      <c r="D577" s="196"/>
      <c r="E577" s="196"/>
      <c r="F577" s="196"/>
      <c r="G577" s="196"/>
      <c r="H577" s="196"/>
    </row>
    <row r="578" spans="2:8" ht="15.75" customHeight="1" x14ac:dyDescent="0.2">
      <c r="B578" s="196"/>
      <c r="C578" s="196"/>
      <c r="D578" s="196"/>
      <c r="E578" s="196"/>
      <c r="F578" s="196"/>
      <c r="G578" s="196"/>
      <c r="H578" s="196"/>
    </row>
    <row r="579" spans="2:8" ht="15.75" customHeight="1" x14ac:dyDescent="0.2">
      <c r="B579" s="196"/>
      <c r="C579" s="196"/>
      <c r="D579" s="196"/>
      <c r="E579" s="196"/>
      <c r="F579" s="196"/>
      <c r="G579" s="196"/>
      <c r="H579" s="196"/>
    </row>
    <row r="580" spans="2:8" ht="15.75" customHeight="1" x14ac:dyDescent="0.2">
      <c r="B580" s="196"/>
      <c r="C580" s="196"/>
      <c r="D580" s="196"/>
      <c r="E580" s="196"/>
      <c r="F580" s="196"/>
      <c r="G580" s="196"/>
      <c r="H580" s="196"/>
    </row>
    <row r="581" spans="2:8" ht="15.75" customHeight="1" x14ac:dyDescent="0.2">
      <c r="B581" s="196"/>
      <c r="C581" s="196"/>
      <c r="D581" s="196"/>
      <c r="E581" s="196"/>
      <c r="F581" s="196"/>
      <c r="G581" s="196"/>
      <c r="H581" s="196"/>
    </row>
    <row r="582" spans="2:8" ht="15.75" customHeight="1" x14ac:dyDescent="0.2">
      <c r="B582" s="196"/>
      <c r="C582" s="196"/>
      <c r="D582" s="196"/>
      <c r="E582" s="196"/>
      <c r="F582" s="196"/>
      <c r="G582" s="196"/>
      <c r="H582" s="196"/>
    </row>
    <row r="583" spans="2:8" ht="15.75" customHeight="1" x14ac:dyDescent="0.2">
      <c r="B583" s="196"/>
      <c r="C583" s="196"/>
      <c r="D583" s="196"/>
      <c r="E583" s="196"/>
      <c r="F583" s="196"/>
      <c r="G583" s="196"/>
      <c r="H583" s="196"/>
    </row>
    <row r="584" spans="2:8" ht="15.75" customHeight="1" x14ac:dyDescent="0.2">
      <c r="B584" s="196"/>
      <c r="C584" s="196"/>
      <c r="D584" s="196"/>
      <c r="E584" s="196"/>
      <c r="F584" s="196"/>
      <c r="G584" s="196"/>
      <c r="H584" s="196"/>
    </row>
    <row r="585" spans="2:8" ht="15.75" customHeight="1" x14ac:dyDescent="0.2">
      <c r="B585" s="196"/>
      <c r="C585" s="196"/>
      <c r="D585" s="196"/>
      <c r="E585" s="196"/>
      <c r="F585" s="196"/>
      <c r="G585" s="196"/>
      <c r="H585" s="196"/>
    </row>
    <row r="586" spans="2:8" ht="15.75" customHeight="1" x14ac:dyDescent="0.2">
      <c r="B586" s="196"/>
      <c r="C586" s="196"/>
      <c r="D586" s="196"/>
      <c r="E586" s="196"/>
      <c r="F586" s="196"/>
      <c r="G586" s="196"/>
      <c r="H586" s="196"/>
    </row>
    <row r="587" spans="2:8" ht="15.75" customHeight="1" x14ac:dyDescent="0.2">
      <c r="B587" s="196"/>
      <c r="C587" s="196"/>
      <c r="D587" s="196"/>
      <c r="E587" s="196"/>
      <c r="F587" s="196"/>
      <c r="G587" s="196"/>
      <c r="H587" s="196"/>
    </row>
    <row r="588" spans="2:8" ht="15.75" customHeight="1" x14ac:dyDescent="0.2">
      <c r="B588" s="196"/>
      <c r="C588" s="196"/>
      <c r="D588" s="196"/>
      <c r="E588" s="196"/>
      <c r="F588" s="196"/>
      <c r="G588" s="196"/>
      <c r="H588" s="196"/>
    </row>
    <row r="589" spans="2:8" ht="15.75" customHeight="1" x14ac:dyDescent="0.2">
      <c r="B589" s="196"/>
      <c r="C589" s="196"/>
      <c r="D589" s="196"/>
      <c r="E589" s="196"/>
      <c r="F589" s="196"/>
      <c r="G589" s="196"/>
      <c r="H589" s="196"/>
    </row>
    <row r="590" spans="2:8" ht="15.75" customHeight="1" x14ac:dyDescent="0.2">
      <c r="B590" s="196"/>
      <c r="C590" s="196"/>
      <c r="D590" s="196"/>
      <c r="E590" s="196"/>
      <c r="F590" s="196"/>
      <c r="G590" s="196"/>
      <c r="H590" s="196"/>
    </row>
    <row r="591" spans="2:8" ht="15.75" customHeight="1" x14ac:dyDescent="0.2">
      <c r="B591" s="196"/>
      <c r="C591" s="196"/>
      <c r="D591" s="196"/>
      <c r="E591" s="196"/>
      <c r="F591" s="196"/>
      <c r="G591" s="196"/>
      <c r="H591" s="196"/>
    </row>
    <row r="592" spans="2:8" ht="15.75" customHeight="1" x14ac:dyDescent="0.2">
      <c r="B592" s="196"/>
      <c r="C592" s="196"/>
      <c r="D592" s="196"/>
      <c r="E592" s="196"/>
      <c r="F592" s="196"/>
      <c r="G592" s="196"/>
      <c r="H592" s="196"/>
    </row>
    <row r="593" spans="2:8" ht="15.75" customHeight="1" x14ac:dyDescent="0.2">
      <c r="B593" s="196"/>
      <c r="C593" s="196"/>
      <c r="D593" s="196"/>
      <c r="E593" s="196"/>
      <c r="F593" s="196"/>
      <c r="G593" s="196"/>
      <c r="H593" s="196"/>
    </row>
    <row r="594" spans="2:8" ht="15.75" customHeight="1" x14ac:dyDescent="0.2">
      <c r="B594" s="196"/>
      <c r="C594" s="196"/>
      <c r="D594" s="196"/>
      <c r="E594" s="196"/>
      <c r="F594" s="196"/>
      <c r="G594" s="196"/>
      <c r="H594" s="196"/>
    </row>
    <row r="595" spans="2:8" ht="15.75" customHeight="1" x14ac:dyDescent="0.2">
      <c r="B595" s="196"/>
      <c r="C595" s="196"/>
      <c r="D595" s="196"/>
      <c r="E595" s="196"/>
      <c r="F595" s="196"/>
      <c r="G595" s="196"/>
      <c r="H595" s="196"/>
    </row>
    <row r="596" spans="2:8" ht="15.75" customHeight="1" x14ac:dyDescent="0.2">
      <c r="B596" s="196"/>
      <c r="C596" s="196"/>
      <c r="D596" s="196"/>
      <c r="E596" s="196"/>
      <c r="F596" s="196"/>
      <c r="G596" s="196"/>
      <c r="H596" s="196"/>
    </row>
    <row r="597" spans="2:8" ht="15.75" customHeight="1" x14ac:dyDescent="0.2">
      <c r="B597" s="196"/>
      <c r="C597" s="196"/>
      <c r="D597" s="196"/>
      <c r="E597" s="196"/>
      <c r="F597" s="196"/>
      <c r="G597" s="196"/>
      <c r="H597" s="196"/>
    </row>
    <row r="598" spans="2:8" ht="15.75" customHeight="1" x14ac:dyDescent="0.2">
      <c r="B598" s="196"/>
      <c r="C598" s="196"/>
      <c r="D598" s="196"/>
      <c r="E598" s="196"/>
      <c r="F598" s="196"/>
      <c r="G598" s="196"/>
      <c r="H598" s="196"/>
    </row>
    <row r="599" spans="2:8" ht="15.75" customHeight="1" x14ac:dyDescent="0.2">
      <c r="B599" s="196"/>
      <c r="C599" s="196"/>
      <c r="D599" s="196"/>
      <c r="E599" s="196"/>
      <c r="F599" s="196"/>
      <c r="G599" s="196"/>
      <c r="H599" s="196"/>
    </row>
    <row r="600" spans="2:8" ht="15.75" customHeight="1" x14ac:dyDescent="0.2">
      <c r="B600" s="196"/>
      <c r="C600" s="196"/>
      <c r="D600" s="196"/>
      <c r="E600" s="196"/>
      <c r="F600" s="196"/>
      <c r="G600" s="196"/>
      <c r="H600" s="196"/>
    </row>
    <row r="601" spans="2:8" ht="15.75" customHeight="1" x14ac:dyDescent="0.2">
      <c r="B601" s="196"/>
      <c r="C601" s="196"/>
      <c r="D601" s="196"/>
      <c r="E601" s="196"/>
      <c r="F601" s="196"/>
      <c r="G601" s="196"/>
      <c r="H601" s="196"/>
    </row>
    <row r="602" spans="2:8" ht="15.75" customHeight="1" x14ac:dyDescent="0.2">
      <c r="B602" s="196"/>
      <c r="C602" s="196"/>
      <c r="D602" s="196"/>
      <c r="E602" s="196"/>
      <c r="F602" s="196"/>
      <c r="G602" s="196"/>
      <c r="H602" s="196"/>
    </row>
    <row r="603" spans="2:8" ht="15.75" customHeight="1" x14ac:dyDescent="0.2">
      <c r="B603" s="196"/>
      <c r="C603" s="196"/>
      <c r="D603" s="196"/>
      <c r="E603" s="196"/>
      <c r="F603" s="196"/>
      <c r="G603" s="196"/>
      <c r="H603" s="196"/>
    </row>
    <row r="604" spans="2:8" ht="15.75" customHeight="1" x14ac:dyDescent="0.2">
      <c r="B604" s="196"/>
      <c r="C604" s="196"/>
      <c r="D604" s="196"/>
      <c r="E604" s="196"/>
      <c r="F604" s="196"/>
      <c r="G604" s="196"/>
      <c r="H604" s="196"/>
    </row>
    <row r="605" spans="2:8" ht="15.75" customHeight="1" x14ac:dyDescent="0.2">
      <c r="B605" s="196"/>
      <c r="C605" s="196"/>
      <c r="D605" s="196"/>
      <c r="E605" s="196"/>
      <c r="F605" s="196"/>
      <c r="G605" s="196"/>
      <c r="H605" s="196"/>
    </row>
    <row r="606" spans="2:8" ht="15.75" customHeight="1" x14ac:dyDescent="0.2">
      <c r="B606" s="196"/>
      <c r="C606" s="196"/>
      <c r="D606" s="196"/>
      <c r="E606" s="196"/>
      <c r="F606" s="196"/>
      <c r="G606" s="196"/>
      <c r="H606" s="196"/>
    </row>
    <row r="607" spans="2:8" ht="15.75" customHeight="1" x14ac:dyDescent="0.2">
      <c r="B607" s="196"/>
      <c r="C607" s="196"/>
      <c r="D607" s="196"/>
      <c r="E607" s="196"/>
      <c r="F607" s="196"/>
      <c r="G607" s="196"/>
      <c r="H607" s="196"/>
    </row>
    <row r="608" spans="2:8" ht="15.75" customHeight="1" x14ac:dyDescent="0.2">
      <c r="B608" s="196"/>
      <c r="C608" s="196"/>
      <c r="D608" s="196"/>
      <c r="E608" s="196"/>
      <c r="F608" s="196"/>
      <c r="G608" s="196"/>
      <c r="H608" s="196"/>
    </row>
    <row r="609" spans="2:8" ht="15.75" customHeight="1" x14ac:dyDescent="0.2">
      <c r="B609" s="196"/>
      <c r="C609" s="196"/>
      <c r="D609" s="196"/>
      <c r="E609" s="196"/>
      <c r="F609" s="196"/>
      <c r="G609" s="196"/>
      <c r="H609" s="196"/>
    </row>
    <row r="610" spans="2:8" ht="15.75" customHeight="1" x14ac:dyDescent="0.2">
      <c r="B610" s="196"/>
      <c r="C610" s="196"/>
      <c r="D610" s="196"/>
      <c r="E610" s="196"/>
      <c r="F610" s="196"/>
      <c r="G610" s="196"/>
      <c r="H610" s="196"/>
    </row>
    <row r="611" spans="2:8" ht="15.75" customHeight="1" x14ac:dyDescent="0.2">
      <c r="B611" s="196"/>
      <c r="C611" s="196"/>
      <c r="D611" s="196"/>
      <c r="E611" s="196"/>
      <c r="F611" s="196"/>
      <c r="G611" s="196"/>
      <c r="H611" s="196"/>
    </row>
    <row r="612" spans="2:8" ht="15.75" customHeight="1" x14ac:dyDescent="0.2">
      <c r="B612" s="196"/>
      <c r="C612" s="196"/>
      <c r="D612" s="196"/>
      <c r="E612" s="196"/>
      <c r="F612" s="196"/>
      <c r="G612" s="196"/>
      <c r="H612" s="196"/>
    </row>
    <row r="613" spans="2:8" ht="15.75" customHeight="1" x14ac:dyDescent="0.2">
      <c r="B613" s="196"/>
      <c r="C613" s="196"/>
      <c r="D613" s="196"/>
      <c r="E613" s="196"/>
      <c r="F613" s="196"/>
      <c r="G613" s="196"/>
      <c r="H613" s="196"/>
    </row>
    <row r="614" spans="2:8" ht="15.75" customHeight="1" x14ac:dyDescent="0.2">
      <c r="B614" s="196"/>
      <c r="C614" s="196"/>
      <c r="D614" s="196"/>
      <c r="E614" s="196"/>
      <c r="F614" s="196"/>
      <c r="G614" s="196"/>
      <c r="H614" s="196"/>
    </row>
    <row r="615" spans="2:8" ht="15.75" customHeight="1" x14ac:dyDescent="0.2">
      <c r="B615" s="196"/>
      <c r="C615" s="196"/>
      <c r="D615" s="196"/>
      <c r="E615" s="196"/>
      <c r="F615" s="196"/>
      <c r="G615" s="196"/>
      <c r="H615" s="196"/>
    </row>
    <row r="616" spans="2:8" ht="15.75" customHeight="1" x14ac:dyDescent="0.2">
      <c r="B616" s="196"/>
      <c r="C616" s="196"/>
      <c r="D616" s="196"/>
      <c r="E616" s="196"/>
      <c r="F616" s="196"/>
      <c r="G616" s="196"/>
      <c r="H616" s="196"/>
    </row>
    <row r="617" spans="2:8" ht="15.75" customHeight="1" x14ac:dyDescent="0.2">
      <c r="B617" s="196"/>
      <c r="C617" s="196"/>
      <c r="D617" s="196"/>
      <c r="E617" s="196"/>
      <c r="F617" s="196"/>
      <c r="G617" s="196"/>
      <c r="H617" s="196"/>
    </row>
    <row r="618" spans="2:8" ht="15.75" customHeight="1" x14ac:dyDescent="0.2">
      <c r="B618" s="196"/>
      <c r="C618" s="196"/>
      <c r="D618" s="196"/>
      <c r="E618" s="196"/>
      <c r="F618" s="196"/>
      <c r="G618" s="196"/>
      <c r="H618" s="196"/>
    </row>
    <row r="619" spans="2:8" ht="15.75" customHeight="1" x14ac:dyDescent="0.2">
      <c r="B619" s="196"/>
      <c r="C619" s="196"/>
      <c r="D619" s="196"/>
      <c r="E619" s="196"/>
      <c r="F619" s="196"/>
      <c r="G619" s="196"/>
      <c r="H619" s="196"/>
    </row>
    <row r="620" spans="2:8" ht="15.75" customHeight="1" x14ac:dyDescent="0.2">
      <c r="B620" s="196"/>
      <c r="C620" s="196"/>
      <c r="D620" s="196"/>
      <c r="E620" s="196"/>
      <c r="F620" s="196"/>
      <c r="G620" s="196"/>
      <c r="H620" s="196"/>
    </row>
    <row r="621" spans="2:8" ht="15.75" customHeight="1" x14ac:dyDescent="0.2">
      <c r="B621" s="196"/>
      <c r="C621" s="196"/>
      <c r="D621" s="196"/>
      <c r="E621" s="196"/>
      <c r="F621" s="196"/>
      <c r="G621" s="196"/>
      <c r="H621" s="196"/>
    </row>
    <row r="622" spans="2:8" ht="15.75" customHeight="1" x14ac:dyDescent="0.2">
      <c r="B622" s="196"/>
      <c r="C622" s="196"/>
      <c r="D622" s="196"/>
      <c r="E622" s="196"/>
      <c r="F622" s="196"/>
      <c r="G622" s="196"/>
      <c r="H622" s="196"/>
    </row>
    <row r="623" spans="2:8" ht="15.75" customHeight="1" x14ac:dyDescent="0.2">
      <c r="B623" s="196"/>
      <c r="C623" s="196"/>
      <c r="D623" s="196"/>
      <c r="E623" s="196"/>
      <c r="F623" s="196"/>
      <c r="G623" s="196"/>
      <c r="H623" s="196"/>
    </row>
    <row r="624" spans="2:8" ht="15.75" customHeight="1" x14ac:dyDescent="0.2">
      <c r="B624" s="196"/>
      <c r="C624" s="196"/>
      <c r="D624" s="196"/>
      <c r="E624" s="196"/>
      <c r="F624" s="196"/>
      <c r="G624" s="196"/>
      <c r="H624" s="196"/>
    </row>
    <row r="625" spans="2:8" ht="15.75" customHeight="1" x14ac:dyDescent="0.2">
      <c r="B625" s="196"/>
      <c r="C625" s="196"/>
      <c r="D625" s="196"/>
      <c r="E625" s="196"/>
      <c r="F625" s="196"/>
      <c r="G625" s="196"/>
      <c r="H625" s="196"/>
    </row>
    <row r="626" spans="2:8" ht="15.75" customHeight="1" x14ac:dyDescent="0.2">
      <c r="B626" s="196"/>
      <c r="C626" s="196"/>
      <c r="D626" s="196"/>
      <c r="E626" s="196"/>
      <c r="F626" s="196"/>
      <c r="G626" s="196"/>
      <c r="H626" s="196"/>
    </row>
    <row r="627" spans="2:8" ht="15.75" customHeight="1" x14ac:dyDescent="0.2">
      <c r="B627" s="196"/>
      <c r="C627" s="196"/>
      <c r="D627" s="196"/>
      <c r="E627" s="196"/>
      <c r="F627" s="196"/>
      <c r="G627" s="196"/>
      <c r="H627" s="196"/>
    </row>
    <row r="628" spans="2:8" ht="15.75" customHeight="1" x14ac:dyDescent="0.2">
      <c r="B628" s="196"/>
      <c r="C628" s="196"/>
      <c r="D628" s="196"/>
      <c r="E628" s="196"/>
      <c r="F628" s="196"/>
      <c r="G628" s="196"/>
      <c r="H628" s="196"/>
    </row>
    <row r="629" spans="2:8" ht="15.75" customHeight="1" x14ac:dyDescent="0.2">
      <c r="B629" s="196"/>
      <c r="C629" s="196"/>
      <c r="D629" s="196"/>
      <c r="E629" s="196"/>
      <c r="F629" s="196"/>
      <c r="G629" s="196"/>
      <c r="H629" s="196"/>
    </row>
    <row r="630" spans="2:8" ht="15.75" customHeight="1" x14ac:dyDescent="0.2">
      <c r="B630" s="196"/>
      <c r="C630" s="196"/>
      <c r="D630" s="196"/>
      <c r="E630" s="196"/>
      <c r="F630" s="196"/>
      <c r="G630" s="196"/>
      <c r="H630" s="196"/>
    </row>
    <row r="631" spans="2:8" ht="15.75" customHeight="1" x14ac:dyDescent="0.2">
      <c r="B631" s="196"/>
      <c r="C631" s="196"/>
      <c r="D631" s="196"/>
      <c r="E631" s="196"/>
      <c r="F631" s="196"/>
      <c r="G631" s="196"/>
      <c r="H631" s="196"/>
    </row>
    <row r="632" spans="2:8" ht="15.75" customHeight="1" x14ac:dyDescent="0.2">
      <c r="B632" s="196"/>
      <c r="C632" s="196"/>
      <c r="D632" s="196"/>
      <c r="E632" s="196"/>
      <c r="F632" s="196"/>
      <c r="G632" s="196"/>
      <c r="H632" s="196"/>
    </row>
    <row r="633" spans="2:8" ht="15.75" customHeight="1" x14ac:dyDescent="0.2">
      <c r="B633" s="196"/>
      <c r="C633" s="196"/>
      <c r="D633" s="196"/>
      <c r="E633" s="196"/>
      <c r="F633" s="196"/>
      <c r="G633" s="196"/>
      <c r="H633" s="196"/>
    </row>
    <row r="634" spans="2:8" ht="15.75" customHeight="1" x14ac:dyDescent="0.2">
      <c r="B634" s="196"/>
      <c r="C634" s="196"/>
      <c r="D634" s="196"/>
      <c r="E634" s="196"/>
      <c r="F634" s="196"/>
      <c r="G634" s="196"/>
      <c r="H634" s="196"/>
    </row>
    <row r="635" spans="2:8" ht="15.75" customHeight="1" x14ac:dyDescent="0.2">
      <c r="B635" s="196"/>
      <c r="C635" s="196"/>
      <c r="D635" s="196"/>
      <c r="E635" s="196"/>
      <c r="F635" s="196"/>
      <c r="G635" s="196"/>
      <c r="H635" s="196"/>
    </row>
    <row r="636" spans="2:8" ht="15.75" customHeight="1" x14ac:dyDescent="0.2">
      <c r="B636" s="196"/>
      <c r="C636" s="196"/>
      <c r="D636" s="196"/>
      <c r="E636" s="196"/>
      <c r="F636" s="196"/>
      <c r="G636" s="196"/>
      <c r="H636" s="196"/>
    </row>
    <row r="637" spans="2:8" ht="15.75" customHeight="1" x14ac:dyDescent="0.2">
      <c r="B637" s="196"/>
      <c r="C637" s="196"/>
      <c r="D637" s="196"/>
      <c r="E637" s="196"/>
      <c r="F637" s="196"/>
      <c r="G637" s="196"/>
      <c r="H637" s="196"/>
    </row>
    <row r="638" spans="2:8" ht="15.75" customHeight="1" x14ac:dyDescent="0.2">
      <c r="B638" s="196"/>
      <c r="C638" s="196"/>
      <c r="D638" s="196"/>
      <c r="E638" s="196"/>
      <c r="F638" s="196"/>
      <c r="G638" s="196"/>
      <c r="H638" s="196"/>
    </row>
    <row r="639" spans="2:8" ht="15.75" customHeight="1" x14ac:dyDescent="0.2">
      <c r="B639" s="196"/>
      <c r="C639" s="196"/>
      <c r="D639" s="196"/>
      <c r="E639" s="196"/>
      <c r="F639" s="196"/>
      <c r="G639" s="196"/>
      <c r="H639" s="196"/>
    </row>
    <row r="640" spans="2:8" ht="15.75" customHeight="1" x14ac:dyDescent="0.2">
      <c r="B640" s="196"/>
      <c r="C640" s="196"/>
      <c r="D640" s="196"/>
      <c r="E640" s="196"/>
      <c r="F640" s="196"/>
      <c r="G640" s="196"/>
      <c r="H640" s="196"/>
    </row>
    <row r="641" spans="2:8" ht="15.75" customHeight="1" x14ac:dyDescent="0.2">
      <c r="B641" s="196"/>
      <c r="C641" s="196"/>
      <c r="D641" s="196"/>
      <c r="E641" s="196"/>
      <c r="F641" s="196"/>
      <c r="G641" s="196"/>
      <c r="H641" s="196"/>
    </row>
    <row r="642" spans="2:8" ht="15.75" customHeight="1" x14ac:dyDescent="0.2">
      <c r="B642" s="196"/>
      <c r="C642" s="196"/>
      <c r="D642" s="196"/>
      <c r="E642" s="196"/>
      <c r="F642" s="196"/>
      <c r="G642" s="196"/>
      <c r="H642" s="196"/>
    </row>
    <row r="643" spans="2:8" ht="15.75" customHeight="1" x14ac:dyDescent="0.2">
      <c r="B643" s="196"/>
      <c r="C643" s="196"/>
      <c r="D643" s="196"/>
      <c r="E643" s="196"/>
      <c r="F643" s="196"/>
      <c r="G643" s="196"/>
      <c r="H643" s="196"/>
    </row>
    <row r="644" spans="2:8" ht="15.75" customHeight="1" x14ac:dyDescent="0.2">
      <c r="B644" s="196"/>
      <c r="C644" s="196"/>
      <c r="D644" s="196"/>
      <c r="E644" s="196"/>
      <c r="F644" s="196"/>
      <c r="G644" s="196"/>
      <c r="H644" s="196"/>
    </row>
    <row r="645" spans="2:8" ht="15.75" customHeight="1" x14ac:dyDescent="0.2">
      <c r="B645" s="196"/>
      <c r="C645" s="196"/>
      <c r="D645" s="196"/>
      <c r="E645" s="196"/>
      <c r="F645" s="196"/>
      <c r="G645" s="196"/>
      <c r="H645" s="196"/>
    </row>
    <row r="646" spans="2:8" ht="15.75" customHeight="1" x14ac:dyDescent="0.2">
      <c r="B646" s="196"/>
      <c r="C646" s="196"/>
      <c r="D646" s="196"/>
      <c r="E646" s="196"/>
      <c r="F646" s="196"/>
      <c r="G646" s="196"/>
      <c r="H646" s="196"/>
    </row>
    <row r="647" spans="2:8" ht="15.75" customHeight="1" x14ac:dyDescent="0.2">
      <c r="B647" s="196"/>
      <c r="C647" s="196"/>
      <c r="D647" s="196"/>
      <c r="E647" s="196"/>
      <c r="F647" s="196"/>
      <c r="G647" s="196"/>
      <c r="H647" s="196"/>
    </row>
    <row r="648" spans="2:8" ht="15.75" customHeight="1" x14ac:dyDescent="0.2">
      <c r="B648" s="196"/>
      <c r="C648" s="196"/>
      <c r="D648" s="196"/>
      <c r="E648" s="196"/>
      <c r="F648" s="196"/>
      <c r="G648" s="196"/>
      <c r="H648" s="196"/>
    </row>
    <row r="649" spans="2:8" ht="15.75" customHeight="1" x14ac:dyDescent="0.2">
      <c r="B649" s="196"/>
      <c r="C649" s="196"/>
      <c r="D649" s="196"/>
      <c r="E649" s="196"/>
      <c r="F649" s="196"/>
      <c r="G649" s="196"/>
      <c r="H649" s="196"/>
    </row>
    <row r="650" spans="2:8" ht="15.75" customHeight="1" x14ac:dyDescent="0.2">
      <c r="B650" s="196"/>
      <c r="C650" s="196"/>
      <c r="D650" s="196"/>
      <c r="E650" s="196"/>
      <c r="F650" s="196"/>
      <c r="G650" s="196"/>
      <c r="H650" s="196"/>
    </row>
    <row r="651" spans="2:8" ht="15.75" customHeight="1" x14ac:dyDescent="0.2">
      <c r="B651" s="196"/>
      <c r="C651" s="196"/>
      <c r="D651" s="196"/>
      <c r="E651" s="196"/>
      <c r="F651" s="196"/>
      <c r="G651" s="196"/>
      <c r="H651" s="196"/>
    </row>
    <row r="652" spans="2:8" ht="15.75" customHeight="1" x14ac:dyDescent="0.2">
      <c r="B652" s="196"/>
      <c r="C652" s="196"/>
      <c r="D652" s="196"/>
      <c r="E652" s="196"/>
      <c r="F652" s="196"/>
      <c r="G652" s="196"/>
      <c r="H652" s="196"/>
    </row>
    <row r="653" spans="2:8" ht="15.75" customHeight="1" x14ac:dyDescent="0.2">
      <c r="B653" s="196"/>
      <c r="C653" s="196"/>
      <c r="D653" s="196"/>
      <c r="E653" s="196"/>
      <c r="F653" s="196"/>
      <c r="G653" s="196"/>
      <c r="H653" s="196"/>
    </row>
    <row r="654" spans="2:8" ht="15.75" customHeight="1" x14ac:dyDescent="0.2">
      <c r="B654" s="196"/>
      <c r="C654" s="196"/>
      <c r="D654" s="196"/>
      <c r="E654" s="196"/>
      <c r="F654" s="196"/>
      <c r="G654" s="196"/>
      <c r="H654" s="196"/>
    </row>
    <row r="655" spans="2:8" ht="15.75" customHeight="1" x14ac:dyDescent="0.2">
      <c r="B655" s="196"/>
      <c r="C655" s="196"/>
      <c r="D655" s="196"/>
      <c r="E655" s="196"/>
      <c r="F655" s="196"/>
      <c r="G655" s="196"/>
      <c r="H655" s="196"/>
    </row>
    <row r="656" spans="2:8" ht="15.75" customHeight="1" x14ac:dyDescent="0.2">
      <c r="B656" s="196"/>
      <c r="C656" s="196"/>
      <c r="D656" s="196"/>
      <c r="E656" s="196"/>
      <c r="F656" s="196"/>
      <c r="G656" s="196"/>
      <c r="H656" s="196"/>
    </row>
    <row r="657" spans="2:8" ht="15.75" customHeight="1" x14ac:dyDescent="0.2">
      <c r="B657" s="196"/>
      <c r="C657" s="196"/>
      <c r="D657" s="196"/>
      <c r="E657" s="196"/>
      <c r="F657" s="196"/>
      <c r="G657" s="196"/>
      <c r="H657" s="196"/>
    </row>
    <row r="658" spans="2:8" ht="15.75" customHeight="1" x14ac:dyDescent="0.2">
      <c r="B658" s="196"/>
      <c r="C658" s="196"/>
      <c r="D658" s="196"/>
      <c r="E658" s="196"/>
      <c r="F658" s="196"/>
      <c r="G658" s="196"/>
      <c r="H658" s="196"/>
    </row>
    <row r="659" spans="2:8" ht="15.75" customHeight="1" x14ac:dyDescent="0.2">
      <c r="B659" s="196"/>
      <c r="C659" s="196"/>
      <c r="D659" s="196"/>
      <c r="E659" s="196"/>
      <c r="F659" s="196"/>
      <c r="G659" s="196"/>
      <c r="H659" s="196"/>
    </row>
    <row r="660" spans="2:8" ht="15.75" customHeight="1" x14ac:dyDescent="0.2">
      <c r="B660" s="196"/>
      <c r="C660" s="196"/>
      <c r="D660" s="196"/>
      <c r="E660" s="196"/>
      <c r="F660" s="196"/>
      <c r="G660" s="196"/>
      <c r="H660" s="196"/>
    </row>
    <row r="661" spans="2:8" ht="15.75" customHeight="1" x14ac:dyDescent="0.2">
      <c r="B661" s="196"/>
      <c r="C661" s="196"/>
      <c r="D661" s="196"/>
      <c r="E661" s="196"/>
      <c r="F661" s="196"/>
      <c r="G661" s="196"/>
      <c r="H661" s="196"/>
    </row>
    <row r="662" spans="2:8" ht="15.75" customHeight="1" x14ac:dyDescent="0.2">
      <c r="B662" s="196"/>
      <c r="C662" s="196"/>
      <c r="D662" s="196"/>
      <c r="E662" s="196"/>
      <c r="F662" s="196"/>
      <c r="G662" s="196"/>
      <c r="H662" s="196"/>
    </row>
    <row r="663" spans="2:8" ht="15.75" customHeight="1" x14ac:dyDescent="0.2">
      <c r="B663" s="196"/>
      <c r="C663" s="196"/>
      <c r="D663" s="196"/>
      <c r="E663" s="196"/>
      <c r="F663" s="196"/>
      <c r="G663" s="196"/>
      <c r="H663" s="196"/>
    </row>
    <row r="664" spans="2:8" ht="15.75" customHeight="1" x14ac:dyDescent="0.2">
      <c r="B664" s="196"/>
      <c r="C664" s="196"/>
      <c r="D664" s="196"/>
      <c r="E664" s="196"/>
      <c r="F664" s="196"/>
      <c r="G664" s="196"/>
      <c r="H664" s="196"/>
    </row>
    <row r="665" spans="2:8" ht="15.75" customHeight="1" x14ac:dyDescent="0.2">
      <c r="B665" s="196"/>
      <c r="C665" s="196"/>
      <c r="D665" s="196"/>
      <c r="E665" s="196"/>
      <c r="F665" s="196"/>
      <c r="G665" s="196"/>
      <c r="H665" s="196"/>
    </row>
    <row r="666" spans="2:8" ht="15.75" customHeight="1" x14ac:dyDescent="0.2">
      <c r="B666" s="196"/>
      <c r="C666" s="196"/>
      <c r="D666" s="196"/>
      <c r="E666" s="196"/>
      <c r="F666" s="196"/>
      <c r="G666" s="196"/>
      <c r="H666" s="196"/>
    </row>
    <row r="667" spans="2:8" ht="15.75" customHeight="1" x14ac:dyDescent="0.2">
      <c r="B667" s="196"/>
      <c r="C667" s="196"/>
      <c r="D667" s="196"/>
      <c r="E667" s="196"/>
      <c r="F667" s="196"/>
      <c r="G667" s="196"/>
      <c r="H667" s="196"/>
    </row>
    <row r="668" spans="2:8" ht="15.75" customHeight="1" x14ac:dyDescent="0.2">
      <c r="B668" s="196"/>
      <c r="C668" s="196"/>
      <c r="D668" s="196"/>
      <c r="E668" s="196"/>
      <c r="F668" s="196"/>
      <c r="G668" s="196"/>
      <c r="H668" s="196"/>
    </row>
    <row r="669" spans="2:8" ht="15.75" customHeight="1" x14ac:dyDescent="0.2">
      <c r="B669" s="196"/>
      <c r="C669" s="196"/>
      <c r="D669" s="196"/>
      <c r="E669" s="196"/>
      <c r="F669" s="196"/>
      <c r="G669" s="196"/>
      <c r="H669" s="196"/>
    </row>
    <row r="670" spans="2:8" ht="15.75" customHeight="1" x14ac:dyDescent="0.2">
      <c r="B670" s="196"/>
      <c r="C670" s="196"/>
      <c r="D670" s="196"/>
      <c r="E670" s="196"/>
      <c r="F670" s="196"/>
      <c r="G670" s="196"/>
      <c r="H670" s="196"/>
    </row>
    <row r="671" spans="2:8" ht="15.75" customHeight="1" x14ac:dyDescent="0.2">
      <c r="B671" s="196"/>
      <c r="C671" s="196"/>
      <c r="D671" s="196"/>
      <c r="E671" s="196"/>
      <c r="F671" s="196"/>
      <c r="G671" s="196"/>
      <c r="H671" s="196"/>
    </row>
    <row r="672" spans="2:8" ht="15.75" customHeight="1" x14ac:dyDescent="0.2">
      <c r="B672" s="196"/>
      <c r="C672" s="196"/>
      <c r="D672" s="196"/>
      <c r="E672" s="196"/>
      <c r="F672" s="196"/>
      <c r="G672" s="196"/>
      <c r="H672" s="196"/>
    </row>
    <row r="673" spans="2:8" ht="15.75" customHeight="1" x14ac:dyDescent="0.2">
      <c r="B673" s="196"/>
      <c r="C673" s="196"/>
      <c r="D673" s="196"/>
      <c r="E673" s="196"/>
      <c r="F673" s="196"/>
      <c r="G673" s="196"/>
      <c r="H673" s="196"/>
    </row>
    <row r="674" spans="2:8" ht="15.75" customHeight="1" x14ac:dyDescent="0.2">
      <c r="B674" s="196"/>
      <c r="C674" s="196"/>
      <c r="D674" s="196"/>
      <c r="E674" s="196"/>
      <c r="F674" s="196"/>
      <c r="G674" s="196"/>
      <c r="H674" s="196"/>
    </row>
    <row r="675" spans="2:8" ht="15.75" customHeight="1" x14ac:dyDescent="0.2">
      <c r="B675" s="196"/>
      <c r="C675" s="196"/>
      <c r="D675" s="196"/>
      <c r="E675" s="196"/>
      <c r="F675" s="196"/>
      <c r="G675" s="196"/>
      <c r="H675" s="196"/>
    </row>
    <row r="676" spans="2:8" ht="15.75" customHeight="1" x14ac:dyDescent="0.2">
      <c r="B676" s="196"/>
      <c r="C676" s="196"/>
      <c r="D676" s="196"/>
      <c r="E676" s="196"/>
      <c r="F676" s="196"/>
      <c r="G676" s="196"/>
      <c r="H676" s="196"/>
    </row>
    <row r="677" spans="2:8" ht="15.75" customHeight="1" x14ac:dyDescent="0.2">
      <c r="B677" s="196"/>
      <c r="C677" s="196"/>
      <c r="D677" s="196"/>
      <c r="E677" s="196"/>
      <c r="F677" s="196"/>
      <c r="G677" s="196"/>
      <c r="H677" s="196"/>
    </row>
    <row r="678" spans="2:8" ht="15.75" customHeight="1" x14ac:dyDescent="0.2">
      <c r="B678" s="196"/>
      <c r="C678" s="196"/>
      <c r="D678" s="196"/>
      <c r="E678" s="196"/>
      <c r="F678" s="196"/>
      <c r="G678" s="196"/>
      <c r="H678" s="196"/>
    </row>
    <row r="679" spans="2:8" ht="15.75" customHeight="1" x14ac:dyDescent="0.2">
      <c r="B679" s="196"/>
      <c r="C679" s="196"/>
      <c r="D679" s="196"/>
      <c r="E679" s="196"/>
      <c r="F679" s="196"/>
      <c r="G679" s="196"/>
      <c r="H679" s="196"/>
    </row>
    <row r="680" spans="2:8" ht="15.75" customHeight="1" x14ac:dyDescent="0.2">
      <c r="B680" s="196"/>
      <c r="C680" s="196"/>
      <c r="D680" s="196"/>
      <c r="E680" s="196"/>
      <c r="F680" s="196"/>
      <c r="G680" s="196"/>
      <c r="H680" s="196"/>
    </row>
    <row r="681" spans="2:8" ht="15.75" customHeight="1" x14ac:dyDescent="0.2">
      <c r="B681" s="196"/>
      <c r="C681" s="196"/>
      <c r="D681" s="196"/>
      <c r="E681" s="196"/>
      <c r="F681" s="196"/>
      <c r="G681" s="196"/>
      <c r="H681" s="196"/>
    </row>
    <row r="682" spans="2:8" ht="15.75" customHeight="1" x14ac:dyDescent="0.2">
      <c r="B682" s="196"/>
      <c r="C682" s="196"/>
      <c r="D682" s="196"/>
      <c r="E682" s="196"/>
      <c r="F682" s="196"/>
      <c r="G682" s="196"/>
      <c r="H682" s="196"/>
    </row>
    <row r="683" spans="2:8" ht="15.75" customHeight="1" x14ac:dyDescent="0.2">
      <c r="B683" s="196"/>
      <c r="C683" s="196"/>
      <c r="D683" s="196"/>
      <c r="E683" s="196"/>
      <c r="F683" s="196"/>
      <c r="G683" s="196"/>
      <c r="H683" s="196"/>
    </row>
    <row r="684" spans="2:8" ht="15.75" customHeight="1" x14ac:dyDescent="0.2">
      <c r="B684" s="196"/>
      <c r="C684" s="196"/>
      <c r="D684" s="196"/>
      <c r="E684" s="196"/>
      <c r="F684" s="196"/>
      <c r="G684" s="196"/>
      <c r="H684" s="196"/>
    </row>
    <row r="685" spans="2:8" ht="15.75" customHeight="1" x14ac:dyDescent="0.2">
      <c r="B685" s="196"/>
      <c r="C685" s="196"/>
      <c r="D685" s="196"/>
      <c r="E685" s="196"/>
      <c r="F685" s="196"/>
      <c r="G685" s="196"/>
      <c r="H685" s="196"/>
    </row>
    <row r="686" spans="2:8" ht="15.75" customHeight="1" x14ac:dyDescent="0.2">
      <c r="B686" s="196"/>
      <c r="C686" s="196"/>
      <c r="D686" s="196"/>
      <c r="E686" s="196"/>
      <c r="F686" s="196"/>
      <c r="G686" s="196"/>
      <c r="H686" s="196"/>
    </row>
    <row r="687" spans="2:8" ht="15.75" customHeight="1" x14ac:dyDescent="0.2">
      <c r="B687" s="196"/>
      <c r="C687" s="196"/>
      <c r="D687" s="196"/>
      <c r="E687" s="196"/>
      <c r="F687" s="196"/>
      <c r="G687" s="196"/>
      <c r="H687" s="196"/>
    </row>
    <row r="688" spans="2:8" ht="15.75" customHeight="1" x14ac:dyDescent="0.2">
      <c r="B688" s="196"/>
      <c r="C688" s="196"/>
      <c r="D688" s="196"/>
      <c r="E688" s="196"/>
      <c r="F688" s="196"/>
      <c r="G688" s="196"/>
      <c r="H688" s="196"/>
    </row>
    <row r="689" spans="2:8" ht="15.75" customHeight="1" x14ac:dyDescent="0.2">
      <c r="B689" s="196"/>
      <c r="C689" s="196"/>
      <c r="D689" s="196"/>
      <c r="E689" s="196"/>
      <c r="F689" s="196"/>
      <c r="G689" s="196"/>
      <c r="H689" s="196"/>
    </row>
    <row r="690" spans="2:8" ht="15.75" customHeight="1" x14ac:dyDescent="0.2">
      <c r="B690" s="196"/>
      <c r="C690" s="196"/>
      <c r="D690" s="196"/>
      <c r="E690" s="196"/>
      <c r="F690" s="196"/>
      <c r="G690" s="196"/>
      <c r="H690" s="196"/>
    </row>
    <row r="691" spans="2:8" ht="15.75" customHeight="1" x14ac:dyDescent="0.2">
      <c r="B691" s="196"/>
      <c r="C691" s="196"/>
      <c r="D691" s="196"/>
      <c r="E691" s="196"/>
      <c r="F691" s="196"/>
      <c r="G691" s="196"/>
      <c r="H691" s="196"/>
    </row>
    <row r="692" spans="2:8" ht="15.75" customHeight="1" x14ac:dyDescent="0.2">
      <c r="B692" s="196"/>
      <c r="C692" s="196"/>
      <c r="D692" s="196"/>
      <c r="E692" s="196"/>
      <c r="F692" s="196"/>
      <c r="G692" s="196"/>
      <c r="H692" s="196"/>
    </row>
    <row r="693" spans="2:8" ht="15.75" customHeight="1" x14ac:dyDescent="0.2">
      <c r="B693" s="196"/>
      <c r="C693" s="196"/>
      <c r="D693" s="196"/>
      <c r="E693" s="196"/>
      <c r="F693" s="196"/>
      <c r="G693" s="196"/>
      <c r="H693" s="196"/>
    </row>
    <row r="694" spans="2:8" ht="15.75" customHeight="1" x14ac:dyDescent="0.2">
      <c r="B694" s="196"/>
      <c r="C694" s="196"/>
      <c r="D694" s="196"/>
      <c r="E694" s="196"/>
      <c r="F694" s="196"/>
      <c r="G694" s="196"/>
      <c r="H694" s="196"/>
    </row>
    <row r="695" spans="2:8" ht="15.75" customHeight="1" x14ac:dyDescent="0.2">
      <c r="B695" s="196"/>
      <c r="C695" s="196"/>
      <c r="D695" s="196"/>
      <c r="E695" s="196"/>
      <c r="F695" s="196"/>
      <c r="G695" s="196"/>
      <c r="H695" s="196"/>
    </row>
    <row r="696" spans="2:8" ht="15.75" customHeight="1" x14ac:dyDescent="0.2">
      <c r="B696" s="196"/>
      <c r="C696" s="196"/>
      <c r="D696" s="196"/>
      <c r="E696" s="196"/>
      <c r="F696" s="196"/>
      <c r="G696" s="196"/>
      <c r="H696" s="196"/>
    </row>
    <row r="697" spans="2:8" ht="15.75" customHeight="1" x14ac:dyDescent="0.2">
      <c r="B697" s="196"/>
      <c r="C697" s="196"/>
      <c r="D697" s="196"/>
      <c r="E697" s="196"/>
      <c r="F697" s="196"/>
      <c r="G697" s="196"/>
      <c r="H697" s="196"/>
    </row>
    <row r="698" spans="2:8" ht="15.75" customHeight="1" x14ac:dyDescent="0.2">
      <c r="B698" s="196"/>
      <c r="C698" s="196"/>
      <c r="D698" s="196"/>
      <c r="E698" s="196"/>
      <c r="F698" s="196"/>
      <c r="G698" s="196"/>
      <c r="H698" s="196"/>
    </row>
    <row r="699" spans="2:8" ht="15.75" customHeight="1" x14ac:dyDescent="0.2">
      <c r="B699" s="196"/>
      <c r="C699" s="196"/>
      <c r="D699" s="196"/>
      <c r="E699" s="196"/>
      <c r="F699" s="196"/>
      <c r="G699" s="196"/>
      <c r="H699" s="196"/>
    </row>
    <row r="700" spans="2:8" ht="15.75" customHeight="1" x14ac:dyDescent="0.2">
      <c r="B700" s="196"/>
      <c r="C700" s="196"/>
      <c r="D700" s="196"/>
      <c r="E700" s="196"/>
      <c r="F700" s="196"/>
      <c r="G700" s="196"/>
      <c r="H700" s="196"/>
    </row>
    <row r="701" spans="2:8" ht="15.75" customHeight="1" x14ac:dyDescent="0.2">
      <c r="B701" s="196"/>
      <c r="C701" s="196"/>
      <c r="D701" s="196"/>
      <c r="E701" s="196"/>
      <c r="F701" s="196"/>
      <c r="G701" s="196"/>
      <c r="H701" s="196"/>
    </row>
    <row r="702" spans="2:8" ht="15.75" customHeight="1" x14ac:dyDescent="0.2">
      <c r="B702" s="196"/>
      <c r="C702" s="196"/>
      <c r="D702" s="196"/>
      <c r="E702" s="196"/>
      <c r="F702" s="196"/>
      <c r="G702" s="196"/>
      <c r="H702" s="196"/>
    </row>
    <row r="703" spans="2:8" ht="15.75" customHeight="1" x14ac:dyDescent="0.2">
      <c r="B703" s="196"/>
      <c r="C703" s="196"/>
      <c r="D703" s="196"/>
      <c r="E703" s="196"/>
      <c r="F703" s="196"/>
      <c r="G703" s="196"/>
      <c r="H703" s="196"/>
    </row>
    <row r="704" spans="2:8" ht="15.75" customHeight="1" x14ac:dyDescent="0.2">
      <c r="B704" s="196"/>
      <c r="C704" s="196"/>
      <c r="D704" s="196"/>
      <c r="E704" s="196"/>
      <c r="F704" s="196"/>
      <c r="G704" s="196"/>
      <c r="H704" s="196"/>
    </row>
    <row r="705" spans="2:8" ht="15.75" customHeight="1" x14ac:dyDescent="0.2">
      <c r="B705" s="196"/>
      <c r="C705" s="196"/>
      <c r="D705" s="196"/>
      <c r="E705" s="196"/>
      <c r="F705" s="196"/>
      <c r="G705" s="196"/>
      <c r="H705" s="196"/>
    </row>
    <row r="706" spans="2:8" ht="15.75" customHeight="1" x14ac:dyDescent="0.2">
      <c r="B706" s="196"/>
      <c r="C706" s="196"/>
      <c r="D706" s="196"/>
      <c r="E706" s="196"/>
      <c r="F706" s="196"/>
      <c r="G706" s="196"/>
      <c r="H706" s="196"/>
    </row>
    <row r="707" spans="2:8" ht="15.75" customHeight="1" x14ac:dyDescent="0.2">
      <c r="B707" s="196"/>
      <c r="C707" s="196"/>
      <c r="D707" s="196"/>
      <c r="E707" s="196"/>
      <c r="F707" s="196"/>
      <c r="G707" s="196"/>
      <c r="H707" s="196"/>
    </row>
    <row r="708" spans="2:8" ht="15.75" customHeight="1" x14ac:dyDescent="0.2">
      <c r="B708" s="196"/>
      <c r="C708" s="196"/>
      <c r="D708" s="196"/>
      <c r="E708" s="196"/>
      <c r="F708" s="196"/>
      <c r="G708" s="196"/>
      <c r="H708" s="196"/>
    </row>
    <row r="709" spans="2:8" ht="15.75" customHeight="1" x14ac:dyDescent="0.2">
      <c r="B709" s="196"/>
      <c r="C709" s="196"/>
      <c r="D709" s="196"/>
      <c r="E709" s="196"/>
      <c r="F709" s="196"/>
      <c r="G709" s="196"/>
      <c r="H709" s="196"/>
    </row>
    <row r="710" spans="2:8" ht="15.75" customHeight="1" x14ac:dyDescent="0.2">
      <c r="B710" s="196"/>
      <c r="C710" s="196"/>
      <c r="D710" s="196"/>
      <c r="E710" s="196"/>
      <c r="F710" s="196"/>
      <c r="G710" s="196"/>
      <c r="H710" s="196"/>
    </row>
    <row r="711" spans="2:8" ht="15.75" customHeight="1" x14ac:dyDescent="0.2">
      <c r="B711" s="196"/>
      <c r="C711" s="196"/>
      <c r="D711" s="196"/>
      <c r="E711" s="196"/>
      <c r="F711" s="196"/>
      <c r="G711" s="196"/>
      <c r="H711" s="196"/>
    </row>
    <row r="712" spans="2:8" ht="15.75" customHeight="1" x14ac:dyDescent="0.2">
      <c r="B712" s="196"/>
      <c r="C712" s="196"/>
      <c r="D712" s="196"/>
      <c r="E712" s="196"/>
      <c r="F712" s="196"/>
      <c r="G712" s="196"/>
      <c r="H712" s="196"/>
    </row>
    <row r="713" spans="2:8" ht="15.75" customHeight="1" x14ac:dyDescent="0.2">
      <c r="B713" s="196"/>
      <c r="C713" s="196"/>
      <c r="D713" s="196"/>
      <c r="E713" s="196"/>
      <c r="F713" s="196"/>
      <c r="G713" s="196"/>
      <c r="H713" s="196"/>
    </row>
    <row r="714" spans="2:8" ht="15.75" customHeight="1" x14ac:dyDescent="0.2">
      <c r="B714" s="196"/>
      <c r="C714" s="196"/>
      <c r="D714" s="196"/>
      <c r="E714" s="196"/>
      <c r="F714" s="196"/>
      <c r="G714" s="196"/>
      <c r="H714" s="196"/>
    </row>
    <row r="715" spans="2:8" ht="15.75" customHeight="1" x14ac:dyDescent="0.2">
      <c r="B715" s="196"/>
      <c r="C715" s="196"/>
      <c r="D715" s="196"/>
      <c r="E715" s="196"/>
      <c r="F715" s="196"/>
      <c r="G715" s="196"/>
      <c r="H715" s="196"/>
    </row>
    <row r="716" spans="2:8" ht="15.75" customHeight="1" x14ac:dyDescent="0.2">
      <c r="B716" s="196"/>
      <c r="C716" s="196"/>
      <c r="D716" s="196"/>
      <c r="E716" s="196"/>
      <c r="F716" s="196"/>
      <c r="G716" s="196"/>
      <c r="H716" s="196"/>
    </row>
    <row r="717" spans="2:8" ht="15.75" customHeight="1" x14ac:dyDescent="0.2">
      <c r="B717" s="196"/>
      <c r="C717" s="196"/>
      <c r="D717" s="196"/>
      <c r="E717" s="196"/>
      <c r="F717" s="196"/>
      <c r="G717" s="196"/>
      <c r="H717" s="196"/>
    </row>
    <row r="718" spans="2:8" ht="15.75" customHeight="1" x14ac:dyDescent="0.2">
      <c r="B718" s="196"/>
      <c r="C718" s="196"/>
      <c r="D718" s="196"/>
      <c r="E718" s="196"/>
      <c r="F718" s="196"/>
      <c r="G718" s="196"/>
      <c r="H718" s="196"/>
    </row>
    <row r="719" spans="2:8" ht="15.75" customHeight="1" x14ac:dyDescent="0.2">
      <c r="B719" s="196"/>
      <c r="C719" s="196"/>
      <c r="D719" s="196"/>
      <c r="E719" s="196"/>
      <c r="F719" s="196"/>
      <c r="G719" s="196"/>
      <c r="H719" s="196"/>
    </row>
    <row r="720" spans="2:8" ht="15.75" customHeight="1" x14ac:dyDescent="0.2">
      <c r="B720" s="196"/>
      <c r="C720" s="196"/>
      <c r="D720" s="196"/>
      <c r="E720" s="196"/>
      <c r="F720" s="196"/>
      <c r="G720" s="196"/>
      <c r="H720" s="196"/>
    </row>
    <row r="721" spans="2:8" ht="15.75" customHeight="1" x14ac:dyDescent="0.2">
      <c r="B721" s="196"/>
      <c r="C721" s="196"/>
      <c r="D721" s="196"/>
      <c r="E721" s="196"/>
      <c r="F721" s="196"/>
      <c r="G721" s="196"/>
      <c r="H721" s="196"/>
    </row>
    <row r="722" spans="2:8" ht="15.75" customHeight="1" x14ac:dyDescent="0.2">
      <c r="B722" s="196"/>
      <c r="C722" s="196"/>
      <c r="D722" s="196"/>
      <c r="E722" s="196"/>
      <c r="F722" s="196"/>
      <c r="G722" s="196"/>
      <c r="H722" s="196"/>
    </row>
    <row r="723" spans="2:8" ht="15.75" customHeight="1" x14ac:dyDescent="0.2">
      <c r="B723" s="196"/>
      <c r="C723" s="196"/>
      <c r="D723" s="196"/>
      <c r="E723" s="196"/>
      <c r="F723" s="196"/>
      <c r="G723" s="196"/>
      <c r="H723" s="196"/>
    </row>
    <row r="724" spans="2:8" ht="15.75" customHeight="1" x14ac:dyDescent="0.2">
      <c r="B724" s="196"/>
      <c r="C724" s="196"/>
      <c r="D724" s="196"/>
      <c r="E724" s="196"/>
      <c r="F724" s="196"/>
      <c r="G724" s="196"/>
      <c r="H724" s="196"/>
    </row>
    <row r="725" spans="2:8" ht="15.75" customHeight="1" x14ac:dyDescent="0.2">
      <c r="B725" s="196"/>
      <c r="C725" s="196"/>
      <c r="D725" s="196"/>
      <c r="E725" s="196"/>
      <c r="F725" s="196"/>
      <c r="G725" s="196"/>
      <c r="H725" s="196"/>
    </row>
    <row r="726" spans="2:8" ht="15.75" customHeight="1" x14ac:dyDescent="0.2">
      <c r="B726" s="196"/>
      <c r="C726" s="196"/>
      <c r="D726" s="196"/>
      <c r="E726" s="196"/>
      <c r="F726" s="196"/>
      <c r="G726" s="196"/>
      <c r="H726" s="196"/>
    </row>
    <row r="727" spans="2:8" ht="15.75" customHeight="1" x14ac:dyDescent="0.2">
      <c r="B727" s="196"/>
      <c r="C727" s="196"/>
      <c r="D727" s="196"/>
      <c r="E727" s="196"/>
      <c r="F727" s="196"/>
      <c r="G727" s="196"/>
      <c r="H727" s="196"/>
    </row>
    <row r="728" spans="2:8" ht="15.75" customHeight="1" x14ac:dyDescent="0.2">
      <c r="B728" s="196"/>
      <c r="C728" s="196"/>
      <c r="D728" s="196"/>
      <c r="E728" s="196"/>
      <c r="F728" s="196"/>
      <c r="G728" s="196"/>
      <c r="H728" s="196"/>
    </row>
    <row r="729" spans="2:8" ht="15.75" customHeight="1" x14ac:dyDescent="0.2">
      <c r="B729" s="196"/>
      <c r="C729" s="196"/>
      <c r="D729" s="196"/>
      <c r="E729" s="196"/>
      <c r="F729" s="196"/>
      <c r="G729" s="196"/>
      <c r="H729" s="196"/>
    </row>
    <row r="730" spans="2:8" ht="15.75" customHeight="1" x14ac:dyDescent="0.2">
      <c r="B730" s="196"/>
      <c r="C730" s="196"/>
      <c r="D730" s="196"/>
      <c r="E730" s="196"/>
      <c r="F730" s="196"/>
      <c r="G730" s="196"/>
      <c r="H730" s="196"/>
    </row>
    <row r="731" spans="2:8" ht="15.75" customHeight="1" x14ac:dyDescent="0.2">
      <c r="B731" s="196"/>
      <c r="C731" s="196"/>
      <c r="D731" s="196"/>
      <c r="E731" s="196"/>
      <c r="F731" s="196"/>
      <c r="G731" s="196"/>
      <c r="H731" s="196"/>
    </row>
    <row r="732" spans="2:8" ht="15.75" customHeight="1" x14ac:dyDescent="0.2">
      <c r="B732" s="196"/>
      <c r="C732" s="196"/>
      <c r="D732" s="196"/>
      <c r="E732" s="196"/>
      <c r="F732" s="196"/>
      <c r="G732" s="196"/>
      <c r="H732" s="196"/>
    </row>
    <row r="733" spans="2:8" ht="15.75" customHeight="1" x14ac:dyDescent="0.2">
      <c r="B733" s="196"/>
      <c r="C733" s="196"/>
      <c r="D733" s="196"/>
      <c r="E733" s="196"/>
      <c r="F733" s="196"/>
      <c r="G733" s="196"/>
      <c r="H733" s="196"/>
    </row>
    <row r="734" spans="2:8" ht="15.75" customHeight="1" x14ac:dyDescent="0.2">
      <c r="B734" s="196"/>
      <c r="C734" s="196"/>
      <c r="D734" s="196"/>
      <c r="E734" s="196"/>
      <c r="F734" s="196"/>
      <c r="G734" s="196"/>
      <c r="H734" s="196"/>
    </row>
    <row r="735" spans="2:8" ht="15.75" customHeight="1" x14ac:dyDescent="0.2">
      <c r="B735" s="196"/>
      <c r="C735" s="196"/>
      <c r="D735" s="196"/>
      <c r="E735" s="196"/>
      <c r="F735" s="196"/>
      <c r="G735" s="196"/>
      <c r="H735" s="196"/>
    </row>
    <row r="736" spans="2:8" ht="15.75" customHeight="1" x14ac:dyDescent="0.2">
      <c r="B736" s="196"/>
      <c r="C736" s="196"/>
      <c r="D736" s="196"/>
      <c r="E736" s="196"/>
      <c r="F736" s="196"/>
      <c r="G736" s="196"/>
      <c r="H736" s="196"/>
    </row>
    <row r="737" spans="2:8" ht="15.75" customHeight="1" x14ac:dyDescent="0.2">
      <c r="B737" s="196"/>
      <c r="C737" s="196"/>
      <c r="D737" s="196"/>
      <c r="E737" s="196"/>
      <c r="F737" s="196"/>
      <c r="G737" s="196"/>
      <c r="H737" s="196"/>
    </row>
    <row r="738" spans="2:8" ht="15.75" customHeight="1" x14ac:dyDescent="0.2">
      <c r="B738" s="196"/>
      <c r="C738" s="196"/>
      <c r="D738" s="196"/>
      <c r="E738" s="196"/>
      <c r="F738" s="196"/>
      <c r="G738" s="196"/>
      <c r="H738" s="196"/>
    </row>
    <row r="739" spans="2:8" ht="15.75" customHeight="1" x14ac:dyDescent="0.2">
      <c r="B739" s="196"/>
      <c r="C739" s="196"/>
      <c r="D739" s="196"/>
      <c r="E739" s="196"/>
      <c r="F739" s="196"/>
      <c r="G739" s="196"/>
      <c r="H739" s="196"/>
    </row>
    <row r="740" spans="2:8" ht="15.75" customHeight="1" x14ac:dyDescent="0.2">
      <c r="B740" s="196"/>
      <c r="C740" s="196"/>
      <c r="D740" s="196"/>
      <c r="E740" s="196"/>
      <c r="F740" s="196"/>
      <c r="G740" s="196"/>
      <c r="H740" s="196"/>
    </row>
    <row r="741" spans="2:8" ht="15.75" customHeight="1" x14ac:dyDescent="0.2">
      <c r="B741" s="196"/>
      <c r="C741" s="196"/>
      <c r="D741" s="196"/>
      <c r="E741" s="196"/>
      <c r="F741" s="196"/>
      <c r="G741" s="196"/>
      <c r="H741" s="196"/>
    </row>
    <row r="742" spans="2:8" ht="15.75" customHeight="1" x14ac:dyDescent="0.2">
      <c r="B742" s="196"/>
      <c r="C742" s="196"/>
      <c r="D742" s="196"/>
      <c r="E742" s="196"/>
      <c r="F742" s="196"/>
      <c r="G742" s="196"/>
      <c r="H742" s="196"/>
    </row>
    <row r="743" spans="2:8" ht="15.75" customHeight="1" x14ac:dyDescent="0.2">
      <c r="B743" s="196"/>
      <c r="C743" s="196"/>
      <c r="D743" s="196"/>
      <c r="E743" s="196"/>
      <c r="F743" s="196"/>
      <c r="G743" s="196"/>
      <c r="H743" s="196"/>
    </row>
    <row r="744" spans="2:8" ht="15.75" customHeight="1" x14ac:dyDescent="0.2">
      <c r="B744" s="196"/>
      <c r="C744" s="196"/>
      <c r="D744" s="196"/>
      <c r="E744" s="196"/>
      <c r="F744" s="196"/>
      <c r="G744" s="196"/>
      <c r="H744" s="196"/>
    </row>
    <row r="745" spans="2:8" ht="15.75" customHeight="1" x14ac:dyDescent="0.2">
      <c r="B745" s="196"/>
      <c r="C745" s="196"/>
      <c r="D745" s="196"/>
      <c r="E745" s="196"/>
      <c r="F745" s="196"/>
      <c r="G745" s="196"/>
      <c r="H745" s="196"/>
    </row>
    <row r="746" spans="2:8" ht="15.75" customHeight="1" x14ac:dyDescent="0.2">
      <c r="B746" s="196"/>
      <c r="C746" s="196"/>
      <c r="D746" s="196"/>
      <c r="E746" s="196"/>
      <c r="F746" s="196"/>
      <c r="G746" s="196"/>
      <c r="H746" s="196"/>
    </row>
    <row r="747" spans="2:8" ht="15.75" customHeight="1" x14ac:dyDescent="0.2">
      <c r="B747" s="196"/>
      <c r="C747" s="196"/>
      <c r="D747" s="196"/>
      <c r="E747" s="196"/>
      <c r="F747" s="196"/>
      <c r="G747" s="196"/>
      <c r="H747" s="196"/>
    </row>
    <row r="748" spans="2:8" ht="15.75" customHeight="1" x14ac:dyDescent="0.2">
      <c r="B748" s="196"/>
      <c r="C748" s="196"/>
      <c r="D748" s="196"/>
      <c r="E748" s="196"/>
      <c r="F748" s="196"/>
      <c r="G748" s="196"/>
      <c r="H748" s="196"/>
    </row>
    <row r="749" spans="2:8" ht="15.75" customHeight="1" x14ac:dyDescent="0.2">
      <c r="B749" s="196"/>
      <c r="C749" s="196"/>
      <c r="D749" s="196"/>
      <c r="E749" s="196"/>
      <c r="F749" s="196"/>
      <c r="G749" s="196"/>
      <c r="H749" s="196"/>
    </row>
    <row r="750" spans="2:8" ht="15.75" customHeight="1" x14ac:dyDescent="0.2">
      <c r="B750" s="196"/>
      <c r="C750" s="196"/>
      <c r="D750" s="196"/>
      <c r="E750" s="196"/>
      <c r="F750" s="196"/>
      <c r="G750" s="196"/>
      <c r="H750" s="196"/>
    </row>
    <row r="751" spans="2:8" ht="15.75" customHeight="1" x14ac:dyDescent="0.2">
      <c r="B751" s="196"/>
      <c r="C751" s="196"/>
      <c r="D751" s="196"/>
      <c r="E751" s="196"/>
      <c r="F751" s="196"/>
      <c r="G751" s="196"/>
      <c r="H751" s="196"/>
    </row>
    <row r="752" spans="2:8" ht="15.75" customHeight="1" x14ac:dyDescent="0.2">
      <c r="B752" s="196"/>
      <c r="C752" s="196"/>
      <c r="D752" s="196"/>
      <c r="E752" s="196"/>
      <c r="F752" s="196"/>
      <c r="G752" s="196"/>
      <c r="H752" s="196"/>
    </row>
    <row r="753" spans="2:8" ht="15.75" customHeight="1" x14ac:dyDescent="0.2">
      <c r="B753" s="196"/>
      <c r="C753" s="196"/>
      <c r="D753" s="196"/>
      <c r="E753" s="196"/>
      <c r="F753" s="196"/>
      <c r="G753" s="196"/>
      <c r="H753" s="196"/>
    </row>
    <row r="754" spans="2:8" ht="15.75" customHeight="1" x14ac:dyDescent="0.2">
      <c r="B754" s="196"/>
      <c r="C754" s="196"/>
      <c r="D754" s="196"/>
      <c r="E754" s="196"/>
      <c r="F754" s="196"/>
      <c r="G754" s="196"/>
      <c r="H754" s="196"/>
    </row>
    <row r="755" spans="2:8" ht="15.75" customHeight="1" x14ac:dyDescent="0.2">
      <c r="B755" s="196"/>
      <c r="C755" s="196"/>
      <c r="D755" s="196"/>
      <c r="E755" s="196"/>
      <c r="F755" s="196"/>
      <c r="G755" s="196"/>
      <c r="H755" s="196"/>
    </row>
    <row r="756" spans="2:8" ht="15.75" customHeight="1" x14ac:dyDescent="0.2">
      <c r="B756" s="196"/>
      <c r="C756" s="196"/>
      <c r="D756" s="196"/>
      <c r="E756" s="196"/>
      <c r="F756" s="196"/>
      <c r="G756" s="196"/>
      <c r="H756" s="196"/>
    </row>
    <row r="757" spans="2:8" ht="15.75" customHeight="1" x14ac:dyDescent="0.2">
      <c r="B757" s="196"/>
      <c r="C757" s="196"/>
      <c r="D757" s="196"/>
      <c r="E757" s="196"/>
      <c r="F757" s="196"/>
      <c r="G757" s="196"/>
      <c r="H757" s="196"/>
    </row>
    <row r="758" spans="2:8" ht="15.75" customHeight="1" x14ac:dyDescent="0.2">
      <c r="B758" s="196"/>
      <c r="C758" s="196"/>
      <c r="D758" s="196"/>
      <c r="E758" s="196"/>
      <c r="F758" s="196"/>
      <c r="G758" s="196"/>
      <c r="H758" s="196"/>
    </row>
    <row r="759" spans="2:8" ht="15.75" customHeight="1" x14ac:dyDescent="0.2">
      <c r="B759" s="196"/>
      <c r="C759" s="196"/>
      <c r="D759" s="196"/>
      <c r="E759" s="196"/>
      <c r="F759" s="196"/>
      <c r="G759" s="196"/>
      <c r="H759" s="196"/>
    </row>
    <row r="760" spans="2:8" ht="15.75" customHeight="1" x14ac:dyDescent="0.2">
      <c r="B760" s="196"/>
      <c r="C760" s="196"/>
      <c r="D760" s="196"/>
      <c r="E760" s="196"/>
      <c r="F760" s="196"/>
      <c r="G760" s="196"/>
      <c r="H760" s="196"/>
    </row>
    <row r="761" spans="2:8" ht="15.75" customHeight="1" x14ac:dyDescent="0.2">
      <c r="B761" s="196"/>
      <c r="C761" s="196"/>
      <c r="D761" s="196"/>
      <c r="E761" s="196"/>
      <c r="F761" s="196"/>
      <c r="G761" s="196"/>
      <c r="H761" s="196"/>
    </row>
    <row r="762" spans="2:8" ht="15.75" customHeight="1" x14ac:dyDescent="0.2">
      <c r="B762" s="196"/>
      <c r="C762" s="196"/>
      <c r="D762" s="196"/>
      <c r="E762" s="196"/>
      <c r="F762" s="196"/>
      <c r="G762" s="196"/>
      <c r="H762" s="196"/>
    </row>
    <row r="763" spans="2:8" ht="15.75" customHeight="1" x14ac:dyDescent="0.2">
      <c r="B763" s="196"/>
      <c r="C763" s="196"/>
      <c r="D763" s="196"/>
      <c r="E763" s="196"/>
      <c r="F763" s="196"/>
      <c r="G763" s="196"/>
      <c r="H763" s="196"/>
    </row>
    <row r="764" spans="2:8" ht="15.75" customHeight="1" x14ac:dyDescent="0.2">
      <c r="B764" s="196"/>
      <c r="C764" s="196"/>
      <c r="D764" s="196"/>
      <c r="E764" s="196"/>
      <c r="F764" s="196"/>
      <c r="G764" s="196"/>
      <c r="H764" s="196"/>
    </row>
    <row r="765" spans="2:8" ht="15.75" customHeight="1" x14ac:dyDescent="0.2">
      <c r="B765" s="196"/>
      <c r="C765" s="196"/>
      <c r="D765" s="196"/>
      <c r="E765" s="196"/>
      <c r="F765" s="196"/>
      <c r="G765" s="196"/>
      <c r="H765" s="196"/>
    </row>
    <row r="766" spans="2:8" ht="15.75" customHeight="1" x14ac:dyDescent="0.2">
      <c r="B766" s="196"/>
      <c r="C766" s="196"/>
      <c r="D766" s="196"/>
      <c r="E766" s="196"/>
      <c r="F766" s="196"/>
      <c r="G766" s="196"/>
      <c r="H766" s="196"/>
    </row>
    <row r="767" spans="2:8" ht="15.75" customHeight="1" x14ac:dyDescent="0.2">
      <c r="B767" s="196"/>
      <c r="C767" s="196"/>
      <c r="D767" s="196"/>
      <c r="E767" s="196"/>
      <c r="F767" s="196"/>
      <c r="G767" s="196"/>
      <c r="H767" s="196"/>
    </row>
    <row r="768" spans="2:8" ht="15.75" customHeight="1" x14ac:dyDescent="0.2">
      <c r="B768" s="196"/>
      <c r="C768" s="196"/>
      <c r="D768" s="196"/>
      <c r="E768" s="196"/>
      <c r="F768" s="196"/>
      <c r="G768" s="196"/>
      <c r="H768" s="196"/>
    </row>
    <row r="769" spans="2:8" ht="15.75" customHeight="1" x14ac:dyDescent="0.2">
      <c r="B769" s="196"/>
      <c r="C769" s="196"/>
      <c r="D769" s="196"/>
      <c r="E769" s="196"/>
      <c r="F769" s="196"/>
      <c r="G769" s="196"/>
      <c r="H769" s="196"/>
    </row>
    <row r="770" spans="2:8" ht="15.75" customHeight="1" x14ac:dyDescent="0.2">
      <c r="B770" s="196"/>
      <c r="C770" s="196"/>
      <c r="D770" s="196"/>
      <c r="E770" s="196"/>
      <c r="F770" s="196"/>
      <c r="G770" s="196"/>
      <c r="H770" s="196"/>
    </row>
    <row r="771" spans="2:8" ht="15.75" customHeight="1" x14ac:dyDescent="0.2">
      <c r="B771" s="196"/>
      <c r="C771" s="196"/>
      <c r="D771" s="196"/>
      <c r="E771" s="196"/>
      <c r="F771" s="196"/>
      <c r="G771" s="196"/>
      <c r="H771" s="196"/>
    </row>
    <row r="772" spans="2:8" ht="15.75" customHeight="1" x14ac:dyDescent="0.2">
      <c r="B772" s="196"/>
      <c r="C772" s="196"/>
      <c r="D772" s="196"/>
      <c r="E772" s="196"/>
      <c r="F772" s="196"/>
      <c r="G772" s="196"/>
      <c r="H772" s="196"/>
    </row>
    <row r="773" spans="2:8" ht="15.75" customHeight="1" x14ac:dyDescent="0.2">
      <c r="B773" s="196"/>
      <c r="C773" s="196"/>
      <c r="D773" s="196"/>
      <c r="E773" s="196"/>
      <c r="F773" s="196"/>
      <c r="G773" s="196"/>
      <c r="H773" s="196"/>
    </row>
    <row r="774" spans="2:8" ht="15.75" customHeight="1" x14ac:dyDescent="0.2">
      <c r="B774" s="196"/>
      <c r="C774" s="196"/>
      <c r="D774" s="196"/>
      <c r="E774" s="196"/>
      <c r="F774" s="196"/>
      <c r="G774" s="196"/>
      <c r="H774" s="196"/>
    </row>
    <row r="775" spans="2:8" ht="15.75" customHeight="1" x14ac:dyDescent="0.2">
      <c r="B775" s="196"/>
      <c r="C775" s="196"/>
      <c r="D775" s="196"/>
      <c r="E775" s="196"/>
      <c r="F775" s="196"/>
      <c r="G775" s="196"/>
      <c r="H775" s="196"/>
    </row>
    <row r="776" spans="2:8" ht="15.75" customHeight="1" x14ac:dyDescent="0.2">
      <c r="B776" s="196"/>
      <c r="C776" s="196"/>
      <c r="D776" s="196"/>
      <c r="E776" s="196"/>
      <c r="F776" s="196"/>
      <c r="G776" s="196"/>
      <c r="H776" s="196"/>
    </row>
    <row r="777" spans="2:8" ht="15.75" customHeight="1" x14ac:dyDescent="0.2">
      <c r="B777" s="196"/>
      <c r="C777" s="196"/>
      <c r="D777" s="196"/>
      <c r="E777" s="196"/>
      <c r="F777" s="196"/>
      <c r="G777" s="196"/>
      <c r="H777" s="196"/>
    </row>
    <row r="778" spans="2:8" ht="15.75" customHeight="1" x14ac:dyDescent="0.2">
      <c r="B778" s="196"/>
      <c r="C778" s="196"/>
      <c r="D778" s="196"/>
      <c r="E778" s="196"/>
      <c r="F778" s="196"/>
      <c r="G778" s="196"/>
      <c r="H778" s="196"/>
    </row>
    <row r="779" spans="2:8" ht="15.75" customHeight="1" x14ac:dyDescent="0.2">
      <c r="B779" s="196"/>
      <c r="C779" s="196"/>
      <c r="D779" s="196"/>
      <c r="E779" s="196"/>
      <c r="F779" s="196"/>
      <c r="G779" s="196"/>
      <c r="H779" s="196"/>
    </row>
    <row r="780" spans="2:8" ht="15.75" customHeight="1" x14ac:dyDescent="0.2">
      <c r="B780" s="196"/>
      <c r="C780" s="196"/>
      <c r="D780" s="196"/>
      <c r="E780" s="196"/>
      <c r="F780" s="196"/>
      <c r="G780" s="196"/>
      <c r="H780" s="196"/>
    </row>
    <row r="781" spans="2:8" ht="15.75" customHeight="1" x14ac:dyDescent="0.2">
      <c r="B781" s="196"/>
      <c r="C781" s="196"/>
      <c r="D781" s="196"/>
      <c r="E781" s="196"/>
      <c r="F781" s="196"/>
      <c r="G781" s="196"/>
      <c r="H781" s="196"/>
    </row>
    <row r="782" spans="2:8" ht="15.75" customHeight="1" x14ac:dyDescent="0.2">
      <c r="B782" s="196"/>
      <c r="C782" s="196"/>
      <c r="D782" s="196"/>
      <c r="E782" s="196"/>
      <c r="F782" s="196"/>
      <c r="G782" s="196"/>
      <c r="H782" s="196"/>
    </row>
    <row r="783" spans="2:8" ht="15.75" customHeight="1" x14ac:dyDescent="0.2">
      <c r="B783" s="196"/>
      <c r="C783" s="196"/>
      <c r="D783" s="196"/>
      <c r="E783" s="196"/>
      <c r="F783" s="196"/>
      <c r="G783" s="196"/>
      <c r="H783" s="196"/>
    </row>
    <row r="784" spans="2:8" ht="15.75" customHeight="1" x14ac:dyDescent="0.2">
      <c r="B784" s="196"/>
      <c r="C784" s="196"/>
      <c r="D784" s="196"/>
      <c r="E784" s="196"/>
      <c r="F784" s="196"/>
      <c r="G784" s="196"/>
      <c r="H784" s="196"/>
    </row>
    <row r="785" spans="2:8" ht="15.75" customHeight="1" x14ac:dyDescent="0.2">
      <c r="B785" s="196"/>
      <c r="C785" s="196"/>
      <c r="D785" s="196"/>
      <c r="E785" s="196"/>
      <c r="F785" s="196"/>
      <c r="G785" s="196"/>
      <c r="H785" s="196"/>
    </row>
    <row r="786" spans="2:8" ht="15.75" customHeight="1" x14ac:dyDescent="0.2">
      <c r="B786" s="196"/>
      <c r="C786" s="196"/>
      <c r="D786" s="196"/>
      <c r="E786" s="196"/>
      <c r="F786" s="196"/>
      <c r="G786" s="196"/>
      <c r="H786" s="196"/>
    </row>
    <row r="787" spans="2:8" ht="15.75" customHeight="1" x14ac:dyDescent="0.2">
      <c r="B787" s="196"/>
      <c r="C787" s="196"/>
      <c r="D787" s="196"/>
      <c r="E787" s="196"/>
      <c r="F787" s="196"/>
      <c r="G787" s="196"/>
      <c r="H787" s="196"/>
    </row>
    <row r="788" spans="2:8" ht="15.75" customHeight="1" x14ac:dyDescent="0.2">
      <c r="B788" s="196"/>
      <c r="C788" s="196"/>
      <c r="D788" s="196"/>
      <c r="E788" s="196"/>
      <c r="F788" s="196"/>
      <c r="G788" s="196"/>
      <c r="H788" s="196"/>
    </row>
    <row r="789" spans="2:8" ht="15.75" customHeight="1" x14ac:dyDescent="0.2">
      <c r="B789" s="196"/>
      <c r="C789" s="196"/>
      <c r="D789" s="196"/>
      <c r="E789" s="196"/>
      <c r="F789" s="196"/>
      <c r="G789" s="196"/>
      <c r="H789" s="196"/>
    </row>
    <row r="790" spans="2:8" ht="15.75" customHeight="1" x14ac:dyDescent="0.2">
      <c r="B790" s="196"/>
      <c r="C790" s="196"/>
      <c r="D790" s="196"/>
      <c r="E790" s="196"/>
      <c r="F790" s="196"/>
      <c r="G790" s="196"/>
      <c r="H790" s="196"/>
    </row>
    <row r="791" spans="2:8" ht="15.75" customHeight="1" x14ac:dyDescent="0.2">
      <c r="B791" s="196"/>
      <c r="C791" s="196"/>
      <c r="D791" s="196"/>
      <c r="E791" s="196"/>
      <c r="F791" s="196"/>
      <c r="G791" s="196"/>
      <c r="H791" s="196"/>
    </row>
    <row r="792" spans="2:8" ht="15.75" customHeight="1" x14ac:dyDescent="0.2">
      <c r="B792" s="196"/>
      <c r="C792" s="196"/>
      <c r="D792" s="196"/>
      <c r="E792" s="196"/>
      <c r="F792" s="196"/>
      <c r="G792" s="196"/>
      <c r="H792" s="196"/>
    </row>
    <row r="793" spans="2:8" ht="15.75" customHeight="1" x14ac:dyDescent="0.2">
      <c r="B793" s="196"/>
      <c r="C793" s="196"/>
      <c r="D793" s="196"/>
      <c r="E793" s="196"/>
      <c r="F793" s="196"/>
      <c r="G793" s="196"/>
      <c r="H793" s="196"/>
    </row>
    <row r="794" spans="2:8" ht="15.75" customHeight="1" x14ac:dyDescent="0.2">
      <c r="B794" s="196"/>
      <c r="C794" s="196"/>
      <c r="D794" s="196"/>
      <c r="E794" s="196"/>
      <c r="F794" s="196"/>
      <c r="G794" s="196"/>
      <c r="H794" s="196"/>
    </row>
    <row r="795" spans="2:8" ht="15.75" customHeight="1" x14ac:dyDescent="0.2">
      <c r="B795" s="196"/>
      <c r="C795" s="196"/>
      <c r="D795" s="196"/>
      <c r="E795" s="196"/>
      <c r="F795" s="196"/>
      <c r="G795" s="196"/>
      <c r="H795" s="196"/>
    </row>
    <row r="796" spans="2:8" ht="15.75" customHeight="1" x14ac:dyDescent="0.2">
      <c r="B796" s="196"/>
      <c r="C796" s="196"/>
      <c r="D796" s="196"/>
      <c r="E796" s="196"/>
      <c r="F796" s="196"/>
      <c r="G796" s="196"/>
      <c r="H796" s="196"/>
    </row>
    <row r="797" spans="2:8" ht="15.75" customHeight="1" x14ac:dyDescent="0.2">
      <c r="B797" s="196"/>
      <c r="C797" s="196"/>
      <c r="D797" s="196"/>
      <c r="E797" s="196"/>
      <c r="F797" s="196"/>
      <c r="G797" s="196"/>
      <c r="H797" s="196"/>
    </row>
    <row r="798" spans="2:8" ht="15.75" customHeight="1" x14ac:dyDescent="0.2">
      <c r="B798" s="196"/>
      <c r="C798" s="196"/>
      <c r="D798" s="196"/>
      <c r="E798" s="196"/>
      <c r="F798" s="196"/>
      <c r="G798" s="196"/>
      <c r="H798" s="196"/>
    </row>
    <row r="799" spans="2:8" ht="15.75" customHeight="1" x14ac:dyDescent="0.2">
      <c r="B799" s="196"/>
      <c r="C799" s="196"/>
      <c r="D799" s="196"/>
      <c r="E799" s="196"/>
      <c r="F799" s="196"/>
      <c r="G799" s="196"/>
      <c r="H799" s="196"/>
    </row>
    <row r="800" spans="2:8" ht="15.75" customHeight="1" x14ac:dyDescent="0.2">
      <c r="B800" s="196"/>
      <c r="C800" s="196"/>
      <c r="D800" s="196"/>
      <c r="E800" s="196"/>
      <c r="F800" s="196"/>
      <c r="G800" s="196"/>
      <c r="H800" s="196"/>
    </row>
    <row r="801" spans="2:8" ht="15.75" customHeight="1" x14ac:dyDescent="0.2">
      <c r="B801" s="196"/>
      <c r="C801" s="196"/>
      <c r="D801" s="196"/>
      <c r="E801" s="196"/>
      <c r="F801" s="196"/>
      <c r="G801" s="196"/>
      <c r="H801" s="196"/>
    </row>
    <row r="802" spans="2:8" ht="15.75" customHeight="1" x14ac:dyDescent="0.2">
      <c r="B802" s="196"/>
      <c r="C802" s="196"/>
      <c r="D802" s="196"/>
      <c r="E802" s="196"/>
      <c r="F802" s="196"/>
      <c r="G802" s="196"/>
      <c r="H802" s="196"/>
    </row>
    <row r="803" spans="2:8" ht="15.75" customHeight="1" x14ac:dyDescent="0.2">
      <c r="B803" s="196"/>
      <c r="C803" s="196"/>
      <c r="D803" s="196"/>
      <c r="E803" s="196"/>
      <c r="F803" s="196"/>
      <c r="G803" s="196"/>
      <c r="H803" s="196"/>
    </row>
    <row r="804" spans="2:8" ht="15.75" customHeight="1" x14ac:dyDescent="0.2">
      <c r="B804" s="196"/>
      <c r="C804" s="196"/>
      <c r="D804" s="196"/>
      <c r="E804" s="196"/>
      <c r="F804" s="196"/>
      <c r="G804" s="196"/>
      <c r="H804" s="196"/>
    </row>
    <row r="805" spans="2:8" ht="15.75" customHeight="1" x14ac:dyDescent="0.2">
      <c r="B805" s="196"/>
      <c r="C805" s="196"/>
      <c r="D805" s="196"/>
      <c r="E805" s="196"/>
      <c r="F805" s="196"/>
      <c r="G805" s="196"/>
      <c r="H805" s="196"/>
    </row>
    <row r="806" spans="2:8" ht="15.75" customHeight="1" x14ac:dyDescent="0.2">
      <c r="B806" s="196"/>
      <c r="C806" s="196"/>
      <c r="D806" s="196"/>
      <c r="E806" s="196"/>
      <c r="F806" s="196"/>
      <c r="G806" s="196"/>
      <c r="H806" s="196"/>
    </row>
    <row r="807" spans="2:8" ht="15.75" customHeight="1" x14ac:dyDescent="0.2">
      <c r="B807" s="196"/>
      <c r="C807" s="196"/>
      <c r="D807" s="196"/>
      <c r="E807" s="196"/>
      <c r="F807" s="196"/>
      <c r="G807" s="196"/>
      <c r="H807" s="196"/>
    </row>
    <row r="808" spans="2:8" ht="15.75" customHeight="1" x14ac:dyDescent="0.2">
      <c r="B808" s="196"/>
      <c r="C808" s="196"/>
      <c r="D808" s="196"/>
      <c r="E808" s="196"/>
      <c r="F808" s="196"/>
      <c r="G808" s="196"/>
      <c r="H808" s="196"/>
    </row>
    <row r="809" spans="2:8" ht="15.75" customHeight="1" x14ac:dyDescent="0.2">
      <c r="B809" s="196"/>
      <c r="C809" s="196"/>
      <c r="D809" s="196"/>
      <c r="E809" s="196"/>
      <c r="F809" s="196"/>
      <c r="G809" s="196"/>
      <c r="H809" s="196"/>
    </row>
    <row r="810" spans="2:8" ht="15.75" customHeight="1" x14ac:dyDescent="0.2">
      <c r="B810" s="196"/>
      <c r="C810" s="196"/>
      <c r="D810" s="196"/>
      <c r="E810" s="196"/>
      <c r="F810" s="196"/>
      <c r="G810" s="196"/>
      <c r="H810" s="196"/>
    </row>
    <row r="811" spans="2:8" ht="15.75" customHeight="1" x14ac:dyDescent="0.2">
      <c r="B811" s="196"/>
      <c r="C811" s="196"/>
      <c r="D811" s="196"/>
      <c r="E811" s="196"/>
      <c r="F811" s="196"/>
      <c r="G811" s="196"/>
      <c r="H811" s="196"/>
    </row>
    <row r="812" spans="2:8" ht="15.75" customHeight="1" x14ac:dyDescent="0.2">
      <c r="B812" s="196"/>
      <c r="C812" s="196"/>
      <c r="D812" s="196"/>
      <c r="E812" s="196"/>
      <c r="F812" s="196"/>
      <c r="G812" s="196"/>
      <c r="H812" s="196"/>
    </row>
    <row r="813" spans="2:8" ht="15.75" customHeight="1" x14ac:dyDescent="0.2">
      <c r="B813" s="196"/>
      <c r="C813" s="196"/>
      <c r="D813" s="196"/>
      <c r="E813" s="196"/>
      <c r="F813" s="196"/>
      <c r="G813" s="196"/>
      <c r="H813" s="196"/>
    </row>
    <row r="814" spans="2:8" ht="15.75" customHeight="1" x14ac:dyDescent="0.2">
      <c r="B814" s="196"/>
      <c r="C814" s="196"/>
      <c r="D814" s="196"/>
      <c r="E814" s="196"/>
      <c r="F814" s="196"/>
      <c r="G814" s="196"/>
      <c r="H814" s="196"/>
    </row>
    <row r="815" spans="2:8" ht="15.75" customHeight="1" x14ac:dyDescent="0.2">
      <c r="B815" s="196"/>
      <c r="C815" s="196"/>
      <c r="D815" s="196"/>
      <c r="E815" s="196"/>
      <c r="F815" s="196"/>
      <c r="G815" s="196"/>
      <c r="H815" s="196"/>
    </row>
    <row r="816" spans="2:8" ht="15.75" customHeight="1" x14ac:dyDescent="0.2">
      <c r="B816" s="196"/>
      <c r="C816" s="196"/>
      <c r="D816" s="196"/>
      <c r="E816" s="196"/>
      <c r="F816" s="196"/>
      <c r="G816" s="196"/>
      <c r="H816" s="196"/>
    </row>
    <row r="817" spans="2:8" ht="15.75" customHeight="1" x14ac:dyDescent="0.2">
      <c r="B817" s="196"/>
      <c r="C817" s="196"/>
      <c r="D817" s="196"/>
      <c r="E817" s="196"/>
      <c r="F817" s="196"/>
      <c r="G817" s="196"/>
      <c r="H817" s="196"/>
    </row>
    <row r="818" spans="2:8" ht="15.75" customHeight="1" x14ac:dyDescent="0.2">
      <c r="B818" s="196"/>
      <c r="C818" s="196"/>
      <c r="D818" s="196"/>
      <c r="E818" s="196"/>
      <c r="F818" s="196"/>
      <c r="G818" s="196"/>
      <c r="H818" s="196"/>
    </row>
    <row r="819" spans="2:8" ht="15.75" customHeight="1" x14ac:dyDescent="0.2">
      <c r="B819" s="196"/>
      <c r="C819" s="196"/>
      <c r="D819" s="196"/>
      <c r="E819" s="196"/>
      <c r="F819" s="196"/>
      <c r="G819" s="196"/>
      <c r="H819" s="196"/>
    </row>
    <row r="820" spans="2:8" ht="15.75" customHeight="1" x14ac:dyDescent="0.2">
      <c r="B820" s="196"/>
      <c r="C820" s="196"/>
      <c r="D820" s="196"/>
      <c r="E820" s="196"/>
      <c r="F820" s="196"/>
      <c r="G820" s="196"/>
      <c r="H820" s="196"/>
    </row>
    <row r="821" spans="2:8" ht="15.75" customHeight="1" x14ac:dyDescent="0.2">
      <c r="B821" s="196"/>
      <c r="C821" s="196"/>
      <c r="D821" s="196"/>
      <c r="E821" s="196"/>
      <c r="F821" s="196"/>
      <c r="G821" s="196"/>
      <c r="H821" s="196"/>
    </row>
    <row r="822" spans="2:8" ht="15.75" customHeight="1" x14ac:dyDescent="0.2">
      <c r="B822" s="196"/>
      <c r="C822" s="196"/>
      <c r="D822" s="196"/>
      <c r="E822" s="196"/>
      <c r="F822" s="196"/>
      <c r="G822" s="196"/>
      <c r="H822" s="196"/>
    </row>
    <row r="823" spans="2:8" ht="15.75" customHeight="1" x14ac:dyDescent="0.2">
      <c r="B823" s="196"/>
      <c r="C823" s="196"/>
      <c r="D823" s="196"/>
      <c r="E823" s="196"/>
      <c r="F823" s="196"/>
      <c r="G823" s="196"/>
      <c r="H823" s="196"/>
    </row>
    <row r="824" spans="2:8" ht="15.75" customHeight="1" x14ac:dyDescent="0.2">
      <c r="B824" s="196"/>
      <c r="C824" s="196"/>
      <c r="D824" s="196"/>
      <c r="E824" s="196"/>
      <c r="F824" s="196"/>
      <c r="G824" s="196"/>
      <c r="H824" s="196"/>
    </row>
    <row r="825" spans="2:8" ht="15.75" customHeight="1" x14ac:dyDescent="0.2">
      <c r="B825" s="196"/>
      <c r="C825" s="196"/>
      <c r="D825" s="196"/>
      <c r="E825" s="196"/>
      <c r="F825" s="196"/>
      <c r="G825" s="196"/>
      <c r="H825" s="196"/>
    </row>
    <row r="826" spans="2:8" ht="15.75" customHeight="1" x14ac:dyDescent="0.2">
      <c r="B826" s="196"/>
      <c r="C826" s="196"/>
      <c r="D826" s="196"/>
      <c r="E826" s="196"/>
      <c r="F826" s="196"/>
      <c r="G826" s="196"/>
      <c r="H826" s="196"/>
    </row>
    <row r="827" spans="2:8" ht="15.75" customHeight="1" x14ac:dyDescent="0.2">
      <c r="B827" s="196"/>
      <c r="C827" s="196"/>
      <c r="D827" s="196"/>
      <c r="E827" s="196"/>
      <c r="F827" s="196"/>
      <c r="G827" s="196"/>
      <c r="H827" s="196"/>
    </row>
    <row r="828" spans="2:8" ht="15.75" customHeight="1" x14ac:dyDescent="0.2">
      <c r="B828" s="196"/>
      <c r="C828" s="196"/>
      <c r="D828" s="196"/>
      <c r="E828" s="196"/>
      <c r="F828" s="196"/>
      <c r="G828" s="196"/>
      <c r="H828" s="196"/>
    </row>
    <row r="829" spans="2:8" ht="15.75" customHeight="1" x14ac:dyDescent="0.2">
      <c r="B829" s="196"/>
      <c r="C829" s="196"/>
      <c r="D829" s="196"/>
      <c r="E829" s="196"/>
      <c r="F829" s="196"/>
      <c r="G829" s="196"/>
      <c r="H829" s="196"/>
    </row>
    <row r="830" spans="2:8" ht="15.75" customHeight="1" x14ac:dyDescent="0.2">
      <c r="B830" s="196"/>
      <c r="C830" s="196"/>
      <c r="D830" s="196"/>
      <c r="E830" s="196"/>
      <c r="F830" s="196"/>
      <c r="G830" s="196"/>
      <c r="H830" s="196"/>
    </row>
    <row r="831" spans="2:8" ht="15.75" customHeight="1" x14ac:dyDescent="0.2">
      <c r="B831" s="196"/>
      <c r="C831" s="196"/>
      <c r="D831" s="196"/>
      <c r="E831" s="196"/>
      <c r="F831" s="196"/>
      <c r="G831" s="196"/>
      <c r="H831" s="196"/>
    </row>
    <row r="832" spans="2:8" ht="15.75" customHeight="1" x14ac:dyDescent="0.2">
      <c r="B832" s="196"/>
      <c r="C832" s="196"/>
      <c r="D832" s="196"/>
      <c r="E832" s="196"/>
      <c r="F832" s="196"/>
      <c r="G832" s="196"/>
      <c r="H832" s="196"/>
    </row>
    <row r="833" spans="2:8" ht="15.75" customHeight="1" x14ac:dyDescent="0.2">
      <c r="B833" s="196"/>
      <c r="C833" s="196"/>
      <c r="D833" s="196"/>
      <c r="E833" s="196"/>
      <c r="F833" s="196"/>
      <c r="G833" s="196"/>
      <c r="H833" s="196"/>
    </row>
    <row r="834" spans="2:8" ht="15.75" customHeight="1" x14ac:dyDescent="0.2">
      <c r="B834" s="196"/>
      <c r="C834" s="196"/>
      <c r="D834" s="196"/>
      <c r="E834" s="196"/>
      <c r="F834" s="196"/>
      <c r="G834" s="196"/>
      <c r="H834" s="196"/>
    </row>
    <row r="835" spans="2:8" ht="15.75" customHeight="1" x14ac:dyDescent="0.2">
      <c r="B835" s="196"/>
      <c r="C835" s="196"/>
      <c r="D835" s="196"/>
      <c r="E835" s="196"/>
      <c r="F835" s="196"/>
      <c r="G835" s="196"/>
      <c r="H835" s="196"/>
    </row>
    <row r="836" spans="2:8" ht="15.75" customHeight="1" x14ac:dyDescent="0.2">
      <c r="B836" s="196"/>
      <c r="C836" s="196"/>
      <c r="D836" s="196"/>
      <c r="E836" s="196"/>
      <c r="F836" s="196"/>
      <c r="G836" s="196"/>
      <c r="H836" s="196"/>
    </row>
    <row r="837" spans="2:8" ht="15.75" customHeight="1" x14ac:dyDescent="0.2">
      <c r="B837" s="196"/>
      <c r="C837" s="196"/>
      <c r="D837" s="196"/>
      <c r="E837" s="196"/>
      <c r="F837" s="196"/>
      <c r="G837" s="196"/>
      <c r="H837" s="196"/>
    </row>
    <row r="838" spans="2:8" ht="15.75" customHeight="1" x14ac:dyDescent="0.2">
      <c r="B838" s="196"/>
      <c r="C838" s="196"/>
      <c r="D838" s="196"/>
      <c r="E838" s="196"/>
      <c r="F838" s="196"/>
      <c r="G838" s="196"/>
      <c r="H838" s="196"/>
    </row>
    <row r="839" spans="2:8" ht="15.75" customHeight="1" x14ac:dyDescent="0.2">
      <c r="B839" s="196"/>
      <c r="C839" s="196"/>
      <c r="D839" s="196"/>
      <c r="E839" s="196"/>
      <c r="F839" s="196"/>
      <c r="G839" s="196"/>
      <c r="H839" s="196"/>
    </row>
    <row r="840" spans="2:8" ht="15.75" customHeight="1" x14ac:dyDescent="0.2">
      <c r="B840" s="196"/>
      <c r="C840" s="196"/>
      <c r="D840" s="196"/>
      <c r="E840" s="196"/>
      <c r="F840" s="196"/>
      <c r="G840" s="196"/>
      <c r="H840" s="196"/>
    </row>
    <row r="841" spans="2:8" ht="15.75" customHeight="1" x14ac:dyDescent="0.2">
      <c r="B841" s="196"/>
      <c r="C841" s="196"/>
      <c r="D841" s="196"/>
      <c r="E841" s="196"/>
      <c r="F841" s="196"/>
      <c r="G841" s="196"/>
      <c r="H841" s="196"/>
    </row>
    <row r="842" spans="2:8" ht="15.75" customHeight="1" x14ac:dyDescent="0.2">
      <c r="B842" s="196"/>
      <c r="C842" s="196"/>
      <c r="D842" s="196"/>
      <c r="E842" s="196"/>
      <c r="F842" s="196"/>
      <c r="G842" s="196"/>
      <c r="H842" s="196"/>
    </row>
    <row r="843" spans="2:8" ht="15.75" customHeight="1" x14ac:dyDescent="0.2">
      <c r="B843" s="196"/>
      <c r="C843" s="196"/>
      <c r="D843" s="196"/>
      <c r="E843" s="196"/>
      <c r="F843" s="196"/>
      <c r="G843" s="196"/>
      <c r="H843" s="196"/>
    </row>
    <row r="844" spans="2:8" ht="15.75" customHeight="1" x14ac:dyDescent="0.2">
      <c r="B844" s="196"/>
      <c r="C844" s="196"/>
      <c r="D844" s="196"/>
      <c r="E844" s="196"/>
      <c r="F844" s="196"/>
      <c r="G844" s="196"/>
      <c r="H844" s="196"/>
    </row>
    <row r="845" spans="2:8" ht="15.75" customHeight="1" x14ac:dyDescent="0.2">
      <c r="B845" s="196"/>
      <c r="C845" s="196"/>
      <c r="D845" s="196"/>
      <c r="E845" s="196"/>
      <c r="F845" s="196"/>
      <c r="G845" s="196"/>
      <c r="H845" s="196"/>
    </row>
    <row r="846" spans="2:8" ht="15.75" customHeight="1" x14ac:dyDescent="0.2">
      <c r="B846" s="196"/>
      <c r="C846" s="196"/>
      <c r="D846" s="196"/>
      <c r="E846" s="196"/>
      <c r="F846" s="196"/>
      <c r="G846" s="196"/>
      <c r="H846" s="196"/>
    </row>
    <row r="847" spans="2:8" ht="15.75" customHeight="1" x14ac:dyDescent="0.2">
      <c r="B847" s="196"/>
      <c r="C847" s="196"/>
      <c r="D847" s="196"/>
      <c r="E847" s="196"/>
      <c r="F847" s="196"/>
      <c r="G847" s="196"/>
      <c r="H847" s="196"/>
    </row>
    <row r="848" spans="2:8" ht="15.75" customHeight="1" x14ac:dyDescent="0.2">
      <c r="B848" s="196"/>
      <c r="C848" s="196"/>
      <c r="D848" s="196"/>
      <c r="E848" s="196"/>
      <c r="F848" s="196"/>
      <c r="G848" s="196"/>
      <c r="H848" s="196"/>
    </row>
    <row r="849" spans="2:8" ht="15.75" customHeight="1" x14ac:dyDescent="0.2">
      <c r="B849" s="196"/>
      <c r="C849" s="196"/>
      <c r="D849" s="196"/>
      <c r="E849" s="196"/>
      <c r="F849" s="196"/>
      <c r="G849" s="196"/>
      <c r="H849" s="196"/>
    </row>
    <row r="850" spans="2:8" ht="15.75" customHeight="1" x14ac:dyDescent="0.2">
      <c r="B850" s="196"/>
      <c r="C850" s="196"/>
      <c r="D850" s="196"/>
      <c r="E850" s="196"/>
      <c r="F850" s="196"/>
      <c r="G850" s="196"/>
      <c r="H850" s="196"/>
    </row>
    <row r="851" spans="2:8" ht="15.75" customHeight="1" x14ac:dyDescent="0.2">
      <c r="B851" s="196"/>
      <c r="C851" s="196"/>
      <c r="D851" s="196"/>
      <c r="E851" s="196"/>
      <c r="F851" s="196"/>
      <c r="G851" s="196"/>
      <c r="H851" s="196"/>
    </row>
    <row r="852" spans="2:8" ht="15.75" customHeight="1" x14ac:dyDescent="0.2">
      <c r="B852" s="196"/>
      <c r="C852" s="196"/>
      <c r="D852" s="196"/>
      <c r="E852" s="196"/>
      <c r="F852" s="196"/>
      <c r="G852" s="196"/>
      <c r="H852" s="196"/>
    </row>
    <row r="853" spans="2:8" ht="15.75" customHeight="1" x14ac:dyDescent="0.2">
      <c r="B853" s="196"/>
      <c r="C853" s="196"/>
      <c r="D853" s="196"/>
      <c r="E853" s="196"/>
      <c r="F853" s="196"/>
      <c r="G853" s="196"/>
      <c r="H853" s="196"/>
    </row>
    <row r="854" spans="2:8" ht="15.75" customHeight="1" x14ac:dyDescent="0.2">
      <c r="B854" s="196"/>
      <c r="C854" s="196"/>
      <c r="D854" s="196"/>
      <c r="E854" s="196"/>
      <c r="F854" s="196"/>
      <c r="G854" s="196"/>
      <c r="H854" s="196"/>
    </row>
    <row r="855" spans="2:8" ht="15.75" customHeight="1" x14ac:dyDescent="0.2">
      <c r="B855" s="196"/>
      <c r="C855" s="196"/>
      <c r="D855" s="196"/>
      <c r="E855" s="196"/>
      <c r="F855" s="196"/>
      <c r="G855" s="196"/>
      <c r="H855" s="196"/>
    </row>
    <row r="856" spans="2:8" ht="15.75" customHeight="1" x14ac:dyDescent="0.2">
      <c r="B856" s="196"/>
      <c r="C856" s="196"/>
      <c r="D856" s="196"/>
      <c r="E856" s="196"/>
      <c r="F856" s="196"/>
      <c r="G856" s="196"/>
      <c r="H856" s="196"/>
    </row>
    <row r="857" spans="2:8" ht="15.75" customHeight="1" x14ac:dyDescent="0.2">
      <c r="B857" s="196"/>
      <c r="C857" s="196"/>
      <c r="D857" s="196"/>
      <c r="E857" s="196"/>
      <c r="F857" s="196"/>
      <c r="G857" s="196"/>
      <c r="H857" s="196"/>
    </row>
    <row r="858" spans="2:8" ht="15.75" customHeight="1" x14ac:dyDescent="0.2">
      <c r="B858" s="196"/>
      <c r="C858" s="196"/>
      <c r="D858" s="196"/>
      <c r="E858" s="196"/>
      <c r="F858" s="196"/>
      <c r="G858" s="196"/>
      <c r="H858" s="196"/>
    </row>
    <row r="859" spans="2:8" ht="15.75" customHeight="1" x14ac:dyDescent="0.2">
      <c r="B859" s="196"/>
      <c r="C859" s="196"/>
      <c r="D859" s="196"/>
      <c r="E859" s="196"/>
      <c r="F859" s="196"/>
      <c r="G859" s="196"/>
      <c r="H859" s="196"/>
    </row>
    <row r="860" spans="2:8" ht="15.75" customHeight="1" x14ac:dyDescent="0.2">
      <c r="B860" s="196"/>
      <c r="C860" s="196"/>
      <c r="D860" s="196"/>
      <c r="E860" s="196"/>
      <c r="F860" s="196"/>
      <c r="G860" s="196"/>
      <c r="H860" s="196"/>
    </row>
    <row r="861" spans="2:8" ht="15.75" customHeight="1" x14ac:dyDescent="0.2">
      <c r="B861" s="196"/>
      <c r="C861" s="196"/>
      <c r="D861" s="196"/>
      <c r="E861" s="196"/>
      <c r="F861" s="196"/>
      <c r="G861" s="196"/>
      <c r="H861" s="196"/>
    </row>
    <row r="862" spans="2:8" ht="15.75" customHeight="1" x14ac:dyDescent="0.2">
      <c r="B862" s="196"/>
      <c r="C862" s="196"/>
      <c r="D862" s="196"/>
      <c r="E862" s="196"/>
      <c r="F862" s="196"/>
      <c r="G862" s="196"/>
      <c r="H862" s="196"/>
    </row>
    <row r="863" spans="2:8" ht="15.75" customHeight="1" x14ac:dyDescent="0.2">
      <c r="B863" s="196"/>
      <c r="C863" s="196"/>
      <c r="D863" s="196"/>
      <c r="E863" s="196"/>
      <c r="F863" s="196"/>
      <c r="G863" s="196"/>
      <c r="H863" s="196"/>
    </row>
    <row r="864" spans="2:8" ht="15.75" customHeight="1" x14ac:dyDescent="0.2">
      <c r="B864" s="196"/>
      <c r="C864" s="196"/>
      <c r="D864" s="196"/>
      <c r="E864" s="196"/>
      <c r="F864" s="196"/>
      <c r="G864" s="196"/>
      <c r="H864" s="196"/>
    </row>
    <row r="865" spans="2:8" ht="15.75" customHeight="1" x14ac:dyDescent="0.2">
      <c r="B865" s="196"/>
      <c r="C865" s="196"/>
      <c r="D865" s="196"/>
      <c r="E865" s="196"/>
      <c r="F865" s="196"/>
      <c r="G865" s="196"/>
      <c r="H865" s="196"/>
    </row>
    <row r="866" spans="2:8" ht="15.75" customHeight="1" x14ac:dyDescent="0.2">
      <c r="B866" s="196"/>
      <c r="C866" s="196"/>
      <c r="D866" s="196"/>
      <c r="E866" s="196"/>
      <c r="F866" s="196"/>
      <c r="G866" s="196"/>
      <c r="H866" s="196"/>
    </row>
    <row r="867" spans="2:8" ht="15.75" customHeight="1" x14ac:dyDescent="0.2">
      <c r="B867" s="196"/>
      <c r="C867" s="196"/>
      <c r="D867" s="196"/>
      <c r="E867" s="196"/>
      <c r="F867" s="196"/>
      <c r="G867" s="196"/>
      <c r="H867" s="196"/>
    </row>
    <row r="868" spans="2:8" ht="15.75" customHeight="1" x14ac:dyDescent="0.2">
      <c r="B868" s="196"/>
      <c r="C868" s="196"/>
      <c r="D868" s="196"/>
      <c r="E868" s="196"/>
      <c r="F868" s="196"/>
      <c r="G868" s="196"/>
      <c r="H868" s="196"/>
    </row>
    <row r="869" spans="2:8" ht="15.75" customHeight="1" x14ac:dyDescent="0.2">
      <c r="B869" s="196"/>
      <c r="C869" s="196"/>
      <c r="D869" s="196"/>
      <c r="E869" s="196"/>
      <c r="F869" s="196"/>
      <c r="G869" s="196"/>
      <c r="H869" s="196"/>
    </row>
    <row r="870" spans="2:8" ht="15.75" customHeight="1" x14ac:dyDescent="0.2">
      <c r="B870" s="196"/>
      <c r="C870" s="196"/>
      <c r="D870" s="196"/>
      <c r="E870" s="196"/>
      <c r="F870" s="196"/>
      <c r="G870" s="196"/>
      <c r="H870" s="196"/>
    </row>
    <row r="871" spans="2:8" ht="15.75" customHeight="1" x14ac:dyDescent="0.2">
      <c r="B871" s="196"/>
      <c r="C871" s="196"/>
      <c r="D871" s="196"/>
      <c r="E871" s="196"/>
      <c r="F871" s="196"/>
      <c r="G871" s="196"/>
      <c r="H871" s="196"/>
    </row>
    <row r="872" spans="2:8" ht="15.75" customHeight="1" x14ac:dyDescent="0.2">
      <c r="B872" s="196"/>
      <c r="C872" s="196"/>
      <c r="D872" s="196"/>
      <c r="E872" s="196"/>
      <c r="F872" s="196"/>
      <c r="G872" s="196"/>
      <c r="H872" s="196"/>
    </row>
    <row r="873" spans="2:8" ht="15.75" customHeight="1" x14ac:dyDescent="0.2">
      <c r="B873" s="196"/>
      <c r="C873" s="196"/>
      <c r="D873" s="196"/>
      <c r="E873" s="196"/>
      <c r="F873" s="196"/>
      <c r="G873" s="196"/>
      <c r="H873" s="196"/>
    </row>
    <row r="874" spans="2:8" ht="15.75" customHeight="1" x14ac:dyDescent="0.2">
      <c r="B874" s="196"/>
      <c r="C874" s="196"/>
      <c r="D874" s="196"/>
      <c r="E874" s="196"/>
      <c r="F874" s="196"/>
      <c r="G874" s="196"/>
      <c r="H874" s="196"/>
    </row>
    <row r="875" spans="2:8" ht="15.75" customHeight="1" x14ac:dyDescent="0.2">
      <c r="B875" s="196"/>
      <c r="C875" s="196"/>
      <c r="D875" s="196"/>
      <c r="E875" s="196"/>
      <c r="F875" s="196"/>
      <c r="G875" s="196"/>
      <c r="H875" s="196"/>
    </row>
    <row r="876" spans="2:8" ht="15.75" customHeight="1" x14ac:dyDescent="0.2">
      <c r="B876" s="196"/>
      <c r="C876" s="196"/>
      <c r="D876" s="196"/>
      <c r="E876" s="196"/>
      <c r="F876" s="196"/>
      <c r="G876" s="196"/>
      <c r="H876" s="196"/>
    </row>
    <row r="877" spans="2:8" ht="15.75" customHeight="1" x14ac:dyDescent="0.2">
      <c r="B877" s="196"/>
      <c r="C877" s="196"/>
      <c r="D877" s="196"/>
      <c r="E877" s="196"/>
      <c r="F877" s="196"/>
      <c r="G877" s="196"/>
      <c r="H877" s="196"/>
    </row>
    <row r="878" spans="2:8" ht="15.75" customHeight="1" x14ac:dyDescent="0.2">
      <c r="B878" s="196"/>
      <c r="C878" s="196"/>
      <c r="D878" s="196"/>
      <c r="E878" s="196"/>
      <c r="F878" s="196"/>
      <c r="G878" s="196"/>
      <c r="H878" s="196"/>
    </row>
    <row r="879" spans="2:8" ht="15.75" customHeight="1" x14ac:dyDescent="0.2">
      <c r="B879" s="196"/>
      <c r="C879" s="196"/>
      <c r="D879" s="196"/>
      <c r="E879" s="196"/>
      <c r="F879" s="196"/>
      <c r="G879" s="196"/>
      <c r="H879" s="196"/>
    </row>
    <row r="880" spans="2:8" ht="15.75" customHeight="1" x14ac:dyDescent="0.2">
      <c r="B880" s="196"/>
      <c r="C880" s="196"/>
      <c r="D880" s="196"/>
      <c r="E880" s="196"/>
      <c r="F880" s="196"/>
      <c r="G880" s="196"/>
      <c r="H880" s="196"/>
    </row>
    <row r="881" spans="2:8" ht="15.75" customHeight="1" x14ac:dyDescent="0.2">
      <c r="B881" s="196"/>
      <c r="C881" s="196"/>
      <c r="D881" s="196"/>
      <c r="E881" s="196"/>
      <c r="F881" s="196"/>
      <c r="G881" s="196"/>
      <c r="H881" s="196"/>
    </row>
    <row r="882" spans="2:8" ht="15.75" customHeight="1" x14ac:dyDescent="0.2">
      <c r="B882" s="196"/>
      <c r="C882" s="196"/>
      <c r="D882" s="196"/>
      <c r="E882" s="196"/>
      <c r="F882" s="196"/>
      <c r="G882" s="196"/>
      <c r="H882" s="196"/>
    </row>
    <row r="883" spans="2:8" ht="15.75" customHeight="1" x14ac:dyDescent="0.2">
      <c r="B883" s="196"/>
      <c r="C883" s="196"/>
      <c r="D883" s="196"/>
      <c r="E883" s="196"/>
      <c r="F883" s="196"/>
      <c r="G883" s="196"/>
      <c r="H883" s="196"/>
    </row>
    <row r="884" spans="2:8" ht="15.75" customHeight="1" x14ac:dyDescent="0.2">
      <c r="B884" s="196"/>
      <c r="C884" s="196"/>
      <c r="D884" s="196"/>
      <c r="E884" s="196"/>
      <c r="F884" s="196"/>
      <c r="G884" s="196"/>
      <c r="H884" s="196"/>
    </row>
    <row r="885" spans="2:8" ht="15.75" customHeight="1" x14ac:dyDescent="0.2">
      <c r="B885" s="196"/>
      <c r="C885" s="196"/>
      <c r="D885" s="196"/>
      <c r="E885" s="196"/>
      <c r="F885" s="196"/>
      <c r="G885" s="196"/>
      <c r="H885" s="196"/>
    </row>
    <row r="886" spans="2:8" ht="15.75" customHeight="1" x14ac:dyDescent="0.2">
      <c r="B886" s="196"/>
      <c r="C886" s="196"/>
      <c r="D886" s="196"/>
      <c r="E886" s="196"/>
      <c r="F886" s="196"/>
      <c r="G886" s="196"/>
      <c r="H886" s="196"/>
    </row>
    <row r="887" spans="2:8" ht="15.75" customHeight="1" x14ac:dyDescent="0.2">
      <c r="B887" s="196"/>
      <c r="C887" s="196"/>
      <c r="D887" s="196"/>
      <c r="E887" s="196"/>
      <c r="F887" s="196"/>
      <c r="G887" s="196"/>
      <c r="H887" s="196"/>
    </row>
    <row r="888" spans="2:8" ht="15.75" customHeight="1" x14ac:dyDescent="0.2">
      <c r="B888" s="196"/>
      <c r="C888" s="196"/>
      <c r="D888" s="196"/>
      <c r="E888" s="196"/>
      <c r="F888" s="196"/>
      <c r="G888" s="196"/>
      <c r="H888" s="196"/>
    </row>
    <row r="889" spans="2:8" ht="15.75" customHeight="1" x14ac:dyDescent="0.2">
      <c r="B889" s="196"/>
      <c r="C889" s="196"/>
      <c r="D889" s="196"/>
      <c r="E889" s="196"/>
      <c r="F889" s="196"/>
      <c r="G889" s="196"/>
      <c r="H889" s="196"/>
    </row>
    <row r="890" spans="2:8" ht="15.75" customHeight="1" x14ac:dyDescent="0.2">
      <c r="B890" s="196"/>
      <c r="C890" s="196"/>
      <c r="D890" s="196"/>
      <c r="E890" s="196"/>
      <c r="F890" s="196"/>
      <c r="G890" s="196"/>
      <c r="H890" s="196"/>
    </row>
    <row r="891" spans="2:8" ht="15.75" customHeight="1" x14ac:dyDescent="0.2">
      <c r="B891" s="196"/>
      <c r="C891" s="196"/>
      <c r="D891" s="196"/>
      <c r="E891" s="196"/>
      <c r="F891" s="196"/>
      <c r="G891" s="196"/>
      <c r="H891" s="196"/>
    </row>
    <row r="892" spans="2:8" ht="15.75" customHeight="1" x14ac:dyDescent="0.2">
      <c r="B892" s="196"/>
      <c r="C892" s="196"/>
      <c r="D892" s="196"/>
      <c r="E892" s="196"/>
      <c r="F892" s="196"/>
      <c r="G892" s="196"/>
      <c r="H892" s="196"/>
    </row>
    <row r="893" spans="2:8" ht="15.75" customHeight="1" x14ac:dyDescent="0.2">
      <c r="B893" s="196"/>
      <c r="C893" s="196"/>
      <c r="D893" s="196"/>
      <c r="E893" s="196"/>
      <c r="F893" s="196"/>
      <c r="G893" s="196"/>
      <c r="H893" s="196"/>
    </row>
    <row r="894" spans="2:8" ht="15.75" customHeight="1" x14ac:dyDescent="0.2">
      <c r="B894" s="196"/>
      <c r="C894" s="196"/>
      <c r="D894" s="196"/>
      <c r="E894" s="196"/>
      <c r="F894" s="196"/>
      <c r="G894" s="196"/>
      <c r="H894" s="196"/>
    </row>
    <row r="895" spans="2:8" ht="15.75" customHeight="1" x14ac:dyDescent="0.2">
      <c r="B895" s="196"/>
      <c r="C895" s="196"/>
      <c r="D895" s="196"/>
      <c r="E895" s="196"/>
      <c r="F895" s="196"/>
      <c r="G895" s="196"/>
      <c r="H895" s="196"/>
    </row>
    <row r="896" spans="2:8" ht="15.75" customHeight="1" x14ac:dyDescent="0.2">
      <c r="B896" s="196"/>
      <c r="C896" s="196"/>
      <c r="D896" s="196"/>
      <c r="E896" s="196"/>
      <c r="F896" s="196"/>
      <c r="G896" s="196"/>
      <c r="H896" s="196"/>
    </row>
    <row r="897" spans="2:8" ht="15.75" customHeight="1" x14ac:dyDescent="0.2">
      <c r="B897" s="196"/>
      <c r="C897" s="196"/>
      <c r="D897" s="196"/>
      <c r="E897" s="196"/>
      <c r="F897" s="196"/>
      <c r="G897" s="196"/>
      <c r="H897" s="196"/>
    </row>
    <row r="898" spans="2:8" ht="15.75" customHeight="1" x14ac:dyDescent="0.2">
      <c r="B898" s="196"/>
      <c r="C898" s="196"/>
      <c r="D898" s="196"/>
      <c r="E898" s="196"/>
      <c r="F898" s="196"/>
      <c r="G898" s="196"/>
      <c r="H898" s="196"/>
    </row>
    <row r="899" spans="2:8" ht="15.75" customHeight="1" x14ac:dyDescent="0.2">
      <c r="B899" s="196"/>
      <c r="C899" s="196"/>
      <c r="D899" s="196"/>
      <c r="E899" s="196"/>
      <c r="F899" s="196"/>
      <c r="G899" s="196"/>
      <c r="H899" s="196"/>
    </row>
    <row r="900" spans="2:8" ht="15.75" customHeight="1" x14ac:dyDescent="0.2">
      <c r="B900" s="196"/>
      <c r="C900" s="196"/>
      <c r="D900" s="196"/>
      <c r="E900" s="196"/>
      <c r="F900" s="196"/>
      <c r="G900" s="196"/>
      <c r="H900" s="196"/>
    </row>
    <row r="901" spans="2:8" ht="15.75" customHeight="1" x14ac:dyDescent="0.2">
      <c r="B901" s="196"/>
      <c r="C901" s="196"/>
      <c r="D901" s="196"/>
      <c r="E901" s="196"/>
      <c r="F901" s="196"/>
      <c r="G901" s="196"/>
      <c r="H901" s="196"/>
    </row>
    <row r="902" spans="2:8" ht="15.75" customHeight="1" x14ac:dyDescent="0.2">
      <c r="B902" s="196"/>
      <c r="C902" s="196"/>
      <c r="D902" s="196"/>
      <c r="E902" s="196"/>
      <c r="F902" s="196"/>
      <c r="G902" s="196"/>
      <c r="H902" s="196"/>
    </row>
    <row r="903" spans="2:8" ht="15.75" customHeight="1" x14ac:dyDescent="0.2">
      <c r="B903" s="196"/>
      <c r="C903" s="196"/>
      <c r="D903" s="196"/>
      <c r="E903" s="196"/>
      <c r="F903" s="196"/>
      <c r="G903" s="196"/>
      <c r="H903" s="196"/>
    </row>
    <row r="904" spans="2:8" ht="15.75" customHeight="1" x14ac:dyDescent="0.2">
      <c r="B904" s="196"/>
      <c r="C904" s="196"/>
      <c r="D904" s="196"/>
      <c r="E904" s="196"/>
      <c r="F904" s="196"/>
      <c r="G904" s="196"/>
      <c r="H904" s="196"/>
    </row>
    <row r="905" spans="2:8" ht="15.75" customHeight="1" x14ac:dyDescent="0.2">
      <c r="B905" s="196"/>
      <c r="C905" s="196"/>
      <c r="D905" s="196"/>
      <c r="E905" s="196"/>
      <c r="F905" s="196"/>
      <c r="G905" s="196"/>
      <c r="H905" s="196"/>
    </row>
    <row r="906" spans="2:8" ht="15.75" customHeight="1" x14ac:dyDescent="0.2">
      <c r="B906" s="196"/>
      <c r="C906" s="196"/>
      <c r="D906" s="196"/>
      <c r="E906" s="196"/>
      <c r="F906" s="196"/>
      <c r="G906" s="196"/>
      <c r="H906" s="196"/>
    </row>
    <row r="907" spans="2:8" ht="15.75" customHeight="1" x14ac:dyDescent="0.2">
      <c r="B907" s="196"/>
      <c r="C907" s="196"/>
      <c r="D907" s="196"/>
      <c r="E907" s="196"/>
      <c r="F907" s="196"/>
      <c r="G907" s="196"/>
      <c r="H907" s="196"/>
    </row>
    <row r="908" spans="2:8" ht="15.75" customHeight="1" x14ac:dyDescent="0.2">
      <c r="B908" s="196"/>
      <c r="C908" s="196"/>
      <c r="D908" s="196"/>
      <c r="E908" s="196"/>
      <c r="F908" s="196"/>
      <c r="G908" s="196"/>
      <c r="H908" s="196"/>
    </row>
    <row r="909" spans="2:8" ht="15.75" customHeight="1" x14ac:dyDescent="0.2">
      <c r="B909" s="196"/>
      <c r="C909" s="196"/>
      <c r="D909" s="196"/>
      <c r="E909" s="196"/>
      <c r="F909" s="196"/>
      <c r="G909" s="196"/>
      <c r="H909" s="196"/>
    </row>
    <row r="910" spans="2:8" ht="15.75" customHeight="1" x14ac:dyDescent="0.2">
      <c r="B910" s="196"/>
      <c r="C910" s="196"/>
      <c r="D910" s="196"/>
      <c r="E910" s="196"/>
      <c r="F910" s="196"/>
      <c r="G910" s="196"/>
      <c r="H910" s="196"/>
    </row>
    <row r="911" spans="2:8" ht="15.75" customHeight="1" x14ac:dyDescent="0.2">
      <c r="B911" s="196"/>
      <c r="C911" s="196"/>
      <c r="D911" s="196"/>
      <c r="E911" s="196"/>
      <c r="F911" s="196"/>
      <c r="G911" s="196"/>
      <c r="H911" s="196"/>
    </row>
    <row r="912" spans="2:8" ht="15.75" customHeight="1" x14ac:dyDescent="0.2">
      <c r="B912" s="196"/>
      <c r="C912" s="196"/>
      <c r="D912" s="196"/>
      <c r="E912" s="196"/>
      <c r="F912" s="196"/>
      <c r="G912" s="196"/>
      <c r="H912" s="196"/>
    </row>
    <row r="913" spans="2:8" ht="15.75" customHeight="1" x14ac:dyDescent="0.2">
      <c r="B913" s="196"/>
      <c r="C913" s="196"/>
      <c r="D913" s="196"/>
      <c r="E913" s="196"/>
      <c r="F913" s="196"/>
      <c r="G913" s="196"/>
      <c r="H913" s="196"/>
    </row>
    <row r="914" spans="2:8" ht="15.75" customHeight="1" x14ac:dyDescent="0.2">
      <c r="B914" s="196"/>
      <c r="C914" s="196"/>
      <c r="D914" s="196"/>
      <c r="E914" s="196"/>
      <c r="F914" s="196"/>
      <c r="G914" s="196"/>
      <c r="H914" s="196"/>
    </row>
    <row r="915" spans="2:8" ht="15.75" customHeight="1" x14ac:dyDescent="0.2">
      <c r="B915" s="196"/>
      <c r="C915" s="196"/>
      <c r="D915" s="196"/>
      <c r="E915" s="196"/>
      <c r="F915" s="196"/>
      <c r="G915" s="196"/>
      <c r="H915" s="196"/>
    </row>
    <row r="916" spans="2:8" ht="15.75" customHeight="1" x14ac:dyDescent="0.2">
      <c r="B916" s="196"/>
      <c r="C916" s="196"/>
      <c r="D916" s="196"/>
      <c r="E916" s="196"/>
      <c r="F916" s="196"/>
      <c r="G916" s="196"/>
      <c r="H916" s="196"/>
    </row>
    <row r="917" spans="2:8" ht="15.75" customHeight="1" x14ac:dyDescent="0.2">
      <c r="B917" s="196"/>
      <c r="C917" s="196"/>
      <c r="D917" s="196"/>
      <c r="E917" s="196"/>
      <c r="F917" s="196"/>
      <c r="G917" s="196"/>
      <c r="H917" s="196"/>
    </row>
    <row r="918" spans="2:8" ht="15.75" customHeight="1" x14ac:dyDescent="0.2">
      <c r="B918" s="196"/>
      <c r="C918" s="196"/>
      <c r="D918" s="196"/>
      <c r="E918" s="196"/>
      <c r="F918" s="196"/>
      <c r="G918" s="196"/>
      <c r="H918" s="196"/>
    </row>
    <row r="919" spans="2:8" ht="15.75" customHeight="1" x14ac:dyDescent="0.2">
      <c r="B919" s="196"/>
      <c r="C919" s="196"/>
      <c r="D919" s="196"/>
      <c r="E919" s="196"/>
      <c r="F919" s="196"/>
      <c r="G919" s="196"/>
      <c r="H919" s="196"/>
    </row>
    <row r="920" spans="2:8" ht="15.75" customHeight="1" x14ac:dyDescent="0.2">
      <c r="B920" s="196"/>
      <c r="C920" s="196"/>
      <c r="D920" s="196"/>
      <c r="E920" s="196"/>
      <c r="F920" s="196"/>
      <c r="G920" s="196"/>
      <c r="H920" s="196"/>
    </row>
    <row r="921" spans="2:8" ht="15.75" customHeight="1" x14ac:dyDescent="0.2">
      <c r="B921" s="196"/>
      <c r="C921" s="196"/>
      <c r="D921" s="196"/>
      <c r="E921" s="196"/>
      <c r="F921" s="196"/>
      <c r="G921" s="196"/>
      <c r="H921" s="196"/>
    </row>
    <row r="922" spans="2:8" ht="15.75" customHeight="1" x14ac:dyDescent="0.2">
      <c r="B922" s="196"/>
      <c r="C922" s="196"/>
      <c r="D922" s="196"/>
      <c r="E922" s="196"/>
      <c r="F922" s="196"/>
      <c r="G922" s="196"/>
      <c r="H922" s="196"/>
    </row>
    <row r="923" spans="2:8" ht="15.75" customHeight="1" x14ac:dyDescent="0.2">
      <c r="B923" s="196"/>
      <c r="C923" s="196"/>
      <c r="D923" s="196"/>
      <c r="E923" s="196"/>
      <c r="F923" s="196"/>
      <c r="G923" s="196"/>
      <c r="H923" s="196"/>
    </row>
    <row r="924" spans="2:8" ht="15.75" customHeight="1" x14ac:dyDescent="0.2">
      <c r="B924" s="196"/>
      <c r="C924" s="196"/>
      <c r="D924" s="196"/>
      <c r="E924" s="196"/>
      <c r="F924" s="196"/>
      <c r="G924" s="196"/>
      <c r="H924" s="196"/>
    </row>
    <row r="925" spans="2:8" ht="15.75" customHeight="1" x14ac:dyDescent="0.2">
      <c r="B925" s="196"/>
      <c r="C925" s="196"/>
      <c r="D925" s="196"/>
      <c r="E925" s="196"/>
      <c r="F925" s="196"/>
      <c r="G925" s="196"/>
      <c r="H925" s="196"/>
    </row>
    <row r="926" spans="2:8" ht="15.75" customHeight="1" x14ac:dyDescent="0.2">
      <c r="B926" s="196"/>
      <c r="C926" s="196"/>
      <c r="D926" s="196"/>
      <c r="E926" s="196"/>
      <c r="F926" s="196"/>
      <c r="G926" s="196"/>
      <c r="H926" s="196"/>
    </row>
    <row r="927" spans="2:8" ht="15.75" customHeight="1" x14ac:dyDescent="0.2">
      <c r="B927" s="196"/>
      <c r="C927" s="196"/>
      <c r="D927" s="196"/>
      <c r="E927" s="196"/>
      <c r="F927" s="196"/>
      <c r="G927" s="196"/>
      <c r="H927" s="196"/>
    </row>
    <row r="928" spans="2:8" ht="15.75" customHeight="1" x14ac:dyDescent="0.2">
      <c r="B928" s="196"/>
      <c r="C928" s="196"/>
      <c r="D928" s="196"/>
      <c r="E928" s="196"/>
      <c r="F928" s="196"/>
      <c r="G928" s="196"/>
      <c r="H928" s="196"/>
    </row>
    <row r="929" spans="2:8" ht="15.75" customHeight="1" x14ac:dyDescent="0.2">
      <c r="B929" s="196"/>
      <c r="C929" s="196"/>
      <c r="D929" s="196"/>
      <c r="E929" s="196"/>
      <c r="F929" s="196"/>
      <c r="G929" s="196"/>
      <c r="H929" s="196"/>
    </row>
    <row r="930" spans="2:8" ht="15.75" customHeight="1" x14ac:dyDescent="0.2">
      <c r="B930" s="196"/>
      <c r="C930" s="196"/>
      <c r="D930" s="196"/>
      <c r="E930" s="196"/>
      <c r="F930" s="196"/>
      <c r="G930" s="196"/>
      <c r="H930" s="196"/>
    </row>
    <row r="931" spans="2:8" ht="15.75" customHeight="1" x14ac:dyDescent="0.2">
      <c r="B931" s="196"/>
      <c r="C931" s="196"/>
      <c r="D931" s="196"/>
      <c r="E931" s="196"/>
      <c r="F931" s="196"/>
      <c r="G931" s="196"/>
      <c r="H931" s="196"/>
    </row>
    <row r="932" spans="2:8" ht="15.75" customHeight="1" x14ac:dyDescent="0.2">
      <c r="B932" s="196"/>
      <c r="C932" s="196"/>
      <c r="D932" s="196"/>
      <c r="E932" s="196"/>
      <c r="F932" s="196"/>
      <c r="G932" s="196"/>
      <c r="H932" s="196"/>
    </row>
    <row r="933" spans="2:8" ht="15.75" customHeight="1" x14ac:dyDescent="0.2">
      <c r="B933" s="196"/>
      <c r="C933" s="196"/>
      <c r="D933" s="196"/>
      <c r="E933" s="196"/>
      <c r="F933" s="196"/>
      <c r="G933" s="196"/>
      <c r="H933" s="196"/>
    </row>
    <row r="934" spans="2:8" ht="15.75" customHeight="1" x14ac:dyDescent="0.2">
      <c r="B934" s="196"/>
      <c r="C934" s="196"/>
      <c r="D934" s="196"/>
      <c r="E934" s="196"/>
      <c r="F934" s="196"/>
      <c r="G934" s="196"/>
      <c r="H934" s="196"/>
    </row>
    <row r="935" spans="2:8" ht="15.75" customHeight="1" x14ac:dyDescent="0.2">
      <c r="B935" s="196"/>
      <c r="C935" s="196"/>
      <c r="D935" s="196"/>
      <c r="E935" s="196"/>
      <c r="F935" s="196"/>
      <c r="G935" s="196"/>
      <c r="H935" s="196"/>
    </row>
    <row r="936" spans="2:8" ht="15.75" customHeight="1" x14ac:dyDescent="0.2">
      <c r="B936" s="196"/>
      <c r="C936" s="196"/>
      <c r="D936" s="196"/>
      <c r="E936" s="196"/>
      <c r="F936" s="196"/>
      <c r="G936" s="196"/>
      <c r="H936" s="196"/>
    </row>
    <row r="937" spans="2:8" ht="15.75" customHeight="1" x14ac:dyDescent="0.2">
      <c r="B937" s="196"/>
      <c r="C937" s="196"/>
      <c r="D937" s="196"/>
      <c r="E937" s="196"/>
      <c r="F937" s="196"/>
      <c r="G937" s="196"/>
      <c r="H937" s="196"/>
    </row>
    <row r="938" spans="2:8" ht="15.75" customHeight="1" x14ac:dyDescent="0.2">
      <c r="B938" s="196"/>
      <c r="C938" s="196"/>
      <c r="D938" s="196"/>
      <c r="E938" s="196"/>
      <c r="F938" s="196"/>
      <c r="G938" s="196"/>
      <c r="H938" s="196"/>
    </row>
    <row r="939" spans="2:8" ht="15.75" customHeight="1" x14ac:dyDescent="0.2">
      <c r="B939" s="196"/>
      <c r="C939" s="196"/>
      <c r="D939" s="196"/>
      <c r="E939" s="196"/>
      <c r="F939" s="196"/>
      <c r="G939" s="196"/>
      <c r="H939" s="196"/>
    </row>
    <row r="940" spans="2:8" ht="15.75" customHeight="1" x14ac:dyDescent="0.2">
      <c r="B940" s="196"/>
      <c r="C940" s="196"/>
      <c r="D940" s="196"/>
      <c r="E940" s="196"/>
      <c r="F940" s="196"/>
      <c r="G940" s="196"/>
      <c r="H940" s="196"/>
    </row>
    <row r="941" spans="2:8" ht="15.75" customHeight="1" x14ac:dyDescent="0.2">
      <c r="B941" s="196"/>
      <c r="C941" s="196"/>
      <c r="D941" s="196"/>
      <c r="E941" s="196"/>
      <c r="F941" s="196"/>
      <c r="G941" s="196"/>
      <c r="H941" s="196"/>
    </row>
    <row r="942" spans="2:8" ht="15.75" customHeight="1" x14ac:dyDescent="0.2">
      <c r="B942" s="196"/>
      <c r="C942" s="196"/>
      <c r="D942" s="196"/>
      <c r="E942" s="196"/>
      <c r="F942" s="196"/>
      <c r="G942" s="196"/>
      <c r="H942" s="196"/>
    </row>
    <row r="943" spans="2:8" ht="15.75" customHeight="1" x14ac:dyDescent="0.2">
      <c r="B943" s="196"/>
      <c r="C943" s="196"/>
      <c r="D943" s="196"/>
      <c r="E943" s="196"/>
      <c r="F943" s="196"/>
      <c r="G943" s="196"/>
      <c r="H943" s="196"/>
    </row>
    <row r="944" spans="2:8" ht="15.75" customHeight="1" x14ac:dyDescent="0.2">
      <c r="B944" s="196"/>
      <c r="C944" s="196"/>
      <c r="D944" s="196"/>
      <c r="E944" s="196"/>
      <c r="F944" s="196"/>
      <c r="G944" s="196"/>
      <c r="H944" s="196"/>
    </row>
    <row r="945" spans="2:8" ht="15.75" customHeight="1" x14ac:dyDescent="0.2">
      <c r="B945" s="196"/>
      <c r="C945" s="196"/>
      <c r="D945" s="196"/>
      <c r="E945" s="196"/>
      <c r="F945" s="196"/>
      <c r="G945" s="196"/>
      <c r="H945" s="196"/>
    </row>
    <row r="946" spans="2:8" ht="15.75" customHeight="1" x14ac:dyDescent="0.2">
      <c r="B946" s="196"/>
      <c r="C946" s="196"/>
      <c r="D946" s="196"/>
      <c r="E946" s="196"/>
      <c r="F946" s="196"/>
      <c r="G946" s="196"/>
      <c r="H946" s="196"/>
    </row>
    <row r="947" spans="2:8" ht="15.75" customHeight="1" x14ac:dyDescent="0.2">
      <c r="B947" s="196"/>
      <c r="C947" s="196"/>
      <c r="D947" s="196"/>
      <c r="E947" s="196"/>
      <c r="F947" s="196"/>
      <c r="G947" s="196"/>
      <c r="H947" s="196"/>
    </row>
    <row r="948" spans="2:8" ht="15.75" customHeight="1" x14ac:dyDescent="0.2">
      <c r="B948" s="196"/>
      <c r="C948" s="196"/>
      <c r="D948" s="196"/>
      <c r="E948" s="196"/>
      <c r="F948" s="196"/>
      <c r="G948" s="196"/>
      <c r="H948" s="196"/>
    </row>
    <row r="949" spans="2:8" ht="15.75" customHeight="1" x14ac:dyDescent="0.2">
      <c r="B949" s="196"/>
      <c r="C949" s="196"/>
      <c r="D949" s="196"/>
      <c r="E949" s="196"/>
      <c r="F949" s="196"/>
      <c r="G949" s="196"/>
      <c r="H949" s="196"/>
    </row>
    <row r="950" spans="2:8" ht="15.75" customHeight="1" x14ac:dyDescent="0.2">
      <c r="B950" s="196"/>
      <c r="C950" s="196"/>
      <c r="D950" s="196"/>
      <c r="E950" s="196"/>
      <c r="F950" s="196"/>
      <c r="G950" s="196"/>
      <c r="H950" s="196"/>
    </row>
    <row r="951" spans="2:8" ht="15.75" customHeight="1" x14ac:dyDescent="0.2">
      <c r="B951" s="196"/>
      <c r="C951" s="196"/>
      <c r="D951" s="196"/>
      <c r="E951" s="196"/>
      <c r="F951" s="196"/>
      <c r="G951" s="196"/>
      <c r="H951" s="196"/>
    </row>
    <row r="952" spans="2:8" ht="15.75" customHeight="1" x14ac:dyDescent="0.2">
      <c r="B952" s="196"/>
      <c r="C952" s="196"/>
      <c r="D952" s="196"/>
      <c r="E952" s="196"/>
      <c r="F952" s="196"/>
      <c r="G952" s="196"/>
      <c r="H952" s="196"/>
    </row>
    <row r="953" spans="2:8" ht="15.75" customHeight="1" x14ac:dyDescent="0.2">
      <c r="B953" s="196"/>
      <c r="C953" s="196"/>
      <c r="D953" s="196"/>
      <c r="E953" s="196"/>
      <c r="F953" s="196"/>
      <c r="G953" s="196"/>
      <c r="H953" s="196"/>
    </row>
    <row r="954" spans="2:8" ht="15.75" customHeight="1" x14ac:dyDescent="0.2">
      <c r="B954" s="196"/>
      <c r="C954" s="196"/>
      <c r="D954" s="196"/>
      <c r="E954" s="196"/>
      <c r="F954" s="196"/>
      <c r="G954" s="196"/>
      <c r="H954" s="196"/>
    </row>
    <row r="955" spans="2:8" ht="15.75" customHeight="1" x14ac:dyDescent="0.2">
      <c r="B955" s="196"/>
      <c r="C955" s="196"/>
      <c r="D955" s="196"/>
      <c r="E955" s="196"/>
      <c r="F955" s="196"/>
      <c r="G955" s="196"/>
      <c r="H955" s="196"/>
    </row>
    <row r="956" spans="2:8" ht="15.75" customHeight="1" x14ac:dyDescent="0.2">
      <c r="B956" s="196"/>
      <c r="C956" s="196"/>
      <c r="D956" s="196"/>
      <c r="E956" s="196"/>
      <c r="F956" s="196"/>
      <c r="G956" s="196"/>
      <c r="H956" s="196"/>
    </row>
    <row r="957" spans="2:8" ht="15.75" customHeight="1" x14ac:dyDescent="0.2">
      <c r="B957" s="196"/>
      <c r="C957" s="196"/>
      <c r="D957" s="196"/>
      <c r="E957" s="196"/>
      <c r="F957" s="196"/>
      <c r="G957" s="196"/>
      <c r="H957" s="196"/>
    </row>
    <row r="958" spans="2:8" ht="15.75" customHeight="1" x14ac:dyDescent="0.2">
      <c r="B958" s="196"/>
      <c r="C958" s="196"/>
      <c r="D958" s="196"/>
      <c r="E958" s="196"/>
      <c r="F958" s="196"/>
      <c r="G958" s="196"/>
      <c r="H958" s="196"/>
    </row>
    <row r="959" spans="2:8" ht="15.75" customHeight="1" x14ac:dyDescent="0.2">
      <c r="B959" s="196"/>
      <c r="C959" s="196"/>
      <c r="D959" s="196"/>
      <c r="E959" s="196"/>
      <c r="F959" s="196"/>
      <c r="G959" s="196"/>
      <c r="H959" s="196"/>
    </row>
    <row r="960" spans="2:8" ht="15.75" customHeight="1" x14ac:dyDescent="0.2">
      <c r="B960" s="196"/>
      <c r="C960" s="196"/>
      <c r="D960" s="196"/>
      <c r="E960" s="196"/>
      <c r="F960" s="196"/>
      <c r="G960" s="196"/>
      <c r="H960" s="196"/>
    </row>
    <row r="961" spans="2:8" ht="15.75" customHeight="1" x14ac:dyDescent="0.2">
      <c r="B961" s="196"/>
      <c r="C961" s="196"/>
      <c r="D961" s="196"/>
      <c r="E961" s="196"/>
      <c r="F961" s="196"/>
      <c r="G961" s="196"/>
      <c r="H961" s="196"/>
    </row>
    <row r="962" spans="2:8" ht="15.75" customHeight="1" x14ac:dyDescent="0.2">
      <c r="B962" s="196"/>
      <c r="C962" s="196"/>
      <c r="D962" s="196"/>
      <c r="E962" s="196"/>
      <c r="F962" s="196"/>
      <c r="G962" s="196"/>
      <c r="H962" s="196"/>
    </row>
    <row r="963" spans="2:8" ht="15.75" customHeight="1" x14ac:dyDescent="0.2">
      <c r="B963" s="196"/>
      <c r="C963" s="196"/>
      <c r="D963" s="196"/>
      <c r="E963" s="196"/>
      <c r="F963" s="196"/>
      <c r="G963" s="196"/>
      <c r="H963" s="196"/>
    </row>
    <row r="964" spans="2:8" ht="15.75" customHeight="1" x14ac:dyDescent="0.2">
      <c r="B964" s="196"/>
      <c r="C964" s="196"/>
      <c r="D964" s="196"/>
      <c r="E964" s="196"/>
      <c r="F964" s="196"/>
      <c r="G964" s="196"/>
      <c r="H964" s="196"/>
    </row>
    <row r="965" spans="2:8" ht="15.75" customHeight="1" x14ac:dyDescent="0.2">
      <c r="B965" s="196"/>
      <c r="C965" s="196"/>
      <c r="D965" s="196"/>
      <c r="E965" s="196"/>
      <c r="F965" s="196"/>
      <c r="G965" s="196"/>
      <c r="H965" s="196"/>
    </row>
    <row r="966" spans="2:8" ht="15.75" customHeight="1" x14ac:dyDescent="0.2">
      <c r="B966" s="196"/>
      <c r="C966" s="196"/>
      <c r="D966" s="196"/>
      <c r="E966" s="196"/>
      <c r="F966" s="196"/>
      <c r="G966" s="196"/>
      <c r="H966" s="196"/>
    </row>
    <row r="967" spans="2:8" ht="15.75" customHeight="1" x14ac:dyDescent="0.2">
      <c r="B967" s="196"/>
      <c r="C967" s="196"/>
      <c r="D967" s="196"/>
      <c r="E967" s="196"/>
      <c r="F967" s="196"/>
      <c r="G967" s="196"/>
      <c r="H967" s="196"/>
    </row>
    <row r="968" spans="2:8" ht="15.75" customHeight="1" x14ac:dyDescent="0.2">
      <c r="B968" s="196"/>
      <c r="C968" s="196"/>
      <c r="D968" s="196"/>
      <c r="E968" s="196"/>
      <c r="F968" s="196"/>
      <c r="G968" s="196"/>
      <c r="H968" s="196"/>
    </row>
    <row r="969" spans="2:8" ht="15.75" customHeight="1" x14ac:dyDescent="0.2">
      <c r="B969" s="196"/>
      <c r="C969" s="196"/>
      <c r="D969" s="196"/>
      <c r="E969" s="196"/>
      <c r="F969" s="196"/>
      <c r="G969" s="196"/>
      <c r="H969" s="196"/>
    </row>
    <row r="970" spans="2:8" ht="15.75" customHeight="1" x14ac:dyDescent="0.2">
      <c r="B970" s="196"/>
      <c r="C970" s="196"/>
      <c r="D970" s="196"/>
      <c r="E970" s="196"/>
      <c r="F970" s="196"/>
      <c r="G970" s="196"/>
      <c r="H970" s="196"/>
    </row>
    <row r="971" spans="2:8" ht="15.75" customHeight="1" x14ac:dyDescent="0.2">
      <c r="B971" s="196"/>
      <c r="C971" s="196"/>
      <c r="D971" s="196"/>
      <c r="E971" s="196"/>
      <c r="F971" s="196"/>
      <c r="G971" s="196"/>
      <c r="H971" s="196"/>
    </row>
    <row r="972" spans="2:8" ht="15.75" customHeight="1" x14ac:dyDescent="0.2">
      <c r="B972" s="196"/>
      <c r="C972" s="196"/>
      <c r="D972" s="196"/>
      <c r="E972" s="196"/>
      <c r="F972" s="196"/>
      <c r="G972" s="196"/>
      <c r="H972" s="196"/>
    </row>
    <row r="973" spans="2:8" ht="15.75" customHeight="1" x14ac:dyDescent="0.2">
      <c r="B973" s="196"/>
      <c r="C973" s="196"/>
      <c r="D973" s="196"/>
      <c r="E973" s="196"/>
      <c r="F973" s="196"/>
      <c r="G973" s="196"/>
      <c r="H973" s="196"/>
    </row>
    <row r="974" spans="2:8" ht="15.75" customHeight="1" x14ac:dyDescent="0.2">
      <c r="B974" s="196"/>
      <c r="C974" s="196"/>
      <c r="D974" s="196"/>
      <c r="E974" s="196"/>
      <c r="F974" s="196"/>
      <c r="G974" s="196"/>
      <c r="H974" s="196"/>
    </row>
    <row r="975" spans="2:8" ht="15.75" customHeight="1" x14ac:dyDescent="0.2">
      <c r="B975" s="196"/>
      <c r="C975" s="196"/>
      <c r="D975" s="196"/>
      <c r="E975" s="196"/>
      <c r="F975" s="196"/>
      <c r="G975" s="196"/>
      <c r="H975" s="196"/>
    </row>
    <row r="976" spans="2:8" ht="15.75" customHeight="1" x14ac:dyDescent="0.2">
      <c r="B976" s="196"/>
      <c r="C976" s="196"/>
      <c r="D976" s="196"/>
      <c r="E976" s="196"/>
      <c r="F976" s="196"/>
      <c r="G976" s="196"/>
      <c r="H976" s="196"/>
    </row>
    <row r="977" spans="2:8" ht="15.75" customHeight="1" x14ac:dyDescent="0.2">
      <c r="B977" s="196"/>
      <c r="C977" s="196"/>
      <c r="D977" s="196"/>
      <c r="E977" s="196"/>
      <c r="F977" s="196"/>
      <c r="G977" s="196"/>
      <c r="H977" s="196"/>
    </row>
    <row r="978" spans="2:8" ht="15.75" customHeight="1" x14ac:dyDescent="0.2">
      <c r="B978" s="196"/>
      <c r="C978" s="196"/>
      <c r="D978" s="196"/>
      <c r="E978" s="196"/>
      <c r="F978" s="196"/>
      <c r="G978" s="196"/>
      <c r="H978" s="196"/>
    </row>
    <row r="979" spans="2:8" ht="15.75" customHeight="1" x14ac:dyDescent="0.2">
      <c r="B979" s="196"/>
      <c r="C979" s="196"/>
      <c r="D979" s="196"/>
      <c r="E979" s="196"/>
      <c r="F979" s="196"/>
      <c r="G979" s="196"/>
      <c r="H979" s="196"/>
    </row>
    <row r="980" spans="2:8" ht="15.75" customHeight="1" x14ac:dyDescent="0.2">
      <c r="B980" s="196"/>
      <c r="C980" s="196"/>
      <c r="D980" s="196"/>
      <c r="E980" s="196"/>
      <c r="F980" s="196"/>
      <c r="G980" s="196"/>
      <c r="H980" s="196"/>
    </row>
    <row r="981" spans="2:8" ht="15.75" customHeight="1" x14ac:dyDescent="0.2">
      <c r="B981" s="196"/>
      <c r="C981" s="196"/>
      <c r="D981" s="196"/>
      <c r="E981" s="196"/>
      <c r="F981" s="196"/>
      <c r="G981" s="196"/>
      <c r="H981" s="196"/>
    </row>
    <row r="982" spans="2:8" ht="15.75" customHeight="1" x14ac:dyDescent="0.2">
      <c r="B982" s="196"/>
      <c r="C982" s="196"/>
      <c r="D982" s="196"/>
      <c r="E982" s="196"/>
      <c r="F982" s="196"/>
      <c r="G982" s="196"/>
      <c r="H982" s="196"/>
    </row>
    <row r="983" spans="2:8" ht="15.75" customHeight="1" x14ac:dyDescent="0.2">
      <c r="B983" s="196"/>
      <c r="C983" s="196"/>
      <c r="D983" s="196"/>
      <c r="E983" s="196"/>
      <c r="F983" s="196"/>
      <c r="G983" s="196"/>
      <c r="H983" s="196"/>
    </row>
    <row r="984" spans="2:8" ht="15.75" customHeight="1" x14ac:dyDescent="0.2">
      <c r="B984" s="196"/>
      <c r="C984" s="196"/>
      <c r="D984" s="196"/>
      <c r="E984" s="196"/>
      <c r="F984" s="196"/>
      <c r="G984" s="196"/>
      <c r="H984" s="196"/>
    </row>
    <row r="985" spans="2:8" ht="15.75" customHeight="1" x14ac:dyDescent="0.2">
      <c r="B985" s="196"/>
      <c r="C985" s="196"/>
      <c r="D985" s="196"/>
      <c r="E985" s="196"/>
      <c r="F985" s="196"/>
      <c r="G985" s="196"/>
      <c r="H985" s="196"/>
    </row>
    <row r="986" spans="2:8" ht="15.75" customHeight="1" x14ac:dyDescent="0.2">
      <c r="B986" s="196"/>
      <c r="C986" s="196"/>
      <c r="D986" s="196"/>
      <c r="E986" s="196"/>
      <c r="F986" s="196"/>
      <c r="G986" s="196"/>
      <c r="H986" s="196"/>
    </row>
    <row r="987" spans="2:8" ht="15.75" customHeight="1" x14ac:dyDescent="0.2">
      <c r="B987" s="196"/>
      <c r="C987" s="196"/>
      <c r="D987" s="196"/>
      <c r="E987" s="196"/>
      <c r="F987" s="196"/>
      <c r="G987" s="196"/>
      <c r="H987" s="196"/>
    </row>
    <row r="988" spans="2:8" ht="15.75" customHeight="1" x14ac:dyDescent="0.2">
      <c r="B988" s="196"/>
      <c r="C988" s="196"/>
      <c r="D988" s="196"/>
      <c r="E988" s="196"/>
      <c r="F988" s="196"/>
      <c r="G988" s="196"/>
      <c r="H988" s="196"/>
    </row>
    <row r="989" spans="2:8" ht="15.75" customHeight="1" x14ac:dyDescent="0.2">
      <c r="B989" s="196"/>
      <c r="C989" s="196"/>
      <c r="D989" s="196"/>
      <c r="E989" s="196"/>
      <c r="F989" s="196"/>
      <c r="G989" s="196"/>
      <c r="H989" s="196"/>
    </row>
    <row r="990" spans="2:8" ht="15.75" customHeight="1" x14ac:dyDescent="0.2">
      <c r="B990" s="196"/>
      <c r="C990" s="196"/>
      <c r="D990" s="196"/>
      <c r="E990" s="196"/>
      <c r="F990" s="196"/>
      <c r="G990" s="196"/>
      <c r="H990" s="196"/>
    </row>
    <row r="991" spans="2:8" ht="15.75" customHeight="1" x14ac:dyDescent="0.2">
      <c r="B991" s="196"/>
      <c r="C991" s="196"/>
      <c r="D991" s="196"/>
      <c r="E991" s="196"/>
      <c r="F991" s="196"/>
      <c r="G991" s="196"/>
      <c r="H991" s="196"/>
    </row>
    <row r="992" spans="2:8" ht="15.75" customHeight="1" x14ac:dyDescent="0.2">
      <c r="B992" s="196"/>
      <c r="C992" s="196"/>
      <c r="D992" s="196"/>
      <c r="E992" s="196"/>
      <c r="F992" s="196"/>
      <c r="G992" s="196"/>
      <c r="H992" s="196"/>
    </row>
    <row r="993" spans="2:8" ht="15.75" customHeight="1" x14ac:dyDescent="0.2">
      <c r="B993" s="196"/>
      <c r="C993" s="196"/>
      <c r="D993" s="196"/>
      <c r="E993" s="196"/>
      <c r="F993" s="196"/>
      <c r="G993" s="196"/>
      <c r="H993" s="196"/>
    </row>
    <row r="994" spans="2:8" ht="15.75" customHeight="1" x14ac:dyDescent="0.2">
      <c r="B994" s="196"/>
      <c r="C994" s="196"/>
      <c r="D994" s="196"/>
      <c r="E994" s="196"/>
      <c r="F994" s="196"/>
      <c r="G994" s="196"/>
      <c r="H994" s="196"/>
    </row>
    <row r="995" spans="2:8" ht="15.75" customHeight="1" x14ac:dyDescent="0.2">
      <c r="B995" s="196"/>
      <c r="C995" s="196"/>
      <c r="D995" s="196"/>
      <c r="E995" s="196"/>
      <c r="F995" s="196"/>
      <c r="G995" s="196"/>
      <c r="H995" s="196"/>
    </row>
    <row r="996" spans="2:8" ht="15.75" customHeight="1" x14ac:dyDescent="0.2">
      <c r="B996" s="196"/>
      <c r="C996" s="196"/>
      <c r="D996" s="196"/>
      <c r="E996" s="196"/>
      <c r="F996" s="196"/>
      <c r="G996" s="196"/>
      <c r="H996" s="196"/>
    </row>
    <row r="997" spans="2:8" ht="15.75" customHeight="1" x14ac:dyDescent="0.2">
      <c r="B997" s="196"/>
      <c r="C997" s="196"/>
      <c r="D997" s="196"/>
      <c r="E997" s="196"/>
      <c r="F997" s="196"/>
      <c r="G997" s="196"/>
      <c r="H997" s="196"/>
    </row>
    <row r="998" spans="2:8" ht="15.75" customHeight="1" x14ac:dyDescent="0.2">
      <c r="B998" s="196"/>
      <c r="C998" s="196"/>
      <c r="D998" s="196"/>
      <c r="E998" s="196"/>
      <c r="F998" s="196"/>
      <c r="G998" s="196"/>
      <c r="H998" s="196"/>
    </row>
    <row r="999" spans="2:8" ht="15.75" customHeight="1" x14ac:dyDescent="0.2">
      <c r="B999" s="196"/>
      <c r="C999" s="196"/>
      <c r="D999" s="196"/>
      <c r="E999" s="196"/>
      <c r="F999" s="196"/>
      <c r="G999" s="196"/>
      <c r="H999" s="196"/>
    </row>
    <row r="1000" spans="2:8" ht="15.75" customHeight="1" x14ac:dyDescent="0.2">
      <c r="B1000" s="196"/>
      <c r="C1000" s="196"/>
      <c r="D1000" s="196"/>
      <c r="E1000" s="196"/>
      <c r="F1000" s="196"/>
      <c r="G1000" s="196"/>
      <c r="H1000" s="196"/>
    </row>
    <row r="1001" spans="2:8" ht="15.75" customHeight="1" x14ac:dyDescent="0.2">
      <c r="B1001" s="196"/>
      <c r="C1001" s="196"/>
      <c r="D1001" s="196"/>
      <c r="E1001" s="196"/>
      <c r="F1001" s="196"/>
      <c r="G1001" s="196"/>
      <c r="H1001" s="196"/>
    </row>
  </sheetData>
  <sheetProtection sheet="1" objects="1" scenarios="1"/>
  <mergeCells count="66">
    <mergeCell ref="B44:H44"/>
    <mergeCell ref="B45:H45"/>
    <mergeCell ref="E32:F32"/>
    <mergeCell ref="E33:F33"/>
    <mergeCell ref="E34:F34"/>
    <mergeCell ref="E35:F35"/>
    <mergeCell ref="E36:F36"/>
    <mergeCell ref="E37:F37"/>
    <mergeCell ref="E38:F38"/>
    <mergeCell ref="E31:F31"/>
    <mergeCell ref="E39:F39"/>
    <mergeCell ref="B41:H41"/>
    <mergeCell ref="B42:H42"/>
    <mergeCell ref="B43:H43"/>
    <mergeCell ref="C39:D39"/>
    <mergeCell ref="C31:D31"/>
    <mergeCell ref="C32:D32"/>
    <mergeCell ref="C33:D33"/>
    <mergeCell ref="C34:D34"/>
    <mergeCell ref="C35:D35"/>
    <mergeCell ref="C36:D36"/>
    <mergeCell ref="C37:D37"/>
    <mergeCell ref="C38:D38"/>
    <mergeCell ref="C28:D28"/>
    <mergeCell ref="C29:D29"/>
    <mergeCell ref="C30:D30"/>
    <mergeCell ref="E25:F25"/>
    <mergeCell ref="E26:F26"/>
    <mergeCell ref="E27:F27"/>
    <mergeCell ref="E28:F28"/>
    <mergeCell ref="E29:F29"/>
    <mergeCell ref="E30:F30"/>
    <mergeCell ref="E24:F24"/>
    <mergeCell ref="C24:D24"/>
    <mergeCell ref="C25:D25"/>
    <mergeCell ref="C26:D26"/>
    <mergeCell ref="C27:D27"/>
    <mergeCell ref="E18:F18"/>
    <mergeCell ref="E19:F19"/>
    <mergeCell ref="E20:F20"/>
    <mergeCell ref="E21:F21"/>
    <mergeCell ref="E23:F23"/>
    <mergeCell ref="E22:F22"/>
    <mergeCell ref="C18:D18"/>
    <mergeCell ref="C19:D19"/>
    <mergeCell ref="C20:D20"/>
    <mergeCell ref="C21:D21"/>
    <mergeCell ref="C23:D23"/>
    <mergeCell ref="C22:D22"/>
    <mergeCell ref="C16:D16"/>
    <mergeCell ref="E16:F16"/>
    <mergeCell ref="E13:F13"/>
    <mergeCell ref="C13:D13"/>
    <mergeCell ref="C17:D17"/>
    <mergeCell ref="E17:F17"/>
    <mergeCell ref="C12:D12"/>
    <mergeCell ref="E12:F12"/>
    <mergeCell ref="C14:D14"/>
    <mergeCell ref="E14:F14"/>
    <mergeCell ref="C15:D15"/>
    <mergeCell ref="E15:F15"/>
    <mergeCell ref="B2:H2"/>
    <mergeCell ref="B4:H5"/>
    <mergeCell ref="B6:H6"/>
    <mergeCell ref="B7:H7"/>
    <mergeCell ref="B9:H10"/>
  </mergeCells>
  <pageMargins left="0.70866141732283472" right="0.70866141732283472" top="0.74803149606299213" bottom="0.74803149606299213" header="0" footer="0"/>
  <pageSetup scale="37" orientation="portrait" r:id="rId1"/>
  <headerFooter>
    <oddHeader>&amp;L&amp;G&amp;C
MATRIZ DE RIESGOS</oddHeader>
    <oddFooter>&amp;RCódigo:E-02-F-014
Versión: 5
Fecha: Ver Isolución</oddFooter>
  </headerFooter>
  <rowBreaks count="1" manualBreakCount="1">
    <brk id="46" max="16383" man="1"/>
  </rowBreaks>
  <colBreaks count="1" manualBreakCount="1">
    <brk id="8" max="1048575" man="1"/>
  </colBreaks>
  <legacyDrawingHF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pageSetUpPr fitToPage="1"/>
  </sheetPr>
  <dimension ref="A1:CV260"/>
  <sheetViews>
    <sheetView zoomScale="85" zoomScaleNormal="85" zoomScaleSheetLayoutView="25" workbookViewId="0">
      <pane ySplit="3" topLeftCell="A258" activePane="bottomLeft" state="frozen"/>
      <selection pane="bottomLeft" activeCell="E267" sqref="E267"/>
    </sheetView>
  </sheetViews>
  <sheetFormatPr baseColWidth="10" defaultColWidth="9" defaultRowHeight="15" customHeight="1" x14ac:dyDescent="0.2"/>
  <cols>
    <col min="1" max="1" width="7" style="192" bestFit="1" customWidth="1"/>
    <col min="2" max="2" width="9.875" style="192" bestFit="1" customWidth="1"/>
    <col min="3" max="3" width="16.125" style="221" customWidth="1"/>
    <col min="4" max="4" width="80.5" style="192" customWidth="1"/>
    <col min="5" max="5" width="25.875" style="192" customWidth="1"/>
    <col min="6" max="6" width="26.875" style="193" customWidth="1"/>
    <col min="7" max="7" width="53.25" style="193" customWidth="1"/>
    <col min="8" max="8" width="52.125" style="193" customWidth="1"/>
    <col min="9" max="9" width="33.375" style="193" customWidth="1"/>
    <col min="10" max="10" width="16.625" style="193" customWidth="1"/>
    <col min="11" max="11" width="17" style="193" customWidth="1"/>
    <col min="12" max="12" width="15.625" style="193" customWidth="1"/>
    <col min="13" max="13" width="16.5" style="193" customWidth="1"/>
    <col min="14" max="14" width="6.875" style="193" customWidth="1"/>
    <col min="15" max="15" width="23.875" style="193" customWidth="1"/>
    <col min="16" max="16" width="26.75" style="193" customWidth="1"/>
    <col min="17" max="17" width="15.375" style="193" customWidth="1"/>
    <col min="18" max="18" width="5.5" style="193" customWidth="1"/>
    <col min="19" max="19" width="14" style="193" customWidth="1"/>
    <col min="20" max="20" width="5.125" style="193" customWidth="1"/>
    <col min="21" max="21" width="68.75" style="193" customWidth="1"/>
    <col min="22" max="22" width="13.25" style="193" customWidth="1"/>
    <col min="23" max="23" width="6" style="193" customWidth="1"/>
    <col min="24" max="24" width="4.375" style="193" customWidth="1"/>
    <col min="25" max="25" width="4.875" style="193" customWidth="1"/>
    <col min="26" max="26" width="6.25" style="193" customWidth="1"/>
    <col min="27" max="27" width="5.875" style="193" customWidth="1"/>
    <col min="28" max="28" width="6.625" style="193" customWidth="1"/>
    <col min="29" max="29" width="33.5" style="193" customWidth="1"/>
    <col min="30" max="30" width="7.625" style="193" customWidth="1"/>
    <col min="31" max="31" width="9.125" style="193" customWidth="1"/>
    <col min="32" max="32" width="8.125" style="193" customWidth="1"/>
    <col min="33" max="33" width="8" style="193" customWidth="1"/>
    <col min="34" max="34" width="7.375" style="193" customWidth="1"/>
    <col min="35" max="35" width="6.375" style="193" customWidth="1"/>
    <col min="36" max="36" width="20.125" style="193" customWidth="1"/>
    <col min="37" max="38" width="16.5" style="193" customWidth="1"/>
    <col min="39" max="39" width="16.75" style="193" customWidth="1"/>
    <col min="40" max="40" width="20.125" style="193" customWidth="1"/>
    <col min="41" max="41" width="12.625" style="193" customWidth="1"/>
    <col min="42" max="42" width="18.875" style="192" customWidth="1"/>
    <col min="43" max="43" width="20.75" style="192" customWidth="1"/>
    <col min="44" max="44" width="85.75" style="192" customWidth="1"/>
    <col min="45" max="45" width="22.125" style="215" customWidth="1"/>
    <col min="46" max="46" width="15.375" customWidth="1"/>
    <col min="47" max="47" width="21.625" customWidth="1"/>
    <col min="48" max="48" width="2.625" customWidth="1"/>
    <col min="49" max="49" width="12.625" customWidth="1"/>
    <col min="50" max="50" width="20.75" customWidth="1"/>
    <col min="51" max="51" width="85.75" customWidth="1"/>
    <col min="52" max="53" width="12.625" customWidth="1"/>
    <col min="54" max="54" width="20.75" customWidth="1"/>
    <col min="55" max="55" width="85.75" customWidth="1"/>
    <col min="56" max="56" width="12.625" customWidth="1"/>
    <col min="57" max="57" width="18.875" customWidth="1"/>
    <col min="58" max="58" width="20.75" customWidth="1"/>
    <col min="59" max="59" width="85.75" customWidth="1"/>
    <col min="60" max="60" width="12.875" style="284" customWidth="1"/>
    <col min="61" max="61" width="15.375" customWidth="1"/>
    <col min="62" max="62" width="26.375" customWidth="1"/>
    <col min="63" max="63" width="2.625" customWidth="1"/>
    <col min="64" max="64" width="12.625" customWidth="1"/>
    <col min="65" max="65" width="20.75" customWidth="1"/>
    <col min="66" max="66" width="85.75" customWidth="1"/>
    <col min="67" max="67" width="4" customWidth="1"/>
    <col min="68" max="68" width="12.625" customWidth="1"/>
    <col min="69" max="69" width="20.75" customWidth="1"/>
    <col min="70" max="70" width="85.75" customWidth="1"/>
    <col min="71" max="71" width="2.875" customWidth="1"/>
    <col min="72" max="72" width="12.625" customWidth="1"/>
    <col min="73" max="73" width="27.25" customWidth="1"/>
    <col min="74" max="74" width="85.75" style="490" customWidth="1"/>
    <col min="75" max="75" width="12.875" style="69" customWidth="1"/>
    <col min="76" max="76" width="15.375" customWidth="1"/>
    <col min="77" max="77" width="21.625" customWidth="1"/>
    <col min="78" max="78" width="2.625" customWidth="1"/>
    <col min="79" max="79" width="12.875" bestFit="1" customWidth="1"/>
    <col min="80" max="80" width="20.75" style="69" customWidth="1"/>
    <col min="81" max="81" width="85.75" customWidth="1"/>
    <col min="82" max="82" width="3.875" customWidth="1"/>
    <col min="83" max="83" width="15.875" customWidth="1"/>
    <col min="84" max="84" width="20.75" customWidth="1"/>
    <col min="85" max="85" width="85.75" customWidth="1"/>
    <col min="86" max="86" width="12.625" customWidth="1"/>
    <col min="87" max="87" width="18.875" customWidth="1"/>
    <col min="88" max="88" width="20.75" customWidth="1"/>
    <col min="89" max="89" width="85.75" customWidth="1"/>
    <col min="90" max="90" width="14.5" customWidth="1"/>
    <col min="91" max="91" width="12.625" customWidth="1"/>
    <col min="92" max="92" width="21.625" customWidth="1"/>
    <col min="93" max="93" width="2.625" customWidth="1"/>
    <col min="94" max="94" width="14.625" customWidth="1"/>
    <col min="95" max="95" width="20.75" customWidth="1"/>
    <col min="96" max="96" width="85.75" customWidth="1"/>
    <col min="97" max="97" width="4" customWidth="1"/>
    <col min="98" max="98" width="14.125" customWidth="1"/>
    <col min="99" max="99" width="20.75" customWidth="1"/>
    <col min="100" max="100" width="85.75" customWidth="1"/>
    <col min="101" max="101" width="12.625" style="192" customWidth="1"/>
    <col min="102" max="16384" width="9" style="192"/>
  </cols>
  <sheetData>
    <row r="1" spans="1:100" ht="24.75" customHeight="1" x14ac:dyDescent="0.2">
      <c r="A1" s="965" t="s">
        <v>133</v>
      </c>
      <c r="B1" s="966"/>
      <c r="C1" s="966"/>
      <c r="D1" s="966"/>
      <c r="E1" s="966"/>
      <c r="F1" s="966"/>
      <c r="G1" s="966"/>
      <c r="H1" s="966"/>
      <c r="I1" s="966"/>
      <c r="J1" s="966"/>
      <c r="K1" s="966"/>
      <c r="L1" s="967"/>
      <c r="M1" s="965" t="s">
        <v>134</v>
      </c>
      <c r="N1" s="966"/>
      <c r="O1" s="966"/>
      <c r="P1" s="966"/>
      <c r="Q1" s="966"/>
      <c r="R1" s="966"/>
      <c r="S1" s="967"/>
      <c r="T1" s="965" t="s">
        <v>135</v>
      </c>
      <c r="U1" s="966"/>
      <c r="V1" s="966"/>
      <c r="W1" s="966"/>
      <c r="X1" s="966"/>
      <c r="Y1" s="966"/>
      <c r="Z1" s="966"/>
      <c r="AA1" s="966"/>
      <c r="AB1" s="967"/>
      <c r="AC1" s="965" t="s">
        <v>136</v>
      </c>
      <c r="AD1" s="966"/>
      <c r="AE1" s="966"/>
      <c r="AF1" s="966"/>
      <c r="AG1" s="966"/>
      <c r="AH1" s="966"/>
      <c r="AI1" s="967"/>
      <c r="AJ1" s="963" t="s">
        <v>137</v>
      </c>
      <c r="AK1" s="964"/>
      <c r="AL1" s="964"/>
      <c r="AM1" s="964"/>
      <c r="AN1" s="964"/>
      <c r="AO1" s="194"/>
      <c r="AP1" s="956" t="s">
        <v>138</v>
      </c>
      <c r="AQ1" s="956"/>
      <c r="AR1" s="956"/>
      <c r="AS1" s="956"/>
      <c r="AT1" s="956"/>
      <c r="AU1" s="956"/>
      <c r="AV1" s="402"/>
      <c r="AW1" s="962" t="s">
        <v>139</v>
      </c>
      <c r="AX1" s="962"/>
      <c r="AY1" s="962"/>
      <c r="AZ1" s="402"/>
      <c r="BA1" s="961" t="s">
        <v>140</v>
      </c>
      <c r="BB1" s="961"/>
      <c r="BC1" s="961"/>
      <c r="BD1" s="402"/>
      <c r="BE1" s="957" t="s">
        <v>141</v>
      </c>
      <c r="BF1" s="958"/>
      <c r="BG1" s="958"/>
      <c r="BH1" s="958"/>
      <c r="BI1" s="958"/>
      <c r="BJ1" s="958"/>
      <c r="BK1" s="402"/>
      <c r="BL1" s="962" t="s">
        <v>142</v>
      </c>
      <c r="BM1" s="962"/>
      <c r="BN1" s="962"/>
      <c r="BO1" s="402"/>
      <c r="BP1" s="961" t="s">
        <v>143</v>
      </c>
      <c r="BQ1" s="961"/>
      <c r="BR1" s="961"/>
      <c r="BS1" s="402"/>
      <c r="BT1" s="957" t="s">
        <v>144</v>
      </c>
      <c r="BU1" s="958"/>
      <c r="BV1" s="959"/>
      <c r="BW1" s="958"/>
      <c r="BX1" s="958"/>
      <c r="BY1" s="958"/>
      <c r="BZ1" s="402"/>
      <c r="CA1" s="962" t="s">
        <v>145</v>
      </c>
      <c r="CB1" s="962"/>
      <c r="CC1" s="962"/>
      <c r="CD1" s="402"/>
      <c r="CE1" s="961" t="s">
        <v>146</v>
      </c>
      <c r="CF1" s="961"/>
      <c r="CG1" s="961"/>
      <c r="CH1" s="402"/>
      <c r="CI1" s="960" t="s">
        <v>147</v>
      </c>
      <c r="CJ1" s="960"/>
      <c r="CK1" s="960"/>
      <c r="CL1" s="960"/>
      <c r="CM1" s="960"/>
      <c r="CN1" s="960"/>
      <c r="CO1" s="552"/>
      <c r="CP1" s="954" t="s">
        <v>148</v>
      </c>
      <c r="CQ1" s="954"/>
      <c r="CR1" s="954"/>
      <c r="CS1" s="552"/>
      <c r="CT1" s="955" t="s">
        <v>149</v>
      </c>
      <c r="CU1" s="955"/>
      <c r="CV1" s="955"/>
    </row>
    <row r="2" spans="1:100" ht="43.5" hidden="1" customHeight="1" x14ac:dyDescent="0.2">
      <c r="B2" s="574" t="s">
        <v>150</v>
      </c>
      <c r="C2" s="575" t="s">
        <v>79</v>
      </c>
      <c r="D2" s="576" t="s">
        <v>81</v>
      </c>
      <c r="E2" s="576" t="s">
        <v>83</v>
      </c>
      <c r="F2" s="575" t="s">
        <v>151</v>
      </c>
      <c r="G2" s="576" t="s">
        <v>152</v>
      </c>
      <c r="H2" s="576" t="s">
        <v>153</v>
      </c>
      <c r="I2" s="575" t="s">
        <v>154</v>
      </c>
      <c r="J2" s="575" t="s">
        <v>92</v>
      </c>
      <c r="K2" s="577" t="s">
        <v>94</v>
      </c>
      <c r="L2" s="575" t="s">
        <v>155</v>
      </c>
      <c r="M2" s="575" t="s">
        <v>156</v>
      </c>
      <c r="N2" s="577" t="s">
        <v>157</v>
      </c>
      <c r="O2" s="575" t="s">
        <v>158</v>
      </c>
      <c r="P2" s="575" t="s">
        <v>159</v>
      </c>
      <c r="Q2" s="575" t="s">
        <v>160</v>
      </c>
      <c r="R2" s="577" t="s">
        <v>157</v>
      </c>
      <c r="S2" s="575" t="s">
        <v>100</v>
      </c>
      <c r="T2" s="578" t="s">
        <v>161</v>
      </c>
      <c r="U2" s="575" t="s">
        <v>102</v>
      </c>
      <c r="V2" s="575" t="s">
        <v>104</v>
      </c>
      <c r="W2" s="968" t="s">
        <v>162</v>
      </c>
      <c r="X2" s="969"/>
      <c r="Y2" s="969"/>
      <c r="Z2" s="969"/>
      <c r="AA2" s="969"/>
      <c r="AB2" s="970"/>
      <c r="AC2" s="971" t="s">
        <v>163</v>
      </c>
      <c r="AD2" s="578" t="s">
        <v>164</v>
      </c>
      <c r="AE2" s="578" t="s">
        <v>157</v>
      </c>
      <c r="AF2" s="578" t="s">
        <v>165</v>
      </c>
      <c r="AG2" s="578" t="s">
        <v>157</v>
      </c>
      <c r="AH2" s="578" t="s">
        <v>166</v>
      </c>
      <c r="AI2" s="578" t="s">
        <v>120</v>
      </c>
      <c r="AJ2" s="575" t="s">
        <v>167</v>
      </c>
      <c r="AK2" s="575" t="s">
        <v>168</v>
      </c>
      <c r="AL2" s="575" t="s">
        <v>169</v>
      </c>
      <c r="AM2" s="575" t="s">
        <v>170</v>
      </c>
      <c r="AN2" s="579" t="s">
        <v>124</v>
      </c>
      <c r="AO2" s="194"/>
      <c r="AV2" s="194"/>
      <c r="AZ2" s="194"/>
      <c r="BA2" s="961" t="s">
        <v>140</v>
      </c>
      <c r="BB2" s="961"/>
      <c r="BC2" s="961"/>
      <c r="BD2" s="194"/>
      <c r="BH2" s="580"/>
      <c r="BK2" s="194"/>
      <c r="BO2" s="194"/>
      <c r="BS2" s="194"/>
      <c r="BV2"/>
      <c r="BW2"/>
      <c r="BZ2" s="194"/>
      <c r="CD2" s="194"/>
      <c r="CH2" s="194"/>
      <c r="CI2" s="553"/>
      <c r="CJ2" s="553"/>
      <c r="CK2" s="553"/>
      <c r="CL2" s="553"/>
      <c r="CM2" s="553"/>
      <c r="CN2" s="553"/>
      <c r="CO2" s="554"/>
      <c r="CP2" s="553"/>
      <c r="CQ2" s="553"/>
      <c r="CR2" s="553"/>
      <c r="CS2" s="554"/>
      <c r="CT2" s="553"/>
      <c r="CU2" s="553"/>
      <c r="CV2" s="553"/>
    </row>
    <row r="3" spans="1:100" ht="94.5" customHeight="1" x14ac:dyDescent="0.2">
      <c r="A3" s="574" t="s">
        <v>171</v>
      </c>
      <c r="B3" s="574" t="s">
        <v>150</v>
      </c>
      <c r="C3" s="575" t="s">
        <v>79</v>
      </c>
      <c r="D3" s="576" t="s">
        <v>172</v>
      </c>
      <c r="E3" s="576" t="s">
        <v>173</v>
      </c>
      <c r="F3" s="575" t="s">
        <v>151</v>
      </c>
      <c r="G3" s="576" t="s">
        <v>152</v>
      </c>
      <c r="H3" s="576" t="s">
        <v>153</v>
      </c>
      <c r="I3" s="575" t="s">
        <v>154</v>
      </c>
      <c r="J3" s="575" t="s">
        <v>92</v>
      </c>
      <c r="K3" s="577" t="s">
        <v>94</v>
      </c>
      <c r="L3" s="575" t="s">
        <v>155</v>
      </c>
      <c r="M3" s="575" t="s">
        <v>156</v>
      </c>
      <c r="N3" s="577" t="s">
        <v>157</v>
      </c>
      <c r="O3" s="575" t="s">
        <v>158</v>
      </c>
      <c r="P3" s="575" t="s">
        <v>159</v>
      </c>
      <c r="Q3" s="575" t="s">
        <v>160</v>
      </c>
      <c r="R3" s="577" t="s">
        <v>157</v>
      </c>
      <c r="S3" s="575" t="s">
        <v>100</v>
      </c>
      <c r="T3" s="578" t="s">
        <v>161</v>
      </c>
      <c r="U3" s="575" t="s">
        <v>102</v>
      </c>
      <c r="V3" s="575" t="s">
        <v>104</v>
      </c>
      <c r="W3" s="581" t="s">
        <v>174</v>
      </c>
      <c r="X3" s="581" t="s">
        <v>175</v>
      </c>
      <c r="Y3" s="581" t="s">
        <v>176</v>
      </c>
      <c r="Z3" s="581" t="s">
        <v>177</v>
      </c>
      <c r="AA3" s="581" t="s">
        <v>178</v>
      </c>
      <c r="AB3" s="581" t="s">
        <v>179</v>
      </c>
      <c r="AC3" s="972"/>
      <c r="AD3" s="578" t="s">
        <v>164</v>
      </c>
      <c r="AE3" s="578" t="s">
        <v>157</v>
      </c>
      <c r="AF3" s="578" t="s">
        <v>165</v>
      </c>
      <c r="AG3" s="578" t="s">
        <v>157</v>
      </c>
      <c r="AH3" s="578" t="s">
        <v>166</v>
      </c>
      <c r="AI3" s="578" t="s">
        <v>120</v>
      </c>
      <c r="AJ3" s="575" t="s">
        <v>167</v>
      </c>
      <c r="AK3" s="575" t="s">
        <v>168</v>
      </c>
      <c r="AL3" s="575" t="s">
        <v>169</v>
      </c>
      <c r="AM3" s="575" t="s">
        <v>170</v>
      </c>
      <c r="AN3" s="579" t="s">
        <v>124</v>
      </c>
      <c r="AO3" s="194"/>
      <c r="AP3" s="573" t="s">
        <v>180</v>
      </c>
      <c r="AQ3" s="573" t="s">
        <v>181</v>
      </c>
      <c r="AR3" s="573" t="s">
        <v>182</v>
      </c>
      <c r="AS3" s="573" t="s">
        <v>183</v>
      </c>
      <c r="AT3" s="573" t="s">
        <v>184</v>
      </c>
      <c r="AU3" s="573" t="s">
        <v>185</v>
      </c>
      <c r="AV3" s="195"/>
      <c r="AW3" s="582" t="s">
        <v>180</v>
      </c>
      <c r="AX3" s="582" t="s">
        <v>181</v>
      </c>
      <c r="AY3" s="582" t="s">
        <v>182</v>
      </c>
      <c r="AZ3" s="195"/>
      <c r="BA3" s="583" t="s">
        <v>180</v>
      </c>
      <c r="BB3" s="583" t="s">
        <v>181</v>
      </c>
      <c r="BC3" s="583" t="s">
        <v>182</v>
      </c>
      <c r="BD3" s="195"/>
      <c r="BE3" s="573" t="s">
        <v>180</v>
      </c>
      <c r="BF3" s="573" t="s">
        <v>181</v>
      </c>
      <c r="BG3" s="573" t="s">
        <v>182</v>
      </c>
      <c r="BH3" s="573" t="s">
        <v>183</v>
      </c>
      <c r="BI3" s="573" t="s">
        <v>184</v>
      </c>
      <c r="BJ3" s="573" t="s">
        <v>185</v>
      </c>
      <c r="BK3" s="195"/>
      <c r="BL3" s="582" t="s">
        <v>180</v>
      </c>
      <c r="BM3" s="582" t="s">
        <v>181</v>
      </c>
      <c r="BN3" s="582" t="s">
        <v>182</v>
      </c>
      <c r="BO3" s="195"/>
      <c r="BP3" s="583" t="s">
        <v>180</v>
      </c>
      <c r="BQ3" s="583" t="s">
        <v>181</v>
      </c>
      <c r="BR3" s="583" t="s">
        <v>182</v>
      </c>
      <c r="BS3" s="195"/>
      <c r="BT3" s="573" t="s">
        <v>180</v>
      </c>
      <c r="BU3" s="573" t="s">
        <v>181</v>
      </c>
      <c r="BV3" s="573" t="s">
        <v>182</v>
      </c>
      <c r="BW3" s="573" t="s">
        <v>183</v>
      </c>
      <c r="BX3" s="573" t="s">
        <v>184</v>
      </c>
      <c r="BY3" s="573" t="s">
        <v>185</v>
      </c>
      <c r="BZ3" s="195"/>
      <c r="CA3" s="582" t="s">
        <v>180</v>
      </c>
      <c r="CB3" s="582" t="s">
        <v>181</v>
      </c>
      <c r="CC3" s="582" t="s">
        <v>182</v>
      </c>
      <c r="CD3" s="195"/>
      <c r="CE3" s="583" t="s">
        <v>180</v>
      </c>
      <c r="CF3" s="583" t="s">
        <v>181</v>
      </c>
      <c r="CG3" s="583" t="s">
        <v>182</v>
      </c>
      <c r="CH3" s="195"/>
      <c r="CI3" s="551" t="s">
        <v>180</v>
      </c>
      <c r="CJ3" s="551" t="s">
        <v>181</v>
      </c>
      <c r="CK3" s="551" t="s">
        <v>182</v>
      </c>
      <c r="CL3" s="551" t="s">
        <v>183</v>
      </c>
      <c r="CM3" s="551" t="s">
        <v>184</v>
      </c>
      <c r="CN3" s="551" t="s">
        <v>185</v>
      </c>
      <c r="CO3" s="555"/>
      <c r="CP3" s="556" t="s">
        <v>180</v>
      </c>
      <c r="CQ3" s="556" t="s">
        <v>181</v>
      </c>
      <c r="CR3" s="556" t="s">
        <v>182</v>
      </c>
      <c r="CS3" s="555"/>
      <c r="CT3" s="557" t="s">
        <v>180</v>
      </c>
      <c r="CU3" s="557" t="s">
        <v>181</v>
      </c>
      <c r="CV3" s="557" t="s">
        <v>182</v>
      </c>
    </row>
    <row r="4" spans="1:100" ht="167.25" customHeight="1" x14ac:dyDescent="0.3">
      <c r="A4" s="584">
        <v>1</v>
      </c>
      <c r="B4" s="584" t="s">
        <v>186</v>
      </c>
      <c r="C4" s="585" t="s">
        <v>187</v>
      </c>
      <c r="D4" s="585" t="str">
        <f>IFERROR(INDEX('Base de datos gestión'!$D$28:$D$50,MATCH(C4,'Base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4" s="585" t="str">
        <f>IFERROR(INDEX('Base de datos gestión'!$E$28:$E$50,MATCH(C4,'Base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4" s="586" t="s">
        <v>188</v>
      </c>
      <c r="G4" s="587" t="s">
        <v>189</v>
      </c>
      <c r="H4" s="586" t="s">
        <v>190</v>
      </c>
      <c r="I4" s="586" t="s">
        <v>191</v>
      </c>
      <c r="J4" s="549" t="s">
        <v>192</v>
      </c>
      <c r="K4" s="549" t="s">
        <v>193</v>
      </c>
      <c r="L4" s="549">
        <v>60</v>
      </c>
      <c r="M4" s="588" t="str">
        <f>IF(L4&lt;=0,"",IF(L4&lt;=2,"Muy Baja",IF(L4&lt;=24,"Baja",IF(L4&lt;=500,"Media",IF(L4&lt;=5000,"Alta","Muy Alta")))))</f>
        <v>Media</v>
      </c>
      <c r="N4" s="589">
        <f>IF(M4="","",IF(M4="Muy Baja",0.2,IF(M4="Baja",0.4,IF(M4="Media",0.6,IF(M4="Alta",0.8,IF(M4="Muy Alta",1,))))))</f>
        <v>0.6</v>
      </c>
      <c r="O4" s="590" t="s">
        <v>194</v>
      </c>
      <c r="P4" s="589" t="str">
        <f>IF(NOT(ISERROR(MATCH(O4,'Tabla Impacto'!$B$222:$B$224,0))),'Tabla Impacto'!$F$224&amp;"Por favor no seleccionar los criterios de impacto(Afectación Económica o presupuestal y Pérdida Reputacional)",O4)</f>
        <v>El riesgo afecta la imagen de la entidad con algunos usuarios de relevancia frente al logro de los objetivos</v>
      </c>
      <c r="Q4" s="591" t="s">
        <v>195</v>
      </c>
      <c r="R4" s="590">
        <f t="shared" ref="R4:R76" si="0">IF(Q4="","",IF(Q4="Leve",0.2,IF(Q4="Menor",0.4,IF(Q4="Moderado",0.6,IF(Q4="Mayor",0.8,IF(Q4="Catastrófico",1,))))))</f>
        <v>0.4</v>
      </c>
      <c r="S4" s="592" t="str">
        <f t="shared" ref="S4:S76" si="1">IF(OR(AND(M4="Muy Baja",Q4="Leve"),AND(M4="Muy Baja",Q4="Menor"),AND(M4="Baja",Q4="Leve")),"Bajo",IF(OR(AND(M4="Muy baja",Q4="Moderado"),AND(M4="Baja",Q4="Menor"),AND(M4="Baja",Q4="Moderado"),AND(M4="Media",Q4="Leve"),AND(M4="Media",Q4="Menor"),AND(M4="Media",Q4="Moderado"),AND(M4="Alta",Q4="Leve"),AND(M4="Alta",Q4="Menor")),"Moderado",IF(OR(AND(M4="Muy Baja",Q4="Mayor"),AND(M4="Baja",Q4="Mayor"),AND(M4="Media",Q4="Mayor"),AND(M4="Alta",Q4="Moderado"),AND(M4="Alta",Q4="Mayor"),AND(M4="Muy Alta",Q4="Leve"),AND(M4="Muy Alta",Q4="Menor"),AND(M4="Muy Alta",Q4="Moderado"),AND(M4="Muy Alta",Q4="Mayor")),"Alto",IF(OR(AND(M4="Muy Baja",Q4="Catastrófico"),AND(M4="Baja",Q4="Catastrófico"),AND(M4="Media",Q4="Catastrófico"),AND(M4="Alta",Q4="Catastrófico"),AND(M4="Muy Alta",Q4="Catastrófico")),"Extremo",""))))</f>
        <v>Moderado</v>
      </c>
      <c r="T4" s="593">
        <v>1</v>
      </c>
      <c r="U4" s="594" t="s">
        <v>196</v>
      </c>
      <c r="V4" s="595" t="str">
        <f t="shared" ref="V4:V76" si="2">IF(OR(W4="Preventivo",W4="Detectivo"),"Probabilidad",IF(W4="Correctivo","Impacto",""))</f>
        <v>Probabilidad</v>
      </c>
      <c r="W4" s="596" t="s">
        <v>197</v>
      </c>
      <c r="X4" s="596" t="s">
        <v>198</v>
      </c>
      <c r="Y4" s="597" t="str">
        <f t="shared" ref="Y4:Y60" si="3">IF(AND(W4="Preventivo",X4="Automático"),"50%",IF(AND(W4="Preventivo",X4="Manual"),"40%",IF(AND(W4="Detectivo",X4="Automático"),"40%",IF(AND(W4="Detectivo",X4="Manual"),"30%",IF(AND(W4="Correctivo",X4="Automático"),"35%",IF(AND(W4="Correctivo",X4="Manual"),"25%",""))))))</f>
        <v>40%</v>
      </c>
      <c r="Z4" s="596" t="s">
        <v>199</v>
      </c>
      <c r="AA4" s="596" t="s">
        <v>200</v>
      </c>
      <c r="AB4" s="596" t="s">
        <v>201</v>
      </c>
      <c r="AC4" s="598">
        <f>IFERROR(IF(V4="Probabilidad",(N4-(+N4*Y4)),IF(V4="Impacto",N4,"")),"")</f>
        <v>0.36</v>
      </c>
      <c r="AD4" s="599" t="str">
        <f t="shared" ref="AD4:AD60" si="4">IFERROR(IF(AC4="","",IF(AC4&lt;=0.2,"Muy Baja",IF(AC4&lt;=0.4,"Baja",IF(AC4&lt;=0.6,"Media",IF(AC4&lt;=0.8,"Alta","Muy Alta"))))),"")</f>
        <v>Baja</v>
      </c>
      <c r="AE4" s="600">
        <f t="shared" ref="AE4:AE60" si="5">+AC4</f>
        <v>0.36</v>
      </c>
      <c r="AF4" s="599" t="str">
        <f t="shared" ref="AF4:AF60" si="6">IFERROR(IF(AG4="","",IF(AG4&lt;=0.2,"Leve",IF(AG4&lt;=0.4,"Menor",IF(AG4&lt;=0.6,"Moderado",IF(AG4&lt;=0.8,"Mayor","Catastrófico"))))),"")</f>
        <v>Menor</v>
      </c>
      <c r="AG4" s="600">
        <f>IFERROR(IF(V4="Impacto",(R4-(+R4*Y4)),IF(V4="Probabilidad",R4,"")),"")</f>
        <v>0.4</v>
      </c>
      <c r="AH4" s="601" t="str">
        <f t="shared" ref="AH4:AH60" si="7">IFERROR(IF(OR(AND(AD4="Muy Baja",AF4="Leve"),AND(AD4="Muy Baja",AF4="Menor"),AND(AD4="Baja",AF4="Leve")),"Bajo",IF(OR(AND(AD4="Muy baja",AF4="Moderado"),AND(AD4="Baja",AF4="Menor"),AND(AD4="Baja",AF4="Moderado"),AND(AD4="Media",AF4="Leve"),AND(AD4="Media",AF4="Menor"),AND(AD4="Media",AF4="Moderado"),AND(AD4="Alta",AF4="Leve"),AND(AD4="Alta",AF4="Menor")),"Moderado",IF(OR(AND(AD4="Muy Baja",AF4="Mayor"),AND(AD4="Baja",AF4="Mayor"),AND(AD4="Media",AF4="Mayor"),AND(AD4="Alta",AF4="Moderado"),AND(AD4="Alta",AF4="Mayor"),AND(AD4="Muy Alta",AF4="Leve"),AND(AD4="Muy Alta",AF4="Menor"),AND(AD4="Muy Alta",AF4="Moderado"),AND(AD4="Muy Alta",AF4="Mayor")),"Alto",IF(OR(AND(AD4="Muy Baja",AF4="Catastrófico"),AND(AD4="Baja",AF4="Catastrófico"),AND(AD4="Media",AF4="Catastrófico"),AND(AD4="Alta",AF4="Catastrófico"),AND(AD4="Muy Alta",AF4="Catastrófico")),"Extremo","")))),"")</f>
        <v>Moderado</v>
      </c>
      <c r="AI4" s="602" t="s">
        <v>202</v>
      </c>
      <c r="AJ4" s="603"/>
      <c r="AK4" s="603"/>
      <c r="AL4" s="604"/>
      <c r="AM4" s="605"/>
      <c r="AN4" s="606"/>
      <c r="AO4" s="607"/>
      <c r="AP4" s="608">
        <v>45824</v>
      </c>
      <c r="AQ4" s="609" t="s">
        <v>203</v>
      </c>
      <c r="AR4" s="610" t="s">
        <v>204</v>
      </c>
      <c r="AS4" s="611" t="s">
        <v>205</v>
      </c>
      <c r="AT4" s="612" t="s">
        <v>206</v>
      </c>
      <c r="AU4" s="283" t="s">
        <v>206</v>
      </c>
      <c r="AV4" s="613"/>
      <c r="AW4" s="614">
        <v>45782</v>
      </c>
      <c r="AX4" s="615" t="s">
        <v>207</v>
      </c>
      <c r="AY4" s="616" t="s">
        <v>208</v>
      </c>
      <c r="BA4" s="617"/>
      <c r="BB4" s="617"/>
      <c r="BC4" s="618" t="s">
        <v>209</v>
      </c>
      <c r="BE4" s="614">
        <v>45852</v>
      </c>
      <c r="BF4" s="615" t="s">
        <v>210</v>
      </c>
      <c r="BG4" s="283" t="s">
        <v>211</v>
      </c>
      <c r="BH4" s="286" t="s">
        <v>212</v>
      </c>
      <c r="BI4" s="619" t="s">
        <v>213</v>
      </c>
      <c r="BJ4" s="620" t="s">
        <v>214</v>
      </c>
      <c r="BL4" s="450">
        <v>45856</v>
      </c>
      <c r="BM4" s="449" t="s">
        <v>215</v>
      </c>
      <c r="BN4" s="283" t="s">
        <v>216</v>
      </c>
      <c r="BP4" s="617"/>
      <c r="BQ4" s="617"/>
      <c r="BR4" s="618" t="s">
        <v>209</v>
      </c>
      <c r="BT4" s="614">
        <v>45947</v>
      </c>
      <c r="BU4" s="615" t="s">
        <v>210</v>
      </c>
      <c r="BV4" s="283" t="s">
        <v>217</v>
      </c>
      <c r="BW4" s="616" t="s">
        <v>205</v>
      </c>
      <c r="BX4" s="615" t="s">
        <v>206</v>
      </c>
      <c r="BY4" s="615" t="s">
        <v>206</v>
      </c>
      <c r="CA4" s="621">
        <v>45985</v>
      </c>
      <c r="CB4" s="616" t="s">
        <v>218</v>
      </c>
      <c r="CC4" s="283" t="s">
        <v>219</v>
      </c>
      <c r="CE4" s="617"/>
      <c r="CF4" s="617"/>
      <c r="CG4" s="618" t="s">
        <v>209</v>
      </c>
      <c r="CH4" s="192"/>
      <c r="CI4" s="558"/>
      <c r="CJ4" s="558"/>
      <c r="CK4" s="559" t="s">
        <v>209</v>
      </c>
      <c r="CL4" s="558"/>
      <c r="CM4" s="558"/>
      <c r="CN4" s="558"/>
      <c r="CO4" s="553"/>
      <c r="CP4" s="558"/>
      <c r="CQ4" s="558"/>
      <c r="CR4" s="559" t="s">
        <v>209</v>
      </c>
      <c r="CS4" s="553"/>
      <c r="CT4" s="558"/>
      <c r="CU4" s="558"/>
      <c r="CV4" s="559" t="s">
        <v>209</v>
      </c>
    </row>
    <row r="5" spans="1:100" ht="151.5" customHeight="1" x14ac:dyDescent="0.3">
      <c r="A5" s="622">
        <v>2</v>
      </c>
      <c r="B5" s="622" t="s">
        <v>220</v>
      </c>
      <c r="C5" s="623" t="s">
        <v>187</v>
      </c>
      <c r="D5" s="585" t="str">
        <f>IFERROR(INDEX('Base de datos gestión'!$D$28:$D$50,MATCH(C5,'Base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5" s="585" t="str">
        <f>IFERROR(INDEX('Base de datos gestión'!$E$28:$E$50,MATCH(C5,'Base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5" s="624" t="s">
        <v>188</v>
      </c>
      <c r="G5" s="625" t="s">
        <v>221</v>
      </c>
      <c r="H5" s="624" t="s">
        <v>222</v>
      </c>
      <c r="I5" s="624" t="s">
        <v>223</v>
      </c>
      <c r="J5" s="626" t="s">
        <v>192</v>
      </c>
      <c r="K5" s="626" t="s">
        <v>193</v>
      </c>
      <c r="L5" s="626">
        <v>72</v>
      </c>
      <c r="M5" s="588" t="str">
        <f t="shared" ref="M5:M14" si="8">IF(L5&lt;=0,"",IF(L5&lt;=2,"Muy Baja",IF(L5&lt;=24,"Baja",IF(L5&lt;=500,"Media",IF(L5&lt;=5000,"Alta","Muy Alta")))))</f>
        <v>Media</v>
      </c>
      <c r="N5" s="589">
        <f t="shared" ref="N5:N8" si="9">IF(M5="","",IF(M5="Muy Baja",0.2,IF(M5="Baja",0.4,IF(M5="Media",0.6,IF(M5="Alta",0.8,IF(M5="Muy Alta",1,))))))</f>
        <v>0.6</v>
      </c>
      <c r="O5" s="590" t="s">
        <v>194</v>
      </c>
      <c r="P5" s="589" t="str">
        <f>IF(NOT(ISERROR(MATCH(O5,'Tabla Impacto'!$B$222:$B$224,0))),'Tabla Impacto'!$F$224&amp;"Por favor no seleccionar los criterios de impacto(Afectación Económica o presupuestal y Pérdida Reputacional)",O5)</f>
        <v>El riesgo afecta la imagen de la entidad con algunos usuarios de relevancia frente al logro de los objetivos</v>
      </c>
      <c r="Q5" s="591" t="s">
        <v>195</v>
      </c>
      <c r="R5" s="590">
        <f t="shared" si="0"/>
        <v>0.4</v>
      </c>
      <c r="S5" s="592" t="str">
        <f t="shared" si="1"/>
        <v>Moderado</v>
      </c>
      <c r="T5" s="593">
        <v>1</v>
      </c>
      <c r="U5" s="594" t="s">
        <v>224</v>
      </c>
      <c r="V5" s="595" t="str">
        <f t="shared" si="2"/>
        <v>Probabilidad</v>
      </c>
      <c r="W5" s="596" t="s">
        <v>197</v>
      </c>
      <c r="X5" s="596" t="s">
        <v>198</v>
      </c>
      <c r="Y5" s="597" t="str">
        <f t="shared" si="3"/>
        <v>40%</v>
      </c>
      <c r="Z5" s="596" t="s">
        <v>199</v>
      </c>
      <c r="AA5" s="596" t="s">
        <v>225</v>
      </c>
      <c r="AB5" s="596" t="s">
        <v>201</v>
      </c>
      <c r="AC5" s="598">
        <f>IFERROR(IF(AND(V4="Probabilidad",V5="Probabilidad"),(AE4-(+AE4*Y5)),IF(V5="Probabilidad",(N4-(+N4*Y5)),IF(V5="Impacto",AE4,""))),"")</f>
        <v>0.216</v>
      </c>
      <c r="AD5" s="599" t="str">
        <f t="shared" si="4"/>
        <v>Baja</v>
      </c>
      <c r="AE5" s="600">
        <f t="shared" si="5"/>
        <v>0.216</v>
      </c>
      <c r="AF5" s="599" t="str">
        <f t="shared" si="6"/>
        <v>Menor</v>
      </c>
      <c r="AG5" s="600">
        <f>IFERROR(IF(AND(V4="Impacto",V5="Impacto"),(AG4-(+AG4*Y5)),IF(V5="Impacto",($R$4-(+$R$4*Y5)),IF(V5="Probabilidad",AG4,""))),"")</f>
        <v>0.4</v>
      </c>
      <c r="AH5" s="601" t="str">
        <f t="shared" si="7"/>
        <v>Moderado</v>
      </c>
      <c r="AI5" s="602" t="s">
        <v>202</v>
      </c>
      <c r="AJ5" s="603"/>
      <c r="AK5" s="603"/>
      <c r="AL5" s="604"/>
      <c r="AM5" s="605"/>
      <c r="AN5" s="606"/>
      <c r="AO5" s="607"/>
      <c r="AP5" s="608">
        <v>45775</v>
      </c>
      <c r="AQ5" s="609" t="s">
        <v>226</v>
      </c>
      <c r="AR5" s="610" t="s">
        <v>227</v>
      </c>
      <c r="AS5" s="611" t="s">
        <v>205</v>
      </c>
      <c r="AT5" s="612" t="s">
        <v>206</v>
      </c>
      <c r="AU5" s="283" t="s">
        <v>206</v>
      </c>
      <c r="AV5" s="613"/>
      <c r="AW5" s="614">
        <v>45782</v>
      </c>
      <c r="AX5" s="615" t="s">
        <v>207</v>
      </c>
      <c r="AY5" s="616" t="s">
        <v>228</v>
      </c>
      <c r="BA5" s="617"/>
      <c r="BB5" s="617"/>
      <c r="BC5" s="618" t="s">
        <v>209</v>
      </c>
      <c r="BE5" s="614">
        <v>45852</v>
      </c>
      <c r="BF5" s="615" t="s">
        <v>229</v>
      </c>
      <c r="BG5" s="283" t="s">
        <v>230</v>
      </c>
      <c r="BH5" s="286" t="s">
        <v>205</v>
      </c>
      <c r="BI5" s="619" t="s">
        <v>206</v>
      </c>
      <c r="BJ5" s="619" t="s">
        <v>206</v>
      </c>
      <c r="BL5" s="450">
        <v>45855</v>
      </c>
      <c r="BM5" s="449" t="s">
        <v>215</v>
      </c>
      <c r="BN5" s="283" t="s">
        <v>231</v>
      </c>
      <c r="BP5" s="627"/>
      <c r="BQ5" s="615"/>
      <c r="BR5" s="618" t="s">
        <v>209</v>
      </c>
      <c r="BT5" s="614">
        <v>45975</v>
      </c>
      <c r="BU5" s="615" t="s">
        <v>229</v>
      </c>
      <c r="BV5" s="283" t="s">
        <v>232</v>
      </c>
      <c r="BW5" s="616" t="s">
        <v>205</v>
      </c>
      <c r="BX5" s="615" t="s">
        <v>206</v>
      </c>
      <c r="BY5" s="615" t="s">
        <v>206</v>
      </c>
      <c r="CA5" s="621">
        <v>45985</v>
      </c>
      <c r="CB5" s="616" t="s">
        <v>218</v>
      </c>
      <c r="CC5" s="283" t="s">
        <v>233</v>
      </c>
      <c r="CE5" s="617"/>
      <c r="CF5" s="617"/>
      <c r="CG5" s="618" t="s">
        <v>209</v>
      </c>
      <c r="CH5" s="192"/>
      <c r="CI5" s="558"/>
      <c r="CJ5" s="558"/>
      <c r="CK5" s="559" t="s">
        <v>209</v>
      </c>
      <c r="CL5" s="558"/>
      <c r="CM5" s="558"/>
      <c r="CN5" s="558"/>
      <c r="CO5" s="553"/>
      <c r="CP5" s="558"/>
      <c r="CQ5" s="558"/>
      <c r="CR5" s="559" t="s">
        <v>209</v>
      </c>
      <c r="CS5" s="553"/>
      <c r="CT5" s="558"/>
      <c r="CU5" s="558"/>
      <c r="CV5" s="559" t="s">
        <v>209</v>
      </c>
    </row>
    <row r="6" spans="1:100" ht="151.5" customHeight="1" x14ac:dyDescent="0.3">
      <c r="A6" s="622">
        <v>3</v>
      </c>
      <c r="B6" s="622" t="s">
        <v>234</v>
      </c>
      <c r="C6" s="623" t="s">
        <v>187</v>
      </c>
      <c r="D6" s="585" t="str">
        <f>IFERROR(INDEX('Base de datos gestión'!$D$28:$D$50,MATCH(C6,'Base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6" s="585" t="str">
        <f>IFERROR(INDEX('Base de datos gestión'!$E$28:$E$50,MATCH(C6,'Base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6" s="624" t="s">
        <v>188</v>
      </c>
      <c r="G6" s="625" t="s">
        <v>235</v>
      </c>
      <c r="H6" s="624" t="s">
        <v>236</v>
      </c>
      <c r="I6" s="624" t="s">
        <v>237</v>
      </c>
      <c r="J6" s="626" t="s">
        <v>192</v>
      </c>
      <c r="K6" s="626" t="s">
        <v>193</v>
      </c>
      <c r="L6" s="626">
        <v>12</v>
      </c>
      <c r="M6" s="588" t="str">
        <f t="shared" si="8"/>
        <v>Baja</v>
      </c>
      <c r="N6" s="589">
        <f t="shared" si="9"/>
        <v>0.4</v>
      </c>
      <c r="O6" s="590" t="s">
        <v>238</v>
      </c>
      <c r="P6" s="589" t="str">
        <f>IF(NOT(ISERROR(MATCH(O6,'Tabla Impacto'!$B$222:$B$224,0))),'Tabla Impacto'!$F$224&amp;"Por favor no seleccionar los criterios de impacto(Afectación Económica o presupuestal y Pérdida Reputacional)",O6)</f>
        <v xml:space="preserve">     El riesgo afecta la imagen de la entidad internamente, de conocimiento general, nivel interno, de junta directiva y accionistas y/o de proveedores</v>
      </c>
      <c r="Q6" s="591" t="s">
        <v>195</v>
      </c>
      <c r="R6" s="590">
        <f t="shared" si="0"/>
        <v>0.4</v>
      </c>
      <c r="S6" s="592" t="str">
        <f t="shared" si="1"/>
        <v>Moderado</v>
      </c>
      <c r="T6" s="593">
        <v>1</v>
      </c>
      <c r="U6" s="594" t="s">
        <v>239</v>
      </c>
      <c r="V6" s="595" t="str">
        <f t="shared" si="2"/>
        <v>Impacto</v>
      </c>
      <c r="W6" s="596" t="s">
        <v>240</v>
      </c>
      <c r="X6" s="596" t="s">
        <v>198</v>
      </c>
      <c r="Y6" s="597" t="str">
        <f t="shared" si="3"/>
        <v>25%</v>
      </c>
      <c r="Z6" s="596" t="s">
        <v>199</v>
      </c>
      <c r="AA6" s="596" t="s">
        <v>225</v>
      </c>
      <c r="AB6" s="596" t="s">
        <v>201</v>
      </c>
      <c r="AC6" s="598">
        <f>IFERROR(IF(AND(V5="Probabilidad",V6="Probabilidad"),(AE5-(+AE5*Y6)),IF(AND(V5="Impacto",V6="Probabilidad"),(AE4-(+AE4*Y6)),IF(V6="Impacto",AE5,""))),"")</f>
        <v>0.216</v>
      </c>
      <c r="AD6" s="599" t="str">
        <f t="shared" si="4"/>
        <v>Baja</v>
      </c>
      <c r="AE6" s="600">
        <f t="shared" si="5"/>
        <v>0.216</v>
      </c>
      <c r="AF6" s="599" t="str">
        <f t="shared" si="6"/>
        <v>Menor</v>
      </c>
      <c r="AG6" s="600">
        <f>IFERROR(IF(AND(V5="Impacto",V6="Impacto"),(AG5-(+AG5*Y6)),IF(AND(V5="Probabilidad",V6="Impacto"),(AG4-(+AG4*Y6)),IF(V6="Probabilidad",AG5,""))),"")</f>
        <v>0.30000000000000004</v>
      </c>
      <c r="AH6" s="601" t="str">
        <f t="shared" si="7"/>
        <v>Moderado</v>
      </c>
      <c r="AI6" s="602" t="s">
        <v>202</v>
      </c>
      <c r="AJ6" s="603"/>
      <c r="AK6" s="603"/>
      <c r="AL6" s="604"/>
      <c r="AM6" s="605"/>
      <c r="AN6" s="606"/>
      <c r="AO6" s="607"/>
      <c r="AP6" s="608">
        <v>45775</v>
      </c>
      <c r="AQ6" s="609" t="s">
        <v>226</v>
      </c>
      <c r="AR6" s="610" t="s">
        <v>241</v>
      </c>
      <c r="AS6" s="611" t="s">
        <v>205</v>
      </c>
      <c r="AT6" s="612" t="s">
        <v>206</v>
      </c>
      <c r="AU6" s="283" t="s">
        <v>206</v>
      </c>
      <c r="AV6" s="613"/>
      <c r="AW6" s="614">
        <v>45782</v>
      </c>
      <c r="AX6" s="615" t="s">
        <v>207</v>
      </c>
      <c r="AY6" s="616" t="s">
        <v>228</v>
      </c>
      <c r="BA6" s="617"/>
      <c r="BB6" s="617"/>
      <c r="BC6" s="618" t="s">
        <v>209</v>
      </c>
      <c r="BE6" s="614">
        <v>45852</v>
      </c>
      <c r="BF6" s="615" t="s">
        <v>229</v>
      </c>
      <c r="BG6" s="610" t="s">
        <v>242</v>
      </c>
      <c r="BH6" s="449" t="s">
        <v>205</v>
      </c>
      <c r="BI6" s="619" t="s">
        <v>206</v>
      </c>
      <c r="BJ6" s="619" t="s">
        <v>206</v>
      </c>
      <c r="BL6" s="450">
        <v>45855</v>
      </c>
      <c r="BM6" s="449" t="s">
        <v>215</v>
      </c>
      <c r="BN6" s="283" t="s">
        <v>231</v>
      </c>
      <c r="BP6" s="627"/>
      <c r="BQ6" s="615"/>
      <c r="BR6" s="618" t="s">
        <v>209</v>
      </c>
      <c r="BT6" s="614">
        <v>45975</v>
      </c>
      <c r="BU6" s="615" t="s">
        <v>229</v>
      </c>
      <c r="BV6" s="610" t="s">
        <v>243</v>
      </c>
      <c r="BW6" s="616" t="s">
        <v>205</v>
      </c>
      <c r="BX6" s="615" t="s">
        <v>206</v>
      </c>
      <c r="BY6" s="615" t="s">
        <v>206</v>
      </c>
      <c r="CA6" s="621">
        <v>45985</v>
      </c>
      <c r="CB6" s="616" t="s">
        <v>218</v>
      </c>
      <c r="CC6" s="283" t="s">
        <v>233</v>
      </c>
      <c r="CE6" s="617"/>
      <c r="CF6" s="617"/>
      <c r="CG6" s="618" t="s">
        <v>209</v>
      </c>
      <c r="CH6" s="192"/>
      <c r="CI6" s="558"/>
      <c r="CJ6" s="558"/>
      <c r="CK6" s="559" t="s">
        <v>209</v>
      </c>
      <c r="CL6" s="558"/>
      <c r="CM6" s="558"/>
      <c r="CN6" s="558"/>
      <c r="CO6" s="553"/>
      <c r="CP6" s="558"/>
      <c r="CQ6" s="558"/>
      <c r="CR6" s="559" t="s">
        <v>209</v>
      </c>
      <c r="CS6" s="553"/>
      <c r="CT6" s="558"/>
      <c r="CU6" s="558"/>
      <c r="CV6" s="559" t="s">
        <v>209</v>
      </c>
    </row>
    <row r="7" spans="1:100" ht="151.5" customHeight="1" x14ac:dyDescent="0.3">
      <c r="A7" s="622">
        <v>3</v>
      </c>
      <c r="B7" s="622" t="s">
        <v>234</v>
      </c>
      <c r="C7" s="623" t="s">
        <v>187</v>
      </c>
      <c r="D7" s="585" t="str">
        <f>IFERROR(INDEX('Base de datos gestión'!$D$28:$D$50,MATCH(C7,'Base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7" s="585" t="str">
        <f>IFERROR(INDEX('Base de datos gestión'!$E$28:$E$50,MATCH(C7,'Base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7" s="628" t="s">
        <v>188</v>
      </c>
      <c r="G7" s="629" t="s">
        <v>235</v>
      </c>
      <c r="H7" s="628" t="s">
        <v>236</v>
      </c>
      <c r="I7" s="628" t="s">
        <v>237</v>
      </c>
      <c r="J7" s="630" t="s">
        <v>192</v>
      </c>
      <c r="K7" s="630" t="s">
        <v>193</v>
      </c>
      <c r="L7" s="630">
        <v>12</v>
      </c>
      <c r="M7" s="588" t="str">
        <f t="shared" si="8"/>
        <v>Baja</v>
      </c>
      <c r="N7" s="589">
        <f t="shared" si="9"/>
        <v>0.4</v>
      </c>
      <c r="O7" s="590" t="s">
        <v>238</v>
      </c>
      <c r="P7" s="589" t="str">
        <f>IF(NOT(ISERROR(MATCH(O7,'Tabla Impacto'!$B$222:$B$224,0))),'Tabla Impacto'!$F$224&amp;"Por favor no seleccionar los criterios de impacto(Afectación Económica o presupuestal y Pérdida Reputacional)",O7)</f>
        <v xml:space="preserve">     El riesgo afecta la imagen de la entidad internamente, de conocimiento general, nivel interno, de junta directiva y accionistas y/o de proveedores</v>
      </c>
      <c r="Q7" s="591" t="s">
        <v>195</v>
      </c>
      <c r="R7" s="590">
        <f t="shared" si="0"/>
        <v>0.4</v>
      </c>
      <c r="S7" s="592" t="str">
        <f t="shared" si="1"/>
        <v>Moderado</v>
      </c>
      <c r="T7" s="595">
        <v>1</v>
      </c>
      <c r="U7" s="631" t="s">
        <v>239</v>
      </c>
      <c r="V7" s="595" t="str">
        <f t="shared" si="2"/>
        <v>Impacto</v>
      </c>
      <c r="W7" s="596" t="s">
        <v>240</v>
      </c>
      <c r="X7" s="596" t="s">
        <v>198</v>
      </c>
      <c r="Y7" s="597" t="str">
        <f t="shared" si="3"/>
        <v>25%</v>
      </c>
      <c r="Z7" s="596" t="s">
        <v>199</v>
      </c>
      <c r="AA7" s="596" t="s">
        <v>225</v>
      </c>
      <c r="AB7" s="596" t="s">
        <v>201</v>
      </c>
      <c r="AC7" s="598">
        <f>IFERROR(IF(AND(V6="Probabilidad",V7="Probabilidad"),(AE6-(+AE6*Y7)),IF(AND(V6="Impacto",V7="Probabilidad"),(AE5-(+AE5*Y7)),IF(V7="Impacto",AE6,""))),"")</f>
        <v>0.216</v>
      </c>
      <c r="AD7" s="599" t="str">
        <f t="shared" si="4"/>
        <v>Baja</v>
      </c>
      <c r="AE7" s="600">
        <f t="shared" si="5"/>
        <v>0.216</v>
      </c>
      <c r="AF7" s="599" t="str">
        <f t="shared" si="6"/>
        <v>Menor</v>
      </c>
      <c r="AG7" s="600">
        <f>IFERROR(IF(AND(V6="Impacto",V7="Impacto"),(AG6-(+AG6*Y7)),IF(AND(V6="Probabilidad",V7="Impacto"),(AG5-(+AG5*Y7)),IF(V7="Probabilidad",AG6,""))),"")</f>
        <v>0.22500000000000003</v>
      </c>
      <c r="AH7" s="601" t="str">
        <f t="shared" si="7"/>
        <v>Moderado</v>
      </c>
      <c r="AI7" s="602" t="s">
        <v>202</v>
      </c>
      <c r="AJ7" s="603"/>
      <c r="AK7" s="603"/>
      <c r="AL7" s="604"/>
      <c r="AM7" s="605"/>
      <c r="AN7" s="606"/>
      <c r="AO7" s="607"/>
      <c r="AP7" s="608">
        <v>45775</v>
      </c>
      <c r="AQ7" s="609" t="s">
        <v>226</v>
      </c>
      <c r="AR7" s="610" t="s">
        <v>241</v>
      </c>
      <c r="AS7" s="611" t="s">
        <v>205</v>
      </c>
      <c r="AT7" s="612" t="s">
        <v>206</v>
      </c>
      <c r="AU7" s="283" t="s">
        <v>206</v>
      </c>
      <c r="AV7" s="613"/>
      <c r="AW7" s="614">
        <v>45782</v>
      </c>
      <c r="AX7" s="615" t="s">
        <v>207</v>
      </c>
      <c r="AY7" s="616" t="s">
        <v>228</v>
      </c>
      <c r="BA7" s="617"/>
      <c r="BB7" s="617"/>
      <c r="BC7" s="618" t="s">
        <v>209</v>
      </c>
      <c r="BE7" s="614">
        <v>45852</v>
      </c>
      <c r="BF7" s="615" t="s">
        <v>229</v>
      </c>
      <c r="BG7" s="610" t="s">
        <v>242</v>
      </c>
      <c r="BH7" s="449" t="s">
        <v>205</v>
      </c>
      <c r="BI7" s="619" t="s">
        <v>206</v>
      </c>
      <c r="BJ7" s="619" t="s">
        <v>206</v>
      </c>
      <c r="BL7" s="450">
        <v>45855</v>
      </c>
      <c r="BM7" s="449" t="s">
        <v>215</v>
      </c>
      <c r="BN7" s="283" t="s">
        <v>231</v>
      </c>
      <c r="BP7" s="627"/>
      <c r="BQ7" s="615"/>
      <c r="BR7" s="618" t="s">
        <v>209</v>
      </c>
      <c r="BT7" s="614">
        <v>45975</v>
      </c>
      <c r="BU7" s="615" t="s">
        <v>229</v>
      </c>
      <c r="BV7" s="610" t="s">
        <v>243</v>
      </c>
      <c r="BW7" s="616" t="s">
        <v>205</v>
      </c>
      <c r="BX7" s="615" t="s">
        <v>206</v>
      </c>
      <c r="BY7" s="615" t="s">
        <v>206</v>
      </c>
      <c r="CA7" s="621">
        <v>45985</v>
      </c>
      <c r="CB7" s="616" t="s">
        <v>218</v>
      </c>
      <c r="CC7" s="283" t="s">
        <v>233</v>
      </c>
      <c r="CE7" s="617"/>
      <c r="CF7" s="617"/>
      <c r="CG7" s="618" t="s">
        <v>209</v>
      </c>
      <c r="CH7" s="192"/>
      <c r="CI7" s="558"/>
      <c r="CJ7" s="558"/>
      <c r="CK7" s="559" t="s">
        <v>209</v>
      </c>
      <c r="CL7" s="558"/>
      <c r="CM7" s="558"/>
      <c r="CN7" s="558"/>
      <c r="CO7" s="553"/>
      <c r="CP7" s="558"/>
      <c r="CQ7" s="558"/>
      <c r="CR7" s="559" t="s">
        <v>209</v>
      </c>
      <c r="CS7" s="553"/>
      <c r="CT7" s="558"/>
      <c r="CU7" s="558"/>
      <c r="CV7" s="559" t="s">
        <v>209</v>
      </c>
    </row>
    <row r="8" spans="1:100" ht="151.5" customHeight="1" x14ac:dyDescent="0.3">
      <c r="A8" s="622">
        <v>4</v>
      </c>
      <c r="B8" s="622" t="s">
        <v>244</v>
      </c>
      <c r="C8" s="623" t="s">
        <v>187</v>
      </c>
      <c r="D8" s="585" t="str">
        <f>IFERROR(INDEX('Base de datos gestión'!$D$28:$D$50,MATCH(C8,'Base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8" s="585" t="str">
        <f>IFERROR(INDEX('Base de datos gestión'!$E$28:$E$50,MATCH(C8,'Base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8" s="628" t="s">
        <v>188</v>
      </c>
      <c r="G8" s="629" t="s">
        <v>245</v>
      </c>
      <c r="H8" s="628" t="s">
        <v>246</v>
      </c>
      <c r="I8" s="628" t="s">
        <v>247</v>
      </c>
      <c r="J8" s="630" t="s">
        <v>192</v>
      </c>
      <c r="K8" s="630" t="s">
        <v>193</v>
      </c>
      <c r="L8" s="630">
        <v>1</v>
      </c>
      <c r="M8" s="588" t="str">
        <f t="shared" si="8"/>
        <v>Muy Baja</v>
      </c>
      <c r="N8" s="589">
        <f t="shared" si="9"/>
        <v>0.2</v>
      </c>
      <c r="O8" s="590" t="s">
        <v>248</v>
      </c>
      <c r="P8" s="589" t="str">
        <f>IF(NOT(ISERROR(MATCH(O8,'Tabla Impacto'!$B$222:$B$224,0))),'Tabla Impacto'!$F$224&amp;"Por favor no seleccionar los criterios de impacto(Afectación Económica o presupuestal y Pérdida Reputacional)",O8)</f>
        <v xml:space="preserve">     El riesgo afecta la imagen de la entidad con algunos usuarios de relevancia frente al logro de los objetivos</v>
      </c>
      <c r="Q8" s="591" t="str">
        <f>IF(OR(P8='[8]Tabla Impacto'!$C$12,P8='[8]Tabla Impacto'!$D$12),"Leve",IF(OR(P8='[8]Tabla Impacto'!$C$13,P8='[8]Tabla Impacto'!$D$13),"Menor",IF(OR(P8='[8]Tabla Impacto'!$C$14,P8='[8]Tabla Impacto'!$D$14),"Moderado",IF(OR(P8='[8]Tabla Impacto'!$C$15,P8='[8]Tabla Impacto'!$D$15),"Mayor",IF(OR(P8='[8]Tabla Impacto'!$C$16,P8='[8]Tabla Impacto'!$D$16),"Catastrófico","")))))</f>
        <v>Moderado</v>
      </c>
      <c r="R8" s="590">
        <f t="shared" si="0"/>
        <v>0.6</v>
      </c>
      <c r="S8" s="592" t="str">
        <f t="shared" si="1"/>
        <v>Moderado</v>
      </c>
      <c r="T8" s="595">
        <v>1</v>
      </c>
      <c r="U8" s="631" t="s">
        <v>249</v>
      </c>
      <c r="V8" s="595" t="str">
        <f t="shared" si="2"/>
        <v>Probabilidad</v>
      </c>
      <c r="W8" s="596" t="s">
        <v>197</v>
      </c>
      <c r="X8" s="596" t="s">
        <v>198</v>
      </c>
      <c r="Y8" s="597" t="str">
        <f t="shared" si="3"/>
        <v>40%</v>
      </c>
      <c r="Z8" s="596" t="s">
        <v>199</v>
      </c>
      <c r="AA8" s="596" t="s">
        <v>225</v>
      </c>
      <c r="AB8" s="596" t="s">
        <v>250</v>
      </c>
      <c r="AC8" s="598">
        <f>IFERROR(IF(AND(V7="Probabilidad",V8="Probabilidad"),(AE7-(+AE7*Y8)),IF(AND(V7="Impacto",V8="Probabilidad"),(AE6-(+AE6*Y8)),IF(V8="Impacto",AE7,""))),"")</f>
        <v>0.12959999999999999</v>
      </c>
      <c r="AD8" s="599" t="str">
        <f t="shared" si="4"/>
        <v>Muy Baja</v>
      </c>
      <c r="AE8" s="600">
        <f t="shared" si="5"/>
        <v>0.12959999999999999</v>
      </c>
      <c r="AF8" s="599" t="str">
        <f t="shared" si="6"/>
        <v>Menor</v>
      </c>
      <c r="AG8" s="600">
        <f>IFERROR(IF(AND(V7="Impacto",V8="Impacto"),(AG7-(+AG7*Y8)),IF(AND(V7="Probabilidad",V8="Impacto"),(AG6-(+AG6*Y8)),IF(V8="Probabilidad",AG7,""))),"")</f>
        <v>0.22500000000000003</v>
      </c>
      <c r="AH8" s="601" t="str">
        <f t="shared" si="7"/>
        <v>Bajo</v>
      </c>
      <c r="AI8" s="602" t="s">
        <v>202</v>
      </c>
      <c r="AJ8" s="603"/>
      <c r="AK8" s="603"/>
      <c r="AL8" s="604"/>
      <c r="AM8" s="605"/>
      <c r="AN8" s="606"/>
      <c r="AO8" s="607"/>
      <c r="AP8" s="608">
        <v>45775</v>
      </c>
      <c r="AQ8" s="609" t="s">
        <v>226</v>
      </c>
      <c r="AR8" s="610" t="s">
        <v>251</v>
      </c>
      <c r="AS8" s="611" t="s">
        <v>205</v>
      </c>
      <c r="AT8" s="612" t="s">
        <v>206</v>
      </c>
      <c r="AU8" s="283" t="s">
        <v>206</v>
      </c>
      <c r="AV8" s="613"/>
      <c r="AW8" s="614">
        <v>45782</v>
      </c>
      <c r="AX8" s="615" t="s">
        <v>207</v>
      </c>
      <c r="AY8" s="616" t="s">
        <v>228</v>
      </c>
      <c r="BA8" s="617"/>
      <c r="BB8" s="617"/>
      <c r="BC8" s="618" t="s">
        <v>209</v>
      </c>
      <c r="BE8" s="614">
        <v>45852</v>
      </c>
      <c r="BF8" s="615" t="s">
        <v>229</v>
      </c>
      <c r="BG8" s="610" t="s">
        <v>252</v>
      </c>
      <c r="BH8" s="449" t="s">
        <v>205</v>
      </c>
      <c r="BI8" s="619" t="s">
        <v>206</v>
      </c>
      <c r="BJ8" s="619" t="s">
        <v>206</v>
      </c>
      <c r="BL8" s="450">
        <v>45855</v>
      </c>
      <c r="BM8" s="449" t="s">
        <v>215</v>
      </c>
      <c r="BN8" s="283" t="s">
        <v>231</v>
      </c>
      <c r="BP8" s="627"/>
      <c r="BQ8" s="615"/>
      <c r="BR8" s="618" t="s">
        <v>209</v>
      </c>
      <c r="BT8" s="614">
        <v>45975</v>
      </c>
      <c r="BU8" s="615" t="s">
        <v>229</v>
      </c>
      <c r="BV8" s="610" t="s">
        <v>253</v>
      </c>
      <c r="BW8" s="616" t="s">
        <v>205</v>
      </c>
      <c r="BX8" s="615" t="s">
        <v>206</v>
      </c>
      <c r="BY8" s="615" t="s">
        <v>206</v>
      </c>
      <c r="CA8" s="621">
        <v>45985</v>
      </c>
      <c r="CB8" s="616" t="s">
        <v>218</v>
      </c>
      <c r="CC8" s="283" t="s">
        <v>233</v>
      </c>
      <c r="CE8" s="617"/>
      <c r="CF8" s="617"/>
      <c r="CG8" s="618" t="s">
        <v>209</v>
      </c>
      <c r="CH8" s="192"/>
      <c r="CI8" s="558"/>
      <c r="CJ8" s="558"/>
      <c r="CK8" s="559" t="s">
        <v>209</v>
      </c>
      <c r="CL8" s="558"/>
      <c r="CM8" s="558"/>
      <c r="CN8" s="558"/>
      <c r="CO8" s="553"/>
      <c r="CP8" s="558"/>
      <c r="CQ8" s="558"/>
      <c r="CR8" s="559" t="s">
        <v>209</v>
      </c>
      <c r="CS8" s="553"/>
      <c r="CT8" s="558"/>
      <c r="CU8" s="558"/>
      <c r="CV8" s="559" t="s">
        <v>209</v>
      </c>
    </row>
    <row r="9" spans="1:100" ht="239.25" customHeight="1" x14ac:dyDescent="0.3">
      <c r="A9" s="632">
        <v>5</v>
      </c>
      <c r="B9" s="632" t="s">
        <v>254</v>
      </c>
      <c r="C9" s="633" t="s">
        <v>187</v>
      </c>
      <c r="D9" s="585" t="str">
        <f>IFERROR(INDEX('Base de datos gestión'!$D$28:$D$50,MATCH(C9,'Base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9" s="585" t="str">
        <f>IFERROR(INDEX('Base de datos gestión'!$E$28:$E$50,MATCH(C9,'Base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9" s="628" t="s">
        <v>188</v>
      </c>
      <c r="G9" s="629" t="s">
        <v>255</v>
      </c>
      <c r="H9" s="628" t="s">
        <v>256</v>
      </c>
      <c r="I9" s="628" t="s">
        <v>257</v>
      </c>
      <c r="J9" s="630" t="s">
        <v>192</v>
      </c>
      <c r="K9" s="630" t="s">
        <v>193</v>
      </c>
      <c r="L9" s="630">
        <v>12</v>
      </c>
      <c r="M9" s="588" t="str">
        <f t="shared" si="8"/>
        <v>Baja</v>
      </c>
      <c r="N9" s="589">
        <f>IF(M9="","",IF(M9="Muy Baja",0.2,IF(M9="Baja",0.4,IF(M9="Media",0.6,IF(M9="Alta",0.8,IF(M9="Muy Alta",1,))))))</f>
        <v>0.4</v>
      </c>
      <c r="O9" s="590" t="s">
        <v>248</v>
      </c>
      <c r="P9" s="589" t="str">
        <f>IF(NOT(ISERROR(MATCH(O9,'Tabla Impacto'!$B$222:$B$224,0))),'Tabla Impacto'!$F$224&amp;"Por favor no seleccionar los criterios de impacto(Afectación Económica o presupuestal y Pérdida Reputacional)",O9)</f>
        <v xml:space="preserve">     El riesgo afecta la imagen de la entidad con algunos usuarios de relevancia frente al logro de los objetivos</v>
      </c>
      <c r="Q9" s="591" t="str">
        <f>IF(OR(P9='[8]Tabla Impacto'!$C$12,P9='[8]Tabla Impacto'!$D$12),"Leve",IF(OR(P9='[8]Tabla Impacto'!$C$13,P9='[8]Tabla Impacto'!$D$13),"Menor",IF(OR(P9='[8]Tabla Impacto'!$C$14,P9='[8]Tabla Impacto'!$D$14),"Moderado",IF(OR(P9='[8]Tabla Impacto'!$C$15,P9='[8]Tabla Impacto'!$D$15),"Mayor",IF(OR(P9='[8]Tabla Impacto'!$C$16,P9='[8]Tabla Impacto'!$D$16),"Catastrófico","")))))</f>
        <v>Moderado</v>
      </c>
      <c r="R9" s="590">
        <f t="shared" si="0"/>
        <v>0.6</v>
      </c>
      <c r="S9" s="592" t="str">
        <f t="shared" si="1"/>
        <v>Moderado</v>
      </c>
      <c r="T9" s="595">
        <v>1</v>
      </c>
      <c r="U9" s="631" t="s">
        <v>258</v>
      </c>
      <c r="V9" s="595" t="s">
        <v>2</v>
      </c>
      <c r="W9" s="596" t="s">
        <v>197</v>
      </c>
      <c r="X9" s="596" t="s">
        <v>198</v>
      </c>
      <c r="Y9" s="597" t="str">
        <f t="shared" si="3"/>
        <v>40%</v>
      </c>
      <c r="Z9" s="596" t="s">
        <v>259</v>
      </c>
      <c r="AA9" s="596" t="s">
        <v>200</v>
      </c>
      <c r="AB9" s="596" t="s">
        <v>201</v>
      </c>
      <c r="AC9" s="598">
        <f>IFERROR(IF(V9="Probabilidad",(R9-(+R9*Y9)),IF(V9="Impacto",R9,"")),"")</f>
        <v>0.36</v>
      </c>
      <c r="AD9" s="599" t="str">
        <f t="shared" si="4"/>
        <v>Baja</v>
      </c>
      <c r="AE9" s="600">
        <f t="shared" si="5"/>
        <v>0.36</v>
      </c>
      <c r="AF9" s="599" t="str">
        <f t="shared" si="6"/>
        <v>Moderado</v>
      </c>
      <c r="AG9" s="600">
        <f>IFERROR(IF(U4="Impacto",(R9-(+R9*Y9)),IF(V9="Probabilidad",R9,"")),"")</f>
        <v>0.6</v>
      </c>
      <c r="AH9" s="601" t="str">
        <f t="shared" si="7"/>
        <v>Moderado</v>
      </c>
      <c r="AI9" s="602" t="s">
        <v>202</v>
      </c>
      <c r="AJ9" s="941" t="s">
        <v>260</v>
      </c>
      <c r="AK9" s="944" t="s">
        <v>261</v>
      </c>
      <c r="AL9" s="941" t="s">
        <v>262</v>
      </c>
      <c r="AM9" s="947">
        <v>46022</v>
      </c>
      <c r="AN9" s="950" t="s">
        <v>263</v>
      </c>
      <c r="AO9" s="607"/>
      <c r="AP9" s="608">
        <v>45751</v>
      </c>
      <c r="AQ9" s="609" t="s">
        <v>262</v>
      </c>
      <c r="AR9" s="610" t="s">
        <v>264</v>
      </c>
      <c r="AS9" s="611" t="s">
        <v>205</v>
      </c>
      <c r="AT9" s="612" t="s">
        <v>206</v>
      </c>
      <c r="AU9" s="283" t="s">
        <v>206</v>
      </c>
      <c r="AV9" s="613"/>
      <c r="AW9" s="614">
        <v>45770</v>
      </c>
      <c r="AX9" s="615" t="s">
        <v>207</v>
      </c>
      <c r="AY9" s="635" t="s">
        <v>265</v>
      </c>
      <c r="BA9" s="617"/>
      <c r="BB9" s="617"/>
      <c r="BC9" s="618" t="s">
        <v>209</v>
      </c>
      <c r="BE9" s="614">
        <v>45845</v>
      </c>
      <c r="BF9" s="616" t="s">
        <v>262</v>
      </c>
      <c r="BG9" s="636" t="s">
        <v>266</v>
      </c>
      <c r="BH9" s="615" t="s">
        <v>205</v>
      </c>
      <c r="BI9" s="619" t="s">
        <v>206</v>
      </c>
      <c r="BJ9" s="619" t="s">
        <v>206</v>
      </c>
      <c r="BL9" s="450">
        <v>45855</v>
      </c>
      <c r="BM9" s="449" t="s">
        <v>215</v>
      </c>
      <c r="BN9" s="283" t="s">
        <v>231</v>
      </c>
      <c r="BP9" s="617"/>
      <c r="BQ9" s="617"/>
      <c r="BR9" s="618" t="s">
        <v>209</v>
      </c>
      <c r="BT9" s="614">
        <v>45939</v>
      </c>
      <c r="BU9" s="616" t="s">
        <v>262</v>
      </c>
      <c r="BV9" s="636" t="s">
        <v>267</v>
      </c>
      <c r="BW9" s="616" t="s">
        <v>205</v>
      </c>
      <c r="BX9" s="615" t="s">
        <v>206</v>
      </c>
      <c r="BY9" s="615" t="s">
        <v>206</v>
      </c>
      <c r="CA9" s="621">
        <v>45985</v>
      </c>
      <c r="CB9" s="616" t="s">
        <v>218</v>
      </c>
      <c r="CC9" s="283" t="s">
        <v>233</v>
      </c>
      <c r="CE9" s="617"/>
      <c r="CF9" s="617"/>
      <c r="CG9" s="618" t="s">
        <v>209</v>
      </c>
      <c r="CH9" s="192"/>
      <c r="CI9" s="558"/>
      <c r="CJ9" s="558"/>
      <c r="CK9" s="559" t="s">
        <v>209</v>
      </c>
      <c r="CL9" s="558"/>
      <c r="CM9" s="558"/>
      <c r="CN9" s="558"/>
      <c r="CO9" s="553"/>
      <c r="CP9" s="558"/>
      <c r="CQ9" s="558"/>
      <c r="CR9" s="559" t="s">
        <v>209</v>
      </c>
      <c r="CS9" s="553"/>
      <c r="CT9" s="558"/>
      <c r="CU9" s="558"/>
      <c r="CV9" s="559" t="s">
        <v>209</v>
      </c>
    </row>
    <row r="10" spans="1:100" ht="151.5" customHeight="1" x14ac:dyDescent="0.3">
      <c r="A10" s="632">
        <v>5</v>
      </c>
      <c r="B10" s="632" t="s">
        <v>254</v>
      </c>
      <c r="C10" s="633" t="s">
        <v>187</v>
      </c>
      <c r="D10" s="585" t="str">
        <f>IFERROR(INDEX('Base de datos gestión'!$D$28:$D$50,MATCH(C10,'Base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0" s="585" t="str">
        <f>IFERROR(INDEX('Base de datos gestión'!$E$28:$E$50,MATCH(C10,'Base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0" s="628" t="s">
        <v>188</v>
      </c>
      <c r="G10" s="629" t="s">
        <v>255</v>
      </c>
      <c r="H10" s="628" t="s">
        <v>256</v>
      </c>
      <c r="I10" s="628" t="s">
        <v>257</v>
      </c>
      <c r="J10" s="630" t="s">
        <v>192</v>
      </c>
      <c r="K10" s="630" t="s">
        <v>193</v>
      </c>
      <c r="L10" s="630">
        <v>12</v>
      </c>
      <c r="M10" s="588" t="str">
        <f t="shared" si="8"/>
        <v>Baja</v>
      </c>
      <c r="N10" s="589"/>
      <c r="O10" s="590" t="s">
        <v>248</v>
      </c>
      <c r="P10" s="589" t="str">
        <f>IF(NOT(ISERROR(MATCH(O10,'Tabla Impacto'!$B$222:$B$224,0))),'Tabla Impacto'!$F$224&amp;"Por favor no seleccionar los criterios de impacto(Afectación Económica o presupuestal y Pérdida Reputacional)",O10)</f>
        <v xml:space="preserve">     El riesgo afecta la imagen de la entidad con algunos usuarios de relevancia frente al logro de los objetivos</v>
      </c>
      <c r="Q10" s="591" t="str">
        <f>IF(OR(P10='[8]Tabla Impacto'!$C$12,P10='[8]Tabla Impacto'!$D$12),"Leve",IF(OR(P10='[8]Tabla Impacto'!$C$13,P10='[8]Tabla Impacto'!$D$13),"Menor",IF(OR(P10='[8]Tabla Impacto'!$C$14,P10='[8]Tabla Impacto'!$D$14),"Moderado",IF(OR(P10='[8]Tabla Impacto'!$C$15,P10='[8]Tabla Impacto'!$D$15),"Mayor",IF(OR(P10='[8]Tabla Impacto'!$C$16,P10='[8]Tabla Impacto'!$D$16),"Catastrófico","")))))</f>
        <v>Moderado</v>
      </c>
      <c r="R10" s="590">
        <f t="shared" ref="R10:R14" si="10">IF(Q10="","",IF(Q10="Leve",0.2,IF(Q10="Menor",0.4,IF(Q10="Moderado",0.6,IF(Q10="Mayor",0.8,IF(Q10="Catastrófico",1,))))))</f>
        <v>0.6</v>
      </c>
      <c r="S10" s="592" t="str">
        <f t="shared" ref="S10:S14" si="11">IF(OR(AND(M10="Muy Baja",Q10="Leve"),AND(M10="Muy Baja",Q10="Menor"),AND(M10="Baja",Q10="Leve")),"Bajo",IF(OR(AND(M10="Muy baja",Q10="Moderado"),AND(M10="Baja",Q10="Menor"),AND(M10="Baja",Q10="Moderado"),AND(M10="Media",Q10="Leve"),AND(M10="Media",Q10="Menor"),AND(M10="Media",Q10="Moderado"),AND(M10="Alta",Q10="Leve"),AND(M10="Alta",Q10="Menor")),"Moderado",IF(OR(AND(M10="Muy Baja",Q10="Mayor"),AND(M10="Baja",Q10="Mayor"),AND(M10="Media",Q10="Mayor"),AND(M10="Alta",Q10="Moderado"),AND(M10="Alta",Q10="Mayor"),AND(M10="Muy Alta",Q10="Leve"),AND(M10="Muy Alta",Q10="Menor"),AND(M10="Muy Alta",Q10="Moderado"),AND(M10="Muy Alta",Q10="Mayor")),"Alto",IF(OR(AND(M10="Muy Baja",Q10="Catastrófico"),AND(M10="Baja",Q10="Catastrófico"),AND(M10="Media",Q10="Catastrófico"),AND(M10="Alta",Q10="Catastrófico"),AND(M10="Muy Alta",Q10="Catastrófico")),"Extremo",""))))</f>
        <v>Moderado</v>
      </c>
      <c r="T10" s="595">
        <v>2</v>
      </c>
      <c r="U10" s="631" t="s">
        <v>268</v>
      </c>
      <c r="V10" s="595" t="s">
        <v>2</v>
      </c>
      <c r="W10" s="596" t="s">
        <v>269</v>
      </c>
      <c r="X10" s="596" t="s">
        <v>198</v>
      </c>
      <c r="Y10" s="597" t="str">
        <f t="shared" si="3"/>
        <v>30%</v>
      </c>
      <c r="Z10" s="596" t="s">
        <v>259</v>
      </c>
      <c r="AA10" s="596" t="s">
        <v>200</v>
      </c>
      <c r="AB10" s="596" t="s">
        <v>201</v>
      </c>
      <c r="AC10" s="598">
        <f>IFERROR(IF(AND(V9="Probabilidad",V10="Probabilidad"),(AE9-(+AE9*Y10)),IF(AND(V9="Impacto",V10="Probabilidad"),(AE9-(+AE9*Y10)),IF(V10="Impacto",AE9,""))),"")</f>
        <v>0.252</v>
      </c>
      <c r="AD10" s="599" t="str">
        <f t="shared" si="4"/>
        <v>Baja</v>
      </c>
      <c r="AE10" s="600">
        <f t="shared" si="5"/>
        <v>0.252</v>
      </c>
      <c r="AF10" s="599" t="str">
        <f t="shared" si="6"/>
        <v>Moderado</v>
      </c>
      <c r="AG10" s="600">
        <f>IFERROR(IF(AND(V9="Impacto",V10="Impacto"),(AG9-(+AG9*Y10)),IF(AND(V9="Probabilidad",V10="Impacto"),(AG8-(+AG8*Y10)),IF(V10="Probabilidad",AG9,""))),"")</f>
        <v>0.6</v>
      </c>
      <c r="AH10" s="601" t="str">
        <f t="shared" si="7"/>
        <v>Moderado</v>
      </c>
      <c r="AI10" s="602" t="s">
        <v>202</v>
      </c>
      <c r="AJ10" s="942"/>
      <c r="AK10" s="945"/>
      <c r="AL10" s="942"/>
      <c r="AM10" s="948"/>
      <c r="AN10" s="951"/>
      <c r="AO10" s="607"/>
      <c r="AP10" s="608"/>
      <c r="AQ10" s="609"/>
      <c r="AR10" s="610"/>
      <c r="AS10" s="611"/>
      <c r="AT10" s="612"/>
      <c r="AU10" s="283"/>
      <c r="AV10" s="613"/>
      <c r="AW10" s="614"/>
      <c r="AX10" s="615"/>
      <c r="AY10" s="635"/>
      <c r="BA10" s="617"/>
      <c r="BB10" s="617"/>
      <c r="BC10" s="618" t="s">
        <v>209</v>
      </c>
      <c r="BE10" s="614">
        <v>45845</v>
      </c>
      <c r="BF10" s="616" t="s">
        <v>262</v>
      </c>
      <c r="BG10" s="636" t="s">
        <v>266</v>
      </c>
      <c r="BH10" s="615" t="s">
        <v>205</v>
      </c>
      <c r="BI10" s="619" t="s">
        <v>206</v>
      </c>
      <c r="BJ10" s="619" t="s">
        <v>206</v>
      </c>
      <c r="BL10" s="450">
        <v>45855</v>
      </c>
      <c r="BM10" s="449" t="s">
        <v>215</v>
      </c>
      <c r="BN10" s="283" t="s">
        <v>231</v>
      </c>
      <c r="BP10" s="617"/>
      <c r="BQ10" s="617"/>
      <c r="BR10" s="618" t="s">
        <v>209</v>
      </c>
      <c r="BT10" s="614">
        <v>45939</v>
      </c>
      <c r="BU10" s="616" t="s">
        <v>262</v>
      </c>
      <c r="BV10" s="636" t="s">
        <v>267</v>
      </c>
      <c r="BW10" s="616" t="s">
        <v>205</v>
      </c>
      <c r="BX10" s="615" t="s">
        <v>206</v>
      </c>
      <c r="BY10" s="615" t="s">
        <v>206</v>
      </c>
      <c r="CA10" s="621">
        <v>45985</v>
      </c>
      <c r="CB10" s="616" t="s">
        <v>218</v>
      </c>
      <c r="CC10" s="283" t="s">
        <v>270</v>
      </c>
      <c r="CE10" s="617"/>
      <c r="CF10" s="617"/>
      <c r="CG10" s="618" t="s">
        <v>209</v>
      </c>
      <c r="CH10" s="192"/>
      <c r="CI10" s="558"/>
      <c r="CJ10" s="558"/>
      <c r="CK10" s="559"/>
      <c r="CL10" s="558"/>
      <c r="CM10" s="558"/>
      <c r="CN10" s="558"/>
      <c r="CO10" s="553"/>
      <c r="CP10" s="558"/>
      <c r="CQ10" s="558"/>
      <c r="CR10" s="559"/>
      <c r="CS10" s="553"/>
      <c r="CT10" s="558"/>
      <c r="CU10" s="558"/>
      <c r="CV10" s="559"/>
    </row>
    <row r="11" spans="1:100" ht="151.5" customHeight="1" x14ac:dyDescent="0.3">
      <c r="A11" s="632">
        <v>5</v>
      </c>
      <c r="B11" s="632" t="s">
        <v>254</v>
      </c>
      <c r="C11" s="633" t="s">
        <v>187</v>
      </c>
      <c r="D11" s="585" t="str">
        <f>IFERROR(INDEX('Base de datos gestión'!$D$28:$D$50,MATCH(C11,'Base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1" s="585" t="str">
        <f>IFERROR(INDEX('Base de datos gestión'!$E$28:$E$50,MATCH(C11,'Base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1" s="628" t="s">
        <v>188</v>
      </c>
      <c r="G11" s="629" t="s">
        <v>255</v>
      </c>
      <c r="H11" s="628" t="s">
        <v>256</v>
      </c>
      <c r="I11" s="628" t="s">
        <v>257</v>
      </c>
      <c r="J11" s="630" t="s">
        <v>192</v>
      </c>
      <c r="K11" s="630" t="s">
        <v>193</v>
      </c>
      <c r="L11" s="630">
        <v>12</v>
      </c>
      <c r="M11" s="588" t="str">
        <f t="shared" si="8"/>
        <v>Baja</v>
      </c>
      <c r="N11" s="589"/>
      <c r="O11" s="590" t="s">
        <v>248</v>
      </c>
      <c r="P11" s="589" t="str">
        <f>IF(NOT(ISERROR(MATCH(O11,'Tabla Impacto'!$B$222:$B$224,0))),'Tabla Impacto'!$F$224&amp;"Por favor no seleccionar los criterios de impacto(Afectación Económica o presupuestal y Pérdida Reputacional)",O11)</f>
        <v xml:space="preserve">     El riesgo afecta la imagen de la entidad con algunos usuarios de relevancia frente al logro de los objetivos</v>
      </c>
      <c r="Q11" s="591" t="str">
        <f>IF(OR(P11='[8]Tabla Impacto'!$C$12,P11='[8]Tabla Impacto'!$D$12),"Leve",IF(OR(P11='[8]Tabla Impacto'!$C$13,P11='[8]Tabla Impacto'!$D$13),"Menor",IF(OR(P11='[8]Tabla Impacto'!$C$14,P11='[8]Tabla Impacto'!$D$14),"Moderado",IF(OR(P11='[8]Tabla Impacto'!$C$15,P11='[8]Tabla Impacto'!$D$15),"Mayor",IF(OR(P11='[8]Tabla Impacto'!$C$16,P11='[8]Tabla Impacto'!$D$16),"Catastrófico","")))))</f>
        <v>Moderado</v>
      </c>
      <c r="R11" s="590">
        <f t="shared" si="10"/>
        <v>0.6</v>
      </c>
      <c r="S11" s="592" t="str">
        <f t="shared" si="11"/>
        <v>Moderado</v>
      </c>
      <c r="T11" s="595">
        <v>3</v>
      </c>
      <c r="U11" s="631" t="s">
        <v>271</v>
      </c>
      <c r="V11" s="595" t="s">
        <v>2</v>
      </c>
      <c r="W11" s="596" t="s">
        <v>269</v>
      </c>
      <c r="X11" s="596" t="s">
        <v>198</v>
      </c>
      <c r="Y11" s="597" t="str">
        <f t="shared" si="3"/>
        <v>30%</v>
      </c>
      <c r="Z11" s="596" t="s">
        <v>259</v>
      </c>
      <c r="AA11" s="596" t="s">
        <v>200</v>
      </c>
      <c r="AB11" s="596" t="s">
        <v>201</v>
      </c>
      <c r="AC11" s="598">
        <f t="shared" ref="AC11:AC14" si="12">IFERROR(IF(AND(V10="Probabilidad",V11="Probabilidad"),(AE10-(+AE10*Y11)),IF(AND(V10="Impacto",V11="Probabilidad"),(AE10-(+AE10*Y11)),IF(V11="Impacto",AE10,""))),"")</f>
        <v>0.1764</v>
      </c>
      <c r="AD11" s="599" t="str">
        <f t="shared" si="4"/>
        <v>Muy Baja</v>
      </c>
      <c r="AE11" s="600">
        <f t="shared" si="5"/>
        <v>0.1764</v>
      </c>
      <c r="AF11" s="599" t="str">
        <f t="shared" si="6"/>
        <v>Moderado</v>
      </c>
      <c r="AG11" s="600">
        <f t="shared" ref="AG11:AG14" si="13">IFERROR(IF(AND(V10="Impacto",V11="Impacto"),(AG10-(+AG10*Y11)),IF(AND(V10="Probabilidad",V11="Impacto"),(AG9-(+AG9*Y11)),IF(V11="Probabilidad",AG10,""))),"")</f>
        <v>0.6</v>
      </c>
      <c r="AH11" s="601" t="str">
        <f t="shared" si="7"/>
        <v>Moderado</v>
      </c>
      <c r="AI11" s="602" t="s">
        <v>202</v>
      </c>
      <c r="AJ11" s="942"/>
      <c r="AK11" s="945"/>
      <c r="AL11" s="942"/>
      <c r="AM11" s="948"/>
      <c r="AN11" s="951"/>
      <c r="AO11" s="607"/>
      <c r="AP11" s="608"/>
      <c r="AQ11" s="609"/>
      <c r="AR11" s="610"/>
      <c r="AS11" s="611"/>
      <c r="AT11" s="612"/>
      <c r="AU11" s="283"/>
      <c r="AV11" s="613"/>
      <c r="AW11" s="614"/>
      <c r="AX11" s="615"/>
      <c r="AY11" s="635"/>
      <c r="BA11" s="617"/>
      <c r="BB11" s="617"/>
      <c r="BC11" s="618" t="s">
        <v>209</v>
      </c>
      <c r="BE11" s="614">
        <v>45845</v>
      </c>
      <c r="BF11" s="616" t="s">
        <v>262</v>
      </c>
      <c r="BG11" s="636" t="s">
        <v>266</v>
      </c>
      <c r="BH11" s="615" t="s">
        <v>205</v>
      </c>
      <c r="BI11" s="619" t="s">
        <v>206</v>
      </c>
      <c r="BJ11" s="619" t="s">
        <v>206</v>
      </c>
      <c r="BL11" s="450">
        <v>45855</v>
      </c>
      <c r="BM11" s="449" t="s">
        <v>215</v>
      </c>
      <c r="BN11" s="283" t="s">
        <v>231</v>
      </c>
      <c r="BP11" s="617"/>
      <c r="BQ11" s="617"/>
      <c r="BR11" s="618" t="s">
        <v>209</v>
      </c>
      <c r="BT11" s="614">
        <v>45939</v>
      </c>
      <c r="BU11" s="616" t="s">
        <v>262</v>
      </c>
      <c r="BV11" s="636" t="s">
        <v>267</v>
      </c>
      <c r="BW11" s="616" t="s">
        <v>205</v>
      </c>
      <c r="BX11" s="615" t="s">
        <v>206</v>
      </c>
      <c r="BY11" s="615" t="s">
        <v>206</v>
      </c>
      <c r="CA11" s="621">
        <v>45985</v>
      </c>
      <c r="CB11" s="616" t="s">
        <v>218</v>
      </c>
      <c r="CC11" s="283" t="s">
        <v>270</v>
      </c>
      <c r="CE11" s="617"/>
      <c r="CF11" s="617"/>
      <c r="CG11" s="618" t="s">
        <v>209</v>
      </c>
      <c r="CH11" s="192"/>
      <c r="CI11" s="558"/>
      <c r="CJ11" s="558"/>
      <c r="CK11" s="559"/>
      <c r="CL11" s="558"/>
      <c r="CM11" s="558"/>
      <c r="CN11" s="558"/>
      <c r="CO11" s="553"/>
      <c r="CP11" s="558"/>
      <c r="CQ11" s="558"/>
      <c r="CR11" s="559"/>
      <c r="CS11" s="553"/>
      <c r="CT11" s="558"/>
      <c r="CU11" s="558"/>
      <c r="CV11" s="559"/>
    </row>
    <row r="12" spans="1:100" ht="151.5" customHeight="1" x14ac:dyDescent="0.3">
      <c r="A12" s="632">
        <v>5</v>
      </c>
      <c r="B12" s="632" t="s">
        <v>254</v>
      </c>
      <c r="C12" s="633" t="s">
        <v>187</v>
      </c>
      <c r="D12" s="585" t="str">
        <f>IFERROR(INDEX('Base de datos gestión'!$D$28:$D$50,MATCH(C12,'Base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2" s="585" t="str">
        <f>IFERROR(INDEX('Base de datos gestión'!$E$28:$E$50,MATCH(C12,'Base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2" s="628" t="s">
        <v>188</v>
      </c>
      <c r="G12" s="629" t="s">
        <v>255</v>
      </c>
      <c r="H12" s="628" t="s">
        <v>256</v>
      </c>
      <c r="I12" s="628" t="s">
        <v>257</v>
      </c>
      <c r="J12" s="630" t="s">
        <v>192</v>
      </c>
      <c r="K12" s="630" t="s">
        <v>193</v>
      </c>
      <c r="L12" s="630">
        <v>12</v>
      </c>
      <c r="M12" s="588" t="str">
        <f t="shared" si="8"/>
        <v>Baja</v>
      </c>
      <c r="N12" s="589"/>
      <c r="O12" s="590" t="s">
        <v>248</v>
      </c>
      <c r="P12" s="589" t="str">
        <f>IF(NOT(ISERROR(MATCH(O12,'Tabla Impacto'!$B$222:$B$224,0))),'Tabla Impacto'!$F$224&amp;"Por favor no seleccionar los criterios de impacto(Afectación Económica o presupuestal y Pérdida Reputacional)",O12)</f>
        <v xml:space="preserve">     El riesgo afecta la imagen de la entidad con algunos usuarios de relevancia frente al logro de los objetivos</v>
      </c>
      <c r="Q12" s="591" t="str">
        <f>IF(OR(P12='[8]Tabla Impacto'!$C$12,P12='[8]Tabla Impacto'!$D$12),"Leve",IF(OR(P12='[8]Tabla Impacto'!$C$13,P12='[8]Tabla Impacto'!$D$13),"Menor",IF(OR(P12='[8]Tabla Impacto'!$C$14,P12='[8]Tabla Impacto'!$D$14),"Moderado",IF(OR(P12='[8]Tabla Impacto'!$C$15,P12='[8]Tabla Impacto'!$D$15),"Mayor",IF(OR(P12='[8]Tabla Impacto'!$C$16,P12='[8]Tabla Impacto'!$D$16),"Catastrófico","")))))</f>
        <v>Moderado</v>
      </c>
      <c r="R12" s="590">
        <f t="shared" si="10"/>
        <v>0.6</v>
      </c>
      <c r="S12" s="592" t="str">
        <f t="shared" si="11"/>
        <v>Moderado</v>
      </c>
      <c r="T12" s="595">
        <v>4</v>
      </c>
      <c r="U12" s="631" t="s">
        <v>272</v>
      </c>
      <c r="V12" s="595" t="s">
        <v>2</v>
      </c>
      <c r="W12" s="596" t="s">
        <v>269</v>
      </c>
      <c r="X12" s="596" t="s">
        <v>198</v>
      </c>
      <c r="Y12" s="597" t="str">
        <f t="shared" si="3"/>
        <v>30%</v>
      </c>
      <c r="Z12" s="596" t="s">
        <v>259</v>
      </c>
      <c r="AA12" s="596" t="s">
        <v>200</v>
      </c>
      <c r="AB12" s="596" t="s">
        <v>201</v>
      </c>
      <c r="AC12" s="598">
        <f t="shared" si="12"/>
        <v>0.12348000000000001</v>
      </c>
      <c r="AD12" s="599" t="str">
        <f t="shared" si="4"/>
        <v>Muy Baja</v>
      </c>
      <c r="AE12" s="600">
        <f t="shared" si="5"/>
        <v>0.12348000000000001</v>
      </c>
      <c r="AF12" s="599" t="str">
        <f t="shared" si="6"/>
        <v>Moderado</v>
      </c>
      <c r="AG12" s="600">
        <f t="shared" si="13"/>
        <v>0.6</v>
      </c>
      <c r="AH12" s="601" t="str">
        <f t="shared" si="7"/>
        <v>Moderado</v>
      </c>
      <c r="AI12" s="602" t="s">
        <v>202</v>
      </c>
      <c r="AJ12" s="942"/>
      <c r="AK12" s="945"/>
      <c r="AL12" s="942"/>
      <c r="AM12" s="948"/>
      <c r="AN12" s="951"/>
      <c r="AO12" s="607"/>
      <c r="AP12" s="608"/>
      <c r="AQ12" s="609"/>
      <c r="AR12" s="610"/>
      <c r="AS12" s="611"/>
      <c r="AT12" s="612"/>
      <c r="AU12" s="283"/>
      <c r="AV12" s="613"/>
      <c r="AW12" s="614"/>
      <c r="AX12" s="615"/>
      <c r="AY12" s="635"/>
      <c r="BA12" s="617"/>
      <c r="BB12" s="617"/>
      <c r="BC12" s="618" t="s">
        <v>209</v>
      </c>
      <c r="BE12" s="614">
        <v>45845</v>
      </c>
      <c r="BF12" s="616" t="s">
        <v>262</v>
      </c>
      <c r="BG12" s="636" t="s">
        <v>266</v>
      </c>
      <c r="BH12" s="615" t="s">
        <v>205</v>
      </c>
      <c r="BI12" s="619" t="s">
        <v>206</v>
      </c>
      <c r="BJ12" s="619" t="s">
        <v>206</v>
      </c>
      <c r="BL12" s="450">
        <v>45855</v>
      </c>
      <c r="BM12" s="449" t="s">
        <v>215</v>
      </c>
      <c r="BN12" s="283" t="s">
        <v>231</v>
      </c>
      <c r="BP12" s="617"/>
      <c r="BQ12" s="617"/>
      <c r="BR12" s="618" t="s">
        <v>209</v>
      </c>
      <c r="BT12" s="614">
        <v>45939</v>
      </c>
      <c r="BU12" s="616" t="s">
        <v>262</v>
      </c>
      <c r="BV12" s="636" t="s">
        <v>267</v>
      </c>
      <c r="BW12" s="616" t="s">
        <v>205</v>
      </c>
      <c r="BX12" s="615" t="s">
        <v>206</v>
      </c>
      <c r="BY12" s="615" t="s">
        <v>206</v>
      </c>
      <c r="CA12" s="621">
        <v>45985</v>
      </c>
      <c r="CB12" s="616" t="s">
        <v>218</v>
      </c>
      <c r="CC12" s="283" t="s">
        <v>270</v>
      </c>
      <c r="CE12" s="617"/>
      <c r="CF12" s="617"/>
      <c r="CG12" s="618" t="s">
        <v>209</v>
      </c>
      <c r="CH12" s="192"/>
      <c r="CI12" s="558"/>
      <c r="CJ12" s="558"/>
      <c r="CK12" s="559"/>
      <c r="CL12" s="558"/>
      <c r="CM12" s="558"/>
      <c r="CN12" s="558"/>
      <c r="CO12" s="553"/>
      <c r="CP12" s="558"/>
      <c r="CQ12" s="558"/>
      <c r="CR12" s="559"/>
      <c r="CS12" s="553"/>
      <c r="CT12" s="558"/>
      <c r="CU12" s="558"/>
      <c r="CV12" s="559"/>
    </row>
    <row r="13" spans="1:100" ht="151.5" customHeight="1" x14ac:dyDescent="0.3">
      <c r="A13" s="632">
        <v>5</v>
      </c>
      <c r="B13" s="632" t="s">
        <v>254</v>
      </c>
      <c r="C13" s="633" t="s">
        <v>187</v>
      </c>
      <c r="D13" s="585" t="str">
        <f>IFERROR(INDEX('Base de datos gestión'!$D$28:$D$50,MATCH(C13,'Base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3" s="585" t="str">
        <f>IFERROR(INDEX('Base de datos gestión'!$E$28:$E$50,MATCH(C13,'Base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3" s="628" t="s">
        <v>188</v>
      </c>
      <c r="G13" s="629" t="s">
        <v>255</v>
      </c>
      <c r="H13" s="628" t="s">
        <v>256</v>
      </c>
      <c r="I13" s="628" t="s">
        <v>257</v>
      </c>
      <c r="J13" s="630" t="s">
        <v>192</v>
      </c>
      <c r="K13" s="630" t="s">
        <v>193</v>
      </c>
      <c r="L13" s="630">
        <v>12</v>
      </c>
      <c r="M13" s="588" t="str">
        <f t="shared" si="8"/>
        <v>Baja</v>
      </c>
      <c r="N13" s="589"/>
      <c r="O13" s="590" t="s">
        <v>248</v>
      </c>
      <c r="P13" s="589" t="str">
        <f>IF(NOT(ISERROR(MATCH(O13,'Tabla Impacto'!$B$222:$B$224,0))),'Tabla Impacto'!$F$224&amp;"Por favor no seleccionar los criterios de impacto(Afectación Económica o presupuestal y Pérdida Reputacional)",O13)</f>
        <v xml:space="preserve">     El riesgo afecta la imagen de la entidad con algunos usuarios de relevancia frente al logro de los objetivos</v>
      </c>
      <c r="Q13" s="591" t="str">
        <f>IF(OR(P13='[8]Tabla Impacto'!$C$12,P13='[8]Tabla Impacto'!$D$12),"Leve",IF(OR(P13='[8]Tabla Impacto'!$C$13,P13='[8]Tabla Impacto'!$D$13),"Menor",IF(OR(P13='[8]Tabla Impacto'!$C$14,P13='[8]Tabla Impacto'!$D$14),"Moderado",IF(OR(P13='[8]Tabla Impacto'!$C$15,P13='[8]Tabla Impacto'!$D$15),"Mayor",IF(OR(P13='[8]Tabla Impacto'!$C$16,P13='[8]Tabla Impacto'!$D$16),"Catastrófico","")))))</f>
        <v>Moderado</v>
      </c>
      <c r="R13" s="590">
        <f t="shared" si="10"/>
        <v>0.6</v>
      </c>
      <c r="S13" s="592" t="str">
        <f t="shared" si="11"/>
        <v>Moderado</v>
      </c>
      <c r="T13" s="595">
        <v>5</v>
      </c>
      <c r="U13" s="631" t="s">
        <v>273</v>
      </c>
      <c r="V13" s="595" t="s">
        <v>2</v>
      </c>
      <c r="W13" s="596" t="s">
        <v>269</v>
      </c>
      <c r="X13" s="596" t="s">
        <v>198</v>
      </c>
      <c r="Y13" s="597" t="str">
        <f t="shared" si="3"/>
        <v>30%</v>
      </c>
      <c r="Z13" s="596" t="s">
        <v>259</v>
      </c>
      <c r="AA13" s="596" t="s">
        <v>200</v>
      </c>
      <c r="AB13" s="596" t="s">
        <v>201</v>
      </c>
      <c r="AC13" s="598">
        <f t="shared" si="12"/>
        <v>8.6436000000000013E-2</v>
      </c>
      <c r="AD13" s="599" t="str">
        <f t="shared" si="4"/>
        <v>Muy Baja</v>
      </c>
      <c r="AE13" s="600">
        <f t="shared" si="5"/>
        <v>8.6436000000000013E-2</v>
      </c>
      <c r="AF13" s="599" t="str">
        <f t="shared" si="6"/>
        <v>Moderado</v>
      </c>
      <c r="AG13" s="600">
        <f>IFERROR(IF(AND(V12="Impacto",V13="Impacto"),(AG12-(+AG12*Y13)),IF(AND(V12="Probabilidad",V13="Impacto"),(AG11-(+AG11*Y13)),IF(V13="Probabilidad",AG12,""))),"")</f>
        <v>0.6</v>
      </c>
      <c r="AH13" s="601" t="str">
        <f t="shared" si="7"/>
        <v>Moderado</v>
      </c>
      <c r="AI13" s="602" t="s">
        <v>202</v>
      </c>
      <c r="AJ13" s="942"/>
      <c r="AK13" s="945"/>
      <c r="AL13" s="942"/>
      <c r="AM13" s="948"/>
      <c r="AN13" s="951"/>
      <c r="AO13" s="607"/>
      <c r="AP13" s="608"/>
      <c r="AQ13" s="609"/>
      <c r="AR13" s="610"/>
      <c r="AS13" s="611"/>
      <c r="AT13" s="612"/>
      <c r="AU13" s="283"/>
      <c r="AV13" s="613"/>
      <c r="AW13" s="614"/>
      <c r="AX13" s="615"/>
      <c r="AY13" s="635"/>
      <c r="BA13" s="617"/>
      <c r="BB13" s="617"/>
      <c r="BC13" s="618" t="s">
        <v>209</v>
      </c>
      <c r="BE13" s="614">
        <v>45845</v>
      </c>
      <c r="BF13" s="616" t="s">
        <v>262</v>
      </c>
      <c r="BG13" s="636" t="s">
        <v>266</v>
      </c>
      <c r="BH13" s="615" t="s">
        <v>205</v>
      </c>
      <c r="BI13" s="619" t="s">
        <v>206</v>
      </c>
      <c r="BJ13" s="619" t="s">
        <v>206</v>
      </c>
      <c r="BL13" s="450">
        <v>45855</v>
      </c>
      <c r="BM13" s="449" t="s">
        <v>215</v>
      </c>
      <c r="BN13" s="283" t="s">
        <v>231</v>
      </c>
      <c r="BP13" s="617"/>
      <c r="BQ13" s="617"/>
      <c r="BR13" s="618" t="s">
        <v>209</v>
      </c>
      <c r="BT13" s="614">
        <v>45939</v>
      </c>
      <c r="BU13" s="616" t="s">
        <v>262</v>
      </c>
      <c r="BV13" s="636" t="s">
        <v>267</v>
      </c>
      <c r="BW13" s="616" t="s">
        <v>205</v>
      </c>
      <c r="BX13" s="615" t="s">
        <v>206</v>
      </c>
      <c r="BY13" s="615" t="s">
        <v>206</v>
      </c>
      <c r="CA13" s="621">
        <v>45985</v>
      </c>
      <c r="CB13" s="616" t="s">
        <v>218</v>
      </c>
      <c r="CC13" s="283" t="s">
        <v>270</v>
      </c>
      <c r="CE13" s="617"/>
      <c r="CF13" s="617"/>
      <c r="CG13" s="618" t="s">
        <v>209</v>
      </c>
      <c r="CH13" s="192"/>
      <c r="CI13" s="558"/>
      <c r="CJ13" s="558"/>
      <c r="CK13" s="559"/>
      <c r="CL13" s="558"/>
      <c r="CM13" s="558"/>
      <c r="CN13" s="558"/>
      <c r="CO13" s="553"/>
      <c r="CP13" s="558"/>
      <c r="CQ13" s="558"/>
      <c r="CR13" s="559"/>
      <c r="CS13" s="553"/>
      <c r="CT13" s="558"/>
      <c r="CU13" s="558"/>
      <c r="CV13" s="559"/>
    </row>
    <row r="14" spans="1:100" ht="151.5" customHeight="1" x14ac:dyDescent="0.3">
      <c r="A14" s="632">
        <v>5</v>
      </c>
      <c r="B14" s="632" t="s">
        <v>254</v>
      </c>
      <c r="C14" s="633" t="s">
        <v>187</v>
      </c>
      <c r="D14" s="585" t="str">
        <f>IFERROR(INDEX('Base de datos gestión'!$D$28:$D$50,MATCH(C14,'Base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4" s="585" t="str">
        <f>IFERROR(INDEX('Base de datos gestión'!$E$28:$E$50,MATCH(C14,'Base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4" s="628" t="s">
        <v>188</v>
      </c>
      <c r="G14" s="629" t="s">
        <v>255</v>
      </c>
      <c r="H14" s="628" t="s">
        <v>256</v>
      </c>
      <c r="I14" s="628" t="s">
        <v>257</v>
      </c>
      <c r="J14" s="630" t="s">
        <v>192</v>
      </c>
      <c r="K14" s="630" t="s">
        <v>193</v>
      </c>
      <c r="L14" s="630">
        <v>12</v>
      </c>
      <c r="M14" s="588" t="str">
        <f t="shared" si="8"/>
        <v>Baja</v>
      </c>
      <c r="N14" s="589"/>
      <c r="O14" s="590" t="s">
        <v>248</v>
      </c>
      <c r="P14" s="589" t="str">
        <f>IF(NOT(ISERROR(MATCH(O14,'Tabla Impacto'!$B$222:$B$224,0))),'Tabla Impacto'!$F$224&amp;"Por favor no seleccionar los criterios de impacto(Afectación Económica o presupuestal y Pérdida Reputacional)",O14)</f>
        <v xml:space="preserve">     El riesgo afecta la imagen de la entidad con algunos usuarios de relevancia frente al logro de los objetivos</v>
      </c>
      <c r="Q14" s="591" t="str">
        <f>IF(OR(P14='[8]Tabla Impacto'!$C$12,P14='[8]Tabla Impacto'!$D$12),"Leve",IF(OR(P14='[8]Tabla Impacto'!$C$13,P14='[8]Tabla Impacto'!$D$13),"Menor",IF(OR(P14='[8]Tabla Impacto'!$C$14,P14='[8]Tabla Impacto'!$D$14),"Moderado",IF(OR(P14='[8]Tabla Impacto'!$C$15,P14='[8]Tabla Impacto'!$D$15),"Mayor",IF(OR(P14='[8]Tabla Impacto'!$C$16,P14='[8]Tabla Impacto'!$D$16),"Catastrófico","")))))</f>
        <v>Moderado</v>
      </c>
      <c r="R14" s="590">
        <f t="shared" si="10"/>
        <v>0.6</v>
      </c>
      <c r="S14" s="592" t="str">
        <f t="shared" si="11"/>
        <v>Moderado</v>
      </c>
      <c r="T14" s="595">
        <v>6</v>
      </c>
      <c r="U14" s="631" t="s">
        <v>274</v>
      </c>
      <c r="V14" s="595" t="s">
        <v>2</v>
      </c>
      <c r="W14" s="596" t="s">
        <v>269</v>
      </c>
      <c r="X14" s="596" t="s">
        <v>198</v>
      </c>
      <c r="Y14" s="597" t="str">
        <f t="shared" si="3"/>
        <v>30%</v>
      </c>
      <c r="Z14" s="596" t="s">
        <v>259</v>
      </c>
      <c r="AA14" s="596" t="s">
        <v>200</v>
      </c>
      <c r="AB14" s="596" t="s">
        <v>201</v>
      </c>
      <c r="AC14" s="598">
        <f t="shared" si="12"/>
        <v>6.0505200000000009E-2</v>
      </c>
      <c r="AD14" s="599" t="str">
        <f t="shared" si="4"/>
        <v>Muy Baja</v>
      </c>
      <c r="AE14" s="600">
        <f t="shared" si="5"/>
        <v>6.0505200000000009E-2</v>
      </c>
      <c r="AF14" s="599" t="str">
        <f t="shared" si="6"/>
        <v>Moderado</v>
      </c>
      <c r="AG14" s="600">
        <f t="shared" si="13"/>
        <v>0.6</v>
      </c>
      <c r="AH14" s="601" t="str">
        <f t="shared" si="7"/>
        <v>Moderado</v>
      </c>
      <c r="AI14" s="602" t="s">
        <v>202</v>
      </c>
      <c r="AJ14" s="943"/>
      <c r="AK14" s="946"/>
      <c r="AL14" s="943"/>
      <c r="AM14" s="949"/>
      <c r="AN14" s="952"/>
      <c r="AO14" s="607"/>
      <c r="AP14" s="608"/>
      <c r="AQ14" s="609"/>
      <c r="AR14" s="610"/>
      <c r="AS14" s="611"/>
      <c r="AT14" s="612"/>
      <c r="AU14" s="283"/>
      <c r="AV14" s="613"/>
      <c r="AW14" s="614"/>
      <c r="AX14" s="615"/>
      <c r="AY14" s="635"/>
      <c r="BA14" s="617"/>
      <c r="BB14" s="617"/>
      <c r="BC14" s="618" t="s">
        <v>209</v>
      </c>
      <c r="BE14" s="614">
        <v>45845</v>
      </c>
      <c r="BF14" s="616" t="s">
        <v>262</v>
      </c>
      <c r="BG14" s="636" t="s">
        <v>266</v>
      </c>
      <c r="BH14" s="615" t="s">
        <v>205</v>
      </c>
      <c r="BI14" s="619" t="s">
        <v>206</v>
      </c>
      <c r="BJ14" s="619" t="s">
        <v>206</v>
      </c>
      <c r="BL14" s="450">
        <v>45855</v>
      </c>
      <c r="BM14" s="449" t="s">
        <v>215</v>
      </c>
      <c r="BN14" s="283" t="s">
        <v>231</v>
      </c>
      <c r="BP14" s="617"/>
      <c r="BQ14" s="617"/>
      <c r="BR14" s="618" t="s">
        <v>209</v>
      </c>
      <c r="BT14" s="614">
        <v>45939</v>
      </c>
      <c r="BU14" s="616" t="s">
        <v>262</v>
      </c>
      <c r="BV14" s="636" t="s">
        <v>267</v>
      </c>
      <c r="BW14" s="616" t="s">
        <v>205</v>
      </c>
      <c r="BX14" s="615" t="s">
        <v>206</v>
      </c>
      <c r="BY14" s="615" t="s">
        <v>206</v>
      </c>
      <c r="CA14" s="621">
        <v>45985</v>
      </c>
      <c r="CB14" s="616" t="s">
        <v>218</v>
      </c>
      <c r="CC14" s="283" t="s">
        <v>270</v>
      </c>
      <c r="CE14" s="617"/>
      <c r="CF14" s="617"/>
      <c r="CG14" s="618" t="s">
        <v>209</v>
      </c>
      <c r="CH14" s="192"/>
      <c r="CI14" s="558"/>
      <c r="CJ14" s="558"/>
      <c r="CK14" s="559"/>
      <c r="CL14" s="558"/>
      <c r="CM14" s="558"/>
      <c r="CN14" s="558"/>
      <c r="CO14" s="553"/>
      <c r="CP14" s="558"/>
      <c r="CQ14" s="558"/>
      <c r="CR14" s="559"/>
      <c r="CS14" s="553"/>
      <c r="CT14" s="558"/>
      <c r="CU14" s="558"/>
      <c r="CV14" s="559"/>
    </row>
    <row r="15" spans="1:100" ht="151.5" customHeight="1" x14ac:dyDescent="0.3">
      <c r="A15" s="584">
        <v>6</v>
      </c>
      <c r="B15" s="584" t="s">
        <v>275</v>
      </c>
      <c r="C15" s="585" t="s">
        <v>187</v>
      </c>
      <c r="D15" s="640" t="str">
        <f>IFERROR(INDEX('Base de datos gestión'!$D$28:$D$50,MATCH(C15,'Base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5" s="585" t="str">
        <f>IFERROR(INDEX('Base de datos gestión'!$E$28:$E$50,MATCH(C15,'Base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5" s="628" t="s">
        <v>276</v>
      </c>
      <c r="G15" s="629" t="s">
        <v>277</v>
      </c>
      <c r="H15" s="628" t="s">
        <v>278</v>
      </c>
      <c r="I15" s="628" t="s">
        <v>279</v>
      </c>
      <c r="J15" s="630" t="s">
        <v>280</v>
      </c>
      <c r="K15" s="630" t="s">
        <v>193</v>
      </c>
      <c r="L15" s="630">
        <v>50</v>
      </c>
      <c r="M15" s="588" t="str">
        <f>IF(L15&lt;=0,"",IF(L15&lt;=2,"Muy Baja",IF(L15&lt;=24,"Baja",IF(L15&lt;=500,"Media",IF(L15&lt;=5000,"Alta","Muy Alta")))))</f>
        <v>Media</v>
      </c>
      <c r="N15" s="589">
        <f>IF(M15="","",IF(M15="Muy Baja",0.2,IF(M15="Baja",0.4,IF(M15="Media",0.6,IF(M15="Alta",0.8,IF(M15="Muy Alta",1,))))))</f>
        <v>0.6</v>
      </c>
      <c r="O15" s="590" t="s">
        <v>281</v>
      </c>
      <c r="P15" s="589" t="str">
        <f>IF(NOT(ISERROR(MATCH(O15,'Tabla Impacto'!$B$222:$B$224,0))),'Tabla Impacto'!$F$224&amp;"Por favor no seleccionar los criterios de impacto(Afectación Económica o presupuestal y Pérdida Reputacional)",O15)</f>
        <v xml:space="preserve">     El riesgo afecta la imagen de de la entidad con efecto publicitario sostenido a nivel de sector administrativo, nivel departamental o municipal</v>
      </c>
      <c r="Q15" s="591" t="str">
        <f>IF(OR(P15='[8]Tabla Impacto'!$C$12,P15='[8]Tabla Impacto'!$D$12),"Leve",IF(OR(P15='[8]Tabla Impacto'!$C$13,P15='[8]Tabla Impacto'!$D$13),"Menor",IF(OR(P15='[8]Tabla Impacto'!$C$14,P15='[8]Tabla Impacto'!$D$14),"Moderado",IF(OR(P15='[8]Tabla Impacto'!$C$15,P15='[8]Tabla Impacto'!$D$15),"Mayor",IF(OR(P15='[8]Tabla Impacto'!$C$16,P15='[8]Tabla Impacto'!$D$16),"Catastrófico","")))))</f>
        <v>Mayor</v>
      </c>
      <c r="R15" s="590">
        <f t="shared" si="0"/>
        <v>0.8</v>
      </c>
      <c r="S15" s="592" t="str">
        <f t="shared" si="1"/>
        <v>Alto</v>
      </c>
      <c r="T15" s="595">
        <v>1</v>
      </c>
      <c r="U15" s="631" t="s">
        <v>282</v>
      </c>
      <c r="V15" s="595" t="str">
        <f t="shared" si="2"/>
        <v>Probabilidad</v>
      </c>
      <c r="W15" s="596" t="s">
        <v>197</v>
      </c>
      <c r="X15" s="596" t="s">
        <v>198</v>
      </c>
      <c r="Y15" s="597" t="str">
        <f t="shared" si="3"/>
        <v>40%</v>
      </c>
      <c r="Z15" s="596" t="s">
        <v>259</v>
      </c>
      <c r="AA15" s="596" t="s">
        <v>200</v>
      </c>
      <c r="AB15" s="596" t="s">
        <v>201</v>
      </c>
      <c r="AC15" s="598">
        <f>IFERROR(IF(V15="Probabilidad",(N15-(+N15*Y15)),IF(V15="Impacto",N15,"")),"")</f>
        <v>0.36</v>
      </c>
      <c r="AD15" s="599" t="str">
        <f t="shared" si="4"/>
        <v>Baja</v>
      </c>
      <c r="AE15" s="600">
        <f t="shared" si="5"/>
        <v>0.36</v>
      </c>
      <c r="AF15" s="599" t="str">
        <f t="shared" si="6"/>
        <v>Mayor</v>
      </c>
      <c r="AG15" s="600">
        <f>IFERROR(IF(V15="Impacto",(R15-(+R15*Y15)),IF(V15="Probabilidad",R15,"")),"")</f>
        <v>0.8</v>
      </c>
      <c r="AH15" s="601" t="str">
        <f t="shared" si="7"/>
        <v>Alto</v>
      </c>
      <c r="AI15" s="602" t="s">
        <v>202</v>
      </c>
      <c r="AJ15" s="603"/>
      <c r="AK15" s="603"/>
      <c r="AL15" s="604"/>
      <c r="AM15" s="605"/>
      <c r="AN15" s="606"/>
      <c r="AO15" s="607"/>
      <c r="AP15" s="608">
        <v>45770</v>
      </c>
      <c r="AQ15" s="609" t="s">
        <v>218</v>
      </c>
      <c r="AR15" s="610" t="s">
        <v>283</v>
      </c>
      <c r="AS15" s="611" t="s">
        <v>205</v>
      </c>
      <c r="AT15" s="612" t="s">
        <v>206</v>
      </c>
      <c r="AU15" s="283" t="s">
        <v>206</v>
      </c>
      <c r="AV15" s="613"/>
      <c r="AW15" s="614">
        <v>45770</v>
      </c>
      <c r="AX15" s="615" t="s">
        <v>207</v>
      </c>
      <c r="AY15" s="635" t="s">
        <v>284</v>
      </c>
      <c r="BA15" s="617"/>
      <c r="BB15" s="617"/>
      <c r="BC15" s="618" t="s">
        <v>209</v>
      </c>
      <c r="BE15" s="608">
        <v>45861</v>
      </c>
      <c r="BF15" s="609" t="s">
        <v>218</v>
      </c>
      <c r="BG15" s="610" t="s">
        <v>283</v>
      </c>
      <c r="BH15" s="641" t="s">
        <v>205</v>
      </c>
      <c r="BI15" s="619" t="s">
        <v>206</v>
      </c>
      <c r="BJ15" s="619" t="s">
        <v>206</v>
      </c>
      <c r="BL15" s="450">
        <v>45869</v>
      </c>
      <c r="BM15" s="449" t="s">
        <v>285</v>
      </c>
      <c r="BN15" s="642" t="s">
        <v>286</v>
      </c>
      <c r="BP15" s="617"/>
      <c r="BQ15" s="617"/>
      <c r="BR15" s="618" t="s">
        <v>209</v>
      </c>
      <c r="BT15" s="608">
        <v>45985</v>
      </c>
      <c r="BU15" s="609" t="s">
        <v>218</v>
      </c>
      <c r="BV15" s="610" t="s">
        <v>283</v>
      </c>
      <c r="BW15" s="641" t="s">
        <v>205</v>
      </c>
      <c r="BX15" s="619" t="s">
        <v>206</v>
      </c>
      <c r="BY15" s="619" t="s">
        <v>206</v>
      </c>
      <c r="CA15" s="621">
        <v>45985</v>
      </c>
      <c r="CB15" s="616" t="s">
        <v>218</v>
      </c>
      <c r="CC15" s="643" t="s">
        <v>287</v>
      </c>
      <c r="CE15" s="617"/>
      <c r="CF15" s="617"/>
      <c r="CG15" s="618" t="s">
        <v>209</v>
      </c>
      <c r="CH15" s="192"/>
      <c r="CI15" s="558"/>
      <c r="CJ15" s="558"/>
      <c r="CK15" s="559" t="s">
        <v>209</v>
      </c>
      <c r="CL15" s="558"/>
      <c r="CM15" s="558"/>
      <c r="CN15" s="558"/>
      <c r="CO15" s="553"/>
      <c r="CP15" s="558"/>
      <c r="CQ15" s="558"/>
      <c r="CR15" s="559" t="s">
        <v>209</v>
      </c>
      <c r="CS15" s="553"/>
      <c r="CT15" s="558"/>
      <c r="CU15" s="558"/>
      <c r="CV15" s="559" t="s">
        <v>209</v>
      </c>
    </row>
    <row r="16" spans="1:100" ht="151.5" customHeight="1" x14ac:dyDescent="0.3">
      <c r="A16" s="622">
        <v>6</v>
      </c>
      <c r="B16" s="622" t="s">
        <v>275</v>
      </c>
      <c r="C16" s="623" t="s">
        <v>187</v>
      </c>
      <c r="D16" s="585" t="str">
        <f>IFERROR(INDEX('Base de datos gestión'!$D$28:$D$50,MATCH(C16,'Base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6" s="585" t="str">
        <f>IFERROR(INDEX('Base de datos gestión'!$E$28:$E$50,MATCH(C16,'Base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6" s="628" t="s">
        <v>276</v>
      </c>
      <c r="G16" s="629" t="s">
        <v>277</v>
      </c>
      <c r="H16" s="628" t="s">
        <v>278</v>
      </c>
      <c r="I16" s="628" t="s">
        <v>279</v>
      </c>
      <c r="J16" s="630" t="s">
        <v>280</v>
      </c>
      <c r="K16" s="630" t="s">
        <v>193</v>
      </c>
      <c r="L16" s="630">
        <v>50</v>
      </c>
      <c r="M16" s="588" t="str">
        <f t="shared" ref="M16:M24" si="14">IF(L16&lt;=0,"",IF(L16&lt;=2,"Muy Baja",IF(L16&lt;=24,"Baja",IF(L16&lt;=500,"Media",IF(L16&lt;=5000,"Alta","Muy Alta")))))</f>
        <v>Media</v>
      </c>
      <c r="N16" s="589">
        <f t="shared" ref="N16:N83" si="15">IF(M16="","",IF(M16="Muy Baja",0.2,IF(M16="Baja",0.4,IF(M16="Media",0.6,IF(M16="Alta",0.8,IF(M16="Muy Alta",1,))))))</f>
        <v>0.6</v>
      </c>
      <c r="O16" s="590" t="s">
        <v>281</v>
      </c>
      <c r="P16" s="589" t="str">
        <f>IF(NOT(ISERROR(MATCH(O16,'Tabla Impacto'!$B$222:$B$224,0))),'Tabla Impacto'!$F$224&amp;"Por favor no seleccionar los criterios de impacto(Afectación Económica o presupuestal y Pérdida Reputacional)",O16)</f>
        <v xml:space="preserve">     El riesgo afecta la imagen de de la entidad con efecto publicitario sostenido a nivel de sector administrativo, nivel departamental o municipal</v>
      </c>
      <c r="Q16" s="591" t="str">
        <f>IF(OR(P16='[8]Tabla Impacto'!$C$12,P16='[8]Tabla Impacto'!$D$12),"Leve",IF(OR(P16='[8]Tabla Impacto'!$C$13,P16='[8]Tabla Impacto'!$D$13),"Menor",IF(OR(P16='[8]Tabla Impacto'!$C$14,P16='[8]Tabla Impacto'!$D$14),"Moderado",IF(OR(P16='[8]Tabla Impacto'!$C$15,P16='[8]Tabla Impacto'!$D$15),"Mayor",IF(OR(P16='[8]Tabla Impacto'!$C$16,P16='[8]Tabla Impacto'!$D$16),"Catastrófico","")))))</f>
        <v>Mayor</v>
      </c>
      <c r="R16" s="590">
        <f t="shared" si="0"/>
        <v>0.8</v>
      </c>
      <c r="S16" s="592" t="str">
        <f t="shared" si="1"/>
        <v>Alto</v>
      </c>
      <c r="T16" s="591">
        <v>2</v>
      </c>
      <c r="U16" s="631" t="s">
        <v>288</v>
      </c>
      <c r="V16" s="595" t="str">
        <f t="shared" si="2"/>
        <v>Impacto</v>
      </c>
      <c r="W16" s="596" t="s">
        <v>240</v>
      </c>
      <c r="X16" s="596" t="s">
        <v>198</v>
      </c>
      <c r="Y16" s="597" t="str">
        <f t="shared" si="3"/>
        <v>25%</v>
      </c>
      <c r="Z16" s="596" t="s">
        <v>199</v>
      </c>
      <c r="AA16" s="596" t="s">
        <v>200</v>
      </c>
      <c r="AB16" s="596" t="s">
        <v>201</v>
      </c>
      <c r="AC16" s="598">
        <f>IFERROR(IF(AND(V15="Probabilidad",V16="Probabilidad"),(AE15-(+AE15*Y16)),IF(V16="Probabilidad",(N15-(+N15*Y16)),IF(V16="Impacto",AE15,""))),"")</f>
        <v>0.36</v>
      </c>
      <c r="AD16" s="599" t="str">
        <f t="shared" si="4"/>
        <v>Baja</v>
      </c>
      <c r="AE16" s="600">
        <f t="shared" si="5"/>
        <v>0.36</v>
      </c>
      <c r="AF16" s="599" t="str">
        <f t="shared" si="6"/>
        <v>Moderado</v>
      </c>
      <c r="AG16" s="600">
        <f>IFERROR(IF(AND(V15="Impacto",V16="Impacto"),(AG4-(+AG4*Y16)),IF(V16="Impacto",($R$15-(+$R$15*Y16)),IF(V16="Probabilidad",AG4,""))),"")</f>
        <v>0.60000000000000009</v>
      </c>
      <c r="AH16" s="601" t="str">
        <f t="shared" si="7"/>
        <v>Moderado</v>
      </c>
      <c r="AI16" s="602" t="s">
        <v>202</v>
      </c>
      <c r="AJ16" s="603"/>
      <c r="AK16" s="603"/>
      <c r="AL16" s="604"/>
      <c r="AM16" s="605"/>
      <c r="AN16" s="606"/>
      <c r="AO16" s="607"/>
      <c r="AP16" s="608">
        <v>45770</v>
      </c>
      <c r="AQ16" s="609" t="s">
        <v>218</v>
      </c>
      <c r="AR16" s="610" t="s">
        <v>283</v>
      </c>
      <c r="AS16" s="611" t="s">
        <v>205</v>
      </c>
      <c r="AT16" s="612" t="s">
        <v>206</v>
      </c>
      <c r="AU16" s="283" t="s">
        <v>206</v>
      </c>
      <c r="AV16" s="613"/>
      <c r="AW16" s="614">
        <v>45770</v>
      </c>
      <c r="AX16" s="615" t="s">
        <v>207</v>
      </c>
      <c r="AY16" s="635" t="s">
        <v>284</v>
      </c>
      <c r="BA16" s="617"/>
      <c r="BB16" s="617"/>
      <c r="BC16" s="618" t="s">
        <v>209</v>
      </c>
      <c r="BE16" s="608">
        <v>45861</v>
      </c>
      <c r="BF16" s="609" t="s">
        <v>218</v>
      </c>
      <c r="BG16" s="610" t="s">
        <v>283</v>
      </c>
      <c r="BH16" s="641" t="s">
        <v>205</v>
      </c>
      <c r="BI16" s="619" t="s">
        <v>206</v>
      </c>
      <c r="BJ16" s="619" t="s">
        <v>206</v>
      </c>
      <c r="BL16" s="450">
        <v>45869</v>
      </c>
      <c r="BM16" s="449" t="s">
        <v>285</v>
      </c>
      <c r="BN16" s="642" t="s">
        <v>286</v>
      </c>
      <c r="BP16" s="617"/>
      <c r="BQ16" s="617"/>
      <c r="BR16" s="618" t="s">
        <v>209</v>
      </c>
      <c r="BT16" s="608">
        <v>45985</v>
      </c>
      <c r="BU16" s="609" t="s">
        <v>218</v>
      </c>
      <c r="BV16" s="610" t="s">
        <v>283</v>
      </c>
      <c r="BW16" s="641" t="s">
        <v>205</v>
      </c>
      <c r="BX16" s="619" t="s">
        <v>206</v>
      </c>
      <c r="BY16" s="619" t="s">
        <v>206</v>
      </c>
      <c r="CA16" s="621">
        <v>45985</v>
      </c>
      <c r="CB16" s="616" t="s">
        <v>218</v>
      </c>
      <c r="CC16" s="643" t="s">
        <v>287</v>
      </c>
      <c r="CE16" s="617"/>
      <c r="CF16" s="617"/>
      <c r="CG16" s="618" t="s">
        <v>209</v>
      </c>
      <c r="CH16" s="192"/>
      <c r="CI16" s="558"/>
      <c r="CJ16" s="558"/>
      <c r="CK16" s="559" t="s">
        <v>209</v>
      </c>
      <c r="CL16" s="558"/>
      <c r="CM16" s="558"/>
      <c r="CN16" s="558"/>
      <c r="CO16" s="553"/>
      <c r="CP16" s="558"/>
      <c r="CQ16" s="558"/>
      <c r="CR16" s="559" t="s">
        <v>209</v>
      </c>
      <c r="CS16" s="553"/>
      <c r="CT16" s="558"/>
      <c r="CU16" s="558"/>
      <c r="CV16" s="559" t="s">
        <v>209</v>
      </c>
    </row>
    <row r="17" spans="1:100" ht="151.5" customHeight="1" x14ac:dyDescent="0.3">
      <c r="A17" s="622">
        <v>6</v>
      </c>
      <c r="B17" s="622" t="s">
        <v>275</v>
      </c>
      <c r="C17" s="623" t="s">
        <v>187</v>
      </c>
      <c r="D17" s="585" t="str">
        <f>IFERROR(INDEX('Base de datos gestión'!$D$28:$D$50,MATCH(C17,'Base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7" s="585" t="str">
        <f>IFERROR(INDEX('Base de datos gestión'!$E$28:$E$50,MATCH(C17,'Base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7" s="628" t="s">
        <v>276</v>
      </c>
      <c r="G17" s="629" t="s">
        <v>277</v>
      </c>
      <c r="H17" s="628" t="s">
        <v>278</v>
      </c>
      <c r="I17" s="628" t="s">
        <v>279</v>
      </c>
      <c r="J17" s="630" t="s">
        <v>280</v>
      </c>
      <c r="K17" s="630" t="s">
        <v>193</v>
      </c>
      <c r="L17" s="630">
        <v>50</v>
      </c>
      <c r="M17" s="588" t="str">
        <f t="shared" si="14"/>
        <v>Media</v>
      </c>
      <c r="N17" s="589">
        <f t="shared" si="15"/>
        <v>0.6</v>
      </c>
      <c r="O17" s="590" t="s">
        <v>281</v>
      </c>
      <c r="P17" s="589" t="str">
        <f>IF(NOT(ISERROR(MATCH(O17,'Tabla Impacto'!$B$222:$B$224,0))),'Tabla Impacto'!$F$224&amp;"Por favor no seleccionar los criterios de impacto(Afectación Económica o presupuestal y Pérdida Reputacional)",O17)</f>
        <v xml:space="preserve">     El riesgo afecta la imagen de de la entidad con efecto publicitario sostenido a nivel de sector administrativo, nivel departamental o municipal</v>
      </c>
      <c r="Q17" s="591" t="str">
        <f>IF(OR(P17='[8]Tabla Impacto'!$C$12,P17='[8]Tabla Impacto'!$D$12),"Leve",IF(OR(P17='[8]Tabla Impacto'!$C$13,P17='[8]Tabla Impacto'!$D$13),"Menor",IF(OR(P17='[8]Tabla Impacto'!$C$14,P17='[8]Tabla Impacto'!$D$14),"Moderado",IF(OR(P17='[8]Tabla Impacto'!$C$15,P17='[8]Tabla Impacto'!$D$15),"Mayor",IF(OR(P17='[8]Tabla Impacto'!$C$16,P17='[8]Tabla Impacto'!$D$16),"Catastrófico","")))))</f>
        <v>Mayor</v>
      </c>
      <c r="R17" s="590">
        <f t="shared" si="0"/>
        <v>0.8</v>
      </c>
      <c r="S17" s="592" t="str">
        <f t="shared" si="1"/>
        <v>Alto</v>
      </c>
      <c r="T17" s="591">
        <v>3</v>
      </c>
      <c r="U17" s="631" t="s">
        <v>289</v>
      </c>
      <c r="V17" s="595" t="str">
        <f t="shared" si="2"/>
        <v>Probabilidad</v>
      </c>
      <c r="W17" s="596" t="s">
        <v>197</v>
      </c>
      <c r="X17" s="596" t="s">
        <v>198</v>
      </c>
      <c r="Y17" s="597" t="str">
        <f t="shared" si="3"/>
        <v>40%</v>
      </c>
      <c r="Z17" s="596" t="s">
        <v>259</v>
      </c>
      <c r="AA17" s="596" t="s">
        <v>200</v>
      </c>
      <c r="AB17" s="596" t="s">
        <v>201</v>
      </c>
      <c r="AC17" s="598">
        <f>IFERROR(IF(AND(V16="Probabilidad",V17="Probabilidad"),(AE16-(+AE16*Y17)),IF(AND(V16="Impacto",V17="Probabilidad"),(AE15-(+AE15*Y17)),IF(V17="Impacto",AE16,""))),"")</f>
        <v>0.216</v>
      </c>
      <c r="AD17" s="599" t="str">
        <f>IFERROR(IF(AC17="","",IF(AC17&lt;=0.2,"Muy Baja",IF(AC17&lt;=0.4,"Baja",IF(AC17&lt;=0.6,"Media",IF(AC17&lt;=0.8,"Alta","Muy Alta"))))),"")</f>
        <v>Baja</v>
      </c>
      <c r="AE17" s="600">
        <f>+AC17</f>
        <v>0.216</v>
      </c>
      <c r="AF17" s="599" t="str">
        <f t="shared" si="6"/>
        <v>Moderado</v>
      </c>
      <c r="AG17" s="600">
        <f>IFERROR(IF(AND(V16="Impacto",V17="Impacto"),(AG16-(+AG16*Y17)),IF(AND(V16="Probabilidad",V17="Impacto"),(AG15-(+AG15*Y17)),IF(V17="Probabilidad",AG16,""))),"")</f>
        <v>0.60000000000000009</v>
      </c>
      <c r="AH17" s="601" t="str">
        <f t="shared" si="7"/>
        <v>Moderado</v>
      </c>
      <c r="AI17" s="602" t="s">
        <v>202</v>
      </c>
      <c r="AJ17" s="603"/>
      <c r="AK17" s="603"/>
      <c r="AL17" s="604"/>
      <c r="AM17" s="605"/>
      <c r="AN17" s="606"/>
      <c r="AO17" s="607"/>
      <c r="AP17" s="608">
        <v>45770</v>
      </c>
      <c r="AQ17" s="609" t="s">
        <v>218</v>
      </c>
      <c r="AR17" s="610" t="s">
        <v>283</v>
      </c>
      <c r="AS17" s="611" t="s">
        <v>205</v>
      </c>
      <c r="AT17" s="612" t="s">
        <v>206</v>
      </c>
      <c r="AU17" s="283" t="s">
        <v>206</v>
      </c>
      <c r="AV17" s="613"/>
      <c r="AW17" s="614">
        <v>45770</v>
      </c>
      <c r="AX17" s="615" t="s">
        <v>207</v>
      </c>
      <c r="AY17" s="635" t="s">
        <v>284</v>
      </c>
      <c r="BA17" s="617"/>
      <c r="BB17" s="617"/>
      <c r="BC17" s="618" t="s">
        <v>209</v>
      </c>
      <c r="BE17" s="608">
        <v>45861</v>
      </c>
      <c r="BF17" s="609" t="s">
        <v>218</v>
      </c>
      <c r="BG17" s="610" t="s">
        <v>283</v>
      </c>
      <c r="BH17" s="641" t="s">
        <v>205</v>
      </c>
      <c r="BI17" s="612" t="s">
        <v>206</v>
      </c>
      <c r="BJ17" s="283" t="s">
        <v>206</v>
      </c>
      <c r="BL17" s="450">
        <v>45869</v>
      </c>
      <c r="BM17" s="449" t="s">
        <v>285</v>
      </c>
      <c r="BN17" s="642" t="s">
        <v>286</v>
      </c>
      <c r="BP17" s="617"/>
      <c r="BQ17" s="617"/>
      <c r="BR17" s="618" t="s">
        <v>209</v>
      </c>
      <c r="BT17" s="608">
        <v>45985</v>
      </c>
      <c r="BU17" s="609" t="s">
        <v>218</v>
      </c>
      <c r="BV17" s="610" t="s">
        <v>283</v>
      </c>
      <c r="BW17" s="641" t="s">
        <v>205</v>
      </c>
      <c r="BX17" s="619" t="s">
        <v>206</v>
      </c>
      <c r="BY17" s="619" t="s">
        <v>206</v>
      </c>
      <c r="CA17" s="621">
        <v>45985</v>
      </c>
      <c r="CB17" s="616" t="s">
        <v>218</v>
      </c>
      <c r="CC17" s="643" t="s">
        <v>287</v>
      </c>
      <c r="CE17" s="617"/>
      <c r="CF17" s="617"/>
      <c r="CG17" s="618" t="s">
        <v>209</v>
      </c>
      <c r="CH17" s="192"/>
      <c r="CI17" s="558"/>
      <c r="CJ17" s="558"/>
      <c r="CK17" s="559" t="s">
        <v>209</v>
      </c>
      <c r="CL17" s="558"/>
      <c r="CM17" s="558"/>
      <c r="CN17" s="558"/>
      <c r="CO17" s="553"/>
      <c r="CP17" s="558"/>
      <c r="CQ17" s="558"/>
      <c r="CR17" s="559" t="s">
        <v>209</v>
      </c>
      <c r="CS17" s="553"/>
      <c r="CT17" s="558"/>
      <c r="CU17" s="558"/>
      <c r="CV17" s="559" t="s">
        <v>209</v>
      </c>
    </row>
    <row r="18" spans="1:100" ht="245.25" customHeight="1" x14ac:dyDescent="0.3">
      <c r="A18" s="622">
        <v>7</v>
      </c>
      <c r="B18" s="622" t="s">
        <v>290</v>
      </c>
      <c r="C18" s="623" t="s">
        <v>187</v>
      </c>
      <c r="D18" s="585" t="str">
        <f>IFERROR(INDEX('Base de datos gestión'!$D$28:$D$50,MATCH(C18,'Base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8" s="585" t="str">
        <f>IFERROR(INDEX('Base de datos gestión'!$E$28:$E$50,MATCH(C18,'Base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8" s="628" t="s">
        <v>276</v>
      </c>
      <c r="G18" s="644" t="s">
        <v>291</v>
      </c>
      <c r="H18" s="645" t="s">
        <v>292</v>
      </c>
      <c r="I18" s="645" t="s">
        <v>293</v>
      </c>
      <c r="J18" s="630" t="s">
        <v>280</v>
      </c>
      <c r="K18" s="630" t="s">
        <v>193</v>
      </c>
      <c r="L18" s="630">
        <v>1</v>
      </c>
      <c r="M18" s="588" t="str">
        <f t="shared" si="14"/>
        <v>Muy Baja</v>
      </c>
      <c r="N18" s="589">
        <f t="shared" si="15"/>
        <v>0.2</v>
      </c>
      <c r="O18" s="590" t="s">
        <v>248</v>
      </c>
      <c r="P18" s="589" t="str">
        <f>IF(NOT(ISERROR(MATCH(O18,'Tabla Impacto'!$B$222:$B$224,0))),'Tabla Impacto'!$F$224&amp;"Por favor no seleccionar los criterios de impacto(Afectación Económica o presupuestal y Pérdida Reputacional)",O18)</f>
        <v xml:space="preserve">     El riesgo afecta la imagen de la entidad con algunos usuarios de relevancia frente al logro de los objetivos</v>
      </c>
      <c r="Q18" s="591" t="str">
        <f>IF(OR(P18='[8]Tabla Impacto'!$C$12,P18='[8]Tabla Impacto'!$D$12),"Leve",IF(OR(P18='[8]Tabla Impacto'!$C$13,P18='[8]Tabla Impacto'!$D$13),"Menor",IF(OR(P18='[8]Tabla Impacto'!$C$14,P18='[8]Tabla Impacto'!$D$14),"Moderado",IF(OR(P18='[8]Tabla Impacto'!$C$15,P18='[8]Tabla Impacto'!$D$15),"Mayor",IF(OR(P18='[8]Tabla Impacto'!$C$16,P18='[8]Tabla Impacto'!$D$16),"Catastrófico","")))))</f>
        <v>Moderado</v>
      </c>
      <c r="R18" s="590">
        <f t="shared" si="0"/>
        <v>0.6</v>
      </c>
      <c r="S18" s="592" t="str">
        <f t="shared" si="1"/>
        <v>Moderado</v>
      </c>
      <c r="T18" s="591">
        <v>1</v>
      </c>
      <c r="U18" s="646" t="s">
        <v>294</v>
      </c>
      <c r="V18" s="595" t="str">
        <f t="shared" si="2"/>
        <v>Probabilidad</v>
      </c>
      <c r="W18" s="596" t="s">
        <v>197</v>
      </c>
      <c r="X18" s="596" t="s">
        <v>198</v>
      </c>
      <c r="Y18" s="597" t="str">
        <f t="shared" si="3"/>
        <v>40%</v>
      </c>
      <c r="Z18" s="596" t="s">
        <v>259</v>
      </c>
      <c r="AA18" s="596" t="s">
        <v>200</v>
      </c>
      <c r="AB18" s="596" t="s">
        <v>201</v>
      </c>
      <c r="AC18" s="598">
        <f>IFERROR(IF(V18="Probabilidad",(R18-(+R18*Y18)),IF(V18="Impacto",R18,"")),"")</f>
        <v>0.36</v>
      </c>
      <c r="AD18" s="599" t="str">
        <f>IFERROR(IF(AC18="","",IF(AC18&lt;=0.2,"Muy Baja",IF(AC18&lt;=0.4,"Baja",IF(AC18&lt;=0.6,"Media",IF(AC18&lt;=0.8,"Alta","Muy Alta"))))),"")</f>
        <v>Baja</v>
      </c>
      <c r="AE18" s="600">
        <f>+AC18</f>
        <v>0.36</v>
      </c>
      <c r="AF18" s="599" t="str">
        <f t="shared" ref="AF18:AF21" si="16">IFERROR(IF(AG18="","",IF(AG18&lt;=0.2,"Leve",IF(AG18&lt;=0.4,"Menor",IF(AG18&lt;=0.6,"Moderado",IF(AG18&lt;=0.8,"Mayor","Catastrófico"))))),"")</f>
        <v>Moderado</v>
      </c>
      <c r="AG18" s="600">
        <f>IFERROR(IF(U13="Impacto",(R18-(+R18*Y18)),IF(V18="Probabilidad",R18,"")),"")</f>
        <v>0.6</v>
      </c>
      <c r="AH18" s="601" t="str">
        <f t="shared" ref="AH18:AH21" si="17">IFERROR(IF(OR(AND(AD18="Muy Baja",AF18="Leve"),AND(AD18="Muy Baja",AF18="Menor"),AND(AD18="Baja",AF18="Leve")),"Bajo",IF(OR(AND(AD18="Muy baja",AF18="Moderado"),AND(AD18="Baja",AF18="Menor"),AND(AD18="Baja",AF18="Moderado"),AND(AD18="Media",AF18="Leve"),AND(AD18="Media",AF18="Menor"),AND(AD18="Media",AF18="Moderado"),AND(AD18="Alta",AF18="Leve"),AND(AD18="Alta",AF18="Menor")),"Moderado",IF(OR(AND(AD18="Muy Baja",AF18="Mayor"),AND(AD18="Baja",AF18="Mayor"),AND(AD18="Media",AF18="Mayor"),AND(AD18="Alta",AF18="Moderado"),AND(AD18="Alta",AF18="Mayor"),AND(AD18="Muy Alta",AF18="Leve"),AND(AD18="Muy Alta",AF18="Menor"),AND(AD18="Muy Alta",AF18="Moderado"),AND(AD18="Muy Alta",AF18="Mayor")),"Alto",IF(OR(AND(AD18="Muy Baja",AF18="Catastrófico"),AND(AD18="Baja",AF18="Catastrófico"),AND(AD18="Media",AF18="Catastrófico"),AND(AD18="Alta",AF18="Catastrófico"),AND(AD18="Muy Alta",AF18="Catastrófico")),"Extremo","")))),"")</f>
        <v>Moderado</v>
      </c>
      <c r="AI18" s="602" t="s">
        <v>202</v>
      </c>
      <c r="AJ18" s="941" t="s">
        <v>295</v>
      </c>
      <c r="AK18" s="941" t="s">
        <v>295</v>
      </c>
      <c r="AL18" s="941" t="s">
        <v>295</v>
      </c>
      <c r="AM18" s="941" t="s">
        <v>295</v>
      </c>
      <c r="AN18" s="939" t="s">
        <v>296</v>
      </c>
      <c r="AO18" s="607"/>
      <c r="AP18" s="608"/>
      <c r="AQ18" s="609"/>
      <c r="AR18" s="610"/>
      <c r="AS18" s="611"/>
      <c r="AT18" s="612"/>
      <c r="AU18" s="283"/>
      <c r="AV18" s="613"/>
      <c r="AW18" s="614"/>
      <c r="AX18" s="615"/>
      <c r="AY18" s="635"/>
      <c r="BA18" s="617"/>
      <c r="BB18" s="617"/>
      <c r="BC18" s="618"/>
      <c r="BE18" s="614">
        <v>45852</v>
      </c>
      <c r="BF18" s="615" t="s">
        <v>210</v>
      </c>
      <c r="BG18" s="283" t="s">
        <v>297</v>
      </c>
      <c r="BH18" s="449" t="s">
        <v>205</v>
      </c>
      <c r="BI18" s="619" t="s">
        <v>206</v>
      </c>
      <c r="BJ18" s="619" t="s">
        <v>206</v>
      </c>
      <c r="BL18" s="450">
        <v>45855</v>
      </c>
      <c r="BM18" s="449" t="s">
        <v>215</v>
      </c>
      <c r="BN18" s="283" t="s">
        <v>231</v>
      </c>
      <c r="BP18" s="617"/>
      <c r="BQ18" s="617"/>
      <c r="BR18" s="618" t="s">
        <v>209</v>
      </c>
      <c r="BT18" s="608">
        <v>45985</v>
      </c>
      <c r="BU18" s="615" t="s">
        <v>210</v>
      </c>
      <c r="BV18" s="283" t="s">
        <v>297</v>
      </c>
      <c r="BW18" s="449" t="s">
        <v>205</v>
      </c>
      <c r="BX18" s="619" t="s">
        <v>206</v>
      </c>
      <c r="BY18" s="619" t="s">
        <v>206</v>
      </c>
      <c r="CA18" s="621">
        <v>45985</v>
      </c>
      <c r="CB18" s="616" t="s">
        <v>218</v>
      </c>
      <c r="CC18" s="283" t="s">
        <v>298</v>
      </c>
      <c r="CE18" s="617"/>
      <c r="CF18" s="617"/>
      <c r="CG18" s="618" t="s">
        <v>209</v>
      </c>
      <c r="CH18" s="192"/>
      <c r="CI18" s="558"/>
      <c r="CJ18" s="558"/>
      <c r="CK18" s="559"/>
      <c r="CL18" s="558"/>
      <c r="CM18" s="558"/>
      <c r="CN18" s="558"/>
      <c r="CO18" s="553"/>
      <c r="CP18" s="558"/>
      <c r="CQ18" s="558"/>
      <c r="CR18" s="559"/>
      <c r="CS18" s="553"/>
      <c r="CT18" s="558"/>
      <c r="CU18" s="558"/>
      <c r="CV18" s="559"/>
    </row>
    <row r="19" spans="1:100" ht="234" customHeight="1" x14ac:dyDescent="0.3">
      <c r="A19" s="622">
        <v>7</v>
      </c>
      <c r="B19" s="622" t="s">
        <v>290</v>
      </c>
      <c r="C19" s="623" t="s">
        <v>187</v>
      </c>
      <c r="D19" s="585" t="str">
        <f>IFERROR(INDEX('Base de datos gestión'!$D$28:$D$50,MATCH(C19,'Base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19" s="585" t="str">
        <f>IFERROR(INDEX('Base de datos gestión'!$E$28:$E$50,MATCH(C19,'Base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19" s="628" t="s">
        <v>276</v>
      </c>
      <c r="G19" s="644" t="s">
        <v>291</v>
      </c>
      <c r="H19" s="645" t="s">
        <v>292</v>
      </c>
      <c r="I19" s="645" t="s">
        <v>293</v>
      </c>
      <c r="J19" s="630" t="s">
        <v>280</v>
      </c>
      <c r="K19" s="630" t="s">
        <v>193</v>
      </c>
      <c r="L19" s="630">
        <v>1</v>
      </c>
      <c r="M19" s="588" t="str">
        <f t="shared" si="14"/>
        <v>Muy Baja</v>
      </c>
      <c r="N19" s="589">
        <f t="shared" si="15"/>
        <v>0.2</v>
      </c>
      <c r="O19" s="590" t="s">
        <v>248</v>
      </c>
      <c r="P19" s="589" t="str">
        <f>IF(NOT(ISERROR(MATCH(O19,'Tabla Impacto'!$B$222:$B$224,0))),'Tabla Impacto'!$F$224&amp;"Por favor no seleccionar los criterios de impacto(Afectación Económica o presupuestal y Pérdida Reputacional)",O19)</f>
        <v xml:space="preserve">     El riesgo afecta la imagen de la entidad con algunos usuarios de relevancia frente al logro de los objetivos</v>
      </c>
      <c r="Q19" s="591" t="str">
        <f>IF(OR(P19='[8]Tabla Impacto'!$C$12,P19='[8]Tabla Impacto'!$D$12),"Leve",IF(OR(P19='[8]Tabla Impacto'!$C$13,P19='[8]Tabla Impacto'!$D$13),"Menor",IF(OR(P19='[8]Tabla Impacto'!$C$14,P19='[8]Tabla Impacto'!$D$14),"Moderado",IF(OR(P19='[8]Tabla Impacto'!$C$15,P19='[8]Tabla Impacto'!$D$15),"Mayor",IF(OR(P19='[8]Tabla Impacto'!$C$16,P19='[8]Tabla Impacto'!$D$16),"Catastrófico","")))))</f>
        <v>Moderado</v>
      </c>
      <c r="R19" s="590">
        <f t="shared" si="0"/>
        <v>0.6</v>
      </c>
      <c r="S19" s="592" t="str">
        <f t="shared" si="1"/>
        <v>Moderado</v>
      </c>
      <c r="T19" s="591">
        <v>2</v>
      </c>
      <c r="U19" s="646" t="s">
        <v>299</v>
      </c>
      <c r="V19" s="595" t="str">
        <f t="shared" si="2"/>
        <v>Probabilidad</v>
      </c>
      <c r="W19" s="596" t="s">
        <v>197</v>
      </c>
      <c r="X19" s="596" t="s">
        <v>198</v>
      </c>
      <c r="Y19" s="597" t="str">
        <f t="shared" si="3"/>
        <v>40%</v>
      </c>
      <c r="Z19" s="596" t="s">
        <v>259</v>
      </c>
      <c r="AA19" s="596" t="s">
        <v>200</v>
      </c>
      <c r="AB19" s="596" t="s">
        <v>201</v>
      </c>
      <c r="AC19" s="598">
        <f>IFERROR(IF(AND(V18="Probabilidad",V19="Probabilidad"),(AE18-(+AE18*Y19)),IF(AND(V18="Impacto",V19="Probabilidad"),(AE18-(+AE18*Y19)),IF(V19="Impacto",AE18,""))),"")</f>
        <v>0.216</v>
      </c>
      <c r="AD19" s="599" t="str">
        <f t="shared" ref="AD19:AD21" si="18">IFERROR(IF(AC19="","",IF(AC19&lt;=0.2,"Muy Baja",IF(AC19&lt;=0.4,"Baja",IF(AC19&lt;=0.6,"Media",IF(AC19&lt;=0.8,"Alta","Muy Alta"))))),"")</f>
        <v>Baja</v>
      </c>
      <c r="AE19" s="600">
        <f t="shared" ref="AE19:AE21" si="19">+AC19</f>
        <v>0.216</v>
      </c>
      <c r="AF19" s="599" t="str">
        <f t="shared" si="16"/>
        <v>Menor</v>
      </c>
      <c r="AG19" s="600">
        <f>IFERROR(IF(AND(V18="Impacto",V19="Impacto"),(AG7-(+AG7*Y19)),IF(V19="Impacto",($R$15-(+$R$15*Y19)),IF(V19="Probabilidad",AG7,""))),"")</f>
        <v>0.22500000000000003</v>
      </c>
      <c r="AH19" s="601" t="str">
        <f t="shared" si="17"/>
        <v>Moderado</v>
      </c>
      <c r="AI19" s="602" t="s">
        <v>202</v>
      </c>
      <c r="AJ19" s="942"/>
      <c r="AK19" s="942"/>
      <c r="AL19" s="942"/>
      <c r="AM19" s="942"/>
      <c r="AN19" s="953"/>
      <c r="AO19" s="607"/>
      <c r="AP19" s="608"/>
      <c r="AQ19" s="609"/>
      <c r="AR19" s="610"/>
      <c r="AS19" s="611"/>
      <c r="AT19" s="612"/>
      <c r="AU19" s="283"/>
      <c r="AV19" s="613"/>
      <c r="AW19" s="614"/>
      <c r="AX19" s="615"/>
      <c r="AY19" s="635"/>
      <c r="BA19" s="617"/>
      <c r="BB19" s="617"/>
      <c r="BC19" s="618"/>
      <c r="BE19" s="614">
        <v>45852</v>
      </c>
      <c r="BF19" s="616" t="s">
        <v>210</v>
      </c>
      <c r="BG19" s="283" t="s">
        <v>300</v>
      </c>
      <c r="BH19" s="449" t="s">
        <v>205</v>
      </c>
      <c r="BI19" s="619" t="s">
        <v>206</v>
      </c>
      <c r="BJ19" s="619" t="s">
        <v>206</v>
      </c>
      <c r="BL19" s="450">
        <v>45855</v>
      </c>
      <c r="BM19" s="449" t="s">
        <v>215</v>
      </c>
      <c r="BN19" s="283" t="s">
        <v>231</v>
      </c>
      <c r="BP19" s="617"/>
      <c r="BQ19" s="617"/>
      <c r="BR19" s="618" t="s">
        <v>209</v>
      </c>
      <c r="BT19" s="608">
        <v>45985</v>
      </c>
      <c r="BU19" s="616" t="s">
        <v>210</v>
      </c>
      <c r="BV19" s="283" t="s">
        <v>300</v>
      </c>
      <c r="BW19" s="449" t="s">
        <v>205</v>
      </c>
      <c r="BX19" s="619" t="s">
        <v>206</v>
      </c>
      <c r="BY19" s="619" t="s">
        <v>206</v>
      </c>
      <c r="CA19" s="621">
        <v>45985</v>
      </c>
      <c r="CB19" s="616" t="s">
        <v>218</v>
      </c>
      <c r="CC19" s="283" t="s">
        <v>298</v>
      </c>
      <c r="CE19" s="617"/>
      <c r="CF19" s="617"/>
      <c r="CG19" s="618" t="s">
        <v>209</v>
      </c>
      <c r="CH19" s="192"/>
      <c r="CI19" s="558"/>
      <c r="CJ19" s="558"/>
      <c r="CK19" s="559"/>
      <c r="CL19" s="558"/>
      <c r="CM19" s="558"/>
      <c r="CN19" s="558"/>
      <c r="CO19" s="553"/>
      <c r="CP19" s="558"/>
      <c r="CQ19" s="558"/>
      <c r="CR19" s="559"/>
      <c r="CS19" s="553"/>
      <c r="CT19" s="558"/>
      <c r="CU19" s="558"/>
      <c r="CV19" s="559"/>
    </row>
    <row r="20" spans="1:100" ht="237" customHeight="1" x14ac:dyDescent="0.3">
      <c r="A20" s="622">
        <v>7</v>
      </c>
      <c r="B20" s="622" t="s">
        <v>290</v>
      </c>
      <c r="C20" s="623" t="s">
        <v>187</v>
      </c>
      <c r="D20" s="585" t="str">
        <f>IFERROR(INDEX('Base de datos gestión'!$D$28:$D$50,MATCH(C20,'Base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20" s="585" t="str">
        <f>IFERROR(INDEX('Base de datos gestión'!$E$28:$E$50,MATCH(C20,'Base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20" s="628" t="s">
        <v>276</v>
      </c>
      <c r="G20" s="644" t="s">
        <v>291</v>
      </c>
      <c r="H20" s="645" t="s">
        <v>292</v>
      </c>
      <c r="I20" s="645" t="s">
        <v>293</v>
      </c>
      <c r="J20" s="630" t="s">
        <v>280</v>
      </c>
      <c r="K20" s="630" t="s">
        <v>193</v>
      </c>
      <c r="L20" s="630">
        <v>1</v>
      </c>
      <c r="M20" s="588" t="str">
        <f t="shared" si="14"/>
        <v>Muy Baja</v>
      </c>
      <c r="N20" s="589">
        <f t="shared" si="15"/>
        <v>0.2</v>
      </c>
      <c r="O20" s="590" t="s">
        <v>248</v>
      </c>
      <c r="P20" s="589" t="str">
        <f>IF(NOT(ISERROR(MATCH(O20,'Tabla Impacto'!$B$222:$B$224,0))),'Tabla Impacto'!$F$224&amp;"Por favor no seleccionar los criterios de impacto(Afectación Económica o presupuestal y Pérdida Reputacional)",O20)</f>
        <v xml:space="preserve">     El riesgo afecta la imagen de la entidad con algunos usuarios de relevancia frente al logro de los objetivos</v>
      </c>
      <c r="Q20" s="591" t="str">
        <f>IF(OR(P20='[8]Tabla Impacto'!$C$12,P20='[8]Tabla Impacto'!$D$12),"Leve",IF(OR(P20='[8]Tabla Impacto'!$C$13,P20='[8]Tabla Impacto'!$D$13),"Menor",IF(OR(P20='[8]Tabla Impacto'!$C$14,P20='[8]Tabla Impacto'!$D$14),"Moderado",IF(OR(P20='[8]Tabla Impacto'!$C$15,P20='[8]Tabla Impacto'!$D$15),"Mayor",IF(OR(P20='[8]Tabla Impacto'!$C$16,P20='[8]Tabla Impacto'!$D$16),"Catastrófico","")))))</f>
        <v>Moderado</v>
      </c>
      <c r="R20" s="590">
        <f t="shared" si="0"/>
        <v>0.6</v>
      </c>
      <c r="S20" s="592" t="str">
        <f t="shared" si="1"/>
        <v>Moderado</v>
      </c>
      <c r="T20" s="591">
        <v>3</v>
      </c>
      <c r="U20" s="646" t="s">
        <v>301</v>
      </c>
      <c r="V20" s="595" t="str">
        <f t="shared" si="2"/>
        <v>Probabilidad</v>
      </c>
      <c r="W20" s="596" t="s">
        <v>197</v>
      </c>
      <c r="X20" s="596" t="s">
        <v>198</v>
      </c>
      <c r="Y20" s="597" t="str">
        <f t="shared" si="3"/>
        <v>40%</v>
      </c>
      <c r="Z20" s="596" t="s">
        <v>259</v>
      </c>
      <c r="AA20" s="596" t="s">
        <v>200</v>
      </c>
      <c r="AB20" s="596" t="s">
        <v>201</v>
      </c>
      <c r="AC20" s="598">
        <f>IFERROR(IF(AND(V19="Probabilidad",V20="Probabilidad"),(AE19-(+AE19*Y20)),IF(AND(V19="Impacto",V20="Probabilidad"),(AE19-(+AE19*Y20)),IF(V20="Impacto",AE19,""))),"")</f>
        <v>0.12959999999999999</v>
      </c>
      <c r="AD20" s="599" t="str">
        <f t="shared" si="18"/>
        <v>Muy Baja</v>
      </c>
      <c r="AE20" s="600">
        <f t="shared" si="19"/>
        <v>0.12959999999999999</v>
      </c>
      <c r="AF20" s="599" t="str">
        <f t="shared" si="16"/>
        <v>Menor</v>
      </c>
      <c r="AG20" s="600">
        <f t="shared" ref="AG20:AG21" si="20">IFERROR(IF(AND(V19="Impacto",V20="Impacto"),(AG19-(+AG19*Y20)),IF(AND(V19="Probabilidad",V20="Impacto"),(AG18-(+AG18*Y20)),IF(V20="Probabilidad",AG19,""))),"")</f>
        <v>0.22500000000000003</v>
      </c>
      <c r="AH20" s="601" t="str">
        <f t="shared" si="17"/>
        <v>Bajo</v>
      </c>
      <c r="AI20" s="602" t="s">
        <v>202</v>
      </c>
      <c r="AJ20" s="942"/>
      <c r="AK20" s="942"/>
      <c r="AL20" s="942"/>
      <c r="AM20" s="942"/>
      <c r="AN20" s="953"/>
      <c r="AO20" s="607"/>
      <c r="AP20" s="608"/>
      <c r="AQ20" s="609"/>
      <c r="AR20" s="610"/>
      <c r="AS20" s="611"/>
      <c r="AT20" s="612"/>
      <c r="AU20" s="283"/>
      <c r="AV20" s="613"/>
      <c r="AW20" s="614"/>
      <c r="AX20" s="615"/>
      <c r="AY20" s="635"/>
      <c r="BA20" s="617"/>
      <c r="BB20" s="617"/>
      <c r="BC20" s="618"/>
      <c r="BE20" s="614">
        <v>45852</v>
      </c>
      <c r="BF20" s="616" t="s">
        <v>210</v>
      </c>
      <c r="BG20" s="283" t="s">
        <v>302</v>
      </c>
      <c r="BH20" s="449" t="s">
        <v>205</v>
      </c>
      <c r="BI20" s="619" t="s">
        <v>206</v>
      </c>
      <c r="BJ20" s="619" t="s">
        <v>206</v>
      </c>
      <c r="BL20" s="450">
        <v>45855</v>
      </c>
      <c r="BM20" s="449" t="s">
        <v>215</v>
      </c>
      <c r="BN20" s="283" t="s">
        <v>231</v>
      </c>
      <c r="BP20" s="617"/>
      <c r="BQ20" s="617"/>
      <c r="BR20" s="618" t="s">
        <v>209</v>
      </c>
      <c r="BT20" s="608">
        <v>45985</v>
      </c>
      <c r="BU20" s="616" t="s">
        <v>210</v>
      </c>
      <c r="BV20" s="283" t="s">
        <v>302</v>
      </c>
      <c r="BW20" s="449" t="s">
        <v>205</v>
      </c>
      <c r="BX20" s="619" t="s">
        <v>206</v>
      </c>
      <c r="BY20" s="619" t="s">
        <v>206</v>
      </c>
      <c r="CA20" s="621">
        <v>45985</v>
      </c>
      <c r="CB20" s="616" t="s">
        <v>218</v>
      </c>
      <c r="CC20" s="283" t="s">
        <v>298</v>
      </c>
      <c r="CE20" s="617"/>
      <c r="CF20" s="617"/>
      <c r="CG20" s="618" t="s">
        <v>209</v>
      </c>
      <c r="CH20" s="192"/>
      <c r="CI20" s="558"/>
      <c r="CJ20" s="558"/>
      <c r="CK20" s="559"/>
      <c r="CL20" s="558"/>
      <c r="CM20" s="558"/>
      <c r="CN20" s="558"/>
      <c r="CO20" s="553"/>
      <c r="CP20" s="558"/>
      <c r="CQ20" s="558"/>
      <c r="CR20" s="559"/>
      <c r="CS20" s="553"/>
      <c r="CT20" s="558"/>
      <c r="CU20" s="558"/>
      <c r="CV20" s="559"/>
    </row>
    <row r="21" spans="1:100" ht="236.25" customHeight="1" x14ac:dyDescent="0.3">
      <c r="A21" s="622">
        <v>7</v>
      </c>
      <c r="B21" s="622" t="s">
        <v>290</v>
      </c>
      <c r="C21" s="623" t="s">
        <v>187</v>
      </c>
      <c r="D21" s="585" t="str">
        <f>IFERROR(INDEX('Base de datos gestión'!$D$28:$D$50,MATCH(C21,'Base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E21" s="585" t="str">
        <f>IFERROR(INDEX('Base de datos gestión'!$E$28:$E$50,MATCH(C21,'Base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F21" s="628" t="s">
        <v>276</v>
      </c>
      <c r="G21" s="644" t="s">
        <v>291</v>
      </c>
      <c r="H21" s="645" t="s">
        <v>292</v>
      </c>
      <c r="I21" s="645" t="s">
        <v>293</v>
      </c>
      <c r="J21" s="630" t="s">
        <v>280</v>
      </c>
      <c r="K21" s="630" t="s">
        <v>193</v>
      </c>
      <c r="L21" s="630">
        <v>1</v>
      </c>
      <c r="M21" s="588" t="str">
        <f t="shared" si="14"/>
        <v>Muy Baja</v>
      </c>
      <c r="N21" s="589">
        <f t="shared" si="15"/>
        <v>0.2</v>
      </c>
      <c r="O21" s="590" t="s">
        <v>248</v>
      </c>
      <c r="P21" s="589" t="str">
        <f>IF(NOT(ISERROR(MATCH(O21,'Tabla Impacto'!$B$222:$B$224,0))),'Tabla Impacto'!$F$224&amp;"Por favor no seleccionar los criterios de impacto(Afectación Económica o presupuestal y Pérdida Reputacional)",O21)</f>
        <v xml:space="preserve">     El riesgo afecta la imagen de la entidad con algunos usuarios de relevancia frente al logro de los objetivos</v>
      </c>
      <c r="Q21" s="591" t="str">
        <f>IF(OR(P21='[8]Tabla Impacto'!$C$12,P21='[8]Tabla Impacto'!$D$12),"Leve",IF(OR(P21='[8]Tabla Impacto'!$C$13,P21='[8]Tabla Impacto'!$D$13),"Menor",IF(OR(P21='[8]Tabla Impacto'!$C$14,P21='[8]Tabla Impacto'!$D$14),"Moderado",IF(OR(P21='[8]Tabla Impacto'!$C$15,P21='[8]Tabla Impacto'!$D$15),"Mayor",IF(OR(P21='[8]Tabla Impacto'!$C$16,P21='[8]Tabla Impacto'!$D$16),"Catastrófico","")))))</f>
        <v>Moderado</v>
      </c>
      <c r="R21" s="590">
        <f t="shared" si="0"/>
        <v>0.6</v>
      </c>
      <c r="S21" s="592" t="str">
        <f t="shared" si="1"/>
        <v>Moderado</v>
      </c>
      <c r="T21" s="591">
        <v>4</v>
      </c>
      <c r="U21" s="646" t="s">
        <v>303</v>
      </c>
      <c r="V21" s="595" t="str">
        <f t="shared" si="2"/>
        <v>Probabilidad</v>
      </c>
      <c r="W21" s="596" t="s">
        <v>197</v>
      </c>
      <c r="X21" s="596" t="s">
        <v>198</v>
      </c>
      <c r="Y21" s="597" t="str">
        <f t="shared" si="3"/>
        <v>40%</v>
      </c>
      <c r="Z21" s="596" t="s">
        <v>259</v>
      </c>
      <c r="AA21" s="596" t="s">
        <v>200</v>
      </c>
      <c r="AB21" s="596" t="s">
        <v>201</v>
      </c>
      <c r="AC21" s="598">
        <f t="shared" ref="AC21" si="21">IFERROR(IF(AND(V20="Probabilidad",V21="Probabilidad"),(AE20-(+AE20*Y21)),IF(AND(V20="Impacto",V21="Probabilidad"),(AE20-(+AE20*Y21)),IF(V21="Impacto",AE20,""))),"")</f>
        <v>7.7759999999999996E-2</v>
      </c>
      <c r="AD21" s="599" t="str">
        <f t="shared" si="18"/>
        <v>Muy Baja</v>
      </c>
      <c r="AE21" s="600">
        <f t="shared" si="19"/>
        <v>7.7759999999999996E-2</v>
      </c>
      <c r="AF21" s="599" t="str">
        <f t="shared" si="16"/>
        <v>Menor</v>
      </c>
      <c r="AG21" s="600">
        <f t="shared" si="20"/>
        <v>0.22500000000000003</v>
      </c>
      <c r="AH21" s="601" t="str">
        <f t="shared" si="17"/>
        <v>Bajo</v>
      </c>
      <c r="AI21" s="602" t="s">
        <v>202</v>
      </c>
      <c r="AJ21" s="943"/>
      <c r="AK21" s="943"/>
      <c r="AL21" s="943"/>
      <c r="AM21" s="943"/>
      <c r="AN21" s="940"/>
      <c r="AO21" s="607"/>
      <c r="AP21" s="608"/>
      <c r="AQ21" s="609"/>
      <c r="AR21" s="610"/>
      <c r="AS21" s="611"/>
      <c r="AT21" s="612"/>
      <c r="AU21" s="283"/>
      <c r="AV21" s="613"/>
      <c r="AW21" s="614"/>
      <c r="AX21" s="615"/>
      <c r="AY21" s="635"/>
      <c r="BA21" s="617"/>
      <c r="BB21" s="617"/>
      <c r="BC21" s="618"/>
      <c r="BE21" s="615"/>
      <c r="BF21" s="616" t="s">
        <v>304</v>
      </c>
      <c r="BG21" s="283" t="s">
        <v>305</v>
      </c>
      <c r="BH21" s="449" t="s">
        <v>205</v>
      </c>
      <c r="BI21" s="619" t="s">
        <v>206</v>
      </c>
      <c r="BJ21" s="619" t="s">
        <v>206</v>
      </c>
      <c r="BL21" s="450">
        <v>45855</v>
      </c>
      <c r="BM21" s="449" t="s">
        <v>215</v>
      </c>
      <c r="BN21" s="283" t="s">
        <v>231</v>
      </c>
      <c r="BP21" s="617"/>
      <c r="BQ21" s="617"/>
      <c r="BR21" s="618" t="s">
        <v>209</v>
      </c>
      <c r="BT21" s="608">
        <v>45985</v>
      </c>
      <c r="BU21" s="616" t="s">
        <v>210</v>
      </c>
      <c r="BV21" s="283" t="s">
        <v>305</v>
      </c>
      <c r="BW21" s="449" t="s">
        <v>205</v>
      </c>
      <c r="BX21" s="619" t="s">
        <v>206</v>
      </c>
      <c r="BY21" s="619" t="s">
        <v>206</v>
      </c>
      <c r="CA21" s="621">
        <v>45985</v>
      </c>
      <c r="CB21" s="616" t="s">
        <v>218</v>
      </c>
      <c r="CC21" s="283" t="s">
        <v>298</v>
      </c>
      <c r="CE21" s="617"/>
      <c r="CF21" s="617"/>
      <c r="CG21" s="618" t="s">
        <v>209</v>
      </c>
      <c r="CH21" s="192"/>
      <c r="CI21" s="558"/>
      <c r="CJ21" s="558"/>
      <c r="CK21" s="559"/>
      <c r="CL21" s="558"/>
      <c r="CM21" s="558"/>
      <c r="CN21" s="558"/>
      <c r="CO21" s="553"/>
      <c r="CP21" s="558"/>
      <c r="CQ21" s="558"/>
      <c r="CR21" s="559"/>
      <c r="CS21" s="553"/>
      <c r="CT21" s="558"/>
      <c r="CU21" s="558"/>
      <c r="CV21" s="559"/>
    </row>
    <row r="22" spans="1:100" ht="151.5" customHeight="1" x14ac:dyDescent="0.3">
      <c r="A22" s="622">
        <v>8</v>
      </c>
      <c r="B22" s="622" t="s">
        <v>306</v>
      </c>
      <c r="C22" s="623" t="s">
        <v>307</v>
      </c>
      <c r="D22" s="585" t="str">
        <f>IFERROR(INDEX('Base de datos gestión'!$D$28:$D$50,MATCH(C22,'Base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2" s="585" t="str">
        <f>IFERROR(INDEX('Base de datos gestión'!$E$28:$E$50,MATCH(C22,'Base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2" s="628" t="s">
        <v>188</v>
      </c>
      <c r="G22" s="629" t="s">
        <v>308</v>
      </c>
      <c r="H22" s="628" t="s">
        <v>309</v>
      </c>
      <c r="I22" s="628" t="s">
        <v>310</v>
      </c>
      <c r="J22" s="630" t="s">
        <v>192</v>
      </c>
      <c r="K22" s="630" t="s">
        <v>311</v>
      </c>
      <c r="L22" s="630">
        <v>50</v>
      </c>
      <c r="M22" s="588" t="str">
        <f t="shared" si="14"/>
        <v>Media</v>
      </c>
      <c r="N22" s="589">
        <f t="shared" si="15"/>
        <v>0.6</v>
      </c>
      <c r="O22" s="590" t="s">
        <v>248</v>
      </c>
      <c r="P22" s="589" t="str">
        <f>IF(NOT(ISERROR(MATCH(O22,'Tabla Impacto'!$B$222:$B$224,0))),'Tabla Impacto'!$F$224&amp;"Por favor no seleccionar los criterios de impacto(Afectación Económica o presupuestal y Pérdida Reputacional)",O22)</f>
        <v xml:space="preserve">     El riesgo afecta la imagen de la entidad con algunos usuarios de relevancia frente al logro de los objetivos</v>
      </c>
      <c r="Q22" s="591" t="str">
        <f>IF(OR(P22='[8]Tabla Impacto'!$C$12,P22='[8]Tabla Impacto'!$D$12),"Leve",IF(OR(P22='[8]Tabla Impacto'!$C$13,P22='[8]Tabla Impacto'!$D$13),"Menor",IF(OR(P22='[8]Tabla Impacto'!$C$14,P22='[8]Tabla Impacto'!$D$14),"Moderado",IF(OR(P22='[8]Tabla Impacto'!$C$15,P22='[8]Tabla Impacto'!$D$15),"Mayor",IF(OR(P22='[8]Tabla Impacto'!$C$16,P22='[8]Tabla Impacto'!$D$16),"Catastrófico","")))))</f>
        <v>Moderado</v>
      </c>
      <c r="R22" s="590">
        <f t="shared" si="0"/>
        <v>0.6</v>
      </c>
      <c r="S22" s="592" t="str">
        <f t="shared" si="1"/>
        <v>Moderado</v>
      </c>
      <c r="T22" s="595">
        <v>1</v>
      </c>
      <c r="U22" s="631" t="s">
        <v>312</v>
      </c>
      <c r="V22" s="595" t="str">
        <f t="shared" si="2"/>
        <v>Probabilidad</v>
      </c>
      <c r="W22" s="596" t="s">
        <v>197</v>
      </c>
      <c r="X22" s="596" t="s">
        <v>198</v>
      </c>
      <c r="Y22" s="597" t="str">
        <f t="shared" si="3"/>
        <v>40%</v>
      </c>
      <c r="Z22" s="596" t="s">
        <v>259</v>
      </c>
      <c r="AA22" s="596" t="s">
        <v>200</v>
      </c>
      <c r="AB22" s="596" t="s">
        <v>201</v>
      </c>
      <c r="AC22" s="598">
        <f>IFERROR(IF(AND(V17="Probabilidad",V22="Probabilidad"),(AE17-(+AE17*Y22)),IF(AND(V17="Impacto",V22="Probabilidad"),(AE16-(+AE16*Y22)),IF(V22="Impacto",AE17,""))),"")</f>
        <v>0.12959999999999999</v>
      </c>
      <c r="AD22" s="599" t="str">
        <f t="shared" si="4"/>
        <v>Muy Baja</v>
      </c>
      <c r="AE22" s="600">
        <f t="shared" si="5"/>
        <v>0.12959999999999999</v>
      </c>
      <c r="AF22" s="599" t="str">
        <f t="shared" si="6"/>
        <v>Moderado</v>
      </c>
      <c r="AG22" s="600">
        <f>IFERROR(IF(AND(V17="Impacto",V22="Impacto"),(AG17-(+AG17*Y22)),IF(AND(V17="Probabilidad",V22="Impacto"),(AG16-(+AG16*Y22)),IF(V22="Probabilidad",AG17,""))),"")</f>
        <v>0.60000000000000009</v>
      </c>
      <c r="AH22" s="601" t="str">
        <f t="shared" si="7"/>
        <v>Moderado</v>
      </c>
      <c r="AI22" s="602" t="s">
        <v>202</v>
      </c>
      <c r="AJ22" s="603"/>
      <c r="AK22" s="603"/>
      <c r="AL22" s="604"/>
      <c r="AM22" s="605"/>
      <c r="AN22" s="606"/>
      <c r="AO22" s="607"/>
      <c r="AP22" s="608">
        <v>45761</v>
      </c>
      <c r="AQ22" s="609" t="s">
        <v>313</v>
      </c>
      <c r="AR22" s="647" t="s">
        <v>314</v>
      </c>
      <c r="AS22" s="611" t="s">
        <v>205</v>
      </c>
      <c r="AT22" s="612" t="s">
        <v>206</v>
      </c>
      <c r="AU22" s="612" t="s">
        <v>206</v>
      </c>
      <c r="AV22" s="613"/>
      <c r="AW22" s="614">
        <v>45770</v>
      </c>
      <c r="AX22" s="615" t="s">
        <v>207</v>
      </c>
      <c r="AY22" s="635" t="s">
        <v>315</v>
      </c>
      <c r="BA22" s="617"/>
      <c r="BB22" s="617"/>
      <c r="BC22" s="618" t="s">
        <v>209</v>
      </c>
      <c r="BE22" s="608">
        <v>45854</v>
      </c>
      <c r="BF22" s="609" t="s">
        <v>313</v>
      </c>
      <c r="BG22" s="648" t="s">
        <v>316</v>
      </c>
      <c r="BH22" s="449" t="s">
        <v>212</v>
      </c>
      <c r="BI22" s="620" t="s">
        <v>317</v>
      </c>
      <c r="BJ22" s="620" t="s">
        <v>318</v>
      </c>
      <c r="BL22" s="450">
        <v>45855</v>
      </c>
      <c r="BM22" s="449" t="s">
        <v>215</v>
      </c>
      <c r="BN22" s="283" t="s">
        <v>319</v>
      </c>
      <c r="BP22" s="617"/>
      <c r="BQ22" s="617"/>
      <c r="BR22" s="618" t="s">
        <v>209</v>
      </c>
      <c r="BT22" s="608">
        <v>45940</v>
      </c>
      <c r="BU22" s="609" t="s">
        <v>313</v>
      </c>
      <c r="BV22" s="649" t="s">
        <v>320</v>
      </c>
      <c r="BW22" s="286" t="s">
        <v>205</v>
      </c>
      <c r="BX22" s="286" t="s">
        <v>206</v>
      </c>
      <c r="BY22" s="286" t="s">
        <v>206</v>
      </c>
      <c r="CA22" s="614">
        <v>45985</v>
      </c>
      <c r="CB22" s="616" t="s">
        <v>218</v>
      </c>
      <c r="CC22" s="286" t="s">
        <v>321</v>
      </c>
      <c r="CE22" s="617"/>
      <c r="CF22" s="617"/>
      <c r="CG22" s="618" t="s">
        <v>209</v>
      </c>
      <c r="CH22" s="192"/>
      <c r="CI22" s="558"/>
      <c r="CJ22" s="558"/>
      <c r="CK22" s="559" t="s">
        <v>209</v>
      </c>
      <c r="CL22" s="558"/>
      <c r="CM22" s="558"/>
      <c r="CN22" s="558"/>
      <c r="CO22" s="553"/>
      <c r="CP22" s="558"/>
      <c r="CQ22" s="558"/>
      <c r="CR22" s="559" t="s">
        <v>209</v>
      </c>
      <c r="CS22" s="553"/>
      <c r="CT22" s="558"/>
      <c r="CU22" s="558"/>
      <c r="CV22" s="559" t="s">
        <v>209</v>
      </c>
    </row>
    <row r="23" spans="1:100" ht="151.5" customHeight="1" x14ac:dyDescent="0.3">
      <c r="A23" s="622">
        <v>8</v>
      </c>
      <c r="B23" s="622" t="s">
        <v>306</v>
      </c>
      <c r="C23" s="623" t="s">
        <v>307</v>
      </c>
      <c r="D23" s="585" t="str">
        <f>IFERROR(INDEX('Base de datos gestión'!$D$28:$D$50,MATCH(C23,'Base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3" s="585" t="str">
        <f>IFERROR(INDEX('Base de datos gestión'!$E$28:$E$50,MATCH(C23,'Base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3" s="628" t="s">
        <v>188</v>
      </c>
      <c r="G23" s="629" t="s">
        <v>308</v>
      </c>
      <c r="H23" s="628" t="s">
        <v>309</v>
      </c>
      <c r="I23" s="628" t="s">
        <v>310</v>
      </c>
      <c r="J23" s="630" t="s">
        <v>192</v>
      </c>
      <c r="K23" s="630" t="s">
        <v>311</v>
      </c>
      <c r="L23" s="630">
        <v>50</v>
      </c>
      <c r="M23" s="588" t="str">
        <f t="shared" si="14"/>
        <v>Media</v>
      </c>
      <c r="N23" s="589">
        <f t="shared" si="15"/>
        <v>0.6</v>
      </c>
      <c r="O23" s="590" t="s">
        <v>248</v>
      </c>
      <c r="P23" s="589" t="str">
        <f>IF(NOT(ISERROR(MATCH(O23,'Tabla Impacto'!$B$222:$B$224,0))),'Tabla Impacto'!$F$224&amp;"Por favor no seleccionar los criterios de impacto(Afectación Económica o presupuestal y Pérdida Reputacional)",O23)</f>
        <v xml:space="preserve">     El riesgo afecta la imagen de la entidad con algunos usuarios de relevancia frente al logro de los objetivos</v>
      </c>
      <c r="Q23" s="591" t="str">
        <f>IF(OR(P23='[8]Tabla Impacto'!$C$12,P23='[8]Tabla Impacto'!$D$12),"Leve",IF(OR(P23='[8]Tabla Impacto'!$C$13,P23='[8]Tabla Impacto'!$D$13),"Menor",IF(OR(P23='[8]Tabla Impacto'!$C$14,P23='[8]Tabla Impacto'!$D$14),"Moderado",IF(OR(P23='[8]Tabla Impacto'!$C$15,P23='[8]Tabla Impacto'!$D$15),"Mayor",IF(OR(P23='[8]Tabla Impacto'!$C$16,P23='[8]Tabla Impacto'!$D$16),"Catastrófico","")))))</f>
        <v>Moderado</v>
      </c>
      <c r="R23" s="590">
        <f t="shared" si="0"/>
        <v>0.6</v>
      </c>
      <c r="S23" s="592" t="str">
        <f t="shared" si="1"/>
        <v>Moderado</v>
      </c>
      <c r="T23" s="595">
        <v>2</v>
      </c>
      <c r="U23" s="631" t="s">
        <v>322</v>
      </c>
      <c r="V23" s="595" t="str">
        <f t="shared" si="2"/>
        <v>Probabilidad</v>
      </c>
      <c r="W23" s="596" t="s">
        <v>197</v>
      </c>
      <c r="X23" s="596" t="s">
        <v>198</v>
      </c>
      <c r="Y23" s="597" t="str">
        <f t="shared" si="3"/>
        <v>40%</v>
      </c>
      <c r="Z23" s="596" t="s">
        <v>259</v>
      </c>
      <c r="AA23" s="596" t="s">
        <v>200</v>
      </c>
      <c r="AB23" s="596" t="s">
        <v>201</v>
      </c>
      <c r="AC23" s="598">
        <f>IFERROR(IF(AND(V22="Probabilidad",V23="Probabilidad"),(AE22-(+AE22*Y23)),IF(AND(V22="Impacto",V23="Probabilidad"),(AE17-(+AE17*Y23)),IF(V23="Impacto",AE22,""))),"")</f>
        <v>7.7759999999999996E-2</v>
      </c>
      <c r="AD23" s="599" t="str">
        <f t="shared" si="4"/>
        <v>Muy Baja</v>
      </c>
      <c r="AE23" s="600">
        <f t="shared" si="5"/>
        <v>7.7759999999999996E-2</v>
      </c>
      <c r="AF23" s="599" t="str">
        <f t="shared" si="6"/>
        <v>Moderado</v>
      </c>
      <c r="AG23" s="600">
        <f>IFERROR(IF(AND(V22="Impacto",V23="Impacto"),(AG22-(+AG22*Y23)),IF(AND(V22="Probabilidad",V23="Impacto"),(AG17-(+AG17*Y23)),IF(V23="Probabilidad",AG22,""))),"")</f>
        <v>0.60000000000000009</v>
      </c>
      <c r="AH23" s="601" t="str">
        <f t="shared" si="7"/>
        <v>Moderado</v>
      </c>
      <c r="AI23" s="602" t="s">
        <v>202</v>
      </c>
      <c r="AJ23" s="603"/>
      <c r="AK23" s="603"/>
      <c r="AL23" s="604"/>
      <c r="AM23" s="605"/>
      <c r="AN23" s="606"/>
      <c r="AO23" s="607"/>
      <c r="AP23" s="608">
        <v>45761</v>
      </c>
      <c r="AQ23" s="609" t="s">
        <v>313</v>
      </c>
      <c r="AR23" s="647" t="s">
        <v>314</v>
      </c>
      <c r="AS23" s="611" t="s">
        <v>205</v>
      </c>
      <c r="AT23" s="612" t="s">
        <v>206</v>
      </c>
      <c r="AU23" s="650" t="s">
        <v>206</v>
      </c>
      <c r="AV23" s="613"/>
      <c r="AW23" s="614">
        <v>45770</v>
      </c>
      <c r="AX23" s="615" t="s">
        <v>207</v>
      </c>
      <c r="AY23" s="635" t="s">
        <v>315</v>
      </c>
      <c r="BA23" s="617"/>
      <c r="BB23" s="617"/>
      <c r="BC23" s="618" t="s">
        <v>209</v>
      </c>
      <c r="BE23" s="608">
        <v>45854</v>
      </c>
      <c r="BF23" s="609" t="s">
        <v>313</v>
      </c>
      <c r="BG23" s="648" t="s">
        <v>323</v>
      </c>
      <c r="BH23" s="449" t="s">
        <v>212</v>
      </c>
      <c r="BI23" s="620" t="s">
        <v>317</v>
      </c>
      <c r="BJ23" s="620" t="s">
        <v>318</v>
      </c>
      <c r="BL23" s="450">
        <v>45855</v>
      </c>
      <c r="BM23" s="449" t="s">
        <v>215</v>
      </c>
      <c r="BN23" s="283" t="s">
        <v>319</v>
      </c>
      <c r="BP23" s="617"/>
      <c r="BQ23" s="617"/>
      <c r="BR23" s="618" t="s">
        <v>209</v>
      </c>
      <c r="BT23" s="608">
        <v>45940</v>
      </c>
      <c r="BU23" s="609" t="s">
        <v>313</v>
      </c>
      <c r="BV23" s="647" t="s">
        <v>324</v>
      </c>
      <c r="BW23" s="651" t="s">
        <v>205</v>
      </c>
      <c r="BX23" s="286" t="s">
        <v>206</v>
      </c>
      <c r="BY23" s="286" t="s">
        <v>206</v>
      </c>
      <c r="CA23" s="614">
        <v>45985</v>
      </c>
      <c r="CB23" s="616" t="s">
        <v>218</v>
      </c>
      <c r="CC23" s="286" t="s">
        <v>321</v>
      </c>
      <c r="CE23" s="617"/>
      <c r="CF23" s="617"/>
      <c r="CG23" s="618" t="s">
        <v>209</v>
      </c>
      <c r="CH23" s="192"/>
      <c r="CI23" s="558"/>
      <c r="CJ23" s="558"/>
      <c r="CK23" s="559" t="s">
        <v>209</v>
      </c>
      <c r="CL23" s="558"/>
      <c r="CM23" s="558"/>
      <c r="CN23" s="558"/>
      <c r="CO23" s="553"/>
      <c r="CP23" s="558"/>
      <c r="CQ23" s="558"/>
      <c r="CR23" s="559" t="s">
        <v>209</v>
      </c>
      <c r="CS23" s="553"/>
      <c r="CT23" s="558"/>
      <c r="CU23" s="558"/>
      <c r="CV23" s="559" t="s">
        <v>209</v>
      </c>
    </row>
    <row r="24" spans="1:100" ht="151.5" customHeight="1" x14ac:dyDescent="0.3">
      <c r="A24" s="632">
        <v>8</v>
      </c>
      <c r="B24" s="632" t="s">
        <v>306</v>
      </c>
      <c r="C24" s="633" t="s">
        <v>307</v>
      </c>
      <c r="D24" s="585" t="str">
        <f>IFERROR(INDEX('Base de datos gestión'!$D$28:$D$50,MATCH(C24,'Base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4" s="585" t="str">
        <f>IFERROR(INDEX('Base de datos gestión'!$E$28:$E$50,MATCH(C24,'Base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4" s="628" t="s">
        <v>188</v>
      </c>
      <c r="G24" s="629" t="s">
        <v>308</v>
      </c>
      <c r="H24" s="628" t="s">
        <v>309</v>
      </c>
      <c r="I24" s="628" t="s">
        <v>310</v>
      </c>
      <c r="J24" s="630" t="s">
        <v>192</v>
      </c>
      <c r="K24" s="630" t="s">
        <v>311</v>
      </c>
      <c r="L24" s="630">
        <v>50</v>
      </c>
      <c r="M24" s="588" t="str">
        <f t="shared" si="14"/>
        <v>Media</v>
      </c>
      <c r="N24" s="589">
        <f t="shared" si="15"/>
        <v>0.6</v>
      </c>
      <c r="O24" s="590" t="s">
        <v>248</v>
      </c>
      <c r="P24" s="589" t="str">
        <f>IF(NOT(ISERROR(MATCH(O24,'Tabla Impacto'!$B$222:$B$224,0))),'Tabla Impacto'!$F$224&amp;"Por favor no seleccionar los criterios de impacto(Afectación Económica o presupuestal y Pérdida Reputacional)",O24)</f>
        <v xml:space="preserve">     El riesgo afecta la imagen de la entidad con algunos usuarios de relevancia frente al logro de los objetivos</v>
      </c>
      <c r="Q24" s="591" t="str">
        <f>IF(OR(P24='[8]Tabla Impacto'!$C$12,P24='[8]Tabla Impacto'!$D$12),"Leve",IF(OR(P24='[8]Tabla Impacto'!$C$13,P24='[8]Tabla Impacto'!$D$13),"Menor",IF(OR(P24='[8]Tabla Impacto'!$C$14,P24='[8]Tabla Impacto'!$D$14),"Moderado",IF(OR(P24='[8]Tabla Impacto'!$C$15,P24='[8]Tabla Impacto'!$D$15),"Mayor",IF(OR(P24='[8]Tabla Impacto'!$C$16,P24='[8]Tabla Impacto'!$D$16),"Catastrófico","")))))</f>
        <v>Moderado</v>
      </c>
      <c r="R24" s="590">
        <f t="shared" si="0"/>
        <v>0.6</v>
      </c>
      <c r="S24" s="592" t="str">
        <f t="shared" si="1"/>
        <v>Moderado</v>
      </c>
      <c r="T24" s="595">
        <v>3</v>
      </c>
      <c r="U24" s="631" t="s">
        <v>325</v>
      </c>
      <c r="V24" s="595" t="str">
        <f t="shared" si="2"/>
        <v>Probabilidad</v>
      </c>
      <c r="W24" s="596" t="s">
        <v>197</v>
      </c>
      <c r="X24" s="596" t="s">
        <v>198</v>
      </c>
      <c r="Y24" s="597" t="str">
        <f t="shared" si="3"/>
        <v>40%</v>
      </c>
      <c r="Z24" s="596" t="s">
        <v>199</v>
      </c>
      <c r="AA24" s="596" t="s">
        <v>225</v>
      </c>
      <c r="AB24" s="596" t="s">
        <v>250</v>
      </c>
      <c r="AC24" s="598">
        <f>IFERROR(IF(AND(V23="Probabilidad",V24="Probabilidad"),(AE23-(+AE23*Y24)),IF(AND(V23="Impacto",V24="Probabilidad"),(AE22-(+AE22*Y24)),IF(V24="Impacto",AE23,""))),"")</f>
        <v>4.6655999999999996E-2</v>
      </c>
      <c r="AD24" s="599" t="str">
        <f t="shared" si="4"/>
        <v>Muy Baja</v>
      </c>
      <c r="AE24" s="600">
        <f t="shared" si="5"/>
        <v>4.6655999999999996E-2</v>
      </c>
      <c r="AF24" s="599" t="str">
        <f t="shared" si="6"/>
        <v>Moderado</v>
      </c>
      <c r="AG24" s="600">
        <f>IFERROR(IF(AND(V23="Impacto",V24="Impacto"),(AG23-(+AG23*Y24)),IF(AND(V23="Probabilidad",V24="Impacto"),(AG22-(+AG22*Y24)),IF(V24="Probabilidad",AG23,""))),"")</f>
        <v>0.60000000000000009</v>
      </c>
      <c r="AH24" s="601" t="str">
        <f t="shared" si="7"/>
        <v>Moderado</v>
      </c>
      <c r="AI24" s="602" t="s">
        <v>202</v>
      </c>
      <c r="AJ24" s="603"/>
      <c r="AK24" s="603"/>
      <c r="AL24" s="604"/>
      <c r="AM24" s="605"/>
      <c r="AN24" s="606"/>
      <c r="AO24" s="607"/>
      <c r="AP24" s="608">
        <v>45761</v>
      </c>
      <c r="AQ24" s="609" t="s">
        <v>313</v>
      </c>
      <c r="AR24" s="647" t="s">
        <v>326</v>
      </c>
      <c r="AS24" s="611" t="s">
        <v>212</v>
      </c>
      <c r="AT24" s="652" t="s">
        <v>317</v>
      </c>
      <c r="AU24" s="653" t="s">
        <v>327</v>
      </c>
      <c r="AV24" s="613"/>
      <c r="AW24" s="614">
        <v>45770</v>
      </c>
      <c r="AX24" s="615" t="s">
        <v>207</v>
      </c>
      <c r="AY24" s="635" t="s">
        <v>328</v>
      </c>
      <c r="BA24" s="617"/>
      <c r="BB24" s="617"/>
      <c r="BC24" s="618" t="s">
        <v>209</v>
      </c>
      <c r="BE24" s="608">
        <v>45854</v>
      </c>
      <c r="BF24" s="609" t="s">
        <v>313</v>
      </c>
      <c r="BG24" s="648" t="s">
        <v>329</v>
      </c>
      <c r="BH24" s="449" t="s">
        <v>212</v>
      </c>
      <c r="BI24" s="620" t="s">
        <v>317</v>
      </c>
      <c r="BJ24" s="620" t="s">
        <v>318</v>
      </c>
      <c r="BL24" s="450">
        <v>45855</v>
      </c>
      <c r="BM24" s="449" t="s">
        <v>215</v>
      </c>
      <c r="BN24" s="283" t="s">
        <v>319</v>
      </c>
      <c r="BP24" s="617"/>
      <c r="BQ24" s="617"/>
      <c r="BR24" s="618" t="s">
        <v>209</v>
      </c>
      <c r="BT24" s="608">
        <v>45940</v>
      </c>
      <c r="BU24" s="609" t="s">
        <v>313</v>
      </c>
      <c r="BV24" s="647" t="s">
        <v>330</v>
      </c>
      <c r="BW24" s="651" t="s">
        <v>205</v>
      </c>
      <c r="BX24" s="286" t="s">
        <v>206</v>
      </c>
      <c r="BY24" s="286" t="s">
        <v>206</v>
      </c>
      <c r="CA24" s="614">
        <v>45985</v>
      </c>
      <c r="CB24" s="616" t="s">
        <v>218</v>
      </c>
      <c r="CC24" s="286" t="s">
        <v>321</v>
      </c>
      <c r="CE24" s="617"/>
      <c r="CF24" s="617"/>
      <c r="CG24" s="618" t="s">
        <v>209</v>
      </c>
      <c r="CH24" s="192"/>
      <c r="CI24" s="558"/>
      <c r="CJ24" s="558"/>
      <c r="CK24" s="559" t="s">
        <v>209</v>
      </c>
      <c r="CL24" s="558"/>
      <c r="CM24" s="558"/>
      <c r="CN24" s="558"/>
      <c r="CO24" s="553"/>
      <c r="CP24" s="558"/>
      <c r="CQ24" s="558"/>
      <c r="CR24" s="559" t="s">
        <v>209</v>
      </c>
      <c r="CS24" s="553"/>
      <c r="CT24" s="558"/>
      <c r="CU24" s="558"/>
      <c r="CV24" s="559" t="s">
        <v>209</v>
      </c>
    </row>
    <row r="25" spans="1:100" ht="151.5" customHeight="1" x14ac:dyDescent="0.3">
      <c r="A25" s="584">
        <v>9</v>
      </c>
      <c r="B25" s="584" t="s">
        <v>331</v>
      </c>
      <c r="C25" s="585" t="s">
        <v>307</v>
      </c>
      <c r="D25" s="585" t="str">
        <f>IFERROR(INDEX('Base de datos gestión'!$D$28:$D$50,MATCH(C25,'Base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5" s="585" t="str">
        <f>IFERROR(INDEX('Base de datos gestión'!$E$28:$E$50,MATCH(C25,'Base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5" s="628" t="s">
        <v>188</v>
      </c>
      <c r="G25" s="629" t="s">
        <v>332</v>
      </c>
      <c r="H25" s="628" t="s">
        <v>333</v>
      </c>
      <c r="I25" s="628" t="s">
        <v>334</v>
      </c>
      <c r="J25" s="630" t="s">
        <v>192</v>
      </c>
      <c r="K25" s="630" t="s">
        <v>193</v>
      </c>
      <c r="L25" s="630">
        <v>100</v>
      </c>
      <c r="M25" s="588" t="str">
        <f>IF(L25&lt;=0,"",IF(L25&lt;=2,"Muy Baja",IF(L25&lt;=24,"Baja",IF(L25&lt;=500,"Media",IF(L25&lt;=5000,"Alta","Muy Alta")))))</f>
        <v>Media</v>
      </c>
      <c r="N25" s="589">
        <f t="shared" si="15"/>
        <v>0.6</v>
      </c>
      <c r="O25" s="590" t="s">
        <v>248</v>
      </c>
      <c r="P25" s="589" t="str">
        <f>IF(NOT(ISERROR(MATCH(O25,'Tabla Impacto'!$B$222:$B$224,0))),'Tabla Impacto'!$F$224&amp;"Por favor no seleccionar los criterios de impacto(Afectación Económica o presupuestal y Pérdida Reputacional)",O25)</f>
        <v xml:space="preserve">     El riesgo afecta la imagen de la entidad con algunos usuarios de relevancia frente al logro de los objetivos</v>
      </c>
      <c r="Q25" s="591" t="str">
        <f>IF(OR(P25='[8]Tabla Impacto'!$C$12,P25='[8]Tabla Impacto'!$D$12),"Leve",IF(OR(P25='[8]Tabla Impacto'!$C$13,P25='[8]Tabla Impacto'!$D$13),"Menor",IF(OR(P25='[8]Tabla Impacto'!$C$14,P25='[8]Tabla Impacto'!$D$14),"Moderado",IF(OR(P25='[8]Tabla Impacto'!$C$15,P25='[8]Tabla Impacto'!$D$15),"Mayor",IF(OR(P25='[8]Tabla Impacto'!$C$16,P25='[8]Tabla Impacto'!$D$16),"Catastrófico","")))))</f>
        <v>Moderado</v>
      </c>
      <c r="R25" s="590">
        <f t="shared" si="0"/>
        <v>0.6</v>
      </c>
      <c r="S25" s="592" t="str">
        <f t="shared" si="1"/>
        <v>Moderado</v>
      </c>
      <c r="T25" s="595">
        <v>1</v>
      </c>
      <c r="U25" s="631" t="s">
        <v>335</v>
      </c>
      <c r="V25" s="595" t="str">
        <f t="shared" si="2"/>
        <v>Probabilidad</v>
      </c>
      <c r="W25" s="596" t="s">
        <v>197</v>
      </c>
      <c r="X25" s="596" t="s">
        <v>198</v>
      </c>
      <c r="Y25" s="597" t="str">
        <f t="shared" si="3"/>
        <v>40%</v>
      </c>
      <c r="Z25" s="596" t="s">
        <v>259</v>
      </c>
      <c r="AA25" s="596" t="s">
        <v>200</v>
      </c>
      <c r="AB25" s="596" t="s">
        <v>201</v>
      </c>
      <c r="AC25" s="598">
        <f>IFERROR(IF(V25="Probabilidad",(N25-(+N25*Y25)),IF(V25="Impacto",N25,"")),"")</f>
        <v>0.36</v>
      </c>
      <c r="AD25" s="599" t="str">
        <f t="shared" si="4"/>
        <v>Baja</v>
      </c>
      <c r="AE25" s="600">
        <f t="shared" si="5"/>
        <v>0.36</v>
      </c>
      <c r="AF25" s="599" t="str">
        <f t="shared" si="6"/>
        <v>Moderado</v>
      </c>
      <c r="AG25" s="600">
        <f>IFERROR(IF(V25="Impacto",(R25-(+R25*Y25)),IF(V25="Probabilidad",R25,"")),"")</f>
        <v>0.6</v>
      </c>
      <c r="AH25" s="601" t="str">
        <f t="shared" si="7"/>
        <v>Moderado</v>
      </c>
      <c r="AI25" s="602" t="s">
        <v>202</v>
      </c>
      <c r="AJ25" s="603"/>
      <c r="AK25" s="603"/>
      <c r="AL25" s="604"/>
      <c r="AM25" s="605"/>
      <c r="AN25" s="606"/>
      <c r="AO25" s="607"/>
      <c r="AP25" s="608">
        <v>45761</v>
      </c>
      <c r="AQ25" s="609" t="s">
        <v>313</v>
      </c>
      <c r="AR25" s="647" t="s">
        <v>336</v>
      </c>
      <c r="AS25" s="611" t="s">
        <v>205</v>
      </c>
      <c r="AT25" s="612" t="s">
        <v>206</v>
      </c>
      <c r="AU25" s="654" t="s">
        <v>206</v>
      </c>
      <c r="AV25" s="613"/>
      <c r="AW25" s="614">
        <v>45770</v>
      </c>
      <c r="AX25" s="615" t="s">
        <v>207</v>
      </c>
      <c r="AY25" s="635" t="s">
        <v>337</v>
      </c>
      <c r="BA25" s="617"/>
      <c r="BB25" s="617"/>
      <c r="BC25" s="618" t="s">
        <v>209</v>
      </c>
      <c r="BE25" s="608">
        <v>45854</v>
      </c>
      <c r="BF25" s="609" t="s">
        <v>313</v>
      </c>
      <c r="BG25" s="648" t="s">
        <v>338</v>
      </c>
      <c r="BH25" s="449" t="s">
        <v>205</v>
      </c>
      <c r="BI25" s="619" t="s">
        <v>206</v>
      </c>
      <c r="BJ25" s="619" t="s">
        <v>206</v>
      </c>
      <c r="BL25" s="450">
        <v>45855</v>
      </c>
      <c r="BM25" s="449" t="s">
        <v>215</v>
      </c>
      <c r="BN25" s="283" t="s">
        <v>231</v>
      </c>
      <c r="BP25" s="617"/>
      <c r="BQ25" s="617"/>
      <c r="BR25" s="618" t="s">
        <v>209</v>
      </c>
      <c r="BT25" s="608">
        <v>45940</v>
      </c>
      <c r="BU25" s="609" t="s">
        <v>313</v>
      </c>
      <c r="BV25" s="655" t="s">
        <v>339</v>
      </c>
      <c r="BW25" s="286" t="s">
        <v>205</v>
      </c>
      <c r="BX25" s="286" t="s">
        <v>340</v>
      </c>
      <c r="BY25" s="286" t="s">
        <v>341</v>
      </c>
      <c r="CA25" s="614">
        <v>45953</v>
      </c>
      <c r="CB25" s="616" t="s">
        <v>218</v>
      </c>
      <c r="CC25" s="286" t="s">
        <v>342</v>
      </c>
      <c r="CE25" s="617"/>
      <c r="CF25" s="617"/>
      <c r="CG25" s="618" t="s">
        <v>209</v>
      </c>
      <c r="CH25" s="192"/>
      <c r="CI25" s="558"/>
      <c r="CJ25" s="558"/>
      <c r="CK25" s="559" t="s">
        <v>209</v>
      </c>
      <c r="CL25" s="558"/>
      <c r="CM25" s="558"/>
      <c r="CN25" s="558"/>
      <c r="CO25" s="553"/>
      <c r="CP25" s="558"/>
      <c r="CQ25" s="558"/>
      <c r="CR25" s="559" t="s">
        <v>209</v>
      </c>
      <c r="CS25" s="553"/>
      <c r="CT25" s="558"/>
      <c r="CU25" s="558"/>
      <c r="CV25" s="559" t="s">
        <v>209</v>
      </c>
    </row>
    <row r="26" spans="1:100" ht="151.5" customHeight="1" x14ac:dyDescent="0.3">
      <c r="A26" s="622">
        <v>9</v>
      </c>
      <c r="B26" s="622" t="s">
        <v>331</v>
      </c>
      <c r="C26" s="623" t="s">
        <v>307</v>
      </c>
      <c r="D26" s="585" t="str">
        <f>IFERROR(INDEX('Base de datos gestión'!$D$28:$D$50,MATCH(C26,'Base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6" s="585" t="str">
        <f>IFERROR(INDEX('Base de datos gestión'!$E$28:$E$50,MATCH(C26,'Base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6" s="628" t="s">
        <v>188</v>
      </c>
      <c r="G26" s="629" t="s">
        <v>332</v>
      </c>
      <c r="H26" s="628" t="s">
        <v>333</v>
      </c>
      <c r="I26" s="628" t="s">
        <v>334</v>
      </c>
      <c r="J26" s="630" t="s">
        <v>192</v>
      </c>
      <c r="K26" s="630" t="s">
        <v>193</v>
      </c>
      <c r="L26" s="630">
        <v>100</v>
      </c>
      <c r="M26" s="588" t="str">
        <f>IF(L26&lt;=0,"",IF(L26&lt;=2,"Muy Baja",IF(L26&lt;=24,"Baja",IF(L26&lt;=500,"Media",IF(L26&lt;=5000,"Alta","Muy Alta")))))</f>
        <v>Media</v>
      </c>
      <c r="N26" s="589">
        <f t="shared" si="15"/>
        <v>0.6</v>
      </c>
      <c r="O26" s="590" t="s">
        <v>248</v>
      </c>
      <c r="P26" s="589" t="str">
        <f>IF(NOT(ISERROR(MATCH(O26,'Tabla Impacto'!$B$222:$B$224,0))),'Tabla Impacto'!$F$224&amp;"Por favor no seleccionar los criterios de impacto(Afectación Económica o presupuestal y Pérdida Reputacional)",O26)</f>
        <v xml:space="preserve">     El riesgo afecta la imagen de la entidad con algunos usuarios de relevancia frente al logro de los objetivos</v>
      </c>
      <c r="Q26" s="591" t="str">
        <f>IF(OR(P26='[8]Tabla Impacto'!$C$12,P26='[8]Tabla Impacto'!$D$12),"Leve",IF(OR(P26='[8]Tabla Impacto'!$C$13,P26='[8]Tabla Impacto'!$D$13),"Menor",IF(OR(P26='[8]Tabla Impacto'!$C$14,P26='[8]Tabla Impacto'!$D$14),"Moderado",IF(OR(P26='[8]Tabla Impacto'!$C$15,P26='[8]Tabla Impacto'!$D$15),"Mayor",IF(OR(P26='[8]Tabla Impacto'!$C$16,P26='[8]Tabla Impacto'!$D$16),"Catastrófico","")))))</f>
        <v>Moderado</v>
      </c>
      <c r="R26" s="590">
        <f t="shared" si="0"/>
        <v>0.6</v>
      </c>
      <c r="S26" s="592" t="str">
        <f t="shared" si="1"/>
        <v>Moderado</v>
      </c>
      <c r="T26" s="595">
        <v>2</v>
      </c>
      <c r="U26" s="631" t="s">
        <v>343</v>
      </c>
      <c r="V26" s="595" t="str">
        <f t="shared" si="2"/>
        <v>Probabilidad</v>
      </c>
      <c r="W26" s="596" t="s">
        <v>197</v>
      </c>
      <c r="X26" s="596" t="s">
        <v>198</v>
      </c>
      <c r="Y26" s="597" t="str">
        <f t="shared" si="3"/>
        <v>40%</v>
      </c>
      <c r="Z26" s="596" t="s">
        <v>259</v>
      </c>
      <c r="AA26" s="596" t="s">
        <v>200</v>
      </c>
      <c r="AB26" s="596" t="s">
        <v>201</v>
      </c>
      <c r="AC26" s="656">
        <f>IFERROR(IF(AND(V25="Probabilidad",V26="Probabilidad"),(AE25-(+AE25*Y26)),IF(V26="Probabilidad",(N25-(+N25*Y26)),IF(V26="Impacto",AE25,""))),"")</f>
        <v>0.216</v>
      </c>
      <c r="AD26" s="599" t="str">
        <f t="shared" si="4"/>
        <v>Baja</v>
      </c>
      <c r="AE26" s="600">
        <f t="shared" si="5"/>
        <v>0.216</v>
      </c>
      <c r="AF26" s="599" t="str">
        <f t="shared" si="6"/>
        <v>Mayor</v>
      </c>
      <c r="AG26" s="600">
        <f>IFERROR(IF(AND(V25="Impacto",V26="Impacto"),(AG15-(+AG15*Y26)),IF(V26="Impacto",($R$25-(+$R$25*Y26)),IF(V26="Probabilidad",AG15,""))),"")</f>
        <v>0.8</v>
      </c>
      <c r="AH26" s="601" t="str">
        <f t="shared" si="7"/>
        <v>Alto</v>
      </c>
      <c r="AI26" s="602" t="s">
        <v>202</v>
      </c>
      <c r="AJ26" s="603"/>
      <c r="AK26" s="603"/>
      <c r="AL26" s="604"/>
      <c r="AM26" s="605"/>
      <c r="AN26" s="606"/>
      <c r="AO26" s="607"/>
      <c r="AP26" s="608">
        <v>45761</v>
      </c>
      <c r="AQ26" s="609" t="s">
        <v>313</v>
      </c>
      <c r="AR26" s="647" t="s">
        <v>336</v>
      </c>
      <c r="AS26" s="611" t="s">
        <v>205</v>
      </c>
      <c r="AT26" s="612" t="s">
        <v>206</v>
      </c>
      <c r="AU26" s="283" t="s">
        <v>206</v>
      </c>
      <c r="AV26" s="613"/>
      <c r="AW26" s="614">
        <v>45770</v>
      </c>
      <c r="AX26" s="615" t="s">
        <v>207</v>
      </c>
      <c r="AY26" s="635" t="s">
        <v>337</v>
      </c>
      <c r="BA26" s="617"/>
      <c r="BB26" s="617"/>
      <c r="BC26" s="618" t="s">
        <v>209</v>
      </c>
      <c r="BE26" s="608">
        <v>45854</v>
      </c>
      <c r="BF26" s="609" t="s">
        <v>313</v>
      </c>
      <c r="BG26" s="648" t="s">
        <v>344</v>
      </c>
      <c r="BH26" s="449" t="s">
        <v>205</v>
      </c>
      <c r="BI26" s="619" t="s">
        <v>206</v>
      </c>
      <c r="BJ26" s="619" t="s">
        <v>206</v>
      </c>
      <c r="BL26" s="450">
        <v>45855</v>
      </c>
      <c r="BM26" s="449" t="s">
        <v>215</v>
      </c>
      <c r="BN26" s="283" t="s">
        <v>231</v>
      </c>
      <c r="BP26" s="617"/>
      <c r="BQ26" s="617"/>
      <c r="BR26" s="618" t="s">
        <v>209</v>
      </c>
      <c r="BT26" s="608">
        <v>45940</v>
      </c>
      <c r="BU26" s="609" t="s">
        <v>313</v>
      </c>
      <c r="BV26" s="655" t="s">
        <v>345</v>
      </c>
      <c r="BW26" s="286" t="s">
        <v>205</v>
      </c>
      <c r="BX26" s="286" t="s">
        <v>340</v>
      </c>
      <c r="BY26" s="286" t="s">
        <v>341</v>
      </c>
      <c r="CA26" s="614">
        <v>45953</v>
      </c>
      <c r="CB26" s="616" t="s">
        <v>218</v>
      </c>
      <c r="CC26" s="286" t="s">
        <v>342</v>
      </c>
      <c r="CE26" s="617"/>
      <c r="CF26" s="617"/>
      <c r="CG26" s="618" t="s">
        <v>209</v>
      </c>
      <c r="CH26" s="192"/>
      <c r="CI26" s="558"/>
      <c r="CJ26" s="558"/>
      <c r="CK26" s="559" t="s">
        <v>209</v>
      </c>
      <c r="CL26" s="558"/>
      <c r="CM26" s="558"/>
      <c r="CN26" s="558"/>
      <c r="CO26" s="553"/>
      <c r="CP26" s="558"/>
      <c r="CQ26" s="558"/>
      <c r="CR26" s="559" t="s">
        <v>209</v>
      </c>
      <c r="CS26" s="553"/>
      <c r="CT26" s="558"/>
      <c r="CU26" s="558"/>
      <c r="CV26" s="559" t="s">
        <v>209</v>
      </c>
    </row>
    <row r="27" spans="1:100" ht="151.5" customHeight="1" x14ac:dyDescent="0.3">
      <c r="A27" s="622">
        <v>9</v>
      </c>
      <c r="B27" s="622" t="s">
        <v>331</v>
      </c>
      <c r="C27" s="623" t="s">
        <v>307</v>
      </c>
      <c r="D27" s="585" t="str">
        <f>IFERROR(INDEX('Base de datos gestión'!$D$28:$D$50,MATCH(C27,'Base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7" s="585" t="str">
        <f>IFERROR(INDEX('Base de datos gestión'!$E$28:$E$50,MATCH(C27,'Base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7" s="628" t="s">
        <v>188</v>
      </c>
      <c r="G27" s="629" t="s">
        <v>332</v>
      </c>
      <c r="H27" s="628" t="s">
        <v>333</v>
      </c>
      <c r="I27" s="628" t="s">
        <v>334</v>
      </c>
      <c r="J27" s="630" t="s">
        <v>192</v>
      </c>
      <c r="K27" s="630" t="s">
        <v>193</v>
      </c>
      <c r="L27" s="630">
        <v>100</v>
      </c>
      <c r="M27" s="588" t="str">
        <f t="shared" ref="M27:M30" si="22">IF(L27&lt;=0,"",IF(L27&lt;=2,"Muy Baja",IF(L27&lt;=24,"Baja",IF(L27&lt;=500,"Media",IF(L27&lt;=5000,"Alta","Muy Alta")))))</f>
        <v>Media</v>
      </c>
      <c r="N27" s="589">
        <f t="shared" si="15"/>
        <v>0.6</v>
      </c>
      <c r="O27" s="590" t="s">
        <v>248</v>
      </c>
      <c r="P27" s="589" t="str">
        <f>IF(NOT(ISERROR(MATCH(O27,'Tabla Impacto'!$B$222:$B$224,0))),'Tabla Impacto'!$F$224&amp;"Por favor no seleccionar los criterios de impacto(Afectación Económica o presupuestal y Pérdida Reputacional)",O27)</f>
        <v xml:space="preserve">     El riesgo afecta la imagen de la entidad con algunos usuarios de relevancia frente al logro de los objetivos</v>
      </c>
      <c r="Q27" s="591" t="str">
        <f>IF(OR(P27='[8]Tabla Impacto'!$C$12,P27='[8]Tabla Impacto'!$D$12),"Leve",IF(OR(P27='[8]Tabla Impacto'!$C$13,P27='[8]Tabla Impacto'!$D$13),"Menor",IF(OR(P27='[8]Tabla Impacto'!$C$14,P27='[8]Tabla Impacto'!$D$14),"Moderado",IF(OR(P27='[8]Tabla Impacto'!$C$15,P27='[8]Tabla Impacto'!$D$15),"Mayor",IF(OR(P27='[8]Tabla Impacto'!$C$16,P27='[8]Tabla Impacto'!$D$16),"Catastrófico","")))))</f>
        <v>Moderado</v>
      </c>
      <c r="R27" s="590">
        <f t="shared" si="0"/>
        <v>0.6</v>
      </c>
      <c r="S27" s="592" t="str">
        <f t="shared" si="1"/>
        <v>Moderado</v>
      </c>
      <c r="T27" s="595">
        <v>3</v>
      </c>
      <c r="U27" s="631" t="s">
        <v>346</v>
      </c>
      <c r="V27" s="595" t="str">
        <f t="shared" si="2"/>
        <v>Probabilidad</v>
      </c>
      <c r="W27" s="596" t="s">
        <v>269</v>
      </c>
      <c r="X27" s="596" t="s">
        <v>198</v>
      </c>
      <c r="Y27" s="597" t="str">
        <f t="shared" si="3"/>
        <v>30%</v>
      </c>
      <c r="Z27" s="596" t="s">
        <v>259</v>
      </c>
      <c r="AA27" s="596" t="s">
        <v>200</v>
      </c>
      <c r="AB27" s="596" t="s">
        <v>201</v>
      </c>
      <c r="AC27" s="598">
        <f>IFERROR(IF(AND(V26="Probabilidad",V27="Probabilidad"),(AE26-(+AE26*Y27)),IF(AND(V26="Impacto",V27="Probabilidad"),(AE25-(+AE25*Y27)),IF(V27="Impacto",AE26,""))),"")</f>
        <v>0.1512</v>
      </c>
      <c r="AD27" s="599" t="str">
        <f t="shared" si="4"/>
        <v>Muy Baja</v>
      </c>
      <c r="AE27" s="600">
        <f t="shared" si="5"/>
        <v>0.1512</v>
      </c>
      <c r="AF27" s="599" t="str">
        <f t="shared" si="6"/>
        <v>Mayor</v>
      </c>
      <c r="AG27" s="600">
        <f>IFERROR(IF(AND(V26="Impacto",V27="Impacto"),(AG26-(+AG26*Y27)),IF(AND(V26="Probabilidad",V27="Impacto"),(AG25-(+AG25*Y27)),IF(V27="Probabilidad",AG26,""))),"")</f>
        <v>0.8</v>
      </c>
      <c r="AH27" s="601" t="str">
        <f t="shared" si="7"/>
        <v>Alto</v>
      </c>
      <c r="AI27" s="602" t="s">
        <v>202</v>
      </c>
      <c r="AJ27" s="603"/>
      <c r="AK27" s="603"/>
      <c r="AL27" s="604"/>
      <c r="AM27" s="605"/>
      <c r="AN27" s="606"/>
      <c r="AO27" s="607"/>
      <c r="AP27" s="608">
        <v>45761</v>
      </c>
      <c r="AQ27" s="609" t="s">
        <v>313</v>
      </c>
      <c r="AR27" s="647" t="s">
        <v>336</v>
      </c>
      <c r="AS27" s="611" t="s">
        <v>205</v>
      </c>
      <c r="AT27" s="612" t="s">
        <v>206</v>
      </c>
      <c r="AU27" s="283" t="s">
        <v>206</v>
      </c>
      <c r="AV27" s="613"/>
      <c r="AW27" s="614">
        <v>45770</v>
      </c>
      <c r="AX27" s="615" t="s">
        <v>207</v>
      </c>
      <c r="AY27" s="635" t="s">
        <v>337</v>
      </c>
      <c r="BA27" s="617"/>
      <c r="BB27" s="617"/>
      <c r="BC27" s="618" t="s">
        <v>209</v>
      </c>
      <c r="BE27" s="608">
        <v>45854</v>
      </c>
      <c r="BF27" s="609" t="s">
        <v>313</v>
      </c>
      <c r="BG27" s="648" t="s">
        <v>347</v>
      </c>
      <c r="BH27" s="449" t="s">
        <v>205</v>
      </c>
      <c r="BI27" s="619" t="s">
        <v>206</v>
      </c>
      <c r="BJ27" s="619" t="s">
        <v>206</v>
      </c>
      <c r="BL27" s="450">
        <v>45855</v>
      </c>
      <c r="BM27" s="449" t="s">
        <v>215</v>
      </c>
      <c r="BN27" s="283" t="s">
        <v>231</v>
      </c>
      <c r="BP27" s="617"/>
      <c r="BQ27" s="617"/>
      <c r="BR27" s="618" t="s">
        <v>209</v>
      </c>
      <c r="BT27" s="608">
        <v>45940</v>
      </c>
      <c r="BU27" s="609" t="s">
        <v>313</v>
      </c>
      <c r="BV27" s="648" t="s">
        <v>348</v>
      </c>
      <c r="BW27" s="286" t="s">
        <v>205</v>
      </c>
      <c r="BX27" s="286" t="s">
        <v>340</v>
      </c>
      <c r="BY27" s="286" t="s">
        <v>341</v>
      </c>
      <c r="CA27" s="614">
        <v>45953</v>
      </c>
      <c r="CB27" s="616" t="s">
        <v>218</v>
      </c>
      <c r="CC27" s="286" t="s">
        <v>342</v>
      </c>
      <c r="CE27" s="617"/>
      <c r="CF27" s="617"/>
      <c r="CG27" s="618" t="s">
        <v>209</v>
      </c>
      <c r="CH27" s="192"/>
      <c r="CI27" s="558"/>
      <c r="CJ27" s="558"/>
      <c r="CK27" s="559" t="s">
        <v>209</v>
      </c>
      <c r="CL27" s="558"/>
      <c r="CM27" s="558"/>
      <c r="CN27" s="558"/>
      <c r="CO27" s="553"/>
      <c r="CP27" s="558"/>
      <c r="CQ27" s="558"/>
      <c r="CR27" s="559" t="s">
        <v>209</v>
      </c>
      <c r="CS27" s="553"/>
      <c r="CT27" s="558"/>
      <c r="CU27" s="558"/>
      <c r="CV27" s="559" t="s">
        <v>209</v>
      </c>
    </row>
    <row r="28" spans="1:100" ht="151.5" customHeight="1" x14ac:dyDescent="0.3">
      <c r="A28" s="622">
        <v>10</v>
      </c>
      <c r="B28" s="622" t="s">
        <v>349</v>
      </c>
      <c r="C28" s="623" t="s">
        <v>307</v>
      </c>
      <c r="D28" s="585" t="str">
        <f>IFERROR(INDEX('Base de datos gestión'!$D$28:$D$50,MATCH(C28,'Base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8" s="585" t="str">
        <f>IFERROR(INDEX('Base de datos gestión'!$E$28:$E$50,MATCH(C28,'Base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8" s="628" t="s">
        <v>188</v>
      </c>
      <c r="G28" s="629" t="s">
        <v>350</v>
      </c>
      <c r="H28" s="628" t="s">
        <v>351</v>
      </c>
      <c r="I28" s="628" t="s">
        <v>352</v>
      </c>
      <c r="J28" s="630" t="s">
        <v>192</v>
      </c>
      <c r="K28" s="630" t="s">
        <v>311</v>
      </c>
      <c r="L28" s="630">
        <v>50</v>
      </c>
      <c r="M28" s="588" t="str">
        <f t="shared" si="22"/>
        <v>Media</v>
      </c>
      <c r="N28" s="589">
        <f t="shared" si="15"/>
        <v>0.6</v>
      </c>
      <c r="O28" s="590" t="s">
        <v>248</v>
      </c>
      <c r="P28" s="589" t="str">
        <f>IF(NOT(ISERROR(MATCH(O28,'Tabla Impacto'!$B$222:$B$224,0))),'Tabla Impacto'!$F$224&amp;"Por favor no seleccionar los criterios de impacto(Afectación Económica o presupuestal y Pérdida Reputacional)",O28)</f>
        <v xml:space="preserve">     El riesgo afecta la imagen de la entidad con algunos usuarios de relevancia frente al logro de los objetivos</v>
      </c>
      <c r="Q28" s="591" t="str">
        <f>IF(OR(P28='[8]Tabla Impacto'!$C$12,P28='[8]Tabla Impacto'!$D$12),"Leve",IF(OR(P28='[8]Tabla Impacto'!$C$13,P28='[8]Tabla Impacto'!$D$13),"Menor",IF(OR(P28='[8]Tabla Impacto'!$C$14,P28='[8]Tabla Impacto'!$D$14),"Moderado",IF(OR(P28='[8]Tabla Impacto'!$C$15,P28='[8]Tabla Impacto'!$D$15),"Mayor",IF(OR(P28='[8]Tabla Impacto'!$C$16,P28='[8]Tabla Impacto'!$D$16),"Catastrófico","")))))</f>
        <v>Moderado</v>
      </c>
      <c r="R28" s="590">
        <f t="shared" si="0"/>
        <v>0.6</v>
      </c>
      <c r="S28" s="592" t="str">
        <f t="shared" si="1"/>
        <v>Moderado</v>
      </c>
      <c r="T28" s="595">
        <v>1</v>
      </c>
      <c r="U28" s="631" t="s">
        <v>353</v>
      </c>
      <c r="V28" s="595" t="str">
        <f t="shared" si="2"/>
        <v>Probabilidad</v>
      </c>
      <c r="W28" s="596" t="s">
        <v>197</v>
      </c>
      <c r="X28" s="596" t="s">
        <v>198</v>
      </c>
      <c r="Y28" s="597" t="str">
        <f t="shared" si="3"/>
        <v>40%</v>
      </c>
      <c r="Z28" s="596" t="s">
        <v>259</v>
      </c>
      <c r="AA28" s="596" t="s">
        <v>200</v>
      </c>
      <c r="AB28" s="596" t="s">
        <v>201</v>
      </c>
      <c r="AC28" s="598">
        <f>IFERROR(IF(AND(V27="Probabilidad",V28="Probabilidad"),(AE27-(+AE27*Y28)),IF(AND(V27="Impacto",V28="Probabilidad"),(AE26-(+AE26*Y28)),IF(V28="Impacto",AE27,""))),"")</f>
        <v>9.0719999999999995E-2</v>
      </c>
      <c r="AD28" s="599" t="str">
        <f t="shared" si="4"/>
        <v>Muy Baja</v>
      </c>
      <c r="AE28" s="600">
        <f t="shared" si="5"/>
        <v>9.0719999999999995E-2</v>
      </c>
      <c r="AF28" s="599" t="str">
        <f t="shared" si="6"/>
        <v>Mayor</v>
      </c>
      <c r="AG28" s="600">
        <f>IFERROR(IF(AND(V27="Impacto",V28="Impacto"),(AG27-(+AG27*Y28)),IF(AND(V27="Probabilidad",V28="Impacto"),(AG26-(+AG26*Y28)),IF(V28="Probabilidad",AG27,""))),"")</f>
        <v>0.8</v>
      </c>
      <c r="AH28" s="601" t="str">
        <f t="shared" si="7"/>
        <v>Alto</v>
      </c>
      <c r="AI28" s="602" t="s">
        <v>202</v>
      </c>
      <c r="AJ28" s="603"/>
      <c r="AK28" s="603"/>
      <c r="AL28" s="604"/>
      <c r="AM28" s="605"/>
      <c r="AN28" s="606"/>
      <c r="AO28" s="607"/>
      <c r="AP28" s="608">
        <v>45761</v>
      </c>
      <c r="AQ28" s="609" t="s">
        <v>313</v>
      </c>
      <c r="AR28" s="647" t="s">
        <v>354</v>
      </c>
      <c r="AS28" s="611" t="s">
        <v>205</v>
      </c>
      <c r="AT28" s="612" t="s">
        <v>206</v>
      </c>
      <c r="AU28" s="283" t="s">
        <v>206</v>
      </c>
      <c r="AV28" s="613"/>
      <c r="AW28" s="614">
        <v>45770</v>
      </c>
      <c r="AX28" s="615" t="s">
        <v>207</v>
      </c>
      <c r="AY28" s="635" t="s">
        <v>337</v>
      </c>
      <c r="BA28" s="617"/>
      <c r="BB28" s="617"/>
      <c r="BC28" s="618" t="s">
        <v>209</v>
      </c>
      <c r="BE28" s="608">
        <v>45855</v>
      </c>
      <c r="BF28" s="609" t="s">
        <v>313</v>
      </c>
      <c r="BG28" s="648" t="s">
        <v>355</v>
      </c>
      <c r="BH28" s="286" t="s">
        <v>205</v>
      </c>
      <c r="BI28" s="616" t="s">
        <v>206</v>
      </c>
      <c r="BJ28" s="616" t="s">
        <v>206</v>
      </c>
      <c r="BL28" s="450">
        <v>45855</v>
      </c>
      <c r="BM28" s="449" t="s">
        <v>215</v>
      </c>
      <c r="BN28" s="283" t="s">
        <v>231</v>
      </c>
      <c r="BP28" s="617"/>
      <c r="BQ28" s="617"/>
      <c r="BR28" s="618" t="s">
        <v>209</v>
      </c>
      <c r="BT28" s="608">
        <v>45940</v>
      </c>
      <c r="BU28" s="609" t="s">
        <v>313</v>
      </c>
      <c r="BV28" s="648" t="s">
        <v>355</v>
      </c>
      <c r="BW28" s="286" t="s">
        <v>205</v>
      </c>
      <c r="BX28" s="286" t="s">
        <v>206</v>
      </c>
      <c r="BY28" s="286" t="s">
        <v>206</v>
      </c>
      <c r="CA28" s="614">
        <v>45985</v>
      </c>
      <c r="CB28" s="616" t="s">
        <v>218</v>
      </c>
      <c r="CC28" s="283" t="s">
        <v>233</v>
      </c>
      <c r="CE28" s="617"/>
      <c r="CF28" s="617"/>
      <c r="CG28" s="618" t="s">
        <v>209</v>
      </c>
      <c r="CH28" s="192"/>
      <c r="CI28" s="558"/>
      <c r="CJ28" s="558"/>
      <c r="CK28" s="559" t="s">
        <v>209</v>
      </c>
      <c r="CL28" s="558"/>
      <c r="CM28" s="558"/>
      <c r="CN28" s="558"/>
      <c r="CO28" s="553"/>
      <c r="CP28" s="558"/>
      <c r="CQ28" s="558"/>
      <c r="CR28" s="559" t="s">
        <v>209</v>
      </c>
      <c r="CS28" s="553"/>
      <c r="CT28" s="558"/>
      <c r="CU28" s="558"/>
      <c r="CV28" s="559" t="s">
        <v>209</v>
      </c>
    </row>
    <row r="29" spans="1:100" ht="151.5" customHeight="1" x14ac:dyDescent="0.3">
      <c r="A29" s="622">
        <v>10</v>
      </c>
      <c r="B29" s="622" t="s">
        <v>349</v>
      </c>
      <c r="C29" s="623" t="s">
        <v>307</v>
      </c>
      <c r="D29" s="585" t="str">
        <f>IFERROR(INDEX('Base de datos gestión'!$D$28:$D$50,MATCH(C29,'Base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29" s="585" t="str">
        <f>IFERROR(INDEX('Base de datos gestión'!$E$28:$E$50,MATCH(C29,'Base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29" s="628" t="s">
        <v>188</v>
      </c>
      <c r="G29" s="629" t="s">
        <v>350</v>
      </c>
      <c r="H29" s="628" t="s">
        <v>351</v>
      </c>
      <c r="I29" s="628" t="s">
        <v>352</v>
      </c>
      <c r="J29" s="630" t="s">
        <v>192</v>
      </c>
      <c r="K29" s="630" t="s">
        <v>311</v>
      </c>
      <c r="L29" s="630">
        <v>50</v>
      </c>
      <c r="M29" s="588" t="str">
        <f t="shared" si="22"/>
        <v>Media</v>
      </c>
      <c r="N29" s="589">
        <f t="shared" si="15"/>
        <v>0.6</v>
      </c>
      <c r="O29" s="590" t="s">
        <v>248</v>
      </c>
      <c r="P29" s="589" t="str">
        <f>IF(NOT(ISERROR(MATCH(O29,'Tabla Impacto'!$B$222:$B$224,0))),'Tabla Impacto'!$F$224&amp;"Por favor no seleccionar los criterios de impacto(Afectación Económica o presupuestal y Pérdida Reputacional)",O29)</f>
        <v xml:space="preserve">     El riesgo afecta la imagen de la entidad con algunos usuarios de relevancia frente al logro de los objetivos</v>
      </c>
      <c r="Q29" s="591" t="str">
        <f>IF(OR(P29='[8]Tabla Impacto'!$C$12,P29='[8]Tabla Impacto'!$D$12),"Leve",IF(OR(P29='[8]Tabla Impacto'!$C$13,P29='[8]Tabla Impacto'!$D$13),"Menor",IF(OR(P29='[8]Tabla Impacto'!$C$14,P29='[8]Tabla Impacto'!$D$14),"Moderado",IF(OR(P29='[8]Tabla Impacto'!$C$15,P29='[8]Tabla Impacto'!$D$15),"Mayor",IF(OR(P29='[8]Tabla Impacto'!$C$16,P29='[8]Tabla Impacto'!$D$16),"Catastrófico","")))))</f>
        <v>Moderado</v>
      </c>
      <c r="R29" s="590">
        <f t="shared" si="0"/>
        <v>0.6</v>
      </c>
      <c r="S29" s="592" t="str">
        <f t="shared" si="1"/>
        <v>Moderado</v>
      </c>
      <c r="T29" s="595">
        <v>2</v>
      </c>
      <c r="U29" s="631" t="s">
        <v>356</v>
      </c>
      <c r="V29" s="595" t="str">
        <f t="shared" si="2"/>
        <v>Probabilidad</v>
      </c>
      <c r="W29" s="596" t="s">
        <v>197</v>
      </c>
      <c r="X29" s="596" t="s">
        <v>198</v>
      </c>
      <c r="Y29" s="597" t="str">
        <f t="shared" si="3"/>
        <v>40%</v>
      </c>
      <c r="Z29" s="596" t="s">
        <v>259</v>
      </c>
      <c r="AA29" s="596" t="s">
        <v>200</v>
      </c>
      <c r="AB29" s="596" t="s">
        <v>201</v>
      </c>
      <c r="AC29" s="598">
        <f>IFERROR(IF(AND(V28="Probabilidad",V29="Probabilidad"),(AE28-(+AE28*Y29)),IF(AND(V28="Impacto",V29="Probabilidad"),(AE27-(+AE27*Y29)),IF(V29="Impacto",AE28,""))),"")</f>
        <v>5.4431999999999994E-2</v>
      </c>
      <c r="AD29" s="599" t="str">
        <f t="shared" si="4"/>
        <v>Muy Baja</v>
      </c>
      <c r="AE29" s="600">
        <f t="shared" si="5"/>
        <v>5.4431999999999994E-2</v>
      </c>
      <c r="AF29" s="599" t="str">
        <f t="shared" si="6"/>
        <v>Mayor</v>
      </c>
      <c r="AG29" s="600">
        <f>IFERROR(IF(AND(V28="Impacto",V29="Impacto"),(AG28-(+AG28*Y29)),IF(AND(V28="Probabilidad",V29="Impacto"),(AG27-(+AG27*Y29)),IF(V29="Probabilidad",AG28,""))),"")</f>
        <v>0.8</v>
      </c>
      <c r="AH29" s="601" t="str">
        <f t="shared" si="7"/>
        <v>Alto</v>
      </c>
      <c r="AI29" s="602" t="s">
        <v>202</v>
      </c>
      <c r="AJ29" s="603"/>
      <c r="AK29" s="603"/>
      <c r="AL29" s="604"/>
      <c r="AM29" s="605"/>
      <c r="AN29" s="606"/>
      <c r="AO29" s="607"/>
      <c r="AP29" s="608">
        <v>45761</v>
      </c>
      <c r="AQ29" s="609" t="s">
        <v>313</v>
      </c>
      <c r="AR29" s="647" t="s">
        <v>354</v>
      </c>
      <c r="AS29" s="611" t="s">
        <v>205</v>
      </c>
      <c r="AT29" s="612" t="s">
        <v>206</v>
      </c>
      <c r="AU29" s="283" t="s">
        <v>206</v>
      </c>
      <c r="AV29" s="613"/>
      <c r="AW29" s="614">
        <v>45770</v>
      </c>
      <c r="AX29" s="615" t="s">
        <v>207</v>
      </c>
      <c r="AY29" s="635" t="s">
        <v>337</v>
      </c>
      <c r="BA29" s="617"/>
      <c r="BB29" s="617"/>
      <c r="BC29" s="618" t="s">
        <v>209</v>
      </c>
      <c r="BE29" s="608">
        <v>45855</v>
      </c>
      <c r="BF29" s="609" t="s">
        <v>313</v>
      </c>
      <c r="BG29" s="648" t="s">
        <v>357</v>
      </c>
      <c r="BH29" s="286" t="s">
        <v>205</v>
      </c>
      <c r="BI29" s="616" t="s">
        <v>206</v>
      </c>
      <c r="BJ29" s="616" t="s">
        <v>206</v>
      </c>
      <c r="BL29" s="450">
        <v>45855</v>
      </c>
      <c r="BM29" s="449" t="s">
        <v>215</v>
      </c>
      <c r="BN29" s="283" t="s">
        <v>231</v>
      </c>
      <c r="BP29" s="617"/>
      <c r="BQ29" s="617"/>
      <c r="BR29" s="618" t="s">
        <v>209</v>
      </c>
      <c r="BT29" s="608">
        <v>45940</v>
      </c>
      <c r="BU29" s="609" t="s">
        <v>313</v>
      </c>
      <c r="BV29" s="648" t="s">
        <v>358</v>
      </c>
      <c r="BW29" s="286" t="s">
        <v>205</v>
      </c>
      <c r="BX29" s="286" t="s">
        <v>206</v>
      </c>
      <c r="BY29" s="286" t="s">
        <v>206</v>
      </c>
      <c r="CA29" s="614">
        <v>45985</v>
      </c>
      <c r="CB29" s="616" t="s">
        <v>218</v>
      </c>
      <c r="CC29" s="283" t="s">
        <v>233</v>
      </c>
      <c r="CE29" s="617"/>
      <c r="CF29" s="617"/>
      <c r="CG29" s="618" t="s">
        <v>209</v>
      </c>
      <c r="CH29" s="192"/>
      <c r="CI29" s="558"/>
      <c r="CJ29" s="558"/>
      <c r="CK29" s="559" t="s">
        <v>209</v>
      </c>
      <c r="CL29" s="558"/>
      <c r="CM29" s="558"/>
      <c r="CN29" s="558"/>
      <c r="CO29" s="553"/>
      <c r="CP29" s="558"/>
      <c r="CQ29" s="558"/>
      <c r="CR29" s="559" t="s">
        <v>209</v>
      </c>
      <c r="CS29" s="553"/>
      <c r="CT29" s="558"/>
      <c r="CU29" s="558"/>
      <c r="CV29" s="559" t="s">
        <v>209</v>
      </c>
    </row>
    <row r="30" spans="1:100" ht="258" customHeight="1" x14ac:dyDescent="0.3">
      <c r="A30" s="632">
        <v>11</v>
      </c>
      <c r="B30" s="632" t="s">
        <v>359</v>
      </c>
      <c r="C30" s="633" t="s">
        <v>307</v>
      </c>
      <c r="D30" s="585" t="str">
        <f>IFERROR(INDEX('Base de datos gestión'!$D$28:$D$50,MATCH(C30,'Base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0" s="585" t="str">
        <f>IFERROR(INDEX('Base de datos gestión'!$E$28:$E$50,MATCH(C30,'Base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0" s="628" t="s">
        <v>188</v>
      </c>
      <c r="G30" s="629" t="s">
        <v>360</v>
      </c>
      <c r="H30" s="628" t="s">
        <v>361</v>
      </c>
      <c r="I30" s="628" t="s">
        <v>362</v>
      </c>
      <c r="J30" s="630" t="s">
        <v>192</v>
      </c>
      <c r="K30" s="630" t="s">
        <v>311</v>
      </c>
      <c r="L30" s="630">
        <v>20</v>
      </c>
      <c r="M30" s="588" t="str">
        <f t="shared" si="22"/>
        <v>Baja</v>
      </c>
      <c r="N30" s="589">
        <f t="shared" si="15"/>
        <v>0.4</v>
      </c>
      <c r="O30" s="590" t="s">
        <v>248</v>
      </c>
      <c r="P30" s="589" t="str">
        <f>IF(NOT(ISERROR(MATCH(O30,'Tabla Impacto'!$B$222:$B$224,0))),'Tabla Impacto'!$F$224&amp;"Por favor no seleccionar los criterios de impacto(Afectación Económica o presupuestal y Pérdida Reputacional)",O30)</f>
        <v xml:space="preserve">     El riesgo afecta la imagen de la entidad con algunos usuarios de relevancia frente al logro de los objetivos</v>
      </c>
      <c r="Q30" s="591" t="str">
        <f>IF(OR(P30='[8]Tabla Impacto'!$C$12,P30='[8]Tabla Impacto'!$D$12),"Leve",IF(OR(P30='[8]Tabla Impacto'!$C$13,P30='[8]Tabla Impacto'!$D$13),"Menor",IF(OR(P30='[8]Tabla Impacto'!$C$14,P30='[8]Tabla Impacto'!$D$14),"Moderado",IF(OR(P30='[8]Tabla Impacto'!$C$15,P30='[8]Tabla Impacto'!$D$15),"Mayor",IF(OR(P30='[8]Tabla Impacto'!$C$16,P30='[8]Tabla Impacto'!$D$16),"Catastrófico","")))))</f>
        <v>Moderado</v>
      </c>
      <c r="R30" s="590">
        <f t="shared" si="0"/>
        <v>0.6</v>
      </c>
      <c r="S30" s="592" t="str">
        <f t="shared" si="1"/>
        <v>Moderado</v>
      </c>
      <c r="T30" s="595">
        <v>1</v>
      </c>
      <c r="U30" s="631" t="s">
        <v>363</v>
      </c>
      <c r="V30" s="595" t="str">
        <f t="shared" si="2"/>
        <v>Probabilidad</v>
      </c>
      <c r="W30" s="596" t="s">
        <v>197</v>
      </c>
      <c r="X30" s="596" t="s">
        <v>198</v>
      </c>
      <c r="Y30" s="597" t="str">
        <f t="shared" si="3"/>
        <v>40%</v>
      </c>
      <c r="Z30" s="596" t="s">
        <v>259</v>
      </c>
      <c r="AA30" s="596" t="s">
        <v>200</v>
      </c>
      <c r="AB30" s="596" t="s">
        <v>201</v>
      </c>
      <c r="AC30" s="598">
        <f>IFERROR(IF(AND(V29="Probabilidad",V30="Probabilidad"),(AE29-(+AE29*Y30)),IF(AND(V29="Impacto",V30="Probabilidad"),(AE28-(+AE28*Y30)),IF(V30="Impacto",AE29,""))),"")</f>
        <v>3.2659199999999999E-2</v>
      </c>
      <c r="AD30" s="599" t="str">
        <f t="shared" si="4"/>
        <v>Muy Baja</v>
      </c>
      <c r="AE30" s="600">
        <f t="shared" si="5"/>
        <v>3.2659199999999999E-2</v>
      </c>
      <c r="AF30" s="599" t="str">
        <f t="shared" si="6"/>
        <v>Mayor</v>
      </c>
      <c r="AG30" s="600">
        <f>IFERROR(IF(AND(V29="Impacto",V30="Impacto"),(AG29-(+AG29*Y30)),IF(AND(V29="Probabilidad",V30="Impacto"),(AG28-(+AG28*Y30)),IF(V30="Probabilidad",AG29,""))),"")</f>
        <v>0.8</v>
      </c>
      <c r="AH30" s="601" t="str">
        <f t="shared" si="7"/>
        <v>Alto</v>
      </c>
      <c r="AI30" s="602" t="s">
        <v>202</v>
      </c>
      <c r="AJ30" s="603"/>
      <c r="AK30" s="603"/>
      <c r="AL30" s="604"/>
      <c r="AM30" s="605"/>
      <c r="AN30" s="606"/>
      <c r="AO30" s="607"/>
      <c r="AP30" s="608" t="s">
        <v>364</v>
      </c>
      <c r="AQ30" s="609"/>
      <c r="AR30" s="618" t="s">
        <v>365</v>
      </c>
      <c r="AS30" s="611"/>
      <c r="AT30" s="612"/>
      <c r="AU30" s="283"/>
      <c r="AV30" s="613"/>
      <c r="AW30" s="614">
        <v>45782</v>
      </c>
      <c r="AX30" s="615" t="s">
        <v>207</v>
      </c>
      <c r="AY30" s="616" t="s">
        <v>366</v>
      </c>
      <c r="BA30" s="617"/>
      <c r="BB30" s="617"/>
      <c r="BC30" s="618" t="s">
        <v>209</v>
      </c>
      <c r="BE30" s="608">
        <v>45861</v>
      </c>
      <c r="BF30" s="609" t="s">
        <v>218</v>
      </c>
      <c r="BG30" s="286" t="s">
        <v>367</v>
      </c>
      <c r="BH30" s="657" t="s">
        <v>212</v>
      </c>
      <c r="BI30" s="286" t="s">
        <v>317</v>
      </c>
      <c r="BJ30" s="286" t="s">
        <v>368</v>
      </c>
      <c r="BL30" s="450">
        <v>45869</v>
      </c>
      <c r="BM30" s="449" t="s">
        <v>285</v>
      </c>
      <c r="BN30" s="658" t="s">
        <v>369</v>
      </c>
      <c r="BP30" s="617"/>
      <c r="BQ30" s="617"/>
      <c r="BR30" s="618" t="s">
        <v>209</v>
      </c>
      <c r="BT30" s="614">
        <v>45986</v>
      </c>
      <c r="BU30" s="615" t="s">
        <v>215</v>
      </c>
      <c r="BV30" s="643" t="s">
        <v>370</v>
      </c>
      <c r="BW30" s="286" t="s">
        <v>205</v>
      </c>
      <c r="BX30" s="286" t="s">
        <v>206</v>
      </c>
      <c r="BY30" s="286" t="s">
        <v>206</v>
      </c>
      <c r="CA30" s="614">
        <v>45986</v>
      </c>
      <c r="CB30" s="616" t="s">
        <v>218</v>
      </c>
      <c r="CC30" s="643" t="s">
        <v>370</v>
      </c>
      <c r="CE30" s="617"/>
      <c r="CF30" s="617"/>
      <c r="CG30" s="618" t="s">
        <v>209</v>
      </c>
      <c r="CH30" s="192"/>
      <c r="CI30" s="558"/>
      <c r="CJ30" s="558"/>
      <c r="CK30" s="559" t="s">
        <v>209</v>
      </c>
      <c r="CL30" s="558"/>
      <c r="CM30" s="558"/>
      <c r="CN30" s="558"/>
      <c r="CO30" s="553"/>
      <c r="CP30" s="558"/>
      <c r="CQ30" s="558"/>
      <c r="CR30" s="559" t="s">
        <v>209</v>
      </c>
      <c r="CS30" s="553"/>
      <c r="CT30" s="558"/>
      <c r="CU30" s="558"/>
      <c r="CV30" s="559" t="s">
        <v>209</v>
      </c>
    </row>
    <row r="31" spans="1:100" ht="237.75" customHeight="1" x14ac:dyDescent="0.3">
      <c r="A31" s="584">
        <v>11</v>
      </c>
      <c r="B31" s="584" t="s">
        <v>359</v>
      </c>
      <c r="C31" s="585" t="s">
        <v>307</v>
      </c>
      <c r="D31" s="585" t="str">
        <f>IFERROR(INDEX('Base de datos gestión'!$D$28:$D$50,MATCH(C31,'Base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1" s="585" t="str">
        <f>IFERROR(INDEX('Base de datos gestión'!$E$28:$E$50,MATCH(C31,'Base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1" s="628" t="s">
        <v>188</v>
      </c>
      <c r="G31" s="629" t="s">
        <v>360</v>
      </c>
      <c r="H31" s="628" t="s">
        <v>361</v>
      </c>
      <c r="I31" s="628" t="s">
        <v>362</v>
      </c>
      <c r="J31" s="630" t="s">
        <v>192</v>
      </c>
      <c r="K31" s="630" t="s">
        <v>311</v>
      </c>
      <c r="L31" s="630">
        <v>20</v>
      </c>
      <c r="M31" s="588" t="str">
        <f>IF(L31&lt;=0,"",IF(L31&lt;=2,"Muy Baja",IF(L31&lt;=24,"Baja",IF(L31&lt;=500,"Media",IF(L31&lt;=5000,"Alta","Muy Alta")))))</f>
        <v>Baja</v>
      </c>
      <c r="N31" s="589">
        <f t="shared" si="15"/>
        <v>0.4</v>
      </c>
      <c r="O31" s="590" t="s">
        <v>248</v>
      </c>
      <c r="P31" s="589" t="str">
        <f>IF(NOT(ISERROR(MATCH(O31,'Tabla Impacto'!$B$222:$B$224,0))),'Tabla Impacto'!$F$224&amp;"Por favor no seleccionar los criterios de impacto(Afectación Económica o presupuestal y Pérdida Reputacional)",O31)</f>
        <v xml:space="preserve">     El riesgo afecta la imagen de la entidad con algunos usuarios de relevancia frente al logro de los objetivos</v>
      </c>
      <c r="Q31" s="591" t="str">
        <f>IF(OR(P31='[8]Tabla Impacto'!$C$12,P31='[8]Tabla Impacto'!$D$12),"Leve",IF(OR(P31='[8]Tabla Impacto'!$C$13,P31='[8]Tabla Impacto'!$D$13),"Menor",IF(OR(P31='[8]Tabla Impacto'!$C$14,P31='[8]Tabla Impacto'!$D$14),"Moderado",IF(OR(P31='[8]Tabla Impacto'!$C$15,P31='[8]Tabla Impacto'!$D$15),"Mayor",IF(OR(P31='[8]Tabla Impacto'!$C$16,P31='[8]Tabla Impacto'!$D$16),"Catastrófico","")))))</f>
        <v>Moderado</v>
      </c>
      <c r="R31" s="590">
        <f t="shared" si="0"/>
        <v>0.6</v>
      </c>
      <c r="S31" s="592" t="str">
        <f t="shared" si="1"/>
        <v>Moderado</v>
      </c>
      <c r="T31" s="595">
        <v>2</v>
      </c>
      <c r="U31" s="631" t="s">
        <v>371</v>
      </c>
      <c r="V31" s="595" t="str">
        <f t="shared" si="2"/>
        <v>Probabilidad</v>
      </c>
      <c r="W31" s="596" t="s">
        <v>197</v>
      </c>
      <c r="X31" s="596" t="s">
        <v>198</v>
      </c>
      <c r="Y31" s="597" t="str">
        <f t="shared" si="3"/>
        <v>40%</v>
      </c>
      <c r="Z31" s="596" t="s">
        <v>259</v>
      </c>
      <c r="AA31" s="596" t="s">
        <v>200</v>
      </c>
      <c r="AB31" s="596" t="s">
        <v>201</v>
      </c>
      <c r="AC31" s="598">
        <f>IFERROR(IF(V31="Probabilidad",(N31-(+N31*Y31)),IF(V31="Impacto",N31,"")),"")</f>
        <v>0.24</v>
      </c>
      <c r="AD31" s="599" t="str">
        <f t="shared" si="4"/>
        <v>Baja</v>
      </c>
      <c r="AE31" s="600">
        <f t="shared" si="5"/>
        <v>0.24</v>
      </c>
      <c r="AF31" s="599" t="str">
        <f t="shared" si="6"/>
        <v>Moderado</v>
      </c>
      <c r="AG31" s="600">
        <f>IFERROR(IF(V31="Impacto",(R31-(+R31*Y31)),IF(V31="Probabilidad",R31,"")),"")</f>
        <v>0.6</v>
      </c>
      <c r="AH31" s="601" t="str">
        <f t="shared" si="7"/>
        <v>Moderado</v>
      </c>
      <c r="AI31" s="602" t="s">
        <v>202</v>
      </c>
      <c r="AJ31" s="603"/>
      <c r="AK31" s="603"/>
      <c r="AL31" s="604"/>
      <c r="AM31" s="605"/>
      <c r="AN31" s="606"/>
      <c r="AO31" s="607"/>
      <c r="AP31" s="608"/>
      <c r="AQ31" s="609"/>
      <c r="AR31" s="618" t="s">
        <v>365</v>
      </c>
      <c r="AS31" s="611"/>
      <c r="AT31" s="612"/>
      <c r="AU31" s="283"/>
      <c r="AV31" s="613"/>
      <c r="AW31" s="614">
        <v>45782</v>
      </c>
      <c r="AX31" s="615" t="s">
        <v>207</v>
      </c>
      <c r="AY31" s="616" t="s">
        <v>366</v>
      </c>
      <c r="BA31" s="617"/>
      <c r="BB31" s="617"/>
      <c r="BC31" s="618" t="s">
        <v>209</v>
      </c>
      <c r="BE31" s="608">
        <v>45861</v>
      </c>
      <c r="BF31" s="609" t="s">
        <v>218</v>
      </c>
      <c r="BG31" s="286" t="s">
        <v>367</v>
      </c>
      <c r="BH31" s="657" t="s">
        <v>212</v>
      </c>
      <c r="BI31" s="286" t="s">
        <v>317</v>
      </c>
      <c r="BJ31" s="286" t="s">
        <v>368</v>
      </c>
      <c r="BL31" s="450">
        <v>45869</v>
      </c>
      <c r="BM31" s="449" t="s">
        <v>285</v>
      </c>
      <c r="BN31" s="658" t="s">
        <v>369</v>
      </c>
      <c r="BP31" s="617"/>
      <c r="BQ31" s="617"/>
      <c r="BR31" s="618" t="s">
        <v>209</v>
      </c>
      <c r="BT31" s="614">
        <v>45986</v>
      </c>
      <c r="BU31" s="615" t="s">
        <v>215</v>
      </c>
      <c r="BV31" s="643" t="s">
        <v>370</v>
      </c>
      <c r="BW31" s="286" t="s">
        <v>205</v>
      </c>
      <c r="BX31" s="286" t="s">
        <v>206</v>
      </c>
      <c r="BY31" s="286" t="s">
        <v>206</v>
      </c>
      <c r="CA31" s="614">
        <v>45986</v>
      </c>
      <c r="CB31" s="616" t="s">
        <v>218</v>
      </c>
      <c r="CC31" s="643" t="s">
        <v>370</v>
      </c>
      <c r="CE31" s="617"/>
      <c r="CF31" s="617"/>
      <c r="CG31" s="618" t="s">
        <v>209</v>
      </c>
      <c r="CH31" s="192"/>
      <c r="CI31" s="558"/>
      <c r="CJ31" s="558"/>
      <c r="CK31" s="559" t="s">
        <v>209</v>
      </c>
      <c r="CL31" s="558"/>
      <c r="CM31" s="558"/>
      <c r="CN31" s="558"/>
      <c r="CO31" s="553"/>
      <c r="CP31" s="558"/>
      <c r="CQ31" s="558"/>
      <c r="CR31" s="559" t="s">
        <v>209</v>
      </c>
      <c r="CS31" s="553"/>
      <c r="CT31" s="558"/>
      <c r="CU31" s="558"/>
      <c r="CV31" s="559" t="s">
        <v>209</v>
      </c>
    </row>
    <row r="32" spans="1:100" ht="240.75" customHeight="1" x14ac:dyDescent="0.3">
      <c r="A32" s="622">
        <v>11</v>
      </c>
      <c r="B32" s="622" t="s">
        <v>359</v>
      </c>
      <c r="C32" s="623" t="s">
        <v>307</v>
      </c>
      <c r="D32" s="585" t="str">
        <f>IFERROR(INDEX('Base de datos gestión'!$D$28:$D$50,MATCH(C32,'Base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2" s="585" t="str">
        <f>IFERROR(INDEX('Base de datos gestión'!$E$28:$E$50,MATCH(C32,'Base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2" s="628" t="s">
        <v>188</v>
      </c>
      <c r="G32" s="629" t="s">
        <v>360</v>
      </c>
      <c r="H32" s="628" t="s">
        <v>361</v>
      </c>
      <c r="I32" s="628" t="s">
        <v>362</v>
      </c>
      <c r="J32" s="630" t="s">
        <v>192</v>
      </c>
      <c r="K32" s="630" t="s">
        <v>311</v>
      </c>
      <c r="L32" s="630">
        <v>20</v>
      </c>
      <c r="M32" s="588" t="str">
        <f t="shared" ref="M32:M36" si="23">IF(L32&lt;=0,"",IF(L32&lt;=2,"Muy Baja",IF(L32&lt;=24,"Baja",IF(L32&lt;=500,"Media",IF(L32&lt;=5000,"Alta","Muy Alta")))))</f>
        <v>Baja</v>
      </c>
      <c r="N32" s="589">
        <f t="shared" si="15"/>
        <v>0.4</v>
      </c>
      <c r="O32" s="590" t="s">
        <v>248</v>
      </c>
      <c r="P32" s="589" t="str">
        <f>IF(NOT(ISERROR(MATCH(O32,'Tabla Impacto'!$B$222:$B$224,0))),'Tabla Impacto'!$F$224&amp;"Por favor no seleccionar los criterios de impacto(Afectación Económica o presupuestal y Pérdida Reputacional)",O32)</f>
        <v xml:space="preserve">     El riesgo afecta la imagen de la entidad con algunos usuarios de relevancia frente al logro de los objetivos</v>
      </c>
      <c r="Q32" s="591" t="str">
        <f>IF(OR(P32='[8]Tabla Impacto'!$C$12,P32='[8]Tabla Impacto'!$D$12),"Leve",IF(OR(P32='[8]Tabla Impacto'!$C$13,P32='[8]Tabla Impacto'!$D$13),"Menor",IF(OR(P32='[8]Tabla Impacto'!$C$14,P32='[8]Tabla Impacto'!$D$14),"Moderado",IF(OR(P32='[8]Tabla Impacto'!$C$15,P32='[8]Tabla Impacto'!$D$15),"Mayor",IF(OR(P32='[8]Tabla Impacto'!$C$16,P32='[8]Tabla Impacto'!$D$16),"Catastrófico","")))))</f>
        <v>Moderado</v>
      </c>
      <c r="R32" s="590">
        <f t="shared" si="0"/>
        <v>0.6</v>
      </c>
      <c r="S32" s="592" t="str">
        <f t="shared" si="1"/>
        <v>Moderado</v>
      </c>
      <c r="T32" s="595">
        <v>3</v>
      </c>
      <c r="U32" s="631" t="s">
        <v>372</v>
      </c>
      <c r="V32" s="595" t="str">
        <f t="shared" si="2"/>
        <v>Probabilidad</v>
      </c>
      <c r="W32" s="596" t="s">
        <v>269</v>
      </c>
      <c r="X32" s="596" t="s">
        <v>198</v>
      </c>
      <c r="Y32" s="597" t="str">
        <f t="shared" si="3"/>
        <v>30%</v>
      </c>
      <c r="Z32" s="596" t="s">
        <v>259</v>
      </c>
      <c r="AA32" s="596" t="s">
        <v>200</v>
      </c>
      <c r="AB32" s="596" t="s">
        <v>201</v>
      </c>
      <c r="AC32" s="598">
        <f>IFERROR(IF(AND(V31="Probabilidad",V32="Probabilidad"),(AE31-(+AE31*Y32)),IF(V32="Probabilidad",(N31-(+N31*Y32)),IF(V32="Impacto",AE31,""))),"")</f>
        <v>0.16799999999999998</v>
      </c>
      <c r="AD32" s="599" t="str">
        <f t="shared" si="4"/>
        <v>Muy Baja</v>
      </c>
      <c r="AE32" s="600">
        <f t="shared" si="5"/>
        <v>0.16799999999999998</v>
      </c>
      <c r="AF32" s="599" t="str">
        <f t="shared" si="6"/>
        <v>Moderado</v>
      </c>
      <c r="AG32" s="600">
        <f>IFERROR(IF(AND(V31="Impacto",V32="Impacto"),(AG25-(+AG25*Y32)),IF(V32="Impacto",($R$31-(+$R$31*Y32)),IF(V32="Probabilidad",AG25,""))),"")</f>
        <v>0.6</v>
      </c>
      <c r="AH32" s="601" t="str">
        <f t="shared" si="7"/>
        <v>Moderado</v>
      </c>
      <c r="AI32" s="602" t="s">
        <v>202</v>
      </c>
      <c r="AJ32" s="603"/>
      <c r="AK32" s="603"/>
      <c r="AL32" s="604"/>
      <c r="AM32" s="605"/>
      <c r="AN32" s="606"/>
      <c r="AO32" s="607"/>
      <c r="AP32" s="608"/>
      <c r="AQ32" s="609"/>
      <c r="AR32" s="618" t="s">
        <v>365</v>
      </c>
      <c r="AS32" s="611"/>
      <c r="AT32" s="612"/>
      <c r="AU32" s="283"/>
      <c r="AV32" s="613"/>
      <c r="AW32" s="614">
        <v>45782</v>
      </c>
      <c r="AX32" s="615" t="s">
        <v>207</v>
      </c>
      <c r="AY32" s="616" t="s">
        <v>366</v>
      </c>
      <c r="BA32" s="617"/>
      <c r="BB32" s="617"/>
      <c r="BC32" s="618" t="s">
        <v>209</v>
      </c>
      <c r="BE32" s="608">
        <v>45861</v>
      </c>
      <c r="BF32" s="609" t="s">
        <v>218</v>
      </c>
      <c r="BG32" s="286" t="s">
        <v>367</v>
      </c>
      <c r="BH32" s="657" t="s">
        <v>212</v>
      </c>
      <c r="BI32" s="286" t="s">
        <v>317</v>
      </c>
      <c r="BJ32" s="286" t="s">
        <v>368</v>
      </c>
      <c r="BL32" s="450">
        <v>45869</v>
      </c>
      <c r="BM32" s="449" t="s">
        <v>285</v>
      </c>
      <c r="BN32" s="658" t="s">
        <v>369</v>
      </c>
      <c r="BP32" s="617"/>
      <c r="BQ32" s="617"/>
      <c r="BR32" s="618" t="s">
        <v>209</v>
      </c>
      <c r="BT32" s="614">
        <v>45986</v>
      </c>
      <c r="BU32" s="615" t="s">
        <v>215</v>
      </c>
      <c r="BV32" s="643" t="s">
        <v>370</v>
      </c>
      <c r="BW32" s="286" t="s">
        <v>205</v>
      </c>
      <c r="BX32" s="286" t="s">
        <v>206</v>
      </c>
      <c r="BY32" s="286" t="s">
        <v>206</v>
      </c>
      <c r="CA32" s="614">
        <v>45986</v>
      </c>
      <c r="CB32" s="616" t="s">
        <v>218</v>
      </c>
      <c r="CC32" s="643" t="s">
        <v>370</v>
      </c>
      <c r="CE32" s="617"/>
      <c r="CF32" s="617"/>
      <c r="CG32" s="618" t="s">
        <v>209</v>
      </c>
      <c r="CH32" s="192"/>
      <c r="CI32" s="558"/>
      <c r="CJ32" s="558"/>
      <c r="CK32" s="559" t="s">
        <v>209</v>
      </c>
      <c r="CL32" s="558"/>
      <c r="CM32" s="558"/>
      <c r="CN32" s="558"/>
      <c r="CO32" s="553"/>
      <c r="CP32" s="558"/>
      <c r="CQ32" s="558"/>
      <c r="CR32" s="559" t="s">
        <v>209</v>
      </c>
      <c r="CS32" s="553"/>
      <c r="CT32" s="558"/>
      <c r="CU32" s="558"/>
      <c r="CV32" s="559" t="s">
        <v>209</v>
      </c>
    </row>
    <row r="33" spans="1:100" ht="151.5" customHeight="1" x14ac:dyDescent="0.3">
      <c r="A33" s="622">
        <v>12</v>
      </c>
      <c r="B33" s="622" t="s">
        <v>373</v>
      </c>
      <c r="C33" s="623" t="s">
        <v>307</v>
      </c>
      <c r="D33" s="585" t="str">
        <f>IFERROR(INDEX('Base de datos gestión'!$D$28:$D$50,MATCH(C33,'Base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3" s="585" t="str">
        <f>IFERROR(INDEX('Base de datos gestión'!$E$28:$E$50,MATCH(C33,'Base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3" s="628" t="s">
        <v>188</v>
      </c>
      <c r="G33" s="629" t="s">
        <v>374</v>
      </c>
      <c r="H33" s="628" t="s">
        <v>375</v>
      </c>
      <c r="I33" s="628" t="s">
        <v>376</v>
      </c>
      <c r="J33" s="630" t="s">
        <v>192</v>
      </c>
      <c r="K33" s="630" t="s">
        <v>311</v>
      </c>
      <c r="L33" s="630">
        <v>50</v>
      </c>
      <c r="M33" s="588" t="str">
        <f t="shared" si="23"/>
        <v>Media</v>
      </c>
      <c r="N33" s="589">
        <f t="shared" si="15"/>
        <v>0.6</v>
      </c>
      <c r="O33" s="590" t="s">
        <v>238</v>
      </c>
      <c r="P33" s="589" t="str">
        <f>IF(NOT(ISERROR(MATCH(O33,'Tabla Impacto'!$B$222:$B$224,0))),'Tabla Impacto'!$F$224&amp;"Por favor no seleccionar los criterios de impacto(Afectación Económica o presupuestal y Pérdida Reputacional)",O33)</f>
        <v xml:space="preserve">     El riesgo afecta la imagen de la entidad internamente, de conocimiento general, nivel interno, de junta directiva y accionistas y/o de proveedores</v>
      </c>
      <c r="Q33" s="591" t="s">
        <v>8</v>
      </c>
      <c r="R33" s="590">
        <v>0.6</v>
      </c>
      <c r="S33" s="592" t="s">
        <v>8</v>
      </c>
      <c r="T33" s="595">
        <v>1</v>
      </c>
      <c r="U33" s="631" t="s">
        <v>377</v>
      </c>
      <c r="V33" s="595" t="str">
        <f t="shared" si="2"/>
        <v>Probabilidad</v>
      </c>
      <c r="W33" s="596" t="s">
        <v>197</v>
      </c>
      <c r="X33" s="596" t="s">
        <v>198</v>
      </c>
      <c r="Y33" s="597" t="str">
        <f t="shared" si="3"/>
        <v>40%</v>
      </c>
      <c r="Z33" s="596" t="s">
        <v>259</v>
      </c>
      <c r="AA33" s="596" t="s">
        <v>200</v>
      </c>
      <c r="AB33" s="596" t="s">
        <v>201</v>
      </c>
      <c r="AC33" s="598">
        <f>IFERROR(IF(AND(V32="Probabilidad",V33="Probabilidad"),(AE32-(+AE32*Y33)),IF(AND(V32="Impacto",V33="Probabilidad"),(AE31-(+AE31*Y33)),IF(V33="Impacto",AE32,""))),"")</f>
        <v>0.10079999999999999</v>
      </c>
      <c r="AD33" s="599" t="str">
        <f t="shared" si="4"/>
        <v>Muy Baja</v>
      </c>
      <c r="AE33" s="600">
        <f t="shared" si="5"/>
        <v>0.10079999999999999</v>
      </c>
      <c r="AF33" s="599" t="str">
        <f t="shared" si="6"/>
        <v>Moderado</v>
      </c>
      <c r="AG33" s="600">
        <f>IFERROR(IF(AND(V32="Impacto",V33="Impacto"),(AG32-(+AG32*Y33)),IF(AND(V32="Probabilidad",V33="Impacto"),(AG31-(+AG31*Y33)),IF(V33="Probabilidad",AG32,""))),"")</f>
        <v>0.6</v>
      </c>
      <c r="AH33" s="601" t="str">
        <f t="shared" si="7"/>
        <v>Moderado</v>
      </c>
      <c r="AI33" s="602" t="s">
        <v>378</v>
      </c>
      <c r="AJ33" s="603"/>
      <c r="AK33" s="603"/>
      <c r="AL33" s="604"/>
      <c r="AM33" s="605"/>
      <c r="AN33" s="606"/>
      <c r="AO33" s="607"/>
      <c r="AP33" s="608"/>
      <c r="AQ33" s="609"/>
      <c r="AR33" s="618" t="s">
        <v>365</v>
      </c>
      <c r="AS33" s="611"/>
      <c r="AT33" s="612"/>
      <c r="AU33" s="283"/>
      <c r="AV33" s="613"/>
      <c r="AW33" s="614">
        <v>45782</v>
      </c>
      <c r="AX33" s="615" t="s">
        <v>207</v>
      </c>
      <c r="AY33" s="616" t="s">
        <v>366</v>
      </c>
      <c r="BA33" s="617"/>
      <c r="BB33" s="617"/>
      <c r="BC33" s="618" t="s">
        <v>209</v>
      </c>
      <c r="BE33" s="608">
        <v>45861</v>
      </c>
      <c r="BF33" s="609" t="s">
        <v>218</v>
      </c>
      <c r="BG33" s="283" t="s">
        <v>379</v>
      </c>
      <c r="BH33" s="286" t="s">
        <v>205</v>
      </c>
      <c r="BI33" s="286" t="s">
        <v>206</v>
      </c>
      <c r="BJ33" s="286" t="s">
        <v>206</v>
      </c>
      <c r="BL33" s="450">
        <v>45869</v>
      </c>
      <c r="BM33" s="449" t="s">
        <v>285</v>
      </c>
      <c r="BN33" s="658" t="s">
        <v>380</v>
      </c>
      <c r="BP33" s="617"/>
      <c r="BQ33" s="617"/>
      <c r="BR33" s="618" t="s">
        <v>209</v>
      </c>
      <c r="BT33" s="627">
        <v>45986</v>
      </c>
      <c r="BU33" s="609" t="s">
        <v>218</v>
      </c>
      <c r="BV33" s="283" t="s">
        <v>381</v>
      </c>
      <c r="BW33" s="286" t="s">
        <v>205</v>
      </c>
      <c r="BX33" s="286" t="s">
        <v>206</v>
      </c>
      <c r="BY33" s="286" t="s">
        <v>206</v>
      </c>
      <c r="CA33" s="627">
        <v>45986</v>
      </c>
      <c r="CB33" s="609" t="s">
        <v>218</v>
      </c>
      <c r="CC33" s="283" t="s">
        <v>381</v>
      </c>
      <c r="CE33" s="617"/>
      <c r="CF33" s="617"/>
      <c r="CG33" s="618" t="s">
        <v>209</v>
      </c>
      <c r="CH33" s="192"/>
      <c r="CI33" s="558"/>
      <c r="CJ33" s="558"/>
      <c r="CK33" s="559" t="s">
        <v>209</v>
      </c>
      <c r="CL33" s="558"/>
      <c r="CM33" s="558"/>
      <c r="CN33" s="558"/>
      <c r="CO33" s="553"/>
      <c r="CP33" s="558"/>
      <c r="CQ33" s="558"/>
      <c r="CR33" s="559" t="s">
        <v>209</v>
      </c>
      <c r="CS33" s="553"/>
      <c r="CT33" s="558"/>
      <c r="CU33" s="558"/>
      <c r="CV33" s="559" t="s">
        <v>209</v>
      </c>
    </row>
    <row r="34" spans="1:100" ht="151.5" customHeight="1" x14ac:dyDescent="0.3">
      <c r="A34" s="622">
        <v>12</v>
      </c>
      <c r="B34" s="622" t="s">
        <v>373</v>
      </c>
      <c r="C34" s="623" t="s">
        <v>307</v>
      </c>
      <c r="D34" s="585" t="str">
        <f>IFERROR(INDEX('Base de datos gestión'!$D$28:$D$50,MATCH(C34,'Base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4" s="585" t="str">
        <f>IFERROR(INDEX('Base de datos gestión'!$E$28:$E$50,MATCH(C34,'Base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4" s="628" t="s">
        <v>188</v>
      </c>
      <c r="G34" s="629" t="s">
        <v>374</v>
      </c>
      <c r="H34" s="628" t="s">
        <v>375</v>
      </c>
      <c r="I34" s="628" t="s">
        <v>376</v>
      </c>
      <c r="J34" s="630" t="s">
        <v>192</v>
      </c>
      <c r="K34" s="630" t="s">
        <v>311</v>
      </c>
      <c r="L34" s="630">
        <v>50</v>
      </c>
      <c r="M34" s="588" t="str">
        <f t="shared" si="23"/>
        <v>Media</v>
      </c>
      <c r="N34" s="589">
        <f t="shared" si="15"/>
        <v>0.6</v>
      </c>
      <c r="O34" s="590" t="s">
        <v>238</v>
      </c>
      <c r="P34" s="589" t="str">
        <f>IF(NOT(ISERROR(MATCH(O34,'Tabla Impacto'!$B$222:$B$224,0))),'Tabla Impacto'!$F$224&amp;"Por favor no seleccionar los criterios de impacto(Afectación Económica o presupuestal y Pérdida Reputacional)",O34)</f>
        <v xml:space="preserve">     El riesgo afecta la imagen de la entidad internamente, de conocimiento general, nivel interno, de junta directiva y accionistas y/o de proveedores</v>
      </c>
      <c r="Q34" s="591" t="s">
        <v>8</v>
      </c>
      <c r="R34" s="590">
        <v>0.6</v>
      </c>
      <c r="S34" s="592" t="s">
        <v>8</v>
      </c>
      <c r="T34" s="595">
        <v>2</v>
      </c>
      <c r="U34" s="631" t="s">
        <v>382</v>
      </c>
      <c r="V34" s="595" t="str">
        <f t="shared" si="2"/>
        <v>Probabilidad</v>
      </c>
      <c r="W34" s="596" t="s">
        <v>197</v>
      </c>
      <c r="X34" s="596" t="s">
        <v>198</v>
      </c>
      <c r="Y34" s="597" t="str">
        <f t="shared" si="3"/>
        <v>40%</v>
      </c>
      <c r="Z34" s="596" t="s">
        <v>259</v>
      </c>
      <c r="AA34" s="596" t="s">
        <v>200</v>
      </c>
      <c r="AB34" s="596" t="s">
        <v>201</v>
      </c>
      <c r="AC34" s="598">
        <f>IFERROR(IF(AND(V33="Probabilidad",V34="Probabilidad"),(AE33-(+AE33*Y34)),IF(AND(V33="Impacto",V34="Probabilidad"),(AE32-(+AE32*Y34)),IF(V34="Impacto",AE33,""))),"")</f>
        <v>6.0479999999999992E-2</v>
      </c>
      <c r="AD34" s="599" t="str">
        <f t="shared" si="4"/>
        <v>Muy Baja</v>
      </c>
      <c r="AE34" s="600">
        <f t="shared" si="5"/>
        <v>6.0479999999999992E-2</v>
      </c>
      <c r="AF34" s="599" t="str">
        <f t="shared" si="6"/>
        <v>Moderado</v>
      </c>
      <c r="AG34" s="600">
        <f>IFERROR(IF(AND(V33="Impacto",V34="Impacto"),(AG33-(+AG33*Y34)),IF(AND(V33="Probabilidad",V34="Impacto"),(AG32-(+AG32*Y34)),IF(V34="Probabilidad",AG33,""))),"")</f>
        <v>0.6</v>
      </c>
      <c r="AH34" s="601" t="str">
        <f t="shared" si="7"/>
        <v>Moderado</v>
      </c>
      <c r="AI34" s="602" t="s">
        <v>378</v>
      </c>
      <c r="AJ34" s="603"/>
      <c r="AK34" s="603"/>
      <c r="AL34" s="604"/>
      <c r="AM34" s="605"/>
      <c r="AN34" s="606"/>
      <c r="AO34" s="607"/>
      <c r="AP34" s="608"/>
      <c r="AQ34" s="609"/>
      <c r="AR34" s="618" t="s">
        <v>365</v>
      </c>
      <c r="AS34" s="647"/>
      <c r="AT34" s="612"/>
      <c r="AU34" s="283"/>
      <c r="AV34" s="613"/>
      <c r="AW34" s="614">
        <v>45782</v>
      </c>
      <c r="AX34" s="615" t="s">
        <v>207</v>
      </c>
      <c r="AY34" s="616" t="s">
        <v>366</v>
      </c>
      <c r="BA34" s="617"/>
      <c r="BB34" s="617"/>
      <c r="BC34" s="618" t="s">
        <v>209</v>
      </c>
      <c r="BE34" s="608">
        <v>45861</v>
      </c>
      <c r="BF34" s="609" t="s">
        <v>218</v>
      </c>
      <c r="BG34" s="283" t="s">
        <v>379</v>
      </c>
      <c r="BH34" s="286" t="s">
        <v>205</v>
      </c>
      <c r="BI34" s="286" t="s">
        <v>206</v>
      </c>
      <c r="BJ34" s="449" t="s">
        <v>206</v>
      </c>
      <c r="BL34" s="450">
        <v>45869</v>
      </c>
      <c r="BM34" s="449" t="s">
        <v>285</v>
      </c>
      <c r="BN34" s="658" t="s">
        <v>380</v>
      </c>
      <c r="BP34" s="617"/>
      <c r="BQ34" s="617"/>
      <c r="BR34" s="618" t="s">
        <v>209</v>
      </c>
      <c r="BT34" s="627">
        <v>45986</v>
      </c>
      <c r="BU34" s="609" t="s">
        <v>218</v>
      </c>
      <c r="BV34" s="283" t="s">
        <v>381</v>
      </c>
      <c r="BW34" s="286" t="s">
        <v>205</v>
      </c>
      <c r="BX34" s="286" t="s">
        <v>206</v>
      </c>
      <c r="BY34" s="286" t="s">
        <v>206</v>
      </c>
      <c r="CA34" s="627">
        <v>45986</v>
      </c>
      <c r="CB34" s="609" t="s">
        <v>218</v>
      </c>
      <c r="CC34" s="283" t="s">
        <v>381</v>
      </c>
      <c r="CE34" s="617"/>
      <c r="CF34" s="617"/>
      <c r="CG34" s="618" t="s">
        <v>209</v>
      </c>
      <c r="CH34" s="192"/>
      <c r="CI34" s="558"/>
      <c r="CJ34" s="558"/>
      <c r="CK34" s="559" t="s">
        <v>209</v>
      </c>
      <c r="CL34" s="558"/>
      <c r="CM34" s="558"/>
      <c r="CN34" s="558"/>
      <c r="CO34" s="553"/>
      <c r="CP34" s="558"/>
      <c r="CQ34" s="558"/>
      <c r="CR34" s="559" t="s">
        <v>209</v>
      </c>
      <c r="CS34" s="553"/>
      <c r="CT34" s="558"/>
      <c r="CU34" s="558"/>
      <c r="CV34" s="559" t="s">
        <v>209</v>
      </c>
    </row>
    <row r="35" spans="1:100" ht="151.5" customHeight="1" x14ac:dyDescent="0.3">
      <c r="A35" s="622">
        <v>13</v>
      </c>
      <c r="B35" s="622" t="s">
        <v>383</v>
      </c>
      <c r="C35" s="623" t="s">
        <v>307</v>
      </c>
      <c r="D35" s="585" t="str">
        <f>IFERROR(INDEX('Base de datos gestión'!$D$28:$D$50,MATCH(C35,'Base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5" s="585" t="str">
        <f>IFERROR(INDEX('Base de datos gestión'!$E$28:$E$50,MATCH(C35,'Base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5" s="628" t="s">
        <v>188</v>
      </c>
      <c r="G35" s="629" t="s">
        <v>384</v>
      </c>
      <c r="H35" s="628" t="s">
        <v>385</v>
      </c>
      <c r="I35" s="628" t="s">
        <v>386</v>
      </c>
      <c r="J35" s="630" t="s">
        <v>192</v>
      </c>
      <c r="K35" s="630" t="s">
        <v>311</v>
      </c>
      <c r="L35" s="630">
        <v>25</v>
      </c>
      <c r="M35" s="588" t="str">
        <f t="shared" si="23"/>
        <v>Media</v>
      </c>
      <c r="N35" s="589">
        <f t="shared" si="15"/>
        <v>0.6</v>
      </c>
      <c r="O35" s="590" t="s">
        <v>248</v>
      </c>
      <c r="P35" s="589" t="str">
        <f>IF(NOT(ISERROR(MATCH(O35,'Tabla Impacto'!$B$222:$B$224,0))),'Tabla Impacto'!$F$224&amp;"Por favor no seleccionar los criterios de impacto(Afectación Económica o presupuestal y Pérdida Reputacional)",O35)</f>
        <v xml:space="preserve">     El riesgo afecta la imagen de la entidad con algunos usuarios de relevancia frente al logro de los objetivos</v>
      </c>
      <c r="Q35" s="591" t="str">
        <f>IF(OR(P35='[8]Tabla Impacto'!$C$12,P35='[8]Tabla Impacto'!$D$12),"Leve",IF(OR(P35='[8]Tabla Impacto'!$C$13,P35='[8]Tabla Impacto'!$D$13),"Menor",IF(OR(P35='[8]Tabla Impacto'!$C$14,P35='[8]Tabla Impacto'!$D$14),"Moderado",IF(OR(P35='[8]Tabla Impacto'!$C$15,P35='[8]Tabla Impacto'!$D$15),"Mayor",IF(OR(P35='[8]Tabla Impacto'!$C$16,P35='[8]Tabla Impacto'!$D$16),"Catastrófico","")))))</f>
        <v>Moderado</v>
      </c>
      <c r="R35" s="590">
        <f t="shared" si="0"/>
        <v>0.6</v>
      </c>
      <c r="S35" s="592" t="str">
        <f t="shared" si="1"/>
        <v>Moderado</v>
      </c>
      <c r="T35" s="595">
        <v>1</v>
      </c>
      <c r="U35" s="631" t="s">
        <v>387</v>
      </c>
      <c r="V35" s="595" t="str">
        <f t="shared" si="2"/>
        <v>Probabilidad</v>
      </c>
      <c r="W35" s="596" t="s">
        <v>197</v>
      </c>
      <c r="X35" s="596" t="s">
        <v>198</v>
      </c>
      <c r="Y35" s="597" t="str">
        <f t="shared" si="3"/>
        <v>40%</v>
      </c>
      <c r="Z35" s="596" t="s">
        <v>259</v>
      </c>
      <c r="AA35" s="596" t="s">
        <v>200</v>
      </c>
      <c r="AB35" s="596" t="s">
        <v>201</v>
      </c>
      <c r="AC35" s="656">
        <f>IFERROR(IF(AND(V34="Probabilidad",V35="Probabilidad"),(AE34-(+AE34*Y35)),IF(AND(V34="Impacto",V35="Probabilidad"),(AE33-(+AE33*Y35)),IF(V35="Impacto",AE34,""))),"")</f>
        <v>3.6287999999999994E-2</v>
      </c>
      <c r="AD35" s="599" t="str">
        <f t="shared" si="4"/>
        <v>Muy Baja</v>
      </c>
      <c r="AE35" s="600">
        <f t="shared" si="5"/>
        <v>3.6287999999999994E-2</v>
      </c>
      <c r="AF35" s="599" t="str">
        <f t="shared" si="6"/>
        <v>Moderado</v>
      </c>
      <c r="AG35" s="600">
        <f>IFERROR(IF(AND(V34="Impacto",V35="Impacto"),(AG34-(+AG34*Y35)),IF(AND(V34="Probabilidad",V35="Impacto"),(AG33-(+AG33*Y35)),IF(V35="Probabilidad",AG34,""))),"")</f>
        <v>0.6</v>
      </c>
      <c r="AH35" s="601" t="str">
        <f t="shared" si="7"/>
        <v>Moderado</v>
      </c>
      <c r="AI35" s="602" t="s">
        <v>202</v>
      </c>
      <c r="AJ35" s="603"/>
      <c r="AK35" s="603"/>
      <c r="AL35" s="604"/>
      <c r="AM35" s="605"/>
      <c r="AN35" s="606"/>
      <c r="AO35" s="607"/>
      <c r="AP35" s="608">
        <v>45761</v>
      </c>
      <c r="AQ35" s="609" t="s">
        <v>313</v>
      </c>
      <c r="AR35" s="647" t="s">
        <v>388</v>
      </c>
      <c r="AS35" s="611" t="s">
        <v>205</v>
      </c>
      <c r="AT35" s="612" t="s">
        <v>206</v>
      </c>
      <c r="AU35" s="283" t="s">
        <v>206</v>
      </c>
      <c r="AV35" s="613"/>
      <c r="AW35" s="614">
        <v>45770</v>
      </c>
      <c r="AX35" s="615" t="s">
        <v>207</v>
      </c>
      <c r="AY35" s="635" t="s">
        <v>337</v>
      </c>
      <c r="BA35" s="617"/>
      <c r="BB35" s="617"/>
      <c r="BC35" s="618" t="s">
        <v>209</v>
      </c>
      <c r="BE35" s="608">
        <v>45855</v>
      </c>
      <c r="BF35" s="609" t="s">
        <v>313</v>
      </c>
      <c r="BG35" s="648" t="s">
        <v>389</v>
      </c>
      <c r="BH35" s="449" t="s">
        <v>205</v>
      </c>
      <c r="BI35" s="651" t="s">
        <v>206</v>
      </c>
      <c r="BJ35" s="651" t="s">
        <v>206</v>
      </c>
      <c r="BL35" s="450">
        <v>45855</v>
      </c>
      <c r="BM35" s="449" t="s">
        <v>215</v>
      </c>
      <c r="BN35" s="283" t="s">
        <v>231</v>
      </c>
      <c r="BP35" s="617"/>
      <c r="BQ35" s="617"/>
      <c r="BR35" s="618" t="s">
        <v>209</v>
      </c>
      <c r="BT35" s="608">
        <v>45940</v>
      </c>
      <c r="BU35" s="609" t="s">
        <v>313</v>
      </c>
      <c r="BV35" s="648" t="s">
        <v>390</v>
      </c>
      <c r="BW35" s="286" t="s">
        <v>205</v>
      </c>
      <c r="BX35" s="286" t="s">
        <v>206</v>
      </c>
      <c r="BY35" s="286" t="s">
        <v>206</v>
      </c>
      <c r="CA35" s="659">
        <v>45986</v>
      </c>
      <c r="CB35" s="286" t="s">
        <v>218</v>
      </c>
      <c r="CC35" s="643" t="s">
        <v>233</v>
      </c>
      <c r="CE35" s="617"/>
      <c r="CF35" s="617"/>
      <c r="CG35" s="618" t="s">
        <v>209</v>
      </c>
      <c r="CH35" s="192"/>
      <c r="CI35" s="558"/>
      <c r="CJ35" s="558"/>
      <c r="CK35" s="559" t="s">
        <v>209</v>
      </c>
      <c r="CL35" s="558"/>
      <c r="CM35" s="558"/>
      <c r="CN35" s="558"/>
      <c r="CO35" s="553"/>
      <c r="CP35" s="558"/>
      <c r="CQ35" s="558"/>
      <c r="CR35" s="559" t="s">
        <v>209</v>
      </c>
      <c r="CS35" s="553"/>
      <c r="CT35" s="558"/>
      <c r="CU35" s="558"/>
      <c r="CV35" s="559" t="s">
        <v>209</v>
      </c>
    </row>
    <row r="36" spans="1:100" ht="151.5" customHeight="1" x14ac:dyDescent="0.3">
      <c r="A36" s="632">
        <v>13</v>
      </c>
      <c r="B36" s="632" t="s">
        <v>383</v>
      </c>
      <c r="C36" s="633" t="s">
        <v>307</v>
      </c>
      <c r="D36" s="585" t="str">
        <f>IFERROR(INDEX('Base de datos gestión'!$D$28:$D$50,MATCH(C36,'Base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6" s="585" t="str">
        <f>IFERROR(INDEX('Base de datos gestión'!$E$28:$E$50,MATCH(C36,'Base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6" s="628" t="s">
        <v>188</v>
      </c>
      <c r="G36" s="629" t="s">
        <v>384</v>
      </c>
      <c r="H36" s="628" t="s">
        <v>385</v>
      </c>
      <c r="I36" s="628" t="s">
        <v>386</v>
      </c>
      <c r="J36" s="630" t="s">
        <v>192</v>
      </c>
      <c r="K36" s="630" t="s">
        <v>311</v>
      </c>
      <c r="L36" s="630">
        <v>25</v>
      </c>
      <c r="M36" s="588" t="str">
        <f t="shared" si="23"/>
        <v>Media</v>
      </c>
      <c r="N36" s="589">
        <f t="shared" si="15"/>
        <v>0.6</v>
      </c>
      <c r="O36" s="590" t="s">
        <v>248</v>
      </c>
      <c r="P36" s="589" t="str">
        <f>IF(NOT(ISERROR(MATCH(O36,'Tabla Impacto'!$B$222:$B$224,0))),'Tabla Impacto'!$F$224&amp;"Por favor no seleccionar los criterios de impacto(Afectación Económica o presupuestal y Pérdida Reputacional)",O36)</f>
        <v xml:space="preserve">     El riesgo afecta la imagen de la entidad con algunos usuarios de relevancia frente al logro de los objetivos</v>
      </c>
      <c r="Q36" s="591" t="str">
        <f>IF(OR(P36='[8]Tabla Impacto'!$C$12,P36='[8]Tabla Impacto'!$D$12),"Leve",IF(OR(P36='[8]Tabla Impacto'!$C$13,P36='[8]Tabla Impacto'!$D$13),"Menor",IF(OR(P36='[8]Tabla Impacto'!$C$14,P36='[8]Tabla Impacto'!$D$14),"Moderado",IF(OR(P36='[8]Tabla Impacto'!$C$15,P36='[8]Tabla Impacto'!$D$15),"Mayor",IF(OR(P36='[8]Tabla Impacto'!$C$16,P36='[8]Tabla Impacto'!$D$16),"Catastrófico","")))))</f>
        <v>Moderado</v>
      </c>
      <c r="R36" s="590">
        <f t="shared" si="0"/>
        <v>0.6</v>
      </c>
      <c r="S36" s="592" t="str">
        <f t="shared" si="1"/>
        <v>Moderado</v>
      </c>
      <c r="T36" s="595">
        <v>2</v>
      </c>
      <c r="U36" s="631" t="s">
        <v>391</v>
      </c>
      <c r="V36" s="595" t="str">
        <f t="shared" si="2"/>
        <v>Probabilidad</v>
      </c>
      <c r="W36" s="596" t="s">
        <v>269</v>
      </c>
      <c r="X36" s="596" t="s">
        <v>198</v>
      </c>
      <c r="Y36" s="597" t="str">
        <f t="shared" si="3"/>
        <v>30%</v>
      </c>
      <c r="Z36" s="596" t="s">
        <v>259</v>
      </c>
      <c r="AA36" s="596" t="s">
        <v>225</v>
      </c>
      <c r="AB36" s="596" t="s">
        <v>201</v>
      </c>
      <c r="AC36" s="598">
        <f>IFERROR(IF(AND(V35="Probabilidad",V36="Probabilidad"),(AE35-(+AE35*Y36)),IF(AND(V35="Impacto",V36="Probabilidad"),(AE34-(+AE34*Y36)),IF(V36="Impacto",AE35,""))),"")</f>
        <v>2.5401599999999996E-2</v>
      </c>
      <c r="AD36" s="599" t="str">
        <f t="shared" si="4"/>
        <v>Muy Baja</v>
      </c>
      <c r="AE36" s="600">
        <f t="shared" si="5"/>
        <v>2.5401599999999996E-2</v>
      </c>
      <c r="AF36" s="599" t="str">
        <f t="shared" si="6"/>
        <v>Moderado</v>
      </c>
      <c r="AG36" s="600">
        <f>IFERROR(IF(AND(V35="Impacto",V36="Impacto"),(AG35-(+AG35*Y36)),IF(AND(V35="Probabilidad",V36="Impacto"),(AG34-(+AG34*Y36)),IF(V36="Probabilidad",AG35,""))),"")</f>
        <v>0.6</v>
      </c>
      <c r="AH36" s="601" t="str">
        <f t="shared" si="7"/>
        <v>Moderado</v>
      </c>
      <c r="AI36" s="602" t="s">
        <v>202</v>
      </c>
      <c r="AJ36" s="603"/>
      <c r="AK36" s="603"/>
      <c r="AL36" s="604"/>
      <c r="AM36" s="605"/>
      <c r="AN36" s="606"/>
      <c r="AO36" s="607"/>
      <c r="AP36" s="608">
        <v>45761</v>
      </c>
      <c r="AQ36" s="609" t="s">
        <v>313</v>
      </c>
      <c r="AR36" s="647" t="s">
        <v>388</v>
      </c>
      <c r="AS36" s="611" t="s">
        <v>205</v>
      </c>
      <c r="AT36" s="612" t="s">
        <v>206</v>
      </c>
      <c r="AU36" s="283" t="s">
        <v>206</v>
      </c>
      <c r="AV36" s="613"/>
      <c r="AW36" s="614">
        <v>45770</v>
      </c>
      <c r="AX36" s="615" t="s">
        <v>207</v>
      </c>
      <c r="AY36" s="635" t="s">
        <v>337</v>
      </c>
      <c r="BA36" s="617"/>
      <c r="BB36" s="617"/>
      <c r="BC36" s="618" t="s">
        <v>209</v>
      </c>
      <c r="BE36" s="608">
        <v>45855</v>
      </c>
      <c r="BF36" s="609" t="s">
        <v>313</v>
      </c>
      <c r="BG36" s="648" t="s">
        <v>392</v>
      </c>
      <c r="BH36" s="449" t="s">
        <v>205</v>
      </c>
      <c r="BI36" s="651" t="s">
        <v>206</v>
      </c>
      <c r="BJ36" s="651" t="s">
        <v>206</v>
      </c>
      <c r="BL36" s="450">
        <v>45855</v>
      </c>
      <c r="BM36" s="449" t="s">
        <v>215</v>
      </c>
      <c r="BN36" s="283" t="s">
        <v>231</v>
      </c>
      <c r="BP36" s="617"/>
      <c r="BQ36" s="617"/>
      <c r="BR36" s="618" t="s">
        <v>209</v>
      </c>
      <c r="BT36" s="608">
        <v>45940</v>
      </c>
      <c r="BU36" s="609" t="s">
        <v>313</v>
      </c>
      <c r="BV36" s="648" t="s">
        <v>393</v>
      </c>
      <c r="BW36" s="286" t="s">
        <v>205</v>
      </c>
      <c r="BX36" s="286" t="s">
        <v>206</v>
      </c>
      <c r="BY36" s="286" t="s">
        <v>206</v>
      </c>
      <c r="CA36" s="659">
        <v>45986</v>
      </c>
      <c r="CB36" s="286" t="s">
        <v>218</v>
      </c>
      <c r="CC36" s="643" t="s">
        <v>233</v>
      </c>
      <c r="CE36" s="617"/>
      <c r="CF36" s="617"/>
      <c r="CG36" s="618" t="s">
        <v>209</v>
      </c>
      <c r="CH36" s="192"/>
      <c r="CI36" s="558"/>
      <c r="CJ36" s="558"/>
      <c r="CK36" s="559" t="s">
        <v>209</v>
      </c>
      <c r="CL36" s="558"/>
      <c r="CM36" s="558"/>
      <c r="CN36" s="558"/>
      <c r="CO36" s="553"/>
      <c r="CP36" s="558"/>
      <c r="CQ36" s="558"/>
      <c r="CR36" s="559" t="s">
        <v>209</v>
      </c>
      <c r="CS36" s="553"/>
      <c r="CT36" s="558"/>
      <c r="CU36" s="558"/>
      <c r="CV36" s="559" t="s">
        <v>209</v>
      </c>
    </row>
    <row r="37" spans="1:100" ht="151.5" customHeight="1" x14ac:dyDescent="0.3">
      <c r="A37" s="584">
        <v>14</v>
      </c>
      <c r="B37" s="584" t="s">
        <v>394</v>
      </c>
      <c r="C37" s="585" t="s">
        <v>307</v>
      </c>
      <c r="D37" s="585" t="str">
        <f>IFERROR(INDEX('Base de datos gestión'!$D$28:$D$50,MATCH(C37,'Base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7" s="585" t="str">
        <f>IFERROR(INDEX('Base de datos gestión'!$E$28:$E$50,MATCH(C37,'Base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7" s="628" t="s">
        <v>188</v>
      </c>
      <c r="G37" s="629" t="s">
        <v>395</v>
      </c>
      <c r="H37" s="628" t="s">
        <v>396</v>
      </c>
      <c r="I37" s="628" t="s">
        <v>397</v>
      </c>
      <c r="J37" s="630" t="s">
        <v>192</v>
      </c>
      <c r="K37" s="630" t="s">
        <v>398</v>
      </c>
      <c r="L37" s="630">
        <v>25</v>
      </c>
      <c r="M37" s="588" t="str">
        <f>IF(L37&lt;=0,"",IF(L37&lt;=2,"Muy Baja",IF(L37&lt;=24,"Baja",IF(L37&lt;=500,"Media",IF(L37&lt;=5000,"Alta","Muy Alta")))))</f>
        <v>Media</v>
      </c>
      <c r="N37" s="589">
        <f t="shared" si="15"/>
        <v>0.6</v>
      </c>
      <c r="O37" s="590" t="s">
        <v>248</v>
      </c>
      <c r="P37" s="589" t="str">
        <f>IF(NOT(ISERROR(MATCH(O37,'Tabla Impacto'!$B$222:$B$224,0))),'Tabla Impacto'!$F$224&amp;"Por favor no seleccionar los criterios de impacto(Afectación Económica o presupuestal y Pérdida Reputacional)",O37)</f>
        <v xml:space="preserve">     El riesgo afecta la imagen de la entidad con algunos usuarios de relevancia frente al logro de los objetivos</v>
      </c>
      <c r="Q37" s="591" t="str">
        <f>IF(OR(P37='[8]Tabla Impacto'!$C$12,P37='[8]Tabla Impacto'!$D$12),"Leve",IF(OR(P37='[8]Tabla Impacto'!$C$13,P37='[8]Tabla Impacto'!$D$13),"Menor",IF(OR(P37='[8]Tabla Impacto'!$C$14,P37='[8]Tabla Impacto'!$D$14),"Moderado",IF(OR(P37='[8]Tabla Impacto'!$C$15,P37='[8]Tabla Impacto'!$D$15),"Mayor",IF(OR(P37='[8]Tabla Impacto'!$C$16,P37='[8]Tabla Impacto'!$D$16),"Catastrófico","")))))</f>
        <v>Moderado</v>
      </c>
      <c r="R37" s="590">
        <f t="shared" si="0"/>
        <v>0.6</v>
      </c>
      <c r="S37" s="592" t="str">
        <f t="shared" si="1"/>
        <v>Moderado</v>
      </c>
      <c r="T37" s="595">
        <v>1</v>
      </c>
      <c r="U37" s="631" t="s">
        <v>399</v>
      </c>
      <c r="V37" s="595" t="str">
        <f t="shared" si="2"/>
        <v>Probabilidad</v>
      </c>
      <c r="W37" s="596" t="s">
        <v>197</v>
      </c>
      <c r="X37" s="596" t="s">
        <v>198</v>
      </c>
      <c r="Y37" s="597" t="str">
        <f t="shared" si="3"/>
        <v>40%</v>
      </c>
      <c r="Z37" s="596" t="s">
        <v>199</v>
      </c>
      <c r="AA37" s="596" t="s">
        <v>225</v>
      </c>
      <c r="AB37" s="596" t="s">
        <v>250</v>
      </c>
      <c r="AC37" s="598">
        <f>IFERROR(IF(V37="Probabilidad",(N37-(+N37*Y37)),IF(V37="Impacto",N37,"")),"")</f>
        <v>0.36</v>
      </c>
      <c r="AD37" s="599" t="str">
        <f t="shared" si="4"/>
        <v>Baja</v>
      </c>
      <c r="AE37" s="600">
        <f t="shared" si="5"/>
        <v>0.36</v>
      </c>
      <c r="AF37" s="599" t="str">
        <f t="shared" si="6"/>
        <v>Moderado</v>
      </c>
      <c r="AG37" s="600">
        <f>IFERROR(IF(V37="Impacto",(R37-(+R37*Y37)),IF(V37="Probabilidad",R37,"")),"")</f>
        <v>0.6</v>
      </c>
      <c r="AH37" s="601" t="str">
        <f t="shared" si="7"/>
        <v>Moderado</v>
      </c>
      <c r="AI37" s="602" t="s">
        <v>202</v>
      </c>
      <c r="AJ37" s="603"/>
      <c r="AK37" s="603"/>
      <c r="AL37" s="604"/>
      <c r="AM37" s="605"/>
      <c r="AN37" s="606"/>
      <c r="AO37" s="607"/>
      <c r="AP37" s="608">
        <v>45761</v>
      </c>
      <c r="AQ37" s="609" t="s">
        <v>313</v>
      </c>
      <c r="AR37" s="658" t="s">
        <v>400</v>
      </c>
      <c r="AS37" s="611" t="s">
        <v>205</v>
      </c>
      <c r="AT37" s="612" t="s">
        <v>206</v>
      </c>
      <c r="AU37" s="283" t="s">
        <v>206</v>
      </c>
      <c r="AV37" s="613"/>
      <c r="AW37" s="614">
        <v>45770</v>
      </c>
      <c r="AX37" s="615" t="s">
        <v>207</v>
      </c>
      <c r="AY37" s="635" t="s">
        <v>337</v>
      </c>
      <c r="BA37" s="617"/>
      <c r="BB37" s="617"/>
      <c r="BC37" s="618" t="s">
        <v>209</v>
      </c>
      <c r="BE37" s="608">
        <v>45855</v>
      </c>
      <c r="BF37" s="609" t="s">
        <v>313</v>
      </c>
      <c r="BG37" s="648" t="s">
        <v>401</v>
      </c>
      <c r="BH37" s="449" t="s">
        <v>205</v>
      </c>
      <c r="BI37" s="651" t="s">
        <v>206</v>
      </c>
      <c r="BJ37" s="651" t="s">
        <v>206</v>
      </c>
      <c r="BL37" s="450">
        <v>45855</v>
      </c>
      <c r="BM37" s="449" t="s">
        <v>215</v>
      </c>
      <c r="BN37" s="283" t="s">
        <v>231</v>
      </c>
      <c r="BP37" s="617"/>
      <c r="BQ37" s="617"/>
      <c r="BR37" s="618" t="s">
        <v>209</v>
      </c>
      <c r="BT37" s="608">
        <v>45940</v>
      </c>
      <c r="BU37" s="609" t="s">
        <v>313</v>
      </c>
      <c r="BV37" s="648" t="s">
        <v>402</v>
      </c>
      <c r="BW37" s="286" t="s">
        <v>205</v>
      </c>
      <c r="BX37" s="286" t="s">
        <v>206</v>
      </c>
      <c r="BY37" s="286" t="s">
        <v>206</v>
      </c>
      <c r="CA37" s="659">
        <v>45986</v>
      </c>
      <c r="CB37" s="286" t="s">
        <v>218</v>
      </c>
      <c r="CC37" s="643" t="s">
        <v>233</v>
      </c>
      <c r="CE37" s="617"/>
      <c r="CF37" s="617"/>
      <c r="CG37" s="618" t="s">
        <v>209</v>
      </c>
      <c r="CH37" s="192"/>
      <c r="CI37" s="558"/>
      <c r="CJ37" s="558"/>
      <c r="CK37" s="559" t="s">
        <v>209</v>
      </c>
      <c r="CL37" s="558"/>
      <c r="CM37" s="558"/>
      <c r="CN37" s="558"/>
      <c r="CO37" s="553"/>
      <c r="CP37" s="558"/>
      <c r="CQ37" s="558"/>
      <c r="CR37" s="559" t="s">
        <v>209</v>
      </c>
      <c r="CS37" s="553"/>
      <c r="CT37" s="558"/>
      <c r="CU37" s="558"/>
      <c r="CV37" s="559" t="s">
        <v>209</v>
      </c>
    </row>
    <row r="38" spans="1:100" ht="151.5" customHeight="1" x14ac:dyDescent="0.3">
      <c r="A38" s="622">
        <v>14</v>
      </c>
      <c r="B38" s="622" t="s">
        <v>394</v>
      </c>
      <c r="C38" s="623" t="s">
        <v>307</v>
      </c>
      <c r="D38" s="585" t="str">
        <f>IFERROR(INDEX('Base de datos gestión'!$D$28:$D$50,MATCH(C38,'Base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8" s="585" t="str">
        <f>IFERROR(INDEX('Base de datos gestión'!$E$28:$E$50,MATCH(C38,'Base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8" s="628" t="s">
        <v>188</v>
      </c>
      <c r="G38" s="629" t="s">
        <v>395</v>
      </c>
      <c r="H38" s="628" t="s">
        <v>396</v>
      </c>
      <c r="I38" s="628" t="s">
        <v>397</v>
      </c>
      <c r="J38" s="630" t="s">
        <v>192</v>
      </c>
      <c r="K38" s="630" t="s">
        <v>398</v>
      </c>
      <c r="L38" s="630">
        <v>25</v>
      </c>
      <c r="M38" s="588" t="str">
        <f>IF(L38&lt;=0,"",IF(L38&lt;=2,"Muy Baja",IF(L38&lt;=24,"Baja",IF(L38&lt;=500,"Media",IF(L38&lt;=5000,"Alta","Muy Alta")))))</f>
        <v>Media</v>
      </c>
      <c r="N38" s="589">
        <f t="shared" si="15"/>
        <v>0.6</v>
      </c>
      <c r="O38" s="590" t="s">
        <v>248</v>
      </c>
      <c r="P38" s="589" t="str">
        <f>IF(NOT(ISERROR(MATCH(O38,'Tabla Impacto'!$B$222:$B$224,0))),'Tabla Impacto'!$F$224&amp;"Por favor no seleccionar los criterios de impacto(Afectación Económica o presupuestal y Pérdida Reputacional)",O38)</f>
        <v xml:space="preserve">     El riesgo afecta la imagen de la entidad con algunos usuarios de relevancia frente al logro de los objetivos</v>
      </c>
      <c r="Q38" s="591" t="str">
        <f>IF(OR(P38='[8]Tabla Impacto'!$C$12,P38='[8]Tabla Impacto'!$D$12),"Leve",IF(OR(P38='[8]Tabla Impacto'!$C$13,P38='[8]Tabla Impacto'!$D$13),"Menor",IF(OR(P38='[8]Tabla Impacto'!$C$14,P38='[8]Tabla Impacto'!$D$14),"Moderado",IF(OR(P38='[8]Tabla Impacto'!$C$15,P38='[8]Tabla Impacto'!$D$15),"Mayor",IF(OR(P38='[8]Tabla Impacto'!$C$16,P38='[8]Tabla Impacto'!$D$16),"Catastrófico","")))))</f>
        <v>Moderado</v>
      </c>
      <c r="R38" s="590">
        <f t="shared" si="0"/>
        <v>0.6</v>
      </c>
      <c r="S38" s="592" t="str">
        <f t="shared" si="1"/>
        <v>Moderado</v>
      </c>
      <c r="T38" s="595">
        <v>2</v>
      </c>
      <c r="U38" s="631" t="s">
        <v>387</v>
      </c>
      <c r="V38" s="595" t="str">
        <f t="shared" si="2"/>
        <v>Probabilidad</v>
      </c>
      <c r="W38" s="596" t="s">
        <v>197</v>
      </c>
      <c r="X38" s="596" t="s">
        <v>198</v>
      </c>
      <c r="Y38" s="597" t="str">
        <f t="shared" si="3"/>
        <v>40%</v>
      </c>
      <c r="Z38" s="596" t="s">
        <v>259</v>
      </c>
      <c r="AA38" s="596" t="s">
        <v>200</v>
      </c>
      <c r="AB38" s="596" t="s">
        <v>201</v>
      </c>
      <c r="AC38" s="598">
        <f>IFERROR(IF(AND(V37="Probabilidad",V38="Probabilidad"),(AE37-(+AE37*Y38)),IF(V38="Probabilidad",(N37-(+N37*Y38)),IF(V38="Impacto",AE37,""))),"")</f>
        <v>0.216</v>
      </c>
      <c r="AD38" s="599" t="str">
        <f t="shared" si="4"/>
        <v>Baja</v>
      </c>
      <c r="AE38" s="600">
        <f t="shared" si="5"/>
        <v>0.216</v>
      </c>
      <c r="AF38" s="599" t="str">
        <f t="shared" si="6"/>
        <v>Moderado</v>
      </c>
      <c r="AG38" s="600">
        <f>IFERROR(IF(AND(V37="Impacto",V38="Impacto"),(AG31-(+AG31*Y38)),IF(V38="Impacto",($R$37-(+$R$37*Y38)),IF(V38="Probabilidad",AG31,""))),"")</f>
        <v>0.6</v>
      </c>
      <c r="AH38" s="601" t="str">
        <f t="shared" si="7"/>
        <v>Moderado</v>
      </c>
      <c r="AI38" s="602" t="s">
        <v>202</v>
      </c>
      <c r="AJ38" s="603"/>
      <c r="AK38" s="603"/>
      <c r="AL38" s="604"/>
      <c r="AM38" s="605"/>
      <c r="AN38" s="606"/>
      <c r="AO38" s="607"/>
      <c r="AP38" s="608">
        <v>45761</v>
      </c>
      <c r="AQ38" s="609" t="s">
        <v>313</v>
      </c>
      <c r="AR38" s="658" t="s">
        <v>400</v>
      </c>
      <c r="AS38" s="611" t="s">
        <v>205</v>
      </c>
      <c r="AT38" s="612" t="s">
        <v>206</v>
      </c>
      <c r="AU38" s="283" t="s">
        <v>206</v>
      </c>
      <c r="AV38" s="613"/>
      <c r="AW38" s="614">
        <v>45770</v>
      </c>
      <c r="AX38" s="615" t="s">
        <v>207</v>
      </c>
      <c r="AY38" s="635" t="s">
        <v>337</v>
      </c>
      <c r="BA38" s="617"/>
      <c r="BB38" s="617"/>
      <c r="BC38" s="618" t="s">
        <v>209</v>
      </c>
      <c r="BE38" s="608">
        <v>45855</v>
      </c>
      <c r="BF38" s="609" t="s">
        <v>313</v>
      </c>
      <c r="BG38" s="648" t="s">
        <v>403</v>
      </c>
      <c r="BH38" s="449" t="s">
        <v>205</v>
      </c>
      <c r="BI38" s="651" t="s">
        <v>206</v>
      </c>
      <c r="BJ38" s="651" t="s">
        <v>206</v>
      </c>
      <c r="BL38" s="450">
        <v>45855</v>
      </c>
      <c r="BM38" s="449" t="s">
        <v>215</v>
      </c>
      <c r="BN38" s="283" t="s">
        <v>231</v>
      </c>
      <c r="BP38" s="617"/>
      <c r="BQ38" s="617"/>
      <c r="BR38" s="618" t="s">
        <v>209</v>
      </c>
      <c r="BT38" s="608">
        <v>45940</v>
      </c>
      <c r="BU38" s="609" t="s">
        <v>313</v>
      </c>
      <c r="BV38" s="648" t="s">
        <v>404</v>
      </c>
      <c r="BW38" s="286" t="s">
        <v>205</v>
      </c>
      <c r="BX38" s="286" t="s">
        <v>206</v>
      </c>
      <c r="BY38" s="286" t="s">
        <v>206</v>
      </c>
      <c r="CA38" s="659">
        <v>45986</v>
      </c>
      <c r="CB38" s="286" t="s">
        <v>218</v>
      </c>
      <c r="CC38" s="643" t="s">
        <v>233</v>
      </c>
      <c r="CE38" s="617"/>
      <c r="CF38" s="617"/>
      <c r="CG38" s="618" t="s">
        <v>209</v>
      </c>
      <c r="CH38" s="192"/>
      <c r="CI38" s="558"/>
      <c r="CJ38" s="558"/>
      <c r="CK38" s="559" t="s">
        <v>209</v>
      </c>
      <c r="CL38" s="558"/>
      <c r="CM38" s="558"/>
      <c r="CN38" s="558"/>
      <c r="CO38" s="553"/>
      <c r="CP38" s="558"/>
      <c r="CQ38" s="558"/>
      <c r="CR38" s="559" t="s">
        <v>209</v>
      </c>
      <c r="CS38" s="553"/>
      <c r="CT38" s="558"/>
      <c r="CU38" s="558"/>
      <c r="CV38" s="559" t="s">
        <v>209</v>
      </c>
    </row>
    <row r="39" spans="1:100" ht="151.5" customHeight="1" x14ac:dyDescent="0.3">
      <c r="A39" s="622">
        <v>15</v>
      </c>
      <c r="B39" s="622" t="s">
        <v>405</v>
      </c>
      <c r="C39" s="623" t="s">
        <v>307</v>
      </c>
      <c r="D39" s="585" t="str">
        <f>IFERROR(INDEX('Base de datos gestión'!$D$28:$D$50,MATCH(C39,'Base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39" s="585" t="str">
        <f>IFERROR(INDEX('Base de datos gestión'!$E$28:$E$50,MATCH(C39,'Base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39" s="628" t="s">
        <v>188</v>
      </c>
      <c r="G39" s="629" t="s">
        <v>406</v>
      </c>
      <c r="H39" s="628" t="s">
        <v>407</v>
      </c>
      <c r="I39" s="628" t="s">
        <v>408</v>
      </c>
      <c r="J39" s="630" t="s">
        <v>192</v>
      </c>
      <c r="K39" s="630" t="s">
        <v>311</v>
      </c>
      <c r="L39" s="630">
        <v>100</v>
      </c>
      <c r="M39" s="588" t="str">
        <f t="shared" ref="M39:M42" si="24">IF(L39&lt;=0,"",IF(L39&lt;=2,"Muy Baja",IF(L39&lt;=24,"Baja",IF(L39&lt;=500,"Media",IF(L39&lt;=5000,"Alta","Muy Alta")))))</f>
        <v>Media</v>
      </c>
      <c r="N39" s="589">
        <f t="shared" si="15"/>
        <v>0.6</v>
      </c>
      <c r="O39" s="590" t="s">
        <v>248</v>
      </c>
      <c r="P39" s="589" t="str">
        <f>IF(NOT(ISERROR(MATCH(O39,'Tabla Impacto'!$B$222:$B$224,0))),'Tabla Impacto'!$F$224&amp;"Por favor no seleccionar los criterios de impacto(Afectación Económica o presupuestal y Pérdida Reputacional)",O39)</f>
        <v xml:space="preserve">     El riesgo afecta la imagen de la entidad con algunos usuarios de relevancia frente al logro de los objetivos</v>
      </c>
      <c r="Q39" s="591" t="str">
        <f>IF(OR(P39='[8]Tabla Impacto'!$C$12,P39='[8]Tabla Impacto'!$D$12),"Leve",IF(OR(P39='[8]Tabla Impacto'!$C$13,P39='[8]Tabla Impacto'!$D$13),"Menor",IF(OR(P39='[8]Tabla Impacto'!$C$14,P39='[8]Tabla Impacto'!$D$14),"Moderado",IF(OR(P39='[8]Tabla Impacto'!$C$15,P39='[8]Tabla Impacto'!$D$15),"Mayor",IF(OR(P39='[8]Tabla Impacto'!$C$16,P39='[8]Tabla Impacto'!$D$16),"Catastrófico","")))))</f>
        <v>Moderado</v>
      </c>
      <c r="R39" s="590">
        <f t="shared" si="0"/>
        <v>0.6</v>
      </c>
      <c r="S39" s="592" t="str">
        <f t="shared" si="1"/>
        <v>Moderado</v>
      </c>
      <c r="T39" s="595">
        <v>1</v>
      </c>
      <c r="U39" s="631" t="s">
        <v>409</v>
      </c>
      <c r="V39" s="595" t="str">
        <f t="shared" si="2"/>
        <v>Probabilidad</v>
      </c>
      <c r="W39" s="596" t="s">
        <v>269</v>
      </c>
      <c r="X39" s="596" t="s">
        <v>198</v>
      </c>
      <c r="Y39" s="597" t="str">
        <f t="shared" si="3"/>
        <v>30%</v>
      </c>
      <c r="Z39" s="596" t="s">
        <v>259</v>
      </c>
      <c r="AA39" s="596" t="s">
        <v>200</v>
      </c>
      <c r="AB39" s="596" t="s">
        <v>201</v>
      </c>
      <c r="AC39" s="598">
        <f>IFERROR(IF(AND(V38="Probabilidad",V39="Probabilidad"),(AE38-(+AE38*Y39)),IF(AND(V38="Impacto",V39="Probabilidad"),(AE37-(+AE37*Y39)),IF(V39="Impacto",AE38,""))),"")</f>
        <v>0.1512</v>
      </c>
      <c r="AD39" s="599" t="str">
        <f t="shared" si="4"/>
        <v>Muy Baja</v>
      </c>
      <c r="AE39" s="600">
        <f t="shared" si="5"/>
        <v>0.1512</v>
      </c>
      <c r="AF39" s="599" t="str">
        <f t="shared" si="6"/>
        <v>Moderado</v>
      </c>
      <c r="AG39" s="600">
        <f>IFERROR(IF(AND(V38="Impacto",V39="Impacto"),(AG38-(+AG38*Y39)),IF(AND(V38="Probabilidad",V39="Impacto"),(AG37-(+AG37*Y39)),IF(V39="Probabilidad",AG38,""))),"")</f>
        <v>0.6</v>
      </c>
      <c r="AH39" s="601" t="str">
        <f t="shared" si="7"/>
        <v>Moderado</v>
      </c>
      <c r="AI39" s="602" t="s">
        <v>202</v>
      </c>
      <c r="AJ39" s="603"/>
      <c r="AK39" s="603"/>
      <c r="AL39" s="604"/>
      <c r="AM39" s="605"/>
      <c r="AN39" s="606"/>
      <c r="AO39" s="607"/>
      <c r="AP39" s="608">
        <v>45761</v>
      </c>
      <c r="AQ39" s="609" t="s">
        <v>313</v>
      </c>
      <c r="AR39" s="658" t="s">
        <v>410</v>
      </c>
      <c r="AS39" s="611" t="s">
        <v>205</v>
      </c>
      <c r="AT39" s="612" t="s">
        <v>206</v>
      </c>
      <c r="AU39" s="283" t="s">
        <v>206</v>
      </c>
      <c r="AV39" s="613"/>
      <c r="AW39" s="614">
        <v>45770</v>
      </c>
      <c r="AX39" s="615" t="s">
        <v>207</v>
      </c>
      <c r="AY39" s="635" t="s">
        <v>337</v>
      </c>
      <c r="BA39" s="617"/>
      <c r="BB39" s="617"/>
      <c r="BC39" s="618" t="s">
        <v>209</v>
      </c>
      <c r="BE39" s="608">
        <v>45855</v>
      </c>
      <c r="BF39" s="609" t="s">
        <v>313</v>
      </c>
      <c r="BG39" s="648" t="s">
        <v>411</v>
      </c>
      <c r="BH39" s="286" t="s">
        <v>205</v>
      </c>
      <c r="BI39" s="286" t="s">
        <v>206</v>
      </c>
      <c r="BJ39" s="286" t="s">
        <v>206</v>
      </c>
      <c r="BL39" s="450">
        <v>45855</v>
      </c>
      <c r="BM39" s="449" t="s">
        <v>215</v>
      </c>
      <c r="BN39" s="283" t="s">
        <v>231</v>
      </c>
      <c r="BP39" s="617"/>
      <c r="BQ39" s="617"/>
      <c r="BR39" s="618" t="s">
        <v>209</v>
      </c>
      <c r="BT39" s="608">
        <v>45944</v>
      </c>
      <c r="BU39" s="609" t="s">
        <v>313</v>
      </c>
      <c r="BV39" s="648" t="s">
        <v>412</v>
      </c>
      <c r="BW39" s="286" t="s">
        <v>205</v>
      </c>
      <c r="BX39" s="286" t="s">
        <v>206</v>
      </c>
      <c r="BY39" s="286" t="s">
        <v>206</v>
      </c>
      <c r="CA39" s="659">
        <v>45986</v>
      </c>
      <c r="CB39" s="286" t="s">
        <v>218</v>
      </c>
      <c r="CC39" s="643" t="s">
        <v>233</v>
      </c>
      <c r="CE39" s="617"/>
      <c r="CF39" s="617"/>
      <c r="CG39" s="618" t="s">
        <v>209</v>
      </c>
      <c r="CH39" s="192"/>
      <c r="CI39" s="558"/>
      <c r="CJ39" s="558"/>
      <c r="CK39" s="559" t="s">
        <v>209</v>
      </c>
      <c r="CL39" s="558"/>
      <c r="CM39" s="558"/>
      <c r="CN39" s="558"/>
      <c r="CO39" s="553"/>
      <c r="CP39" s="558"/>
      <c r="CQ39" s="558"/>
      <c r="CR39" s="559" t="s">
        <v>209</v>
      </c>
      <c r="CS39" s="553"/>
      <c r="CT39" s="558"/>
      <c r="CU39" s="558"/>
      <c r="CV39" s="559" t="s">
        <v>209</v>
      </c>
    </row>
    <row r="40" spans="1:100" ht="151.5" customHeight="1" x14ac:dyDescent="0.3">
      <c r="A40" s="622">
        <v>15</v>
      </c>
      <c r="B40" s="622" t="s">
        <v>405</v>
      </c>
      <c r="C40" s="623" t="s">
        <v>307</v>
      </c>
      <c r="D40" s="585" t="str">
        <f>IFERROR(INDEX('Base de datos gestión'!$D$28:$D$50,MATCH(C40,'Base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0" s="585" t="str">
        <f>IFERROR(INDEX('Base de datos gestión'!$E$28:$E$50,MATCH(C40,'Base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0" s="628" t="s">
        <v>188</v>
      </c>
      <c r="G40" s="629" t="s">
        <v>406</v>
      </c>
      <c r="H40" s="628" t="s">
        <v>407</v>
      </c>
      <c r="I40" s="628" t="s">
        <v>408</v>
      </c>
      <c r="J40" s="630" t="s">
        <v>192</v>
      </c>
      <c r="K40" s="630" t="s">
        <v>311</v>
      </c>
      <c r="L40" s="630">
        <v>100</v>
      </c>
      <c r="M40" s="588" t="str">
        <f t="shared" si="24"/>
        <v>Media</v>
      </c>
      <c r="N40" s="589">
        <f t="shared" si="15"/>
        <v>0.6</v>
      </c>
      <c r="O40" s="590" t="s">
        <v>248</v>
      </c>
      <c r="P40" s="589" t="str">
        <f>IF(NOT(ISERROR(MATCH(O40,'Tabla Impacto'!$B$222:$B$224,0))),'Tabla Impacto'!$F$224&amp;"Por favor no seleccionar los criterios de impacto(Afectación Económica o presupuestal y Pérdida Reputacional)",O40)</f>
        <v xml:space="preserve">     El riesgo afecta la imagen de la entidad con algunos usuarios de relevancia frente al logro de los objetivos</v>
      </c>
      <c r="Q40" s="591" t="str">
        <f>IF(OR(P40='[8]Tabla Impacto'!$C$12,P40='[8]Tabla Impacto'!$D$12),"Leve",IF(OR(P40='[8]Tabla Impacto'!$C$13,P40='[8]Tabla Impacto'!$D$13),"Menor",IF(OR(P40='[8]Tabla Impacto'!$C$14,P40='[8]Tabla Impacto'!$D$14),"Moderado",IF(OR(P40='[8]Tabla Impacto'!$C$15,P40='[8]Tabla Impacto'!$D$15),"Mayor",IF(OR(P40='[8]Tabla Impacto'!$C$16,P40='[8]Tabla Impacto'!$D$16),"Catastrófico","")))))</f>
        <v>Moderado</v>
      </c>
      <c r="R40" s="590">
        <f t="shared" si="0"/>
        <v>0.6</v>
      </c>
      <c r="S40" s="592" t="str">
        <f t="shared" si="1"/>
        <v>Moderado</v>
      </c>
      <c r="T40" s="595">
        <v>2</v>
      </c>
      <c r="U40" s="631" t="s">
        <v>413</v>
      </c>
      <c r="V40" s="595" t="str">
        <f t="shared" si="2"/>
        <v>Probabilidad</v>
      </c>
      <c r="W40" s="596" t="s">
        <v>269</v>
      </c>
      <c r="X40" s="596" t="s">
        <v>198</v>
      </c>
      <c r="Y40" s="597" t="str">
        <f t="shared" si="3"/>
        <v>30%</v>
      </c>
      <c r="Z40" s="596" t="s">
        <v>259</v>
      </c>
      <c r="AA40" s="596" t="s">
        <v>200</v>
      </c>
      <c r="AB40" s="596" t="s">
        <v>201</v>
      </c>
      <c r="AC40" s="598">
        <f>IFERROR(IF(AND(V39="Probabilidad",V40="Probabilidad"),(AE39-(+AE39*Y40)),IF(AND(V39="Impacto",V40="Probabilidad"),(AE38-(+AE38*Y40)),IF(V40="Impacto",AE39,""))),"")</f>
        <v>0.10584</v>
      </c>
      <c r="AD40" s="599" t="str">
        <f t="shared" si="4"/>
        <v>Muy Baja</v>
      </c>
      <c r="AE40" s="600">
        <f t="shared" si="5"/>
        <v>0.10584</v>
      </c>
      <c r="AF40" s="599" t="str">
        <f t="shared" si="6"/>
        <v>Moderado</v>
      </c>
      <c r="AG40" s="600">
        <f>IFERROR(IF(AND(V39="Impacto",V40="Impacto"),(AG39-(+AG39*Y40)),IF(AND(V39="Probabilidad",V40="Impacto"),(AG38-(+AG38*Y40)),IF(V40="Probabilidad",AG39,""))),"")</f>
        <v>0.6</v>
      </c>
      <c r="AH40" s="601" t="str">
        <f t="shared" si="7"/>
        <v>Moderado</v>
      </c>
      <c r="AI40" s="602" t="s">
        <v>202</v>
      </c>
      <c r="AJ40" s="603"/>
      <c r="AK40" s="603"/>
      <c r="AL40" s="604"/>
      <c r="AM40" s="605"/>
      <c r="AN40" s="606"/>
      <c r="AO40" s="607"/>
      <c r="AP40" s="608">
        <v>45761</v>
      </c>
      <c r="AQ40" s="609" t="s">
        <v>313</v>
      </c>
      <c r="AR40" s="658" t="s">
        <v>410</v>
      </c>
      <c r="AS40" s="611" t="s">
        <v>205</v>
      </c>
      <c r="AT40" s="612" t="s">
        <v>206</v>
      </c>
      <c r="AU40" s="283" t="s">
        <v>206</v>
      </c>
      <c r="AV40" s="613"/>
      <c r="AW40" s="614">
        <v>45770</v>
      </c>
      <c r="AX40" s="615" t="s">
        <v>207</v>
      </c>
      <c r="AY40" s="635" t="s">
        <v>337</v>
      </c>
      <c r="BA40" s="617"/>
      <c r="BB40" s="617"/>
      <c r="BC40" s="618" t="s">
        <v>209</v>
      </c>
      <c r="BE40" s="608">
        <v>45855</v>
      </c>
      <c r="BF40" s="609" t="s">
        <v>313</v>
      </c>
      <c r="BG40" s="648" t="s">
        <v>414</v>
      </c>
      <c r="BH40" s="286" t="s">
        <v>205</v>
      </c>
      <c r="BI40" s="286" t="s">
        <v>206</v>
      </c>
      <c r="BJ40" s="286" t="s">
        <v>206</v>
      </c>
      <c r="BL40" s="450">
        <v>45855</v>
      </c>
      <c r="BM40" s="449" t="s">
        <v>215</v>
      </c>
      <c r="BN40" s="283" t="s">
        <v>231</v>
      </c>
      <c r="BP40" s="617"/>
      <c r="BQ40" s="617"/>
      <c r="BR40" s="618" t="s">
        <v>209</v>
      </c>
      <c r="BT40" s="608">
        <v>45944</v>
      </c>
      <c r="BU40" s="609" t="s">
        <v>313</v>
      </c>
      <c r="BV40" s="648" t="s">
        <v>415</v>
      </c>
      <c r="BW40" s="286" t="s">
        <v>205</v>
      </c>
      <c r="BX40" s="286" t="s">
        <v>206</v>
      </c>
      <c r="BY40" s="286" t="s">
        <v>206</v>
      </c>
      <c r="CA40" s="659">
        <v>45986</v>
      </c>
      <c r="CB40" s="286" t="s">
        <v>218</v>
      </c>
      <c r="CC40" s="643" t="s">
        <v>233</v>
      </c>
      <c r="CE40" s="617"/>
      <c r="CF40" s="617"/>
      <c r="CG40" s="618" t="s">
        <v>209</v>
      </c>
      <c r="CH40" s="192"/>
      <c r="CI40" s="558"/>
      <c r="CJ40" s="558"/>
      <c r="CK40" s="559" t="s">
        <v>209</v>
      </c>
      <c r="CL40" s="558"/>
      <c r="CM40" s="558"/>
      <c r="CN40" s="558"/>
      <c r="CO40" s="553"/>
      <c r="CP40" s="558"/>
      <c r="CQ40" s="558"/>
      <c r="CR40" s="559" t="s">
        <v>209</v>
      </c>
      <c r="CS40" s="553"/>
      <c r="CT40" s="558"/>
      <c r="CU40" s="558"/>
      <c r="CV40" s="559" t="s">
        <v>209</v>
      </c>
    </row>
    <row r="41" spans="1:100" ht="151.5" customHeight="1" x14ac:dyDescent="0.3">
      <c r="A41" s="622">
        <v>16</v>
      </c>
      <c r="B41" s="622" t="s">
        <v>416</v>
      </c>
      <c r="C41" s="623" t="s">
        <v>307</v>
      </c>
      <c r="D41" s="585" t="str">
        <f>IFERROR(INDEX('Base de datos gestión'!$D$28:$D$50,MATCH(C41,'Base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1" s="585" t="str">
        <f>IFERROR(INDEX('Base de datos gestión'!$E$28:$E$50,MATCH(C41,'Base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1" s="628" t="s">
        <v>188</v>
      </c>
      <c r="G41" s="629" t="s">
        <v>417</v>
      </c>
      <c r="H41" s="628" t="s">
        <v>418</v>
      </c>
      <c r="I41" s="628" t="s">
        <v>419</v>
      </c>
      <c r="J41" s="630" t="s">
        <v>192</v>
      </c>
      <c r="K41" s="630" t="s">
        <v>420</v>
      </c>
      <c r="L41" s="630">
        <v>10</v>
      </c>
      <c r="M41" s="588" t="str">
        <f t="shared" si="24"/>
        <v>Baja</v>
      </c>
      <c r="N41" s="589">
        <f t="shared" si="15"/>
        <v>0.4</v>
      </c>
      <c r="O41" s="590" t="s">
        <v>248</v>
      </c>
      <c r="P41" s="589" t="str">
        <f>IF(NOT(ISERROR(MATCH(O41,'Tabla Impacto'!$B$222:$B$224,0))),'Tabla Impacto'!$F$224&amp;"Por favor no seleccionar los criterios de impacto(Afectación Económica o presupuestal y Pérdida Reputacional)",O41)</f>
        <v xml:space="preserve">     El riesgo afecta la imagen de la entidad con algunos usuarios de relevancia frente al logro de los objetivos</v>
      </c>
      <c r="Q41" s="591" t="str">
        <f>IF(OR(P41='[8]Tabla Impacto'!$C$12,P41='[8]Tabla Impacto'!$D$12),"Leve",IF(OR(P41='[8]Tabla Impacto'!$C$13,P41='[8]Tabla Impacto'!$D$13),"Menor",IF(OR(P41='[8]Tabla Impacto'!$C$14,P41='[8]Tabla Impacto'!$D$14),"Moderado",IF(OR(P41='[8]Tabla Impacto'!$C$15,P41='[8]Tabla Impacto'!$D$15),"Mayor",IF(OR(P41='[8]Tabla Impacto'!$C$16,P41='[8]Tabla Impacto'!$D$16),"Catastrófico","")))))</f>
        <v>Moderado</v>
      </c>
      <c r="R41" s="590">
        <f t="shared" si="0"/>
        <v>0.6</v>
      </c>
      <c r="S41" s="592" t="str">
        <f t="shared" si="1"/>
        <v>Moderado</v>
      </c>
      <c r="T41" s="595">
        <v>1</v>
      </c>
      <c r="U41" s="631" t="s">
        <v>421</v>
      </c>
      <c r="V41" s="595" t="str">
        <f t="shared" si="2"/>
        <v>Probabilidad</v>
      </c>
      <c r="W41" s="596" t="s">
        <v>197</v>
      </c>
      <c r="X41" s="596" t="s">
        <v>198</v>
      </c>
      <c r="Y41" s="597" t="str">
        <f t="shared" si="3"/>
        <v>40%</v>
      </c>
      <c r="Z41" s="596" t="s">
        <v>259</v>
      </c>
      <c r="AA41" s="596" t="s">
        <v>200</v>
      </c>
      <c r="AB41" s="596" t="s">
        <v>201</v>
      </c>
      <c r="AC41" s="598">
        <f>IFERROR(IF(AND(V40="Probabilidad",V41="Probabilidad"),(AE40-(+AE40*Y41)),IF(AND(V40="Impacto",V41="Probabilidad"),(AE39-(+AE39*Y41)),IF(V41="Impacto",AE40,""))),"")</f>
        <v>6.3504000000000005E-2</v>
      </c>
      <c r="AD41" s="599" t="str">
        <f t="shared" si="4"/>
        <v>Muy Baja</v>
      </c>
      <c r="AE41" s="600">
        <f t="shared" si="5"/>
        <v>6.3504000000000005E-2</v>
      </c>
      <c r="AF41" s="599" t="str">
        <f t="shared" si="6"/>
        <v>Moderado</v>
      </c>
      <c r="AG41" s="600">
        <f>IFERROR(IF(AND(V40="Impacto",V41="Impacto"),(AG40-(+AG40*Y41)),IF(AND(V40="Probabilidad",V41="Impacto"),(AG39-(+AG39*Y41)),IF(V41="Probabilidad",AG40,""))),"")</f>
        <v>0.6</v>
      </c>
      <c r="AH41" s="601" t="str">
        <f t="shared" si="7"/>
        <v>Moderado</v>
      </c>
      <c r="AI41" s="602" t="s">
        <v>202</v>
      </c>
      <c r="AJ41" s="603"/>
      <c r="AK41" s="603"/>
      <c r="AL41" s="604"/>
      <c r="AM41" s="605"/>
      <c r="AN41" s="606"/>
      <c r="AO41" s="607"/>
      <c r="AP41" s="608">
        <v>45761</v>
      </c>
      <c r="AQ41" s="609" t="s">
        <v>313</v>
      </c>
      <c r="AR41" s="658" t="s">
        <v>422</v>
      </c>
      <c r="AS41" s="611" t="s">
        <v>205</v>
      </c>
      <c r="AT41" s="285" t="s">
        <v>206</v>
      </c>
      <c r="AU41" s="283" t="s">
        <v>206</v>
      </c>
      <c r="AV41" s="613"/>
      <c r="AW41" s="614">
        <v>45770</v>
      </c>
      <c r="AX41" s="615" t="s">
        <v>207</v>
      </c>
      <c r="AY41" s="635" t="s">
        <v>337</v>
      </c>
      <c r="BA41" s="617"/>
      <c r="BB41" s="617"/>
      <c r="BC41" s="618" t="s">
        <v>209</v>
      </c>
      <c r="BE41" s="608">
        <v>45855</v>
      </c>
      <c r="BF41" s="609" t="s">
        <v>313</v>
      </c>
      <c r="BG41" s="648" t="s">
        <v>423</v>
      </c>
      <c r="BH41" s="449" t="s">
        <v>205</v>
      </c>
      <c r="BI41" s="651" t="s">
        <v>206</v>
      </c>
      <c r="BJ41" s="651" t="s">
        <v>206</v>
      </c>
      <c r="BL41" s="450">
        <v>45855</v>
      </c>
      <c r="BM41" s="449" t="s">
        <v>215</v>
      </c>
      <c r="BN41" s="283" t="s">
        <v>231</v>
      </c>
      <c r="BP41" s="617"/>
      <c r="BQ41" s="617"/>
      <c r="BR41" s="618" t="s">
        <v>209</v>
      </c>
      <c r="BT41" s="608">
        <v>45940</v>
      </c>
      <c r="BU41" s="609" t="s">
        <v>313</v>
      </c>
      <c r="BV41" s="648" t="s">
        <v>424</v>
      </c>
      <c r="BW41" s="286" t="s">
        <v>205</v>
      </c>
      <c r="BX41" s="286" t="s">
        <v>206</v>
      </c>
      <c r="BY41" s="286" t="s">
        <v>206</v>
      </c>
      <c r="CA41" s="659">
        <v>45986</v>
      </c>
      <c r="CB41" s="286" t="s">
        <v>218</v>
      </c>
      <c r="CC41" s="643" t="s">
        <v>233</v>
      </c>
      <c r="CE41" s="617"/>
      <c r="CF41" s="617"/>
      <c r="CG41" s="618" t="s">
        <v>209</v>
      </c>
      <c r="CH41" s="192"/>
      <c r="CI41" s="558"/>
      <c r="CJ41" s="558"/>
      <c r="CK41" s="559" t="s">
        <v>209</v>
      </c>
      <c r="CL41" s="558"/>
      <c r="CM41" s="558"/>
      <c r="CN41" s="558"/>
      <c r="CO41" s="553"/>
      <c r="CP41" s="558"/>
      <c r="CQ41" s="558"/>
      <c r="CR41" s="559" t="s">
        <v>209</v>
      </c>
      <c r="CS41" s="553"/>
      <c r="CT41" s="558"/>
      <c r="CU41" s="558"/>
      <c r="CV41" s="559" t="s">
        <v>209</v>
      </c>
    </row>
    <row r="42" spans="1:100" ht="151.5" customHeight="1" x14ac:dyDescent="0.3">
      <c r="A42" s="632">
        <v>16</v>
      </c>
      <c r="B42" s="632" t="s">
        <v>416</v>
      </c>
      <c r="C42" s="633" t="s">
        <v>307</v>
      </c>
      <c r="D42" s="585" t="str">
        <f>IFERROR(INDEX('Base de datos gestión'!$D$28:$D$50,MATCH(C42,'Base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2" s="585" t="str">
        <f>IFERROR(INDEX('Base de datos gestión'!$E$28:$E$50,MATCH(C42,'Base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2" s="628" t="s">
        <v>188</v>
      </c>
      <c r="G42" s="629" t="s">
        <v>417</v>
      </c>
      <c r="H42" s="628" t="s">
        <v>418</v>
      </c>
      <c r="I42" s="628" t="s">
        <v>419</v>
      </c>
      <c r="J42" s="630" t="s">
        <v>192</v>
      </c>
      <c r="K42" s="630" t="s">
        <v>420</v>
      </c>
      <c r="L42" s="630">
        <v>10</v>
      </c>
      <c r="M42" s="588" t="str">
        <f t="shared" si="24"/>
        <v>Baja</v>
      </c>
      <c r="N42" s="589">
        <f t="shared" si="15"/>
        <v>0.4</v>
      </c>
      <c r="O42" s="590" t="s">
        <v>248</v>
      </c>
      <c r="P42" s="589" t="str">
        <f>IF(NOT(ISERROR(MATCH(O42,'Tabla Impacto'!$B$222:$B$224,0))),'Tabla Impacto'!$F$224&amp;"Por favor no seleccionar los criterios de impacto(Afectación Económica o presupuestal y Pérdida Reputacional)",O42)</f>
        <v xml:space="preserve">     El riesgo afecta la imagen de la entidad con algunos usuarios de relevancia frente al logro de los objetivos</v>
      </c>
      <c r="Q42" s="591" t="str">
        <f>IF(OR(P42='[8]Tabla Impacto'!$C$12,P42='[8]Tabla Impacto'!$D$12),"Leve",IF(OR(P42='[8]Tabla Impacto'!$C$13,P42='[8]Tabla Impacto'!$D$13),"Menor",IF(OR(P42='[8]Tabla Impacto'!$C$14,P42='[8]Tabla Impacto'!$D$14),"Moderado",IF(OR(P42='[8]Tabla Impacto'!$C$15,P42='[8]Tabla Impacto'!$D$15),"Mayor",IF(OR(P42='[8]Tabla Impacto'!$C$16,P42='[8]Tabla Impacto'!$D$16),"Catastrófico","")))))</f>
        <v>Moderado</v>
      </c>
      <c r="R42" s="590">
        <f t="shared" si="0"/>
        <v>0.6</v>
      </c>
      <c r="S42" s="592" t="str">
        <f t="shared" si="1"/>
        <v>Moderado</v>
      </c>
      <c r="T42" s="595">
        <v>2</v>
      </c>
      <c r="U42" s="631" t="s">
        <v>425</v>
      </c>
      <c r="V42" s="595" t="str">
        <f t="shared" si="2"/>
        <v>Probabilidad</v>
      </c>
      <c r="W42" s="596" t="s">
        <v>269</v>
      </c>
      <c r="X42" s="596" t="s">
        <v>198</v>
      </c>
      <c r="Y42" s="597" t="str">
        <f t="shared" si="3"/>
        <v>30%</v>
      </c>
      <c r="Z42" s="596" t="s">
        <v>259</v>
      </c>
      <c r="AA42" s="596" t="s">
        <v>200</v>
      </c>
      <c r="AB42" s="596" t="s">
        <v>201</v>
      </c>
      <c r="AC42" s="598">
        <f>IFERROR(IF(AND(V41="Probabilidad",V42="Probabilidad"),(AE41-(+AE41*Y42)),IF(AND(V41="Impacto",V42="Probabilidad"),(AE40-(+AE40*Y42)),IF(V42="Impacto",AE41,""))),"")</f>
        <v>4.4452800000000001E-2</v>
      </c>
      <c r="AD42" s="599" t="str">
        <f t="shared" si="4"/>
        <v>Muy Baja</v>
      </c>
      <c r="AE42" s="600">
        <f t="shared" si="5"/>
        <v>4.4452800000000001E-2</v>
      </c>
      <c r="AF42" s="599" t="str">
        <f t="shared" si="6"/>
        <v>Moderado</v>
      </c>
      <c r="AG42" s="600">
        <f>IFERROR(IF(AND(V41="Impacto",V42="Impacto"),(AG41-(+AG41*Y42)),IF(AND(V41="Probabilidad",V42="Impacto"),(AG40-(+AG40*Y42)),IF(V42="Probabilidad",AG41,""))),"")</f>
        <v>0.6</v>
      </c>
      <c r="AH42" s="601" t="str">
        <f t="shared" si="7"/>
        <v>Moderado</v>
      </c>
      <c r="AI42" s="602" t="s">
        <v>202</v>
      </c>
      <c r="AJ42" s="603"/>
      <c r="AK42" s="603"/>
      <c r="AL42" s="604"/>
      <c r="AM42" s="605"/>
      <c r="AN42" s="606"/>
      <c r="AO42" s="607"/>
      <c r="AP42" s="608">
        <v>45761</v>
      </c>
      <c r="AQ42" s="609" t="s">
        <v>313</v>
      </c>
      <c r="AR42" s="658" t="s">
        <v>422</v>
      </c>
      <c r="AS42" s="611" t="s">
        <v>205</v>
      </c>
      <c r="AT42" s="612" t="s">
        <v>206</v>
      </c>
      <c r="AU42" s="283" t="s">
        <v>206</v>
      </c>
      <c r="AV42" s="613"/>
      <c r="AW42" s="614">
        <v>45770</v>
      </c>
      <c r="AX42" s="615" t="s">
        <v>207</v>
      </c>
      <c r="AY42" s="635" t="s">
        <v>337</v>
      </c>
      <c r="BA42" s="617"/>
      <c r="BB42" s="617"/>
      <c r="BC42" s="618" t="s">
        <v>209</v>
      </c>
      <c r="BE42" s="608">
        <v>45855</v>
      </c>
      <c r="BF42" s="609" t="s">
        <v>313</v>
      </c>
      <c r="BG42" s="648" t="s">
        <v>426</v>
      </c>
      <c r="BH42" s="449" t="s">
        <v>205</v>
      </c>
      <c r="BI42" s="651" t="s">
        <v>206</v>
      </c>
      <c r="BJ42" s="651" t="s">
        <v>206</v>
      </c>
      <c r="BL42" s="450">
        <v>45855</v>
      </c>
      <c r="BM42" s="449" t="s">
        <v>215</v>
      </c>
      <c r="BN42" s="283" t="s">
        <v>231</v>
      </c>
      <c r="BP42" s="617"/>
      <c r="BQ42" s="617"/>
      <c r="BR42" s="618" t="s">
        <v>209</v>
      </c>
      <c r="BT42" s="608">
        <v>45940</v>
      </c>
      <c r="BU42" s="609" t="s">
        <v>313</v>
      </c>
      <c r="BV42" s="648" t="s">
        <v>427</v>
      </c>
      <c r="BW42" s="286" t="s">
        <v>205</v>
      </c>
      <c r="BX42" s="286" t="s">
        <v>206</v>
      </c>
      <c r="BY42" s="286" t="s">
        <v>206</v>
      </c>
      <c r="CA42" s="659">
        <v>45986</v>
      </c>
      <c r="CB42" s="286" t="s">
        <v>218</v>
      </c>
      <c r="CC42" s="643" t="s">
        <v>233</v>
      </c>
      <c r="CE42" s="617"/>
      <c r="CF42" s="617"/>
      <c r="CG42" s="618" t="s">
        <v>209</v>
      </c>
      <c r="CH42" s="192"/>
      <c r="CI42" s="558"/>
      <c r="CJ42" s="558"/>
      <c r="CK42" s="559" t="s">
        <v>209</v>
      </c>
      <c r="CL42" s="558"/>
      <c r="CM42" s="558"/>
      <c r="CN42" s="558"/>
      <c r="CO42" s="553"/>
      <c r="CP42" s="558"/>
      <c r="CQ42" s="558"/>
      <c r="CR42" s="559" t="s">
        <v>209</v>
      </c>
      <c r="CS42" s="553"/>
      <c r="CT42" s="558"/>
      <c r="CU42" s="558"/>
      <c r="CV42" s="559" t="s">
        <v>209</v>
      </c>
    </row>
    <row r="43" spans="1:100" ht="151.5" customHeight="1" x14ac:dyDescent="0.3">
      <c r="A43" s="584">
        <v>17</v>
      </c>
      <c r="B43" s="584" t="s">
        <v>428</v>
      </c>
      <c r="C43" s="585" t="s">
        <v>307</v>
      </c>
      <c r="D43" s="585" t="str">
        <f>IFERROR(INDEX('Base de datos gestión'!$D$28:$D$50,MATCH(C43,'Base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3" s="585" t="str">
        <f>IFERROR(INDEX('Base de datos gestión'!$E$28:$E$50,MATCH(C43,'Base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3" s="630" t="s">
        <v>188</v>
      </c>
      <c r="G43" s="629" t="s">
        <v>429</v>
      </c>
      <c r="H43" s="630" t="s">
        <v>430</v>
      </c>
      <c r="I43" s="630" t="s">
        <v>310</v>
      </c>
      <c r="J43" s="630" t="s">
        <v>192</v>
      </c>
      <c r="K43" s="630" t="s">
        <v>311</v>
      </c>
      <c r="L43" s="630">
        <v>1000</v>
      </c>
      <c r="M43" s="588" t="str">
        <f>IF(L43&lt;=0,"",IF(L43&lt;=2,"Muy Baja",IF(L43&lt;=24,"Baja",IF(L43&lt;=500,"Media",IF(L43&lt;=5000,"Alta","Muy Alta")))))</f>
        <v>Alta</v>
      </c>
      <c r="N43" s="589">
        <f t="shared" si="15"/>
        <v>0.8</v>
      </c>
      <c r="O43" s="590" t="s">
        <v>248</v>
      </c>
      <c r="P43" s="589" t="str">
        <f>IF(NOT(ISERROR(MATCH(O43,'Tabla Impacto'!$B$222:$B$224,0))),'Tabla Impacto'!$F$224&amp;"Por favor no seleccionar los criterios de impacto(Afectación Económica o presupuestal y Pérdida Reputacional)",O43)</f>
        <v xml:space="preserve">     El riesgo afecta la imagen de la entidad con algunos usuarios de relevancia frente al logro de los objetivos</v>
      </c>
      <c r="Q43" s="591" t="str">
        <f>IF(OR(P43='[8]Tabla Impacto'!$C$12,P43='[8]Tabla Impacto'!$D$12),"Leve",IF(OR(P43='[8]Tabla Impacto'!$C$13,P43='[8]Tabla Impacto'!$D$13),"Menor",IF(OR(P43='[8]Tabla Impacto'!$C$14,P43='[8]Tabla Impacto'!$D$14),"Moderado",IF(OR(P43='[8]Tabla Impacto'!$C$15,P43='[8]Tabla Impacto'!$D$15),"Mayor",IF(OR(P43='[8]Tabla Impacto'!$C$16,P43='[8]Tabla Impacto'!$D$16),"Catastrófico","")))))</f>
        <v>Moderado</v>
      </c>
      <c r="R43" s="590">
        <f t="shared" si="0"/>
        <v>0.6</v>
      </c>
      <c r="S43" s="592" t="str">
        <f t="shared" si="1"/>
        <v>Alto</v>
      </c>
      <c r="T43" s="595">
        <v>1</v>
      </c>
      <c r="U43" s="631" t="s">
        <v>431</v>
      </c>
      <c r="V43" s="595" t="str">
        <f t="shared" si="2"/>
        <v>Probabilidad</v>
      </c>
      <c r="W43" s="596" t="s">
        <v>197</v>
      </c>
      <c r="X43" s="596" t="s">
        <v>198</v>
      </c>
      <c r="Y43" s="597" t="str">
        <f t="shared" si="3"/>
        <v>40%</v>
      </c>
      <c r="Z43" s="596" t="s">
        <v>259</v>
      </c>
      <c r="AA43" s="596" t="s">
        <v>200</v>
      </c>
      <c r="AB43" s="596" t="s">
        <v>201</v>
      </c>
      <c r="AC43" s="598">
        <f>IFERROR(IF(V43="Probabilidad",(N43-(+N43*Y43)),IF(V43="Impacto",N43,"")),"")</f>
        <v>0.48</v>
      </c>
      <c r="AD43" s="599" t="str">
        <f t="shared" si="4"/>
        <v>Media</v>
      </c>
      <c r="AE43" s="600">
        <f t="shared" si="5"/>
        <v>0.48</v>
      </c>
      <c r="AF43" s="599" t="str">
        <f t="shared" si="6"/>
        <v>Moderado</v>
      </c>
      <c r="AG43" s="600">
        <f>IFERROR(IF(V43="Impacto",(R43-(+R43*Y43)),IF(V43="Probabilidad",R43,"")),"")</f>
        <v>0.6</v>
      </c>
      <c r="AH43" s="601" t="str">
        <f t="shared" si="7"/>
        <v>Moderado</v>
      </c>
      <c r="AI43" s="602" t="s">
        <v>202</v>
      </c>
      <c r="AJ43" s="603"/>
      <c r="AK43" s="603"/>
      <c r="AL43" s="604"/>
      <c r="AM43" s="605"/>
      <c r="AN43" s="606"/>
      <c r="AO43" s="607"/>
      <c r="AP43" s="608">
        <v>45761</v>
      </c>
      <c r="AQ43" s="609" t="s">
        <v>313</v>
      </c>
      <c r="AR43" s="647" t="s">
        <v>432</v>
      </c>
      <c r="AS43" s="611" t="s">
        <v>205</v>
      </c>
      <c r="AT43" s="612" t="s">
        <v>206</v>
      </c>
      <c r="AU43" s="283" t="s">
        <v>206</v>
      </c>
      <c r="AV43" s="613"/>
      <c r="AW43" s="614">
        <v>45770</v>
      </c>
      <c r="AX43" s="615" t="s">
        <v>207</v>
      </c>
      <c r="AY43" s="635" t="s">
        <v>337</v>
      </c>
      <c r="BA43" s="617"/>
      <c r="BB43" s="617"/>
      <c r="BC43" s="618" t="s">
        <v>209</v>
      </c>
      <c r="BE43" s="608">
        <v>45855</v>
      </c>
      <c r="BF43" s="609" t="s">
        <v>313</v>
      </c>
      <c r="BG43" s="648" t="s">
        <v>433</v>
      </c>
      <c r="BH43" s="449" t="s">
        <v>205</v>
      </c>
      <c r="BI43" s="286" t="s">
        <v>206</v>
      </c>
      <c r="BJ43" s="286" t="s">
        <v>206</v>
      </c>
      <c r="BL43" s="450">
        <v>45855</v>
      </c>
      <c r="BM43" s="449" t="s">
        <v>215</v>
      </c>
      <c r="BN43" s="283" t="s">
        <v>231</v>
      </c>
      <c r="BP43" s="617"/>
      <c r="BQ43" s="617"/>
      <c r="BR43" s="618" t="s">
        <v>209</v>
      </c>
      <c r="BT43" s="608">
        <v>45944</v>
      </c>
      <c r="BU43" s="609" t="s">
        <v>313</v>
      </c>
      <c r="BV43" s="648" t="s">
        <v>434</v>
      </c>
      <c r="BW43" s="449" t="s">
        <v>205</v>
      </c>
      <c r="BX43" s="286" t="s">
        <v>206</v>
      </c>
      <c r="BY43" s="286" t="s">
        <v>206</v>
      </c>
      <c r="CA43" s="659">
        <v>45986</v>
      </c>
      <c r="CB43" s="286" t="s">
        <v>218</v>
      </c>
      <c r="CC43" s="643" t="s">
        <v>233</v>
      </c>
      <c r="CE43" s="617"/>
      <c r="CF43" s="617"/>
      <c r="CG43" s="618" t="s">
        <v>209</v>
      </c>
      <c r="CH43" s="192"/>
      <c r="CI43" s="558"/>
      <c r="CJ43" s="558"/>
      <c r="CK43" s="559" t="s">
        <v>209</v>
      </c>
      <c r="CL43" s="558"/>
      <c r="CM43" s="558"/>
      <c r="CN43" s="558"/>
      <c r="CO43" s="553"/>
      <c r="CP43" s="558"/>
      <c r="CQ43" s="558"/>
      <c r="CR43" s="559" t="s">
        <v>209</v>
      </c>
      <c r="CS43" s="553"/>
      <c r="CT43" s="558"/>
      <c r="CU43" s="558"/>
      <c r="CV43" s="559" t="s">
        <v>209</v>
      </c>
    </row>
    <row r="44" spans="1:100" ht="151.5" customHeight="1" x14ac:dyDescent="0.3">
      <c r="A44" s="622">
        <v>18</v>
      </c>
      <c r="B44" s="622" t="s">
        <v>435</v>
      </c>
      <c r="C44" s="623" t="s">
        <v>307</v>
      </c>
      <c r="D44" s="585" t="str">
        <f>IFERROR(INDEX('Base de datos gestión'!$D$28:$D$50,MATCH(C44,'Base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4" s="585" t="str">
        <f>IFERROR(INDEX('Base de datos gestión'!$E$28:$E$50,MATCH(C44,'Base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4" s="628" t="s">
        <v>188</v>
      </c>
      <c r="G44" s="629" t="s">
        <v>436</v>
      </c>
      <c r="H44" s="628" t="s">
        <v>437</v>
      </c>
      <c r="I44" s="628" t="s">
        <v>438</v>
      </c>
      <c r="J44" s="630" t="s">
        <v>192</v>
      </c>
      <c r="K44" s="630" t="s">
        <v>439</v>
      </c>
      <c r="L44" s="630">
        <v>2</v>
      </c>
      <c r="M44" s="588" t="str">
        <f>IF(L44&lt;=0,"",IF(L44&lt;=2,"Muy Baja",IF(L44&lt;=24,"Baja",IF(L44&lt;=500,"Media",IF(L44&lt;=5000,"Alta","Muy Alta")))))</f>
        <v>Muy Baja</v>
      </c>
      <c r="N44" s="589">
        <f t="shared" si="15"/>
        <v>0.2</v>
      </c>
      <c r="O44" s="590" t="s">
        <v>440</v>
      </c>
      <c r="P44" s="589" t="str">
        <f>IF(NOT(ISERROR(MATCH(O44,'Tabla Impacto'!$B$222:$B$224,0))),'Tabla Impacto'!$F$224&amp;"Por favor no seleccionar los criterios de impacto(Afectación Económica o presupuestal y Pérdida Reputacional)",O44)</f>
        <v xml:space="preserve">     El riesgo afecta la imagen de alguna área de la organización</v>
      </c>
      <c r="Q44" s="591" t="str">
        <f>IF(OR(P44='[8]Tabla Impacto'!$C$12,P44='[8]Tabla Impacto'!$D$12),"Leve",IF(OR(P44='[8]Tabla Impacto'!$C$13,P44='[8]Tabla Impacto'!$D$13),"Menor",IF(OR(P44='[8]Tabla Impacto'!$C$14,P44='[8]Tabla Impacto'!$D$14),"Moderado",IF(OR(P44='[8]Tabla Impacto'!$C$15,P44='[8]Tabla Impacto'!$D$15),"Mayor",IF(OR(P44='[8]Tabla Impacto'!$C$16,P44='[8]Tabla Impacto'!$D$16),"Catastrófico","")))))</f>
        <v>Leve</v>
      </c>
      <c r="R44" s="590">
        <f t="shared" si="0"/>
        <v>0.2</v>
      </c>
      <c r="S44" s="592" t="str">
        <f t="shared" si="1"/>
        <v>Bajo</v>
      </c>
      <c r="T44" s="595">
        <v>1</v>
      </c>
      <c r="U44" s="631" t="s">
        <v>441</v>
      </c>
      <c r="V44" s="595" t="str">
        <f t="shared" si="2"/>
        <v>Probabilidad</v>
      </c>
      <c r="W44" s="596" t="s">
        <v>269</v>
      </c>
      <c r="X44" s="596" t="s">
        <v>198</v>
      </c>
      <c r="Y44" s="597" t="str">
        <f t="shared" si="3"/>
        <v>30%</v>
      </c>
      <c r="Z44" s="596" t="s">
        <v>259</v>
      </c>
      <c r="AA44" s="596" t="s">
        <v>200</v>
      </c>
      <c r="AB44" s="596" t="s">
        <v>201</v>
      </c>
      <c r="AC44" s="598">
        <f>IFERROR(IF(AND(V43="Probabilidad",V44="Probabilidad"),(AE43-(+AE43*Y44)),IF(V44="Probabilidad",(N43-(+N43*Y44)),IF(V44="Impacto",AE43,""))),"")</f>
        <v>0.33599999999999997</v>
      </c>
      <c r="AD44" s="599" t="str">
        <f t="shared" si="4"/>
        <v>Baja</v>
      </c>
      <c r="AE44" s="600">
        <f t="shared" si="5"/>
        <v>0.33599999999999997</v>
      </c>
      <c r="AF44" s="599" t="str">
        <f t="shared" si="6"/>
        <v>Moderado</v>
      </c>
      <c r="AG44" s="600">
        <f>IFERROR(IF(AND(V43="Impacto",V44="Impacto"),(AG37-(+AG37*Y44)),IF(V44="Impacto",($R$43-(+$R$43*Y44)),IF(V44="Probabilidad",AG37,""))),"")</f>
        <v>0.6</v>
      </c>
      <c r="AH44" s="601" t="str">
        <f t="shared" si="7"/>
        <v>Moderado</v>
      </c>
      <c r="AI44" s="602" t="s">
        <v>378</v>
      </c>
      <c r="AJ44" s="603"/>
      <c r="AK44" s="603"/>
      <c r="AL44" s="604"/>
      <c r="AM44" s="605"/>
      <c r="AN44" s="606"/>
      <c r="AO44" s="607"/>
      <c r="AP44" s="608"/>
      <c r="AQ44" s="609"/>
      <c r="AR44" s="618" t="s">
        <v>365</v>
      </c>
      <c r="AS44" s="611"/>
      <c r="AT44" s="612"/>
      <c r="AU44" s="283"/>
      <c r="AV44" s="613"/>
      <c r="AW44" s="614">
        <v>45782</v>
      </c>
      <c r="AX44" s="615" t="s">
        <v>207</v>
      </c>
      <c r="AY44" s="616" t="s">
        <v>366</v>
      </c>
      <c r="BA44" s="617"/>
      <c r="BB44" s="617"/>
      <c r="BC44" s="618" t="s">
        <v>209</v>
      </c>
      <c r="BE44" s="608">
        <v>45861</v>
      </c>
      <c r="BF44" s="609" t="s">
        <v>218</v>
      </c>
      <c r="BG44" s="283" t="s">
        <v>442</v>
      </c>
      <c r="BH44" s="449" t="s">
        <v>205</v>
      </c>
      <c r="BI44" s="449" t="s">
        <v>206</v>
      </c>
      <c r="BJ44" s="286" t="s">
        <v>206</v>
      </c>
      <c r="BL44" s="450">
        <v>45869</v>
      </c>
      <c r="BM44" s="449" t="s">
        <v>285</v>
      </c>
      <c r="BN44" s="658" t="s">
        <v>443</v>
      </c>
      <c r="BP44" s="617"/>
      <c r="BQ44" s="617"/>
      <c r="BR44" s="618" t="s">
        <v>209</v>
      </c>
      <c r="BT44" s="660">
        <v>45986</v>
      </c>
      <c r="BU44" s="661" t="s">
        <v>218</v>
      </c>
      <c r="BV44" s="662" t="s">
        <v>444</v>
      </c>
      <c r="BW44" s="663" t="s">
        <v>212</v>
      </c>
      <c r="BX44" s="664" t="s">
        <v>317</v>
      </c>
      <c r="BY44" s="664" t="s">
        <v>445</v>
      </c>
      <c r="CA44" s="614">
        <v>45986</v>
      </c>
      <c r="CB44" s="286" t="s">
        <v>218</v>
      </c>
      <c r="CC44" s="643" t="s">
        <v>446</v>
      </c>
      <c r="CE44" s="617"/>
      <c r="CF44" s="617"/>
      <c r="CG44" s="618" t="s">
        <v>209</v>
      </c>
      <c r="CH44" s="192"/>
      <c r="CI44" s="558"/>
      <c r="CJ44" s="558"/>
      <c r="CK44" s="559" t="s">
        <v>209</v>
      </c>
      <c r="CL44" s="558"/>
      <c r="CM44" s="558"/>
      <c r="CN44" s="558"/>
      <c r="CO44" s="553"/>
      <c r="CP44" s="558"/>
      <c r="CQ44" s="558"/>
      <c r="CR44" s="559" t="s">
        <v>209</v>
      </c>
      <c r="CS44" s="553"/>
      <c r="CT44" s="558"/>
      <c r="CU44" s="558"/>
      <c r="CV44" s="559" t="s">
        <v>209</v>
      </c>
    </row>
    <row r="45" spans="1:100" ht="151.5" customHeight="1" x14ac:dyDescent="0.3">
      <c r="A45" s="622">
        <v>18</v>
      </c>
      <c r="B45" s="622" t="s">
        <v>435</v>
      </c>
      <c r="C45" s="623" t="s">
        <v>307</v>
      </c>
      <c r="D45" s="585" t="str">
        <f>IFERROR(INDEX('Base de datos gestión'!$D$28:$D$50,MATCH(C45,'Base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5" s="585" t="str">
        <f>IFERROR(INDEX('Base de datos gestión'!$E$28:$E$50,MATCH(C45,'Base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5" s="628" t="s">
        <v>188</v>
      </c>
      <c r="G45" s="629" t="s">
        <v>436</v>
      </c>
      <c r="H45" s="628" t="s">
        <v>437</v>
      </c>
      <c r="I45" s="628" t="s">
        <v>438</v>
      </c>
      <c r="J45" s="630" t="s">
        <v>192</v>
      </c>
      <c r="K45" s="630" t="s">
        <v>439</v>
      </c>
      <c r="L45" s="630">
        <v>2</v>
      </c>
      <c r="M45" s="588" t="str">
        <f t="shared" ref="M45:M48" si="25">IF(L45&lt;=0,"",IF(L45&lt;=2,"Muy Baja",IF(L45&lt;=24,"Baja",IF(L45&lt;=500,"Media",IF(L45&lt;=5000,"Alta","Muy Alta")))))</f>
        <v>Muy Baja</v>
      </c>
      <c r="N45" s="589">
        <f t="shared" si="15"/>
        <v>0.2</v>
      </c>
      <c r="O45" s="590" t="s">
        <v>440</v>
      </c>
      <c r="P45" s="589" t="str">
        <f>IF(NOT(ISERROR(MATCH(O45,'Tabla Impacto'!$B$222:$B$224,0))),'Tabla Impacto'!$F$224&amp;"Por favor no seleccionar los criterios de impacto(Afectación Económica o presupuestal y Pérdida Reputacional)",O45)</f>
        <v xml:space="preserve">     El riesgo afecta la imagen de alguna área de la organización</v>
      </c>
      <c r="Q45" s="591" t="str">
        <f>IF(OR(P45='[8]Tabla Impacto'!$C$12,P45='[8]Tabla Impacto'!$D$12),"Leve",IF(OR(P45='[8]Tabla Impacto'!$C$13,P45='[8]Tabla Impacto'!$D$13),"Menor",IF(OR(P45='[8]Tabla Impacto'!$C$14,P45='[8]Tabla Impacto'!$D$14),"Moderado",IF(OR(P45='[8]Tabla Impacto'!$C$15,P45='[8]Tabla Impacto'!$D$15),"Mayor",IF(OR(P45='[8]Tabla Impacto'!$C$16,P45='[8]Tabla Impacto'!$D$16),"Catastrófico","")))))</f>
        <v>Leve</v>
      </c>
      <c r="R45" s="590">
        <f t="shared" si="0"/>
        <v>0.2</v>
      </c>
      <c r="S45" s="592" t="str">
        <f t="shared" si="1"/>
        <v>Bajo</v>
      </c>
      <c r="T45" s="595">
        <v>2</v>
      </c>
      <c r="U45" s="631" t="s">
        <v>447</v>
      </c>
      <c r="V45" s="595" t="str">
        <f t="shared" si="2"/>
        <v>Probabilidad</v>
      </c>
      <c r="W45" s="596" t="s">
        <v>269</v>
      </c>
      <c r="X45" s="596" t="s">
        <v>198</v>
      </c>
      <c r="Y45" s="597" t="str">
        <f t="shared" si="3"/>
        <v>30%</v>
      </c>
      <c r="Z45" s="596" t="s">
        <v>259</v>
      </c>
      <c r="AA45" s="596" t="s">
        <v>200</v>
      </c>
      <c r="AB45" s="596" t="s">
        <v>201</v>
      </c>
      <c r="AC45" s="598">
        <f>IFERROR(IF(AND(V44="Probabilidad",V45="Probabilidad"),(AE44-(+AE44*Y45)),IF(AND(V44="Impacto",V45="Probabilidad"),(AE43-(+AE43*Y45)),IF(V45="Impacto",AE44,""))),"")</f>
        <v>0.23519999999999996</v>
      </c>
      <c r="AD45" s="599" t="str">
        <f t="shared" si="4"/>
        <v>Baja</v>
      </c>
      <c r="AE45" s="600">
        <f t="shared" si="5"/>
        <v>0.23519999999999996</v>
      </c>
      <c r="AF45" s="599" t="str">
        <f t="shared" si="6"/>
        <v>Moderado</v>
      </c>
      <c r="AG45" s="600">
        <f>IFERROR(IF(AND(V44="Impacto",V45="Impacto"),(AG44-(+AG44*Y45)),IF(AND(V44="Probabilidad",V45="Impacto"),(AG43-(+AG43*Y45)),IF(V45="Probabilidad",AG44,""))),"")</f>
        <v>0.6</v>
      </c>
      <c r="AH45" s="601" t="str">
        <f t="shared" si="7"/>
        <v>Moderado</v>
      </c>
      <c r="AI45" s="602" t="s">
        <v>378</v>
      </c>
      <c r="AJ45" s="603"/>
      <c r="AK45" s="603"/>
      <c r="AL45" s="604"/>
      <c r="AM45" s="605"/>
      <c r="AN45" s="606"/>
      <c r="AO45" s="607"/>
      <c r="AP45" s="608"/>
      <c r="AQ45" s="609"/>
      <c r="AR45" s="618" t="s">
        <v>365</v>
      </c>
      <c r="AS45" s="611"/>
      <c r="AT45" s="612"/>
      <c r="AU45" s="283"/>
      <c r="AV45" s="613"/>
      <c r="AW45" s="614">
        <v>45782</v>
      </c>
      <c r="AX45" s="615" t="s">
        <v>207</v>
      </c>
      <c r="AY45" s="616" t="s">
        <v>366</v>
      </c>
      <c r="BA45" s="617"/>
      <c r="BB45" s="617"/>
      <c r="BC45" s="618" t="s">
        <v>209</v>
      </c>
      <c r="BE45" s="608">
        <v>45861</v>
      </c>
      <c r="BF45" s="609" t="s">
        <v>218</v>
      </c>
      <c r="BG45" s="283" t="s">
        <v>442</v>
      </c>
      <c r="BH45" s="449" t="s">
        <v>205</v>
      </c>
      <c r="BI45" s="449" t="s">
        <v>206</v>
      </c>
      <c r="BJ45" s="286" t="s">
        <v>206</v>
      </c>
      <c r="BL45" s="450">
        <v>45869</v>
      </c>
      <c r="BM45" s="449" t="s">
        <v>285</v>
      </c>
      <c r="BN45" s="658" t="s">
        <v>443</v>
      </c>
      <c r="BP45" s="617"/>
      <c r="BQ45" s="617"/>
      <c r="BR45" s="618" t="s">
        <v>209</v>
      </c>
      <c r="BT45" s="660">
        <v>45986</v>
      </c>
      <c r="BU45" s="661" t="s">
        <v>218</v>
      </c>
      <c r="BV45" s="662" t="s">
        <v>444</v>
      </c>
      <c r="BW45" s="663" t="s">
        <v>212</v>
      </c>
      <c r="BX45" s="664" t="s">
        <v>317</v>
      </c>
      <c r="BY45" s="664" t="s">
        <v>445</v>
      </c>
      <c r="CA45" s="614">
        <v>45986</v>
      </c>
      <c r="CB45" s="286" t="s">
        <v>218</v>
      </c>
      <c r="CC45" s="643" t="s">
        <v>446</v>
      </c>
      <c r="CE45" s="617"/>
      <c r="CF45" s="617"/>
      <c r="CG45" s="618" t="s">
        <v>209</v>
      </c>
      <c r="CH45" s="192"/>
      <c r="CI45" s="558"/>
      <c r="CJ45" s="558"/>
      <c r="CK45" s="559" t="s">
        <v>209</v>
      </c>
      <c r="CL45" s="558"/>
      <c r="CM45" s="558"/>
      <c r="CN45" s="558"/>
      <c r="CO45" s="553"/>
      <c r="CP45" s="558"/>
      <c r="CQ45" s="558"/>
      <c r="CR45" s="559" t="s">
        <v>209</v>
      </c>
      <c r="CS45" s="553"/>
      <c r="CT45" s="558"/>
      <c r="CU45" s="558"/>
      <c r="CV45" s="559" t="s">
        <v>209</v>
      </c>
    </row>
    <row r="46" spans="1:100" ht="151.5" customHeight="1" x14ac:dyDescent="0.3">
      <c r="A46" s="622">
        <v>19</v>
      </c>
      <c r="B46" s="622" t="s">
        <v>448</v>
      </c>
      <c r="C46" s="623" t="s">
        <v>307</v>
      </c>
      <c r="D46" s="585" t="str">
        <f>IFERROR(INDEX('Base de datos gestión'!$D$28:$D$50,MATCH(C46,'Base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6" s="585" t="str">
        <f>IFERROR(INDEX('Base de datos gestión'!$E$28:$E$50,MATCH(C46,'Base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6" s="628" t="s">
        <v>188</v>
      </c>
      <c r="G46" s="629" t="s">
        <v>449</v>
      </c>
      <c r="H46" s="628" t="s">
        <v>450</v>
      </c>
      <c r="I46" s="628" t="s">
        <v>451</v>
      </c>
      <c r="J46" s="630" t="s">
        <v>192</v>
      </c>
      <c r="K46" s="630" t="s">
        <v>193</v>
      </c>
      <c r="L46" s="630">
        <v>6</v>
      </c>
      <c r="M46" s="588" t="str">
        <f t="shared" si="25"/>
        <v>Baja</v>
      </c>
      <c r="N46" s="589">
        <f t="shared" si="15"/>
        <v>0.4</v>
      </c>
      <c r="O46" s="590" t="s">
        <v>452</v>
      </c>
      <c r="P46" s="589" t="str">
        <f>IF(NOT(ISERROR(MATCH(O46,'Tabla Impacto'!$B$222:$B$224,0))),'Tabla Impacto'!$F$224&amp;"Por favor no seleccionar los criterios de impacto(Afectación Económica o presupuestal y Pérdida Reputacional)",O46)</f>
        <v xml:space="preserve">     El riesgo afecta la imagen de la entidad a nivel nacional, con efecto publicitarios sostenible a nivel país</v>
      </c>
      <c r="Q46" s="591" t="str">
        <f>IF(OR(P46='[8]Tabla Impacto'!$C$12,P46='[8]Tabla Impacto'!$D$12),"Leve",IF(OR(P46='[8]Tabla Impacto'!$C$13,P46='[8]Tabla Impacto'!$D$13),"Menor",IF(OR(P46='[8]Tabla Impacto'!$C$14,P46='[8]Tabla Impacto'!$D$14),"Moderado",IF(OR(P46='[8]Tabla Impacto'!$C$15,P46='[8]Tabla Impacto'!$D$15),"Mayor",IF(OR(P46='[8]Tabla Impacto'!$C$16,P46='[8]Tabla Impacto'!$D$16),"Catastrófico","")))))</f>
        <v>Catastrófico</v>
      </c>
      <c r="R46" s="590">
        <f t="shared" si="0"/>
        <v>1</v>
      </c>
      <c r="S46" s="592" t="str">
        <f t="shared" si="1"/>
        <v>Extremo</v>
      </c>
      <c r="T46" s="595">
        <v>1</v>
      </c>
      <c r="U46" s="631" t="s">
        <v>453</v>
      </c>
      <c r="V46" s="595" t="str">
        <f t="shared" si="2"/>
        <v>Probabilidad</v>
      </c>
      <c r="W46" s="596" t="s">
        <v>197</v>
      </c>
      <c r="X46" s="596" t="s">
        <v>454</v>
      </c>
      <c r="Y46" s="597" t="str">
        <f t="shared" si="3"/>
        <v>50%</v>
      </c>
      <c r="Z46" s="596" t="s">
        <v>259</v>
      </c>
      <c r="AA46" s="596" t="s">
        <v>200</v>
      </c>
      <c r="AB46" s="596" t="s">
        <v>201</v>
      </c>
      <c r="AC46" s="598">
        <f>IFERROR(IF(AND(V45="Probabilidad",V46="Probabilidad"),(AE45-(+AE45*Y46)),IF(AND(V45="Impacto",V46="Probabilidad"),(AE44-(+AE44*Y46)),IF(V46="Impacto",AE45,""))),"")</f>
        <v>0.11759999999999998</v>
      </c>
      <c r="AD46" s="599" t="str">
        <f t="shared" si="4"/>
        <v>Muy Baja</v>
      </c>
      <c r="AE46" s="600">
        <f t="shared" si="5"/>
        <v>0.11759999999999998</v>
      </c>
      <c r="AF46" s="599" t="str">
        <f t="shared" si="6"/>
        <v>Moderado</v>
      </c>
      <c r="AG46" s="600">
        <f>IFERROR(IF(AND(V45="Impacto",V46="Impacto"),(AG45-(+AG45*Y46)),IF(AND(V45="Probabilidad",V46="Impacto"),(AG44-(+AG44*Y46)),IF(V46="Probabilidad",AG45,""))),"")</f>
        <v>0.6</v>
      </c>
      <c r="AH46" s="601" t="str">
        <f t="shared" si="7"/>
        <v>Moderado</v>
      </c>
      <c r="AI46" s="602" t="s">
        <v>202</v>
      </c>
      <c r="AJ46" s="603"/>
      <c r="AK46" s="603"/>
      <c r="AL46" s="604"/>
      <c r="AM46" s="605"/>
      <c r="AN46" s="606"/>
      <c r="AO46" s="607"/>
      <c r="AP46" s="608">
        <v>45761</v>
      </c>
      <c r="AQ46" s="609" t="s">
        <v>313</v>
      </c>
      <c r="AR46" s="665" t="s">
        <v>455</v>
      </c>
      <c r="AS46" s="611" t="s">
        <v>205</v>
      </c>
      <c r="AT46" s="612" t="s">
        <v>206</v>
      </c>
      <c r="AU46" s="283" t="s">
        <v>206</v>
      </c>
      <c r="AV46" s="613"/>
      <c r="AW46" s="614">
        <v>45770</v>
      </c>
      <c r="AX46" s="615" t="s">
        <v>207</v>
      </c>
      <c r="AY46" s="635" t="s">
        <v>337</v>
      </c>
      <c r="BA46" s="617"/>
      <c r="BB46" s="617"/>
      <c r="BC46" s="618" t="s">
        <v>209</v>
      </c>
      <c r="BE46" s="608">
        <v>45855</v>
      </c>
      <c r="BF46" s="609" t="s">
        <v>313</v>
      </c>
      <c r="BG46" s="648" t="s">
        <v>456</v>
      </c>
      <c r="BH46" s="616" t="s">
        <v>205</v>
      </c>
      <c r="BI46" s="616" t="s">
        <v>206</v>
      </c>
      <c r="BJ46" s="616" t="s">
        <v>206</v>
      </c>
      <c r="BL46" s="450">
        <v>45855</v>
      </c>
      <c r="BM46" s="449" t="s">
        <v>215</v>
      </c>
      <c r="BN46" s="283" t="s">
        <v>231</v>
      </c>
      <c r="BP46" s="617"/>
      <c r="BQ46" s="617"/>
      <c r="BR46" s="618" t="s">
        <v>209</v>
      </c>
      <c r="BT46" s="608">
        <v>45944</v>
      </c>
      <c r="BU46" s="609" t="s">
        <v>313</v>
      </c>
      <c r="BV46" s="648" t="s">
        <v>457</v>
      </c>
      <c r="BW46" s="286" t="s">
        <v>205</v>
      </c>
      <c r="BX46" s="286" t="s">
        <v>206</v>
      </c>
      <c r="BY46" s="286" t="s">
        <v>206</v>
      </c>
      <c r="CA46" s="659">
        <v>45986</v>
      </c>
      <c r="CB46" s="286" t="s">
        <v>218</v>
      </c>
      <c r="CC46" s="643" t="s">
        <v>233</v>
      </c>
      <c r="CE46" s="617"/>
      <c r="CF46" s="617"/>
      <c r="CG46" s="618" t="s">
        <v>209</v>
      </c>
      <c r="CH46" s="192"/>
      <c r="CI46" s="558"/>
      <c r="CJ46" s="558"/>
      <c r="CK46" s="559" t="s">
        <v>209</v>
      </c>
      <c r="CL46" s="558"/>
      <c r="CM46" s="558"/>
      <c r="CN46" s="558"/>
      <c r="CO46" s="553"/>
      <c r="CP46" s="558"/>
      <c r="CQ46" s="558"/>
      <c r="CR46" s="559" t="s">
        <v>209</v>
      </c>
      <c r="CS46" s="553"/>
      <c r="CT46" s="558"/>
      <c r="CU46" s="558"/>
      <c r="CV46" s="559" t="s">
        <v>209</v>
      </c>
    </row>
    <row r="47" spans="1:100" ht="151.5" customHeight="1" x14ac:dyDescent="0.3">
      <c r="A47" s="622">
        <v>19</v>
      </c>
      <c r="B47" s="622" t="s">
        <v>448</v>
      </c>
      <c r="C47" s="623" t="s">
        <v>307</v>
      </c>
      <c r="D47" s="585" t="str">
        <f>IFERROR(INDEX('Base de datos gestión'!$D$28:$D$50,MATCH(C47,'Base de datos gestión'!$C$28:$C$50,0)), 0)</f>
        <v>Administrar, mantener y hacer seguimiento permanentemente al SIG mediante la recopilación ordenada y sistemática de la información, el establecimiento de lineamientos y la custodia de la documentación, la aplicación de las herramientas del Sistema Integrado de Gestión para contribuir con el logro de los objetivos misionales y el mejoramiento continuo de las actividades del INM.
Se relaciona con los Objetivos Estratégicos:
1. Ampliar y consolidar a nivel nacional e internacional las capacidades metrológicas del INM y de los Institutos Designados (ID), para garantizar la comparabilidad de las mediciones realizadas en Colombia.
2. Fortalecer la capacidad administrativa y de desempeño institucional para garantizar la eficiencia y calidad a los procesos de la entidad</v>
      </c>
      <c r="E47" s="585" t="str">
        <f>IFERROR(INDEX('Base de datos gestión'!$E$28:$E$50,MATCH(C47,'Base de datos gestión'!$C$28:$C$50,0)), 0)</f>
        <v>Aplica para todos los procesos del INM y los requisitos de las normas definidos dentro de la política del Sistema Integrado de Gestión. Inicia con la planificación, termina con la implementacion de acciones y su evaluacion de la eficacia</v>
      </c>
      <c r="F47" s="628" t="s">
        <v>188</v>
      </c>
      <c r="G47" s="629" t="s">
        <v>449</v>
      </c>
      <c r="H47" s="628" t="s">
        <v>450</v>
      </c>
      <c r="I47" s="628" t="s">
        <v>451</v>
      </c>
      <c r="J47" s="630" t="s">
        <v>192</v>
      </c>
      <c r="K47" s="630" t="s">
        <v>193</v>
      </c>
      <c r="L47" s="630">
        <v>6</v>
      </c>
      <c r="M47" s="588" t="str">
        <f t="shared" si="25"/>
        <v>Baja</v>
      </c>
      <c r="N47" s="589">
        <f t="shared" si="15"/>
        <v>0.4</v>
      </c>
      <c r="O47" s="590" t="s">
        <v>452</v>
      </c>
      <c r="P47" s="589" t="str">
        <f>IF(NOT(ISERROR(MATCH(O47,'Tabla Impacto'!$B$222:$B$224,0))),'Tabla Impacto'!$F$224&amp;"Por favor no seleccionar los criterios de impacto(Afectación Económica o presupuestal y Pérdida Reputacional)",O47)</f>
        <v xml:space="preserve">     El riesgo afecta la imagen de la entidad a nivel nacional, con efecto publicitarios sostenible a nivel país</v>
      </c>
      <c r="Q47" s="591" t="str">
        <f>IF(OR(P47='[8]Tabla Impacto'!$C$12,P47='[8]Tabla Impacto'!$D$12),"Leve",IF(OR(P47='[8]Tabla Impacto'!$C$13,P47='[8]Tabla Impacto'!$D$13),"Menor",IF(OR(P47='[8]Tabla Impacto'!$C$14,P47='[8]Tabla Impacto'!$D$14),"Moderado",IF(OR(P47='[8]Tabla Impacto'!$C$15,P47='[8]Tabla Impacto'!$D$15),"Mayor",IF(OR(P47='[8]Tabla Impacto'!$C$16,P47='[8]Tabla Impacto'!$D$16),"Catastrófico","")))))</f>
        <v>Catastrófico</v>
      </c>
      <c r="R47" s="590">
        <f t="shared" si="0"/>
        <v>1</v>
      </c>
      <c r="S47" s="592" t="str">
        <f t="shared" si="1"/>
        <v>Extremo</v>
      </c>
      <c r="T47" s="595">
        <v>2</v>
      </c>
      <c r="U47" s="631" t="s">
        <v>458</v>
      </c>
      <c r="V47" s="595" t="str">
        <f t="shared" si="2"/>
        <v>Probabilidad</v>
      </c>
      <c r="W47" s="596" t="s">
        <v>197</v>
      </c>
      <c r="X47" s="596" t="s">
        <v>198</v>
      </c>
      <c r="Y47" s="597" t="str">
        <f t="shared" si="3"/>
        <v>40%</v>
      </c>
      <c r="Z47" s="596" t="s">
        <v>259</v>
      </c>
      <c r="AA47" s="596" t="s">
        <v>200</v>
      </c>
      <c r="AB47" s="596" t="s">
        <v>201</v>
      </c>
      <c r="AC47" s="598">
        <f>IFERROR(IF(AND(V46="Probabilidad",V47="Probabilidad"),(AE46-(+AE46*Y47)),IF(AND(V46="Impacto",V47="Probabilidad"),(AE45-(+AE45*Y47)),IF(V47="Impacto",AE46,""))),"")</f>
        <v>7.0559999999999984E-2</v>
      </c>
      <c r="AD47" s="599" t="str">
        <f t="shared" si="4"/>
        <v>Muy Baja</v>
      </c>
      <c r="AE47" s="600">
        <f t="shared" si="5"/>
        <v>7.0559999999999984E-2</v>
      </c>
      <c r="AF47" s="599" t="str">
        <f t="shared" si="6"/>
        <v>Moderado</v>
      </c>
      <c r="AG47" s="600">
        <f>IFERROR(IF(AND(V46="Impacto",V47="Impacto"),(AG46-(+AG46*Y47)),IF(AND(V46="Probabilidad",V47="Impacto"),(AG45-(+AG45*Y47)),IF(V47="Probabilidad",AG46,""))),"")</f>
        <v>0.6</v>
      </c>
      <c r="AH47" s="601" t="str">
        <f t="shared" si="7"/>
        <v>Moderado</v>
      </c>
      <c r="AI47" s="602" t="s">
        <v>202</v>
      </c>
      <c r="AJ47" s="603"/>
      <c r="AK47" s="603"/>
      <c r="AL47" s="604"/>
      <c r="AM47" s="605"/>
      <c r="AN47" s="606"/>
      <c r="AO47" s="607"/>
      <c r="AP47" s="608">
        <v>45761</v>
      </c>
      <c r="AQ47" s="609" t="s">
        <v>313</v>
      </c>
      <c r="AR47" s="665" t="s">
        <v>455</v>
      </c>
      <c r="AS47" s="611" t="s">
        <v>205</v>
      </c>
      <c r="AT47" s="612" t="s">
        <v>206</v>
      </c>
      <c r="AU47" s="283" t="s">
        <v>206</v>
      </c>
      <c r="AV47" s="613"/>
      <c r="AW47" s="614">
        <v>45770</v>
      </c>
      <c r="AX47" s="615" t="s">
        <v>207</v>
      </c>
      <c r="AY47" s="635" t="s">
        <v>337</v>
      </c>
      <c r="BA47" s="617"/>
      <c r="BB47" s="617"/>
      <c r="BC47" s="618" t="s">
        <v>209</v>
      </c>
      <c r="BE47" s="608">
        <v>45855</v>
      </c>
      <c r="BF47" s="609" t="s">
        <v>313</v>
      </c>
      <c r="BG47" s="648" t="s">
        <v>459</v>
      </c>
      <c r="BH47" s="616" t="s">
        <v>205</v>
      </c>
      <c r="BI47" s="616" t="s">
        <v>206</v>
      </c>
      <c r="BJ47" s="616" t="s">
        <v>206</v>
      </c>
      <c r="BL47" s="450">
        <v>45855</v>
      </c>
      <c r="BM47" s="449" t="s">
        <v>215</v>
      </c>
      <c r="BN47" s="283" t="s">
        <v>231</v>
      </c>
      <c r="BP47" s="617"/>
      <c r="BQ47" s="617"/>
      <c r="BR47" s="618" t="s">
        <v>209</v>
      </c>
      <c r="BT47" s="608">
        <v>45944</v>
      </c>
      <c r="BU47" s="609" t="s">
        <v>313</v>
      </c>
      <c r="BV47" s="648" t="s">
        <v>460</v>
      </c>
      <c r="BW47" s="286" t="s">
        <v>205</v>
      </c>
      <c r="BX47" s="286" t="s">
        <v>206</v>
      </c>
      <c r="BY47" s="286" t="s">
        <v>206</v>
      </c>
      <c r="CA47" s="659">
        <v>45986</v>
      </c>
      <c r="CB47" s="286" t="s">
        <v>218</v>
      </c>
      <c r="CC47" s="643" t="s">
        <v>233</v>
      </c>
      <c r="CE47" s="617"/>
      <c r="CF47" s="617"/>
      <c r="CG47" s="618" t="s">
        <v>209</v>
      </c>
      <c r="CH47" s="192"/>
      <c r="CI47" s="558"/>
      <c r="CJ47" s="558"/>
      <c r="CK47" s="559" t="s">
        <v>209</v>
      </c>
      <c r="CL47" s="558"/>
      <c r="CM47" s="558"/>
      <c r="CN47" s="558"/>
      <c r="CO47" s="553"/>
      <c r="CP47" s="558"/>
      <c r="CQ47" s="558"/>
      <c r="CR47" s="559" t="s">
        <v>209</v>
      </c>
      <c r="CS47" s="553"/>
      <c r="CT47" s="558"/>
      <c r="CU47" s="558"/>
      <c r="CV47" s="559" t="s">
        <v>209</v>
      </c>
    </row>
    <row r="48" spans="1:100" ht="186.75" customHeight="1" x14ac:dyDescent="0.3">
      <c r="A48" s="632">
        <v>20</v>
      </c>
      <c r="B48" s="632" t="s">
        <v>461</v>
      </c>
      <c r="C48" s="633" t="s">
        <v>462</v>
      </c>
      <c r="D48" s="585" t="str">
        <f>IFERROR(INDEX('Base de datos gestión'!$D$28:$D$50,MATCH(C48,'Base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48" s="585" t="str">
        <f>IFERROR(INDEX('Base de datos gestión'!$E$28:$E$50,MATCH(C48,'Base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48" s="630" t="s">
        <v>276</v>
      </c>
      <c r="G48" s="629" t="s">
        <v>463</v>
      </c>
      <c r="H48" s="630" t="s">
        <v>464</v>
      </c>
      <c r="I48" s="630" t="s">
        <v>465</v>
      </c>
      <c r="J48" s="630" t="s">
        <v>280</v>
      </c>
      <c r="K48" s="630" t="s">
        <v>193</v>
      </c>
      <c r="L48" s="630">
        <v>600</v>
      </c>
      <c r="M48" s="588" t="str">
        <f t="shared" si="25"/>
        <v>Alta</v>
      </c>
      <c r="N48" s="589">
        <f t="shared" si="15"/>
        <v>0.8</v>
      </c>
      <c r="O48" s="590" t="s">
        <v>248</v>
      </c>
      <c r="P48" s="589" t="str">
        <f>IF(NOT(ISERROR(MATCH(O48,'Tabla Impacto'!$B$222:$B$224,0))),'Tabla Impacto'!$F$224&amp;"Por favor no seleccionar los criterios de impacto(Afectación Económica o presupuestal y Pérdida Reputacional)",O48)</f>
        <v xml:space="preserve">     El riesgo afecta la imagen de la entidad con algunos usuarios de relevancia frente al logro de los objetivos</v>
      </c>
      <c r="Q48" s="591" t="str">
        <f>IF(OR(P48='[8]Tabla Impacto'!$C$12,P48='[8]Tabla Impacto'!$D$12),"Leve",IF(OR(P48='[8]Tabla Impacto'!$C$13,P48='[8]Tabla Impacto'!$D$13),"Menor",IF(OR(P48='[8]Tabla Impacto'!$C$14,P48='[8]Tabla Impacto'!$D$14),"Moderado",IF(OR(P48='[8]Tabla Impacto'!$C$15,P48='[8]Tabla Impacto'!$D$15),"Mayor",IF(OR(P48='[8]Tabla Impacto'!$C$16,P48='[8]Tabla Impacto'!$D$16),"Catastrófico","")))))</f>
        <v>Moderado</v>
      </c>
      <c r="R48" s="590">
        <f t="shared" si="0"/>
        <v>0.6</v>
      </c>
      <c r="S48" s="592" t="str">
        <f t="shared" si="1"/>
        <v>Alto</v>
      </c>
      <c r="T48" s="595">
        <v>1</v>
      </c>
      <c r="U48" s="631" t="s">
        <v>466</v>
      </c>
      <c r="V48" s="595" t="str">
        <f t="shared" si="2"/>
        <v>Probabilidad</v>
      </c>
      <c r="W48" s="596" t="s">
        <v>197</v>
      </c>
      <c r="X48" s="596" t="s">
        <v>198</v>
      </c>
      <c r="Y48" s="597" t="str">
        <f t="shared" si="3"/>
        <v>40%</v>
      </c>
      <c r="Z48" s="596" t="s">
        <v>259</v>
      </c>
      <c r="AA48" s="596" t="s">
        <v>200</v>
      </c>
      <c r="AB48" s="596" t="s">
        <v>201</v>
      </c>
      <c r="AC48" s="598">
        <f>IFERROR(IF(AND(V47="Probabilidad",V48="Probabilidad"),(AE47-(+AE47*Y48)),IF(AND(V47="Impacto",V48="Probabilidad"),(AE46-(+AE46*Y48)),IF(V48="Impacto",AE47,""))),"")</f>
        <v>4.2335999999999985E-2</v>
      </c>
      <c r="AD48" s="599" t="str">
        <f t="shared" si="4"/>
        <v>Muy Baja</v>
      </c>
      <c r="AE48" s="600">
        <f t="shared" si="5"/>
        <v>4.2335999999999985E-2</v>
      </c>
      <c r="AF48" s="599" t="str">
        <f t="shared" si="6"/>
        <v>Moderado</v>
      </c>
      <c r="AG48" s="600">
        <f>IFERROR(IF(AND(V47="Impacto",V48="Impacto"),(AG47-(+AG47*Y48)),IF(AND(V47="Probabilidad",V48="Impacto"),(AG46-(+AG46*Y48)),IF(V48="Probabilidad",AG47,""))),"")</f>
        <v>0.6</v>
      </c>
      <c r="AH48" s="601" t="str">
        <f t="shared" si="7"/>
        <v>Moderado</v>
      </c>
      <c r="AI48" s="602" t="s">
        <v>202</v>
      </c>
      <c r="AJ48" s="603"/>
      <c r="AK48" s="603"/>
      <c r="AL48" s="604"/>
      <c r="AM48" s="605"/>
      <c r="AN48" s="606"/>
      <c r="AO48" s="607"/>
      <c r="AP48" s="608">
        <v>45770</v>
      </c>
      <c r="AQ48" s="609" t="s">
        <v>467</v>
      </c>
      <c r="AR48" s="643" t="s">
        <v>468</v>
      </c>
      <c r="AS48" s="611" t="s">
        <v>205</v>
      </c>
      <c r="AT48" s="612" t="s">
        <v>206</v>
      </c>
      <c r="AU48" s="283" t="s">
        <v>206</v>
      </c>
      <c r="AV48" s="613"/>
      <c r="AW48" s="614">
        <v>45770</v>
      </c>
      <c r="AX48" s="615" t="s">
        <v>207</v>
      </c>
      <c r="AY48" s="635" t="s">
        <v>469</v>
      </c>
      <c r="BA48" s="617"/>
      <c r="BB48" s="617"/>
      <c r="BC48" s="618" t="s">
        <v>209</v>
      </c>
      <c r="BE48" s="627">
        <v>45854</v>
      </c>
      <c r="BF48" s="286" t="s">
        <v>470</v>
      </c>
      <c r="BG48" s="666" t="s">
        <v>471</v>
      </c>
      <c r="BH48" s="449" t="s">
        <v>205</v>
      </c>
      <c r="BI48" s="449" t="s">
        <v>206</v>
      </c>
      <c r="BJ48" s="449" t="s">
        <v>472</v>
      </c>
      <c r="BL48" s="667" t="s">
        <v>473</v>
      </c>
      <c r="BM48" s="449" t="s">
        <v>215</v>
      </c>
      <c r="BN48" s="283" t="s">
        <v>474</v>
      </c>
      <c r="BP48" s="617"/>
      <c r="BQ48" s="617"/>
      <c r="BR48" s="618" t="s">
        <v>209</v>
      </c>
      <c r="BT48" s="668">
        <v>45939</v>
      </c>
      <c r="BU48" s="651" t="s">
        <v>470</v>
      </c>
      <c r="BV48" s="666" t="s">
        <v>475</v>
      </c>
      <c r="BW48" s="617" t="s">
        <v>205</v>
      </c>
      <c r="BX48" s="617" t="s">
        <v>206</v>
      </c>
      <c r="BY48" s="617" t="s">
        <v>206</v>
      </c>
      <c r="CA48" s="669">
        <v>45986</v>
      </c>
      <c r="CB48" s="620" t="s">
        <v>218</v>
      </c>
      <c r="CC48" s="643" t="s">
        <v>233</v>
      </c>
      <c r="CE48" s="617"/>
      <c r="CF48" s="617"/>
      <c r="CG48" s="618" t="s">
        <v>209</v>
      </c>
      <c r="CH48" s="192"/>
      <c r="CI48" s="558"/>
      <c r="CJ48" s="558"/>
      <c r="CK48" s="559" t="s">
        <v>209</v>
      </c>
      <c r="CL48" s="558"/>
      <c r="CM48" s="558"/>
      <c r="CN48" s="558"/>
      <c r="CO48" s="553"/>
      <c r="CP48" s="558"/>
      <c r="CQ48" s="558"/>
      <c r="CR48" s="559" t="s">
        <v>209</v>
      </c>
      <c r="CS48" s="553"/>
      <c r="CT48" s="558"/>
      <c r="CU48" s="558"/>
      <c r="CV48" s="559" t="s">
        <v>209</v>
      </c>
    </row>
    <row r="49" spans="1:100" ht="151.5" customHeight="1" x14ac:dyDescent="0.3">
      <c r="A49" s="584">
        <v>21</v>
      </c>
      <c r="B49" s="584" t="s">
        <v>476</v>
      </c>
      <c r="C49" s="585" t="s">
        <v>462</v>
      </c>
      <c r="D49" s="585" t="str">
        <f>IFERROR(INDEX('Base de datos gestión'!$D$28:$D$50,MATCH(C49,'Base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49" s="585" t="str">
        <f>IFERROR(INDEX('Base de datos gestión'!$E$28:$E$50,MATCH(C49,'Base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49" s="630" t="s">
        <v>188</v>
      </c>
      <c r="G49" s="629" t="s">
        <v>477</v>
      </c>
      <c r="H49" s="630" t="s">
        <v>478</v>
      </c>
      <c r="I49" s="630" t="s">
        <v>479</v>
      </c>
      <c r="J49" s="630" t="s">
        <v>280</v>
      </c>
      <c r="K49" s="630" t="s">
        <v>398</v>
      </c>
      <c r="L49" s="630">
        <v>600</v>
      </c>
      <c r="M49" s="588" t="str">
        <f>IF(L49&lt;=0,"",IF(L49&lt;=2,"Muy Baja",IF(L49&lt;=24,"Baja",IF(L49&lt;=500,"Media",IF(L49&lt;=5000,"Alta","Muy Alta")))))</f>
        <v>Alta</v>
      </c>
      <c r="N49" s="589">
        <f t="shared" si="15"/>
        <v>0.8</v>
      </c>
      <c r="O49" s="590" t="s">
        <v>248</v>
      </c>
      <c r="P49" s="589" t="str">
        <f>IF(NOT(ISERROR(MATCH(O49,'Tabla Impacto'!$B$222:$B$224,0))),'Tabla Impacto'!$F$224&amp;"Por favor no seleccionar los criterios de impacto(Afectación Económica o presupuestal y Pérdida Reputacional)",O49)</f>
        <v xml:space="preserve">     El riesgo afecta la imagen de la entidad con algunos usuarios de relevancia frente al logro de los objetivos</v>
      </c>
      <c r="Q49" s="591" t="str">
        <f>IF(OR(P49='[8]Tabla Impacto'!$C$12,P49='[8]Tabla Impacto'!$D$12),"Leve",IF(OR(P49='[8]Tabla Impacto'!$C$13,P49='[8]Tabla Impacto'!$D$13),"Menor",IF(OR(P49='[8]Tabla Impacto'!$C$14,P49='[8]Tabla Impacto'!$D$14),"Moderado",IF(OR(P49='[8]Tabla Impacto'!$C$15,P49='[8]Tabla Impacto'!$D$15),"Mayor",IF(OR(P49='[8]Tabla Impacto'!$C$16,P49='[8]Tabla Impacto'!$D$16),"Catastrófico","")))))</f>
        <v>Moderado</v>
      </c>
      <c r="R49" s="590">
        <f t="shared" si="0"/>
        <v>0.6</v>
      </c>
      <c r="S49" s="592" t="str">
        <f t="shared" si="1"/>
        <v>Alto</v>
      </c>
      <c r="T49" s="595">
        <v>1</v>
      </c>
      <c r="U49" s="631" t="s">
        <v>480</v>
      </c>
      <c r="V49" s="595" t="str">
        <f t="shared" si="2"/>
        <v>Probabilidad</v>
      </c>
      <c r="W49" s="596" t="s">
        <v>197</v>
      </c>
      <c r="X49" s="596" t="s">
        <v>198</v>
      </c>
      <c r="Y49" s="597" t="str">
        <f t="shared" si="3"/>
        <v>40%</v>
      </c>
      <c r="Z49" s="596" t="s">
        <v>259</v>
      </c>
      <c r="AA49" s="596" t="s">
        <v>200</v>
      </c>
      <c r="AB49" s="596" t="s">
        <v>201</v>
      </c>
      <c r="AC49" s="598">
        <f>IFERROR(IF(V49="Probabilidad",(N49-(+N49*Y49)),IF(V49="Impacto",N49,"")),"")</f>
        <v>0.48</v>
      </c>
      <c r="AD49" s="599" t="str">
        <f t="shared" si="4"/>
        <v>Media</v>
      </c>
      <c r="AE49" s="600">
        <f t="shared" si="5"/>
        <v>0.48</v>
      </c>
      <c r="AF49" s="599" t="str">
        <f t="shared" si="6"/>
        <v>Moderado</v>
      </c>
      <c r="AG49" s="600">
        <f>IFERROR(IF(V49="Impacto",(R49-(+R49*Y49)),IF(V49="Probabilidad",R49,"")),"")</f>
        <v>0.6</v>
      </c>
      <c r="AH49" s="601" t="str">
        <f t="shared" si="7"/>
        <v>Moderado</v>
      </c>
      <c r="AI49" s="602" t="s">
        <v>202</v>
      </c>
      <c r="AJ49" s="603"/>
      <c r="AK49" s="603"/>
      <c r="AL49" s="604"/>
      <c r="AM49" s="605"/>
      <c r="AN49" s="606"/>
      <c r="AO49" s="607"/>
      <c r="AP49" s="608">
        <v>45770</v>
      </c>
      <c r="AQ49" s="609" t="s">
        <v>467</v>
      </c>
      <c r="AR49" s="643" t="s">
        <v>468</v>
      </c>
      <c r="AS49" s="611" t="s">
        <v>205</v>
      </c>
      <c r="AT49" s="612" t="s">
        <v>206</v>
      </c>
      <c r="AU49" s="283" t="s">
        <v>206</v>
      </c>
      <c r="AV49" s="613"/>
      <c r="AW49" s="614">
        <v>45770</v>
      </c>
      <c r="AX49" s="615" t="s">
        <v>207</v>
      </c>
      <c r="AY49" s="635" t="s">
        <v>469</v>
      </c>
      <c r="BA49" s="617"/>
      <c r="BB49" s="617"/>
      <c r="BC49" s="618" t="s">
        <v>209</v>
      </c>
      <c r="BE49" s="627">
        <v>45854</v>
      </c>
      <c r="BF49" s="286" t="s">
        <v>470</v>
      </c>
      <c r="BG49" s="643" t="s">
        <v>481</v>
      </c>
      <c r="BH49" s="449" t="s">
        <v>205</v>
      </c>
      <c r="BI49" s="449" t="s">
        <v>206</v>
      </c>
      <c r="BJ49" s="449" t="s">
        <v>472</v>
      </c>
      <c r="BL49" s="450">
        <v>45855</v>
      </c>
      <c r="BM49" s="449" t="s">
        <v>215</v>
      </c>
      <c r="BN49" s="283" t="s">
        <v>231</v>
      </c>
      <c r="BP49" s="617"/>
      <c r="BQ49" s="617"/>
      <c r="BR49" s="618" t="s">
        <v>209</v>
      </c>
      <c r="BT49" s="668">
        <v>45939</v>
      </c>
      <c r="BU49" s="651" t="s">
        <v>470</v>
      </c>
      <c r="BV49" s="643" t="s">
        <v>482</v>
      </c>
      <c r="BW49" s="617" t="s">
        <v>205</v>
      </c>
      <c r="BX49" s="617" t="s">
        <v>206</v>
      </c>
      <c r="BY49" s="617" t="s">
        <v>206</v>
      </c>
      <c r="CA49" s="669">
        <v>45986</v>
      </c>
      <c r="CB49" s="620" t="s">
        <v>218</v>
      </c>
      <c r="CC49" s="643" t="s">
        <v>233</v>
      </c>
      <c r="CE49" s="617"/>
      <c r="CF49" s="617"/>
      <c r="CG49" s="618" t="s">
        <v>209</v>
      </c>
      <c r="CH49" s="192"/>
      <c r="CI49" s="558"/>
      <c r="CJ49" s="558"/>
      <c r="CK49" s="559" t="s">
        <v>209</v>
      </c>
      <c r="CL49" s="558"/>
      <c r="CM49" s="558"/>
      <c r="CN49" s="558"/>
      <c r="CO49" s="553"/>
      <c r="CP49" s="558"/>
      <c r="CQ49" s="558"/>
      <c r="CR49" s="559" t="s">
        <v>209</v>
      </c>
      <c r="CS49" s="553"/>
      <c r="CT49" s="558"/>
      <c r="CU49" s="558"/>
      <c r="CV49" s="559" t="s">
        <v>209</v>
      </c>
    </row>
    <row r="50" spans="1:100" ht="151.5" customHeight="1" x14ac:dyDescent="0.3">
      <c r="A50" s="622">
        <v>22</v>
      </c>
      <c r="B50" s="622" t="s">
        <v>483</v>
      </c>
      <c r="C50" s="623" t="s">
        <v>462</v>
      </c>
      <c r="D50" s="585" t="str">
        <f>IFERROR(INDEX('Base de datos gestión'!$D$28:$D$50,MATCH(C50,'Base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50" s="585" t="str">
        <f>IFERROR(INDEX('Base de datos gestión'!$E$28:$E$50,MATCH(C50,'Base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50" s="630" t="s">
        <v>188</v>
      </c>
      <c r="G50" s="629" t="s">
        <v>484</v>
      </c>
      <c r="H50" s="630" t="s">
        <v>485</v>
      </c>
      <c r="I50" s="630" t="s">
        <v>486</v>
      </c>
      <c r="J50" s="630" t="s">
        <v>280</v>
      </c>
      <c r="K50" s="630" t="s">
        <v>193</v>
      </c>
      <c r="L50" s="630">
        <v>600</v>
      </c>
      <c r="M50" s="588" t="str">
        <f>IF(L50&lt;=0,"",IF(L50&lt;=2,"Muy Baja",IF(L50&lt;=24,"Baja",IF(L50&lt;=500,"Media",IF(L50&lt;=5000,"Alta","Muy Alta")))))</f>
        <v>Alta</v>
      </c>
      <c r="N50" s="589">
        <f t="shared" si="15"/>
        <v>0.8</v>
      </c>
      <c r="O50" s="590" t="s">
        <v>248</v>
      </c>
      <c r="P50" s="589" t="str">
        <f>IF(NOT(ISERROR(MATCH(O50,'Tabla Impacto'!$B$222:$B$224,0))),'Tabla Impacto'!$F$224&amp;"Por favor no seleccionar los criterios de impacto(Afectación Económica o presupuestal y Pérdida Reputacional)",O50)</f>
        <v xml:space="preserve">     El riesgo afecta la imagen de la entidad con algunos usuarios de relevancia frente al logro de los objetivos</v>
      </c>
      <c r="Q50" s="591" t="str">
        <f>IF(OR(P50='[8]Tabla Impacto'!$C$12,P50='[8]Tabla Impacto'!$D$12),"Leve",IF(OR(P50='[8]Tabla Impacto'!$C$13,P50='[8]Tabla Impacto'!$D$13),"Menor",IF(OR(P50='[8]Tabla Impacto'!$C$14,P50='[8]Tabla Impacto'!$D$14),"Moderado",IF(OR(P50='[8]Tabla Impacto'!$C$15,P50='[8]Tabla Impacto'!$D$15),"Mayor",IF(OR(P50='[8]Tabla Impacto'!$C$16,P50='[8]Tabla Impacto'!$D$16),"Catastrófico","")))))</f>
        <v>Moderado</v>
      </c>
      <c r="R50" s="590">
        <f t="shared" si="0"/>
        <v>0.6</v>
      </c>
      <c r="S50" s="592" t="str">
        <f t="shared" si="1"/>
        <v>Alto</v>
      </c>
      <c r="T50" s="595">
        <v>1</v>
      </c>
      <c r="U50" s="631" t="s">
        <v>487</v>
      </c>
      <c r="V50" s="595" t="str">
        <f t="shared" si="2"/>
        <v>Probabilidad</v>
      </c>
      <c r="W50" s="596" t="s">
        <v>197</v>
      </c>
      <c r="X50" s="596" t="s">
        <v>198</v>
      </c>
      <c r="Y50" s="597" t="str">
        <f t="shared" si="3"/>
        <v>40%</v>
      </c>
      <c r="Z50" s="596" t="s">
        <v>259</v>
      </c>
      <c r="AA50" s="596" t="s">
        <v>200</v>
      </c>
      <c r="AB50" s="596" t="s">
        <v>201</v>
      </c>
      <c r="AC50" s="598">
        <f>IFERROR(IF(AND(V49="Probabilidad",V50="Probabilidad"),(AE49-(+AE49*Y50)),IF(V50="Probabilidad",(N49-(+N49*Y50)),IF(V50="Impacto",AE49,""))),"")</f>
        <v>0.28799999999999998</v>
      </c>
      <c r="AD50" s="599" t="str">
        <f t="shared" si="4"/>
        <v>Baja</v>
      </c>
      <c r="AE50" s="600">
        <f t="shared" si="5"/>
        <v>0.28799999999999998</v>
      </c>
      <c r="AF50" s="599" t="str">
        <f t="shared" si="6"/>
        <v>Moderado</v>
      </c>
      <c r="AG50" s="600">
        <f>IFERROR(IF(AND(V49="Impacto",V50="Impacto"),(AG43-(+AG43*Y50)),IF(V50="Impacto",($R$49-(+$R$49*Y50)),IF(V50="Probabilidad",AG43,""))),"")</f>
        <v>0.6</v>
      </c>
      <c r="AH50" s="601" t="str">
        <f t="shared" si="7"/>
        <v>Moderado</v>
      </c>
      <c r="AI50" s="602" t="s">
        <v>202</v>
      </c>
      <c r="AJ50" s="603"/>
      <c r="AK50" s="603"/>
      <c r="AL50" s="604"/>
      <c r="AM50" s="605"/>
      <c r="AN50" s="606"/>
      <c r="AO50" s="607"/>
      <c r="AP50" s="608">
        <v>45770</v>
      </c>
      <c r="AQ50" s="609" t="s">
        <v>467</v>
      </c>
      <c r="AR50" s="284" t="s">
        <v>488</v>
      </c>
      <c r="AS50" s="611" t="s">
        <v>205</v>
      </c>
      <c r="AT50" s="612" t="s">
        <v>206</v>
      </c>
      <c r="AU50" s="612" t="s">
        <v>206</v>
      </c>
      <c r="AV50" s="613"/>
      <c r="AW50" s="614">
        <v>45770</v>
      </c>
      <c r="AX50" s="615" t="s">
        <v>207</v>
      </c>
      <c r="AY50" s="635" t="s">
        <v>489</v>
      </c>
      <c r="BA50" s="617"/>
      <c r="BB50" s="617"/>
      <c r="BC50" s="618" t="s">
        <v>209</v>
      </c>
      <c r="BE50" s="627">
        <v>45854</v>
      </c>
      <c r="BF50" s="609" t="s">
        <v>467</v>
      </c>
      <c r="BG50" s="284" t="s">
        <v>490</v>
      </c>
      <c r="BH50" s="449" t="s">
        <v>205</v>
      </c>
      <c r="BI50" s="617" t="s">
        <v>206</v>
      </c>
      <c r="BJ50" s="617" t="s">
        <v>472</v>
      </c>
      <c r="BL50" s="450">
        <v>45855</v>
      </c>
      <c r="BM50" s="449" t="s">
        <v>215</v>
      </c>
      <c r="BN50" s="283" t="s">
        <v>231</v>
      </c>
      <c r="BP50" s="617"/>
      <c r="BQ50" s="617"/>
      <c r="BR50" s="618" t="s">
        <v>209</v>
      </c>
      <c r="BT50" s="668">
        <v>45939</v>
      </c>
      <c r="BU50" s="651" t="s">
        <v>470</v>
      </c>
      <c r="BV50" s="284" t="s">
        <v>491</v>
      </c>
      <c r="BW50" s="617" t="s">
        <v>205</v>
      </c>
      <c r="BX50" s="617" t="s">
        <v>206</v>
      </c>
      <c r="BY50" s="617" t="s">
        <v>206</v>
      </c>
      <c r="CA50" s="669">
        <v>45986</v>
      </c>
      <c r="CB50" s="620" t="s">
        <v>218</v>
      </c>
      <c r="CC50" s="643" t="s">
        <v>233</v>
      </c>
      <c r="CE50" s="617"/>
      <c r="CF50" s="617"/>
      <c r="CG50" s="618" t="s">
        <v>209</v>
      </c>
      <c r="CH50" s="192"/>
      <c r="CI50" s="558"/>
      <c r="CJ50" s="558"/>
      <c r="CK50" s="559" t="s">
        <v>209</v>
      </c>
      <c r="CL50" s="558"/>
      <c r="CM50" s="558"/>
      <c r="CN50" s="558"/>
      <c r="CO50" s="553"/>
      <c r="CP50" s="558"/>
      <c r="CQ50" s="558"/>
      <c r="CR50" s="559" t="s">
        <v>209</v>
      </c>
      <c r="CS50" s="553"/>
      <c r="CT50" s="558"/>
      <c r="CU50" s="558"/>
      <c r="CV50" s="559" t="s">
        <v>209</v>
      </c>
    </row>
    <row r="51" spans="1:100" ht="151.5" customHeight="1" x14ac:dyDescent="0.3">
      <c r="A51" s="622">
        <v>23</v>
      </c>
      <c r="B51" s="622" t="s">
        <v>492</v>
      </c>
      <c r="C51" s="623" t="s">
        <v>462</v>
      </c>
      <c r="D51" s="585" t="str">
        <f>IFERROR(INDEX('Base de datos gestión'!$D$28:$D$50,MATCH(C51,'Base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51" s="585" t="str">
        <f>IFERROR(INDEX('Base de datos gestión'!$E$28:$E$50,MATCH(C51,'Base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51" s="630" t="s">
        <v>188</v>
      </c>
      <c r="G51" s="629" t="s">
        <v>493</v>
      </c>
      <c r="H51" s="630" t="s">
        <v>494</v>
      </c>
      <c r="I51" s="630" t="s">
        <v>495</v>
      </c>
      <c r="J51" s="630" t="s">
        <v>280</v>
      </c>
      <c r="K51" s="630" t="s">
        <v>496</v>
      </c>
      <c r="L51" s="630">
        <v>600</v>
      </c>
      <c r="M51" s="588" t="str">
        <f t="shared" ref="M51:M54" si="26">IF(L51&lt;=0,"",IF(L51&lt;=2,"Muy Baja",IF(L51&lt;=24,"Baja",IF(L51&lt;=500,"Media",IF(L51&lt;=5000,"Alta","Muy Alta")))))</f>
        <v>Alta</v>
      </c>
      <c r="N51" s="589">
        <f t="shared" si="15"/>
        <v>0.8</v>
      </c>
      <c r="O51" s="590" t="s">
        <v>248</v>
      </c>
      <c r="P51" s="589" t="str">
        <f>IF(NOT(ISERROR(MATCH(O51,'Tabla Impacto'!$B$222:$B$224,0))),'Tabla Impacto'!$F$224&amp;"Por favor no seleccionar los criterios de impacto(Afectación Económica o presupuestal y Pérdida Reputacional)",O51)</f>
        <v xml:space="preserve">     El riesgo afecta la imagen de la entidad con algunos usuarios de relevancia frente al logro de los objetivos</v>
      </c>
      <c r="Q51" s="591" t="str">
        <f>IF(OR(P51='[8]Tabla Impacto'!$C$12,P51='[8]Tabla Impacto'!$D$12),"Leve",IF(OR(P51='[8]Tabla Impacto'!$C$13,P51='[8]Tabla Impacto'!$D$13),"Menor",IF(OR(P51='[8]Tabla Impacto'!$C$14,P51='[8]Tabla Impacto'!$D$14),"Moderado",IF(OR(P51='[8]Tabla Impacto'!$C$15,P51='[8]Tabla Impacto'!$D$15),"Mayor",IF(OR(P51='[8]Tabla Impacto'!$C$16,P51='[8]Tabla Impacto'!$D$16),"Catastrófico","")))))</f>
        <v>Moderado</v>
      </c>
      <c r="R51" s="590">
        <f t="shared" si="0"/>
        <v>0.6</v>
      </c>
      <c r="S51" s="592" t="str">
        <f t="shared" si="1"/>
        <v>Alto</v>
      </c>
      <c r="T51" s="595">
        <v>1</v>
      </c>
      <c r="U51" s="631" t="s">
        <v>497</v>
      </c>
      <c r="V51" s="595" t="str">
        <f t="shared" si="2"/>
        <v>Probabilidad</v>
      </c>
      <c r="W51" s="596" t="s">
        <v>197</v>
      </c>
      <c r="X51" s="596" t="s">
        <v>198</v>
      </c>
      <c r="Y51" s="597" t="str">
        <f t="shared" si="3"/>
        <v>40%</v>
      </c>
      <c r="Z51" s="596" t="s">
        <v>199</v>
      </c>
      <c r="AA51" s="596" t="s">
        <v>225</v>
      </c>
      <c r="AB51" s="596" t="s">
        <v>250</v>
      </c>
      <c r="AC51" s="598">
        <f>IFERROR(IF(AND(V50="Probabilidad",V51="Probabilidad"),(AE50-(+AE50*Y51)),IF(AND(V50="Impacto",V51="Probabilidad"),(AE49-(+AE49*Y51)),IF(V51="Impacto",AE50,""))),"")</f>
        <v>0.17279999999999998</v>
      </c>
      <c r="AD51" s="599" t="str">
        <f t="shared" si="4"/>
        <v>Muy Baja</v>
      </c>
      <c r="AE51" s="600">
        <f t="shared" si="5"/>
        <v>0.17279999999999998</v>
      </c>
      <c r="AF51" s="599" t="str">
        <f t="shared" si="6"/>
        <v>Moderado</v>
      </c>
      <c r="AG51" s="600">
        <f>IFERROR(IF(AND(V50="Impacto",V51="Impacto"),(AG50-(+AG50*Y51)),IF(AND(V50="Probabilidad",V51="Impacto"),(AG49-(+AG49*Y51)),IF(V51="Probabilidad",AG50,""))),"")</f>
        <v>0.6</v>
      </c>
      <c r="AH51" s="601" t="str">
        <f t="shared" si="7"/>
        <v>Moderado</v>
      </c>
      <c r="AI51" s="602" t="s">
        <v>202</v>
      </c>
      <c r="AJ51" s="603"/>
      <c r="AK51" s="603"/>
      <c r="AL51" s="604"/>
      <c r="AM51" s="605"/>
      <c r="AN51" s="606"/>
      <c r="AO51" s="607"/>
      <c r="AP51" s="608">
        <v>45770</v>
      </c>
      <c r="AQ51" s="609" t="s">
        <v>467</v>
      </c>
      <c r="AR51" s="283" t="s">
        <v>498</v>
      </c>
      <c r="AS51" s="611" t="s">
        <v>205</v>
      </c>
      <c r="AT51" s="612" t="s">
        <v>206</v>
      </c>
      <c r="AU51" s="612" t="s">
        <v>206</v>
      </c>
      <c r="AV51" s="613"/>
      <c r="AW51" s="614">
        <v>45770</v>
      </c>
      <c r="AX51" s="615" t="s">
        <v>207</v>
      </c>
      <c r="AY51" s="635" t="s">
        <v>499</v>
      </c>
      <c r="BA51" s="617"/>
      <c r="BB51" s="617"/>
      <c r="BC51" s="618" t="s">
        <v>209</v>
      </c>
      <c r="BE51" s="627">
        <v>45854</v>
      </c>
      <c r="BF51" s="609" t="s">
        <v>467</v>
      </c>
      <c r="BG51" s="283" t="s">
        <v>500</v>
      </c>
      <c r="BH51" s="449" t="s">
        <v>205</v>
      </c>
      <c r="BI51" s="617" t="s">
        <v>206</v>
      </c>
      <c r="BJ51" s="617" t="s">
        <v>472</v>
      </c>
      <c r="BL51" s="450">
        <v>45855</v>
      </c>
      <c r="BM51" s="449" t="s">
        <v>215</v>
      </c>
      <c r="BN51" s="283" t="s">
        <v>231</v>
      </c>
      <c r="BP51" s="617"/>
      <c r="BQ51" s="617"/>
      <c r="BR51" s="618" t="s">
        <v>209</v>
      </c>
      <c r="BT51" s="668">
        <v>45939</v>
      </c>
      <c r="BU51" s="651" t="s">
        <v>470</v>
      </c>
      <c r="BV51" s="283" t="s">
        <v>501</v>
      </c>
      <c r="BW51" s="617" t="s">
        <v>205</v>
      </c>
      <c r="BX51" s="617" t="s">
        <v>206</v>
      </c>
      <c r="BY51" s="617" t="s">
        <v>206</v>
      </c>
      <c r="CA51" s="669">
        <v>45986</v>
      </c>
      <c r="CB51" s="620" t="s">
        <v>218</v>
      </c>
      <c r="CC51" s="643" t="s">
        <v>233</v>
      </c>
      <c r="CE51" s="617"/>
      <c r="CF51" s="617"/>
      <c r="CG51" s="618" t="s">
        <v>209</v>
      </c>
      <c r="CH51" s="192"/>
      <c r="CI51" s="558"/>
      <c r="CJ51" s="558"/>
      <c r="CK51" s="559" t="s">
        <v>209</v>
      </c>
      <c r="CL51" s="558"/>
      <c r="CM51" s="558"/>
      <c r="CN51" s="558"/>
      <c r="CO51" s="553"/>
      <c r="CP51" s="558"/>
      <c r="CQ51" s="558"/>
      <c r="CR51" s="559" t="s">
        <v>209</v>
      </c>
      <c r="CS51" s="553"/>
      <c r="CT51" s="558"/>
      <c r="CU51" s="558"/>
      <c r="CV51" s="559" t="s">
        <v>209</v>
      </c>
    </row>
    <row r="52" spans="1:100" ht="151.5" customHeight="1" x14ac:dyDescent="0.3">
      <c r="A52" s="622">
        <v>24</v>
      </c>
      <c r="B52" s="622" t="s">
        <v>502</v>
      </c>
      <c r="C52" s="623" t="s">
        <v>462</v>
      </c>
      <c r="D52" s="585" t="str">
        <f>IFERROR(INDEX('Base de datos gestión'!$D$28:$D$50,MATCH(C52,'Base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52" s="585" t="str">
        <f>IFERROR(INDEX('Base de datos gestión'!$E$28:$E$50,MATCH(C52,'Base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52" s="630" t="s">
        <v>188</v>
      </c>
      <c r="G52" s="629" t="s">
        <v>503</v>
      </c>
      <c r="H52" s="630" t="s">
        <v>504</v>
      </c>
      <c r="I52" s="630" t="s">
        <v>505</v>
      </c>
      <c r="J52" s="630" t="s">
        <v>280</v>
      </c>
      <c r="K52" s="630" t="s">
        <v>193</v>
      </c>
      <c r="L52" s="630">
        <v>600</v>
      </c>
      <c r="M52" s="588" t="str">
        <f t="shared" si="26"/>
        <v>Alta</v>
      </c>
      <c r="N52" s="589">
        <f t="shared" si="15"/>
        <v>0.8</v>
      </c>
      <c r="O52" s="590" t="s">
        <v>248</v>
      </c>
      <c r="P52" s="589" t="str">
        <f>IF(NOT(ISERROR(MATCH(O52,'Tabla Impacto'!$B$222:$B$224,0))),'Tabla Impacto'!$F$224&amp;"Por favor no seleccionar los criterios de impacto(Afectación Económica o presupuestal y Pérdida Reputacional)",O52)</f>
        <v xml:space="preserve">     El riesgo afecta la imagen de la entidad con algunos usuarios de relevancia frente al logro de los objetivos</v>
      </c>
      <c r="Q52" s="591" t="str">
        <f>IF(OR(P52='[8]Tabla Impacto'!$C$12,P52='[8]Tabla Impacto'!$D$12),"Leve",IF(OR(P52='[8]Tabla Impacto'!$C$13,P52='[8]Tabla Impacto'!$D$13),"Menor",IF(OR(P52='[8]Tabla Impacto'!$C$14,P52='[8]Tabla Impacto'!$D$14),"Moderado",IF(OR(P52='[8]Tabla Impacto'!$C$15,P52='[8]Tabla Impacto'!$D$15),"Mayor",IF(OR(P52='[8]Tabla Impacto'!$C$16,P52='[8]Tabla Impacto'!$D$16),"Catastrófico","")))))</f>
        <v>Moderado</v>
      </c>
      <c r="R52" s="590">
        <f t="shared" si="0"/>
        <v>0.6</v>
      </c>
      <c r="S52" s="592" t="str">
        <f t="shared" si="1"/>
        <v>Alto</v>
      </c>
      <c r="T52" s="595">
        <v>1</v>
      </c>
      <c r="U52" s="631" t="s">
        <v>506</v>
      </c>
      <c r="V52" s="595" t="str">
        <f t="shared" si="2"/>
        <v>Probabilidad</v>
      </c>
      <c r="W52" s="596" t="s">
        <v>269</v>
      </c>
      <c r="X52" s="596" t="s">
        <v>198</v>
      </c>
      <c r="Y52" s="597" t="str">
        <f t="shared" si="3"/>
        <v>30%</v>
      </c>
      <c r="Z52" s="596" t="s">
        <v>199</v>
      </c>
      <c r="AA52" s="596" t="s">
        <v>225</v>
      </c>
      <c r="AB52" s="596" t="s">
        <v>250</v>
      </c>
      <c r="AC52" s="598">
        <f>IFERROR(IF(AND(V51="Probabilidad",V52="Probabilidad"),(AE51-(+AE51*Y52)),IF(AND(V51="Impacto",V52="Probabilidad"),(AE50-(+AE50*Y52)),IF(V52="Impacto",AE51,""))),"")</f>
        <v>0.12095999999999998</v>
      </c>
      <c r="AD52" s="599" t="str">
        <f t="shared" si="4"/>
        <v>Muy Baja</v>
      </c>
      <c r="AE52" s="600">
        <f t="shared" si="5"/>
        <v>0.12095999999999998</v>
      </c>
      <c r="AF52" s="599" t="str">
        <f t="shared" si="6"/>
        <v>Moderado</v>
      </c>
      <c r="AG52" s="600">
        <f>IFERROR(IF(AND(V51="Impacto",V52="Impacto"),(AG51-(+AG51*Y52)),IF(AND(V51="Probabilidad",V52="Impacto"),(AG50-(+AG50*Y52)),IF(V52="Probabilidad",AG51,""))),"")</f>
        <v>0.6</v>
      </c>
      <c r="AH52" s="601" t="str">
        <f t="shared" si="7"/>
        <v>Moderado</v>
      </c>
      <c r="AI52" s="602" t="s">
        <v>202</v>
      </c>
      <c r="AJ52" s="603"/>
      <c r="AK52" s="603"/>
      <c r="AL52" s="604"/>
      <c r="AM52" s="605"/>
      <c r="AN52" s="606"/>
      <c r="AO52" s="607"/>
      <c r="AP52" s="608">
        <v>45770</v>
      </c>
      <c r="AQ52" s="609" t="s">
        <v>467</v>
      </c>
      <c r="AR52" s="283" t="s">
        <v>507</v>
      </c>
      <c r="AS52" s="611" t="s">
        <v>205</v>
      </c>
      <c r="AT52" s="612" t="s">
        <v>206</v>
      </c>
      <c r="AU52" s="612" t="s">
        <v>206</v>
      </c>
      <c r="AV52" s="613"/>
      <c r="AW52" s="614">
        <v>45770</v>
      </c>
      <c r="AX52" s="615" t="s">
        <v>207</v>
      </c>
      <c r="AY52" s="635" t="s">
        <v>499</v>
      </c>
      <c r="BA52" s="617"/>
      <c r="BB52" s="617"/>
      <c r="BC52" s="618" t="s">
        <v>209</v>
      </c>
      <c r="BE52" s="627">
        <v>45854</v>
      </c>
      <c r="BF52" s="609" t="s">
        <v>467</v>
      </c>
      <c r="BG52" s="283" t="s">
        <v>508</v>
      </c>
      <c r="BH52" s="449" t="s">
        <v>205</v>
      </c>
      <c r="BI52" s="617" t="s">
        <v>206</v>
      </c>
      <c r="BJ52" s="617" t="s">
        <v>472</v>
      </c>
      <c r="BL52" s="450">
        <v>45855</v>
      </c>
      <c r="BM52" s="449" t="s">
        <v>215</v>
      </c>
      <c r="BN52" s="283" t="s">
        <v>231</v>
      </c>
      <c r="BP52" s="617"/>
      <c r="BQ52" s="617"/>
      <c r="BR52" s="618" t="s">
        <v>209</v>
      </c>
      <c r="BT52" s="668">
        <v>45939</v>
      </c>
      <c r="BU52" s="651" t="s">
        <v>470</v>
      </c>
      <c r="BV52" s="283" t="s">
        <v>509</v>
      </c>
      <c r="BW52" s="617" t="s">
        <v>205</v>
      </c>
      <c r="BX52" s="617" t="s">
        <v>206</v>
      </c>
      <c r="BY52" s="617" t="s">
        <v>206</v>
      </c>
      <c r="CA52" s="669">
        <v>45986</v>
      </c>
      <c r="CB52" s="620" t="s">
        <v>218</v>
      </c>
      <c r="CC52" s="643" t="s">
        <v>233</v>
      </c>
      <c r="CE52" s="617"/>
      <c r="CF52" s="617"/>
      <c r="CG52" s="618" t="s">
        <v>209</v>
      </c>
      <c r="CH52" s="192"/>
      <c r="CI52" s="558"/>
      <c r="CJ52" s="558"/>
      <c r="CK52" s="559" t="s">
        <v>209</v>
      </c>
      <c r="CL52" s="558"/>
      <c r="CM52" s="558"/>
      <c r="CN52" s="558"/>
      <c r="CO52" s="553"/>
      <c r="CP52" s="558"/>
      <c r="CQ52" s="558"/>
      <c r="CR52" s="559" t="s">
        <v>209</v>
      </c>
      <c r="CS52" s="553"/>
      <c r="CT52" s="558"/>
      <c r="CU52" s="558"/>
      <c r="CV52" s="559" t="s">
        <v>209</v>
      </c>
    </row>
    <row r="53" spans="1:100" ht="151.5" customHeight="1" x14ac:dyDescent="0.3">
      <c r="A53" s="622">
        <v>25</v>
      </c>
      <c r="B53" s="622" t="s">
        <v>510</v>
      </c>
      <c r="C53" s="623" t="s">
        <v>462</v>
      </c>
      <c r="D53" s="585" t="str">
        <f>IFERROR(INDEX('Base de datos gestión'!$D$28:$D$50,MATCH(C53,'Base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53" s="585" t="str">
        <f>IFERROR(INDEX('Base de datos gestión'!$E$28:$E$50,MATCH(C53,'Base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53" s="630" t="s">
        <v>188</v>
      </c>
      <c r="G53" s="629" t="s">
        <v>511</v>
      </c>
      <c r="H53" s="630" t="s">
        <v>512</v>
      </c>
      <c r="I53" s="630" t="s">
        <v>513</v>
      </c>
      <c r="J53" s="630" t="s">
        <v>280</v>
      </c>
      <c r="K53" s="630" t="s">
        <v>193</v>
      </c>
      <c r="L53" s="630">
        <v>600</v>
      </c>
      <c r="M53" s="588" t="str">
        <f t="shared" si="26"/>
        <v>Alta</v>
      </c>
      <c r="N53" s="589">
        <f t="shared" si="15"/>
        <v>0.8</v>
      </c>
      <c r="O53" s="590" t="s">
        <v>248</v>
      </c>
      <c r="P53" s="589" t="str">
        <f>IF(NOT(ISERROR(MATCH(O53,'Tabla Impacto'!$B$222:$B$224,0))),'Tabla Impacto'!$F$224&amp;"Por favor no seleccionar los criterios de impacto(Afectación Económica o presupuestal y Pérdida Reputacional)",O53)</f>
        <v xml:space="preserve">     El riesgo afecta la imagen de la entidad con algunos usuarios de relevancia frente al logro de los objetivos</v>
      </c>
      <c r="Q53" s="591" t="str">
        <f>IF(OR(P53='[8]Tabla Impacto'!$C$12,P53='[8]Tabla Impacto'!$D$12),"Leve",IF(OR(P53='[8]Tabla Impacto'!$C$13,P53='[8]Tabla Impacto'!$D$13),"Menor",IF(OR(P53='[8]Tabla Impacto'!$C$14,P53='[8]Tabla Impacto'!$D$14),"Moderado",IF(OR(P53='[8]Tabla Impacto'!$C$15,P53='[8]Tabla Impacto'!$D$15),"Mayor",IF(OR(P53='[8]Tabla Impacto'!$C$16,P53='[8]Tabla Impacto'!$D$16),"Catastrófico","")))))</f>
        <v>Moderado</v>
      </c>
      <c r="R53" s="590">
        <f t="shared" si="0"/>
        <v>0.6</v>
      </c>
      <c r="S53" s="592" t="str">
        <f t="shared" si="1"/>
        <v>Alto</v>
      </c>
      <c r="T53" s="595">
        <v>1</v>
      </c>
      <c r="U53" s="631" t="s">
        <v>514</v>
      </c>
      <c r="V53" s="595" t="str">
        <f t="shared" si="2"/>
        <v>Probabilidad</v>
      </c>
      <c r="W53" s="596" t="s">
        <v>269</v>
      </c>
      <c r="X53" s="596" t="s">
        <v>198</v>
      </c>
      <c r="Y53" s="597" t="str">
        <f t="shared" si="3"/>
        <v>30%</v>
      </c>
      <c r="Z53" s="596" t="s">
        <v>199</v>
      </c>
      <c r="AA53" s="596" t="s">
        <v>225</v>
      </c>
      <c r="AB53" s="596" t="s">
        <v>250</v>
      </c>
      <c r="AC53" s="598">
        <f>IFERROR(IF(AND(V52="Probabilidad",V53="Probabilidad"),(AE52-(+AE52*Y53)),IF(AND(V52="Impacto",V53="Probabilidad"),(AE51-(+AE51*Y53)),IF(V53="Impacto",AE52,""))),"")</f>
        <v>8.4671999999999997E-2</v>
      </c>
      <c r="AD53" s="599" t="str">
        <f t="shared" si="4"/>
        <v>Muy Baja</v>
      </c>
      <c r="AE53" s="600">
        <f t="shared" si="5"/>
        <v>8.4671999999999997E-2</v>
      </c>
      <c r="AF53" s="599" t="str">
        <f t="shared" si="6"/>
        <v>Moderado</v>
      </c>
      <c r="AG53" s="600">
        <f>IFERROR(IF(AND(V52="Impacto",V53="Impacto"),(AG52-(+AG52*Y53)),IF(AND(V52="Probabilidad",V53="Impacto"),(AG51-(+AG51*Y53)),IF(V53="Probabilidad",AG52,""))),"")</f>
        <v>0.6</v>
      </c>
      <c r="AH53" s="601" t="str">
        <f t="shared" si="7"/>
        <v>Moderado</v>
      </c>
      <c r="AI53" s="602" t="s">
        <v>202</v>
      </c>
      <c r="AJ53" s="603"/>
      <c r="AK53" s="603"/>
      <c r="AL53" s="604"/>
      <c r="AM53" s="605"/>
      <c r="AN53" s="606"/>
      <c r="AO53" s="607"/>
      <c r="AP53" s="608">
        <v>45770</v>
      </c>
      <c r="AQ53" s="609" t="s">
        <v>467</v>
      </c>
      <c r="AR53" s="283" t="s">
        <v>515</v>
      </c>
      <c r="AS53" s="611" t="s">
        <v>205</v>
      </c>
      <c r="AT53" s="612" t="s">
        <v>206</v>
      </c>
      <c r="AU53" s="612" t="s">
        <v>206</v>
      </c>
      <c r="AV53" s="613"/>
      <c r="AW53" s="614">
        <v>45770</v>
      </c>
      <c r="AX53" s="615" t="s">
        <v>207</v>
      </c>
      <c r="AY53" s="635" t="s">
        <v>499</v>
      </c>
      <c r="BA53" s="617"/>
      <c r="BB53" s="617"/>
      <c r="BC53" s="618" t="s">
        <v>209</v>
      </c>
      <c r="BE53" s="627">
        <v>45854</v>
      </c>
      <c r="BF53" s="609" t="s">
        <v>467</v>
      </c>
      <c r="BG53" s="283" t="s">
        <v>516</v>
      </c>
      <c r="BH53" s="449" t="s">
        <v>205</v>
      </c>
      <c r="BI53" s="617" t="s">
        <v>206</v>
      </c>
      <c r="BJ53" s="617" t="s">
        <v>472</v>
      </c>
      <c r="BL53" s="450">
        <v>45855</v>
      </c>
      <c r="BM53" s="449" t="s">
        <v>215</v>
      </c>
      <c r="BN53" s="283" t="s">
        <v>231</v>
      </c>
      <c r="BP53" s="617"/>
      <c r="BQ53" s="617"/>
      <c r="BR53" s="618" t="s">
        <v>209</v>
      </c>
      <c r="BT53" s="668">
        <v>45939</v>
      </c>
      <c r="BU53" s="651" t="s">
        <v>470</v>
      </c>
      <c r="BV53" s="283" t="s">
        <v>517</v>
      </c>
      <c r="BW53" s="617" t="s">
        <v>205</v>
      </c>
      <c r="BX53" s="617" t="s">
        <v>206</v>
      </c>
      <c r="BY53" s="617" t="s">
        <v>206</v>
      </c>
      <c r="CA53" s="669">
        <v>45986</v>
      </c>
      <c r="CB53" s="620" t="s">
        <v>218</v>
      </c>
      <c r="CC53" s="643" t="s">
        <v>233</v>
      </c>
      <c r="CE53" s="617"/>
      <c r="CF53" s="617"/>
      <c r="CG53" s="618" t="s">
        <v>209</v>
      </c>
      <c r="CH53" s="192"/>
      <c r="CI53" s="558"/>
      <c r="CJ53" s="558"/>
      <c r="CK53" s="559" t="s">
        <v>209</v>
      </c>
      <c r="CL53" s="558"/>
      <c r="CM53" s="558"/>
      <c r="CN53" s="558"/>
      <c r="CO53" s="553"/>
      <c r="CP53" s="558"/>
      <c r="CQ53" s="558"/>
      <c r="CR53" s="559" t="s">
        <v>209</v>
      </c>
      <c r="CS53" s="553"/>
      <c r="CT53" s="558"/>
      <c r="CU53" s="558"/>
      <c r="CV53" s="559" t="s">
        <v>209</v>
      </c>
    </row>
    <row r="54" spans="1:100" ht="151.5" customHeight="1" x14ac:dyDescent="0.3">
      <c r="A54" s="632">
        <v>26</v>
      </c>
      <c r="B54" s="632" t="s">
        <v>518</v>
      </c>
      <c r="C54" s="633" t="s">
        <v>462</v>
      </c>
      <c r="D54" s="585" t="str">
        <f>IFERROR(INDEX('Base de datos gestión'!$D$28:$D$50,MATCH(C54,'Base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E54" s="585" t="str">
        <f>IFERROR(INDEX('Base de datos gestión'!$E$28:$E$50,MATCH(C54,'Base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F54" s="630" t="s">
        <v>188</v>
      </c>
      <c r="G54" s="629" t="s">
        <v>519</v>
      </c>
      <c r="H54" s="630" t="s">
        <v>520</v>
      </c>
      <c r="I54" s="630" t="s">
        <v>521</v>
      </c>
      <c r="J54" s="630" t="s">
        <v>280</v>
      </c>
      <c r="K54" s="630" t="s">
        <v>522</v>
      </c>
      <c r="L54" s="630">
        <v>600</v>
      </c>
      <c r="M54" s="588" t="str">
        <f t="shared" si="26"/>
        <v>Alta</v>
      </c>
      <c r="N54" s="589">
        <f t="shared" si="15"/>
        <v>0.8</v>
      </c>
      <c r="O54" s="590" t="s">
        <v>248</v>
      </c>
      <c r="P54" s="589" t="str">
        <f>IF(NOT(ISERROR(MATCH(O54,'Tabla Impacto'!$B$222:$B$224,0))),'Tabla Impacto'!$F$224&amp;"Por favor no seleccionar los criterios de impacto(Afectación Económica o presupuestal y Pérdida Reputacional)",O54)</f>
        <v xml:space="preserve">     El riesgo afecta la imagen de la entidad con algunos usuarios de relevancia frente al logro de los objetivos</v>
      </c>
      <c r="Q54" s="591" t="str">
        <f>IF(OR(P54='[8]Tabla Impacto'!$C$12,P54='[8]Tabla Impacto'!$D$12),"Leve",IF(OR(P54='[8]Tabla Impacto'!$C$13,P54='[8]Tabla Impacto'!$D$13),"Menor",IF(OR(P54='[8]Tabla Impacto'!$C$14,P54='[8]Tabla Impacto'!$D$14),"Moderado",IF(OR(P54='[8]Tabla Impacto'!$C$15,P54='[8]Tabla Impacto'!$D$15),"Mayor",IF(OR(P54='[8]Tabla Impacto'!$C$16,P54='[8]Tabla Impacto'!$D$16),"Catastrófico","")))))</f>
        <v>Moderado</v>
      </c>
      <c r="R54" s="590">
        <f t="shared" si="0"/>
        <v>0.6</v>
      </c>
      <c r="S54" s="592" t="str">
        <f t="shared" si="1"/>
        <v>Alto</v>
      </c>
      <c r="T54" s="595">
        <v>1</v>
      </c>
      <c r="U54" s="631" t="s">
        <v>523</v>
      </c>
      <c r="V54" s="595" t="str">
        <f t="shared" si="2"/>
        <v>Probabilidad</v>
      </c>
      <c r="W54" s="596" t="s">
        <v>269</v>
      </c>
      <c r="X54" s="596" t="s">
        <v>198</v>
      </c>
      <c r="Y54" s="597" t="str">
        <f t="shared" si="3"/>
        <v>30%</v>
      </c>
      <c r="Z54" s="596" t="s">
        <v>199</v>
      </c>
      <c r="AA54" s="596" t="s">
        <v>225</v>
      </c>
      <c r="AB54" s="596" t="s">
        <v>250</v>
      </c>
      <c r="AC54" s="598">
        <f>IFERROR(IF(AND(V53="Probabilidad",V54="Probabilidad"),(AE53-(+AE53*Y54)),IF(AND(V53="Impacto",V54="Probabilidad"),(AE52-(+AE52*Y54)),IF(V54="Impacto",AE53,""))),"")</f>
        <v>5.9270400000000001E-2</v>
      </c>
      <c r="AD54" s="599" t="str">
        <f t="shared" si="4"/>
        <v>Muy Baja</v>
      </c>
      <c r="AE54" s="600">
        <f t="shared" si="5"/>
        <v>5.9270400000000001E-2</v>
      </c>
      <c r="AF54" s="599" t="str">
        <f t="shared" si="6"/>
        <v>Moderado</v>
      </c>
      <c r="AG54" s="600">
        <f>IFERROR(IF(AND(V53="Impacto",V54="Impacto"),(AG53-(+AG53*Y54)),IF(AND(V53="Probabilidad",V54="Impacto"),(AG52-(+AG52*Y54)),IF(V54="Probabilidad",AG53,""))),"")</f>
        <v>0.6</v>
      </c>
      <c r="AH54" s="601" t="str">
        <f t="shared" si="7"/>
        <v>Moderado</v>
      </c>
      <c r="AI54" s="602" t="s">
        <v>202</v>
      </c>
      <c r="AJ54" s="603"/>
      <c r="AK54" s="603"/>
      <c r="AL54" s="604"/>
      <c r="AM54" s="605"/>
      <c r="AN54" s="606"/>
      <c r="AO54" s="607"/>
      <c r="AP54" s="608">
        <v>45770</v>
      </c>
      <c r="AQ54" s="609" t="s">
        <v>467</v>
      </c>
      <c r="AR54" s="283" t="s">
        <v>524</v>
      </c>
      <c r="AS54" s="611" t="s">
        <v>205</v>
      </c>
      <c r="AT54" s="612" t="s">
        <v>206</v>
      </c>
      <c r="AU54" s="612" t="s">
        <v>206</v>
      </c>
      <c r="AV54" s="613"/>
      <c r="AW54" s="614">
        <v>45770</v>
      </c>
      <c r="AX54" s="615" t="s">
        <v>207</v>
      </c>
      <c r="AY54" s="635" t="s">
        <v>499</v>
      </c>
      <c r="BA54" s="617"/>
      <c r="BB54" s="617"/>
      <c r="BC54" s="618" t="s">
        <v>209</v>
      </c>
      <c r="BE54" s="627">
        <v>45854</v>
      </c>
      <c r="BF54" s="609" t="s">
        <v>467</v>
      </c>
      <c r="BG54" s="283" t="s">
        <v>525</v>
      </c>
      <c r="BH54" s="449" t="s">
        <v>205</v>
      </c>
      <c r="BI54" s="617" t="s">
        <v>206</v>
      </c>
      <c r="BJ54" s="617" t="s">
        <v>472</v>
      </c>
      <c r="BL54" s="450">
        <v>45855</v>
      </c>
      <c r="BM54" s="449" t="s">
        <v>215</v>
      </c>
      <c r="BN54" s="283" t="s">
        <v>231</v>
      </c>
      <c r="BP54" s="617"/>
      <c r="BQ54" s="617"/>
      <c r="BR54" s="618" t="s">
        <v>209</v>
      </c>
      <c r="BT54" s="668">
        <v>45939</v>
      </c>
      <c r="BU54" s="651" t="s">
        <v>470</v>
      </c>
      <c r="BV54" s="283" t="s">
        <v>526</v>
      </c>
      <c r="BW54" s="617" t="s">
        <v>205</v>
      </c>
      <c r="BX54" s="617" t="s">
        <v>206</v>
      </c>
      <c r="BY54" s="617" t="s">
        <v>206</v>
      </c>
      <c r="CA54" s="669">
        <v>45986</v>
      </c>
      <c r="CB54" s="620" t="s">
        <v>218</v>
      </c>
      <c r="CC54" s="643" t="s">
        <v>233</v>
      </c>
      <c r="CE54" s="617"/>
      <c r="CF54" s="617"/>
      <c r="CG54" s="618" t="s">
        <v>209</v>
      </c>
      <c r="CH54" s="192"/>
      <c r="CI54" s="558"/>
      <c r="CJ54" s="558"/>
      <c r="CK54" s="559" t="s">
        <v>209</v>
      </c>
      <c r="CL54" s="558"/>
      <c r="CM54" s="558"/>
      <c r="CN54" s="558"/>
      <c r="CO54" s="553"/>
      <c r="CP54" s="558"/>
      <c r="CQ54" s="558"/>
      <c r="CR54" s="559" t="s">
        <v>209</v>
      </c>
      <c r="CS54" s="553"/>
      <c r="CT54" s="558"/>
      <c r="CU54" s="558"/>
      <c r="CV54" s="559" t="s">
        <v>209</v>
      </c>
    </row>
    <row r="55" spans="1:100" ht="151.5" customHeight="1" x14ac:dyDescent="0.3">
      <c r="A55" s="584">
        <v>27</v>
      </c>
      <c r="B55" s="584" t="s">
        <v>527</v>
      </c>
      <c r="C55" s="585" t="s">
        <v>528</v>
      </c>
      <c r="D55" s="585" t="str">
        <f>IFERROR(INDEX('Base de datos gestión'!$D$28:$D$50,MATCH(C55,'Base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55" s="585" t="str">
        <f>IFERROR(INDEX('Base de datos gestión'!$E$28:$E$50,MATCH(C55,'Base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55" s="630" t="s">
        <v>188</v>
      </c>
      <c r="G55" s="629" t="s">
        <v>529</v>
      </c>
      <c r="H55" s="630" t="s">
        <v>530</v>
      </c>
      <c r="I55" s="630" t="s">
        <v>531</v>
      </c>
      <c r="J55" s="630" t="s">
        <v>280</v>
      </c>
      <c r="K55" s="630" t="s">
        <v>193</v>
      </c>
      <c r="L55" s="630">
        <v>9000</v>
      </c>
      <c r="M55" s="588" t="str">
        <f>IF(L55&lt;=0,"",IF(L55&lt;=2,"Muy Baja",IF(L55&lt;=24,"Baja",IF(L55&lt;=500,"Media",IF(L55&lt;=5000,"Alta","Muy Alta")))))</f>
        <v>Muy Alta</v>
      </c>
      <c r="N55" s="589">
        <f t="shared" si="15"/>
        <v>1</v>
      </c>
      <c r="O55" s="590" t="s">
        <v>248</v>
      </c>
      <c r="P55" s="589" t="str">
        <f>IF(NOT(ISERROR(MATCH(O55,'Tabla Impacto'!$B$222:$B$224,0))),'Tabla Impacto'!$F$224&amp;"Por favor no seleccionar los criterios de impacto(Afectación Económica o presupuestal y Pérdida Reputacional)",O55)</f>
        <v xml:space="preserve">     El riesgo afecta la imagen de la entidad con algunos usuarios de relevancia frente al logro de los objetivos</v>
      </c>
      <c r="Q55" s="591" t="str">
        <f>IF(OR(P55='[8]Tabla Impacto'!$C$12,P55='[8]Tabla Impacto'!$D$12),"Leve",IF(OR(P55='[8]Tabla Impacto'!$C$13,P55='[8]Tabla Impacto'!$D$13),"Menor",IF(OR(P55='[8]Tabla Impacto'!$C$14,P55='[8]Tabla Impacto'!$D$14),"Moderado",IF(OR(P55='[8]Tabla Impacto'!$C$15,P55='[8]Tabla Impacto'!$D$15),"Mayor",IF(OR(P55='[8]Tabla Impacto'!$C$16,P55='[8]Tabla Impacto'!$D$16),"Catastrófico","")))))</f>
        <v>Moderado</v>
      </c>
      <c r="R55" s="590">
        <f t="shared" si="0"/>
        <v>0.6</v>
      </c>
      <c r="S55" s="592" t="str">
        <f t="shared" si="1"/>
        <v>Alto</v>
      </c>
      <c r="T55" s="595">
        <v>1</v>
      </c>
      <c r="U55" s="631" t="s">
        <v>532</v>
      </c>
      <c r="V55" s="595" t="str">
        <f t="shared" si="2"/>
        <v>Probabilidad</v>
      </c>
      <c r="W55" s="596" t="s">
        <v>197</v>
      </c>
      <c r="X55" s="596" t="s">
        <v>454</v>
      </c>
      <c r="Y55" s="597" t="str">
        <f t="shared" si="3"/>
        <v>50%</v>
      </c>
      <c r="Z55" s="596" t="s">
        <v>259</v>
      </c>
      <c r="AA55" s="596" t="s">
        <v>225</v>
      </c>
      <c r="AB55" s="596" t="s">
        <v>201</v>
      </c>
      <c r="AC55" s="598">
        <f>IFERROR(IF(V55="Probabilidad",(N55-(+N55*Y55)),IF(V55="Impacto",N55,"")),"")</f>
        <v>0.5</v>
      </c>
      <c r="AD55" s="599" t="str">
        <f t="shared" si="4"/>
        <v>Media</v>
      </c>
      <c r="AE55" s="600">
        <f t="shared" si="5"/>
        <v>0.5</v>
      </c>
      <c r="AF55" s="599" t="str">
        <f t="shared" si="6"/>
        <v>Moderado</v>
      </c>
      <c r="AG55" s="600">
        <f>IFERROR(IF(V55="Impacto",(R55-(+R55*Y55)),IF(V55="Probabilidad",R55,"")),"")</f>
        <v>0.6</v>
      </c>
      <c r="AH55" s="601" t="str">
        <f t="shared" si="7"/>
        <v>Moderado</v>
      </c>
      <c r="AI55" s="602" t="s">
        <v>202</v>
      </c>
      <c r="AJ55" s="603"/>
      <c r="AK55" s="603"/>
      <c r="AL55" s="604"/>
      <c r="AM55" s="605"/>
      <c r="AN55" s="606"/>
      <c r="AO55" s="607"/>
      <c r="AP55" s="608">
        <v>45769</v>
      </c>
      <c r="AQ55" s="609" t="s">
        <v>533</v>
      </c>
      <c r="AR55" s="283" t="s">
        <v>534</v>
      </c>
      <c r="AS55" s="611" t="s">
        <v>205</v>
      </c>
      <c r="AT55" s="612" t="s">
        <v>206</v>
      </c>
      <c r="AU55" s="283" t="s">
        <v>535</v>
      </c>
      <c r="AV55" s="613"/>
      <c r="AW55" s="614">
        <v>45770</v>
      </c>
      <c r="AX55" s="615" t="s">
        <v>207</v>
      </c>
      <c r="AY55" s="635" t="s">
        <v>536</v>
      </c>
      <c r="BA55" s="617"/>
      <c r="BB55" s="617"/>
      <c r="BC55" s="618" t="s">
        <v>209</v>
      </c>
      <c r="BE55" s="668">
        <v>45863</v>
      </c>
      <c r="BF55" s="670" t="s">
        <v>533</v>
      </c>
      <c r="BG55" s="283" t="s">
        <v>537</v>
      </c>
      <c r="BH55" s="449" t="s">
        <v>205</v>
      </c>
      <c r="BI55" s="617" t="s">
        <v>206</v>
      </c>
      <c r="BJ55" s="617" t="s">
        <v>472</v>
      </c>
      <c r="BL55" s="450">
        <v>45869</v>
      </c>
      <c r="BM55" s="449" t="s">
        <v>215</v>
      </c>
      <c r="BN55" s="283" t="s">
        <v>231</v>
      </c>
      <c r="BP55" s="617"/>
      <c r="BQ55" s="617"/>
      <c r="BR55" s="618" t="s">
        <v>209</v>
      </c>
      <c r="BT55" s="668">
        <v>45940</v>
      </c>
      <c r="BU55" s="651" t="s">
        <v>538</v>
      </c>
      <c r="BV55" s="618" t="s">
        <v>539</v>
      </c>
      <c r="BW55" s="617" t="s">
        <v>205</v>
      </c>
      <c r="BX55" s="617" t="s">
        <v>206</v>
      </c>
      <c r="BY55" s="617" t="s">
        <v>206</v>
      </c>
      <c r="CA55" s="671">
        <v>45986</v>
      </c>
      <c r="CB55" s="286" t="s">
        <v>218</v>
      </c>
      <c r="CC55" s="643" t="s">
        <v>540</v>
      </c>
      <c r="CE55" s="617"/>
      <c r="CF55" s="617"/>
      <c r="CG55" s="618" t="s">
        <v>209</v>
      </c>
      <c r="CH55" s="192"/>
      <c r="CI55" s="558"/>
      <c r="CJ55" s="558"/>
      <c r="CK55" s="559" t="s">
        <v>209</v>
      </c>
      <c r="CL55" s="558"/>
      <c r="CM55" s="558"/>
      <c r="CN55" s="558"/>
      <c r="CO55" s="553"/>
      <c r="CP55" s="558"/>
      <c r="CQ55" s="558"/>
      <c r="CR55" s="559" t="s">
        <v>209</v>
      </c>
      <c r="CS55" s="553"/>
      <c r="CT55" s="558"/>
      <c r="CU55" s="558"/>
      <c r="CV55" s="559" t="s">
        <v>209</v>
      </c>
    </row>
    <row r="56" spans="1:100" ht="151.5" customHeight="1" x14ac:dyDescent="0.3">
      <c r="A56" s="622">
        <v>28</v>
      </c>
      <c r="B56" s="622" t="s">
        <v>541</v>
      </c>
      <c r="C56" s="623" t="s">
        <v>528</v>
      </c>
      <c r="D56" s="585" t="str">
        <f>IFERROR(INDEX('Base de datos gestión'!$D$28:$D$50,MATCH(C56,'Base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56" s="585" t="str">
        <f>IFERROR(INDEX('Base de datos gestión'!$E$28:$E$50,MATCH(C56,'Base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56" s="628" t="s">
        <v>188</v>
      </c>
      <c r="G56" s="629" t="s">
        <v>542</v>
      </c>
      <c r="H56" s="628" t="s">
        <v>543</v>
      </c>
      <c r="I56" s="628" t="s">
        <v>544</v>
      </c>
      <c r="J56" s="630" t="s">
        <v>280</v>
      </c>
      <c r="K56" s="630" t="s">
        <v>193</v>
      </c>
      <c r="L56" s="630">
        <v>2</v>
      </c>
      <c r="M56" s="588" t="str">
        <f>IF(L56&lt;=0,"",IF(L56&lt;=2,"Muy Baja",IF(L56&lt;=24,"Baja",IF(L56&lt;=500,"Media",IF(L56&lt;=5000,"Alta","Muy Alta")))))</f>
        <v>Muy Baja</v>
      </c>
      <c r="N56" s="589">
        <f t="shared" si="15"/>
        <v>0.2</v>
      </c>
      <c r="O56" s="590" t="s">
        <v>440</v>
      </c>
      <c r="P56" s="589" t="str">
        <f>IF(NOT(ISERROR(MATCH(O56,'Tabla Impacto'!$B$222:$B$224,0))),'Tabla Impacto'!$F$224&amp;"Por favor no seleccionar los criterios de impacto(Afectación Económica o presupuestal y Pérdida Reputacional)",O56)</f>
        <v xml:space="preserve">     El riesgo afecta la imagen de alguna área de la organización</v>
      </c>
      <c r="Q56" s="591" t="str">
        <f>IF(OR(P56='[8]Tabla Impacto'!$C$12,P56='[8]Tabla Impacto'!$D$12),"Leve",IF(OR(P56='[8]Tabla Impacto'!$C$13,P56='[8]Tabla Impacto'!$D$13),"Menor",IF(OR(P56='[8]Tabla Impacto'!$C$14,P56='[8]Tabla Impacto'!$D$14),"Moderado",IF(OR(P56='[8]Tabla Impacto'!$C$15,P56='[8]Tabla Impacto'!$D$15),"Mayor",IF(OR(P56='[8]Tabla Impacto'!$C$16,P56='[8]Tabla Impacto'!$D$16),"Catastrófico","")))))</f>
        <v>Leve</v>
      </c>
      <c r="R56" s="590">
        <f t="shared" si="0"/>
        <v>0.2</v>
      </c>
      <c r="S56" s="592" t="str">
        <f t="shared" si="1"/>
        <v>Bajo</v>
      </c>
      <c r="T56" s="595">
        <v>1</v>
      </c>
      <c r="U56" s="631" t="s">
        <v>545</v>
      </c>
      <c r="V56" s="595" t="str">
        <f t="shared" si="2"/>
        <v>Probabilidad</v>
      </c>
      <c r="W56" s="596" t="s">
        <v>197</v>
      </c>
      <c r="X56" s="596" t="s">
        <v>198</v>
      </c>
      <c r="Y56" s="597" t="str">
        <f t="shared" si="3"/>
        <v>40%</v>
      </c>
      <c r="Z56" s="596" t="s">
        <v>259</v>
      </c>
      <c r="AA56" s="596" t="s">
        <v>200</v>
      </c>
      <c r="AB56" s="596" t="s">
        <v>201</v>
      </c>
      <c r="AC56" s="598">
        <f>IFERROR(IF(AND(V55="Probabilidad",V56="Probabilidad"),(AE55-(+AE55*Y56)),IF(V56="Probabilidad",(N55-(+N55*Y56)),IF(V56="Impacto",AE55,""))),"")</f>
        <v>0.3</v>
      </c>
      <c r="AD56" s="599" t="str">
        <f t="shared" si="4"/>
        <v>Baja</v>
      </c>
      <c r="AE56" s="600">
        <f t="shared" si="5"/>
        <v>0.3</v>
      </c>
      <c r="AF56" s="599" t="str">
        <f t="shared" si="6"/>
        <v>Moderado</v>
      </c>
      <c r="AG56" s="600">
        <f>IFERROR(IF(AND(V55="Impacto",V56="Impacto"),(AG49-(+AG49*Y56)),IF(V56="Impacto",($R$55-(+$R$55*Y56)),IF(V56="Probabilidad",AG49,""))),"")</f>
        <v>0.6</v>
      </c>
      <c r="AH56" s="601" t="str">
        <f t="shared" si="7"/>
        <v>Moderado</v>
      </c>
      <c r="AI56" s="602" t="s">
        <v>202</v>
      </c>
      <c r="AJ56" s="630"/>
      <c r="AK56" s="630"/>
      <c r="AL56" s="634"/>
      <c r="AM56" s="605"/>
      <c r="AN56" s="606"/>
      <c r="AO56" s="607"/>
      <c r="AP56" s="608">
        <v>45769</v>
      </c>
      <c r="AQ56" s="609" t="s">
        <v>533</v>
      </c>
      <c r="AR56" s="283" t="s">
        <v>546</v>
      </c>
      <c r="AS56" s="611" t="s">
        <v>205</v>
      </c>
      <c r="AT56" s="612" t="s">
        <v>206</v>
      </c>
      <c r="AU56" s="283" t="s">
        <v>535</v>
      </c>
      <c r="AV56" s="613"/>
      <c r="AW56" s="614">
        <v>45770</v>
      </c>
      <c r="AX56" s="615" t="s">
        <v>207</v>
      </c>
      <c r="AY56" s="635" t="s">
        <v>536</v>
      </c>
      <c r="BA56" s="617"/>
      <c r="BB56" s="617"/>
      <c r="BC56" s="618" t="s">
        <v>209</v>
      </c>
      <c r="BE56" s="668">
        <v>45863</v>
      </c>
      <c r="BF56" s="670" t="s">
        <v>533</v>
      </c>
      <c r="BG56" s="283" t="s">
        <v>547</v>
      </c>
      <c r="BH56" s="449" t="s">
        <v>205</v>
      </c>
      <c r="BI56" s="617" t="s">
        <v>206</v>
      </c>
      <c r="BJ56" s="617" t="s">
        <v>472</v>
      </c>
      <c r="BL56" s="450">
        <v>45869</v>
      </c>
      <c r="BM56" s="449" t="s">
        <v>215</v>
      </c>
      <c r="BN56" s="283" t="s">
        <v>231</v>
      </c>
      <c r="BP56" s="617"/>
      <c r="BQ56" s="617"/>
      <c r="BR56" s="618" t="s">
        <v>209</v>
      </c>
      <c r="BT56" s="668">
        <v>45940</v>
      </c>
      <c r="BU56" s="651" t="s">
        <v>538</v>
      </c>
      <c r="BV56" s="283" t="s">
        <v>548</v>
      </c>
      <c r="BW56" s="617" t="s">
        <v>205</v>
      </c>
      <c r="BX56" s="617" t="s">
        <v>206</v>
      </c>
      <c r="BY56" s="617" t="s">
        <v>206</v>
      </c>
      <c r="CA56" s="671">
        <v>45986</v>
      </c>
      <c r="CB56" s="286" t="s">
        <v>218</v>
      </c>
      <c r="CC56" s="643" t="s">
        <v>540</v>
      </c>
      <c r="CE56" s="617"/>
      <c r="CF56" s="617"/>
      <c r="CG56" s="618" t="s">
        <v>209</v>
      </c>
      <c r="CH56" s="192"/>
      <c r="CI56" s="558"/>
      <c r="CJ56" s="558"/>
      <c r="CK56" s="559" t="s">
        <v>209</v>
      </c>
      <c r="CL56" s="558"/>
      <c r="CM56" s="558"/>
      <c r="CN56" s="558"/>
      <c r="CO56" s="553"/>
      <c r="CP56" s="558"/>
      <c r="CQ56" s="558"/>
      <c r="CR56" s="559" t="s">
        <v>209</v>
      </c>
      <c r="CS56" s="553"/>
      <c r="CT56" s="558"/>
      <c r="CU56" s="558"/>
      <c r="CV56" s="559" t="s">
        <v>209</v>
      </c>
    </row>
    <row r="57" spans="1:100" ht="151.5" customHeight="1" x14ac:dyDescent="0.3">
      <c r="A57" s="622">
        <v>28</v>
      </c>
      <c r="B57" s="622" t="s">
        <v>541</v>
      </c>
      <c r="C57" s="623" t="s">
        <v>528</v>
      </c>
      <c r="D57" s="585" t="str">
        <f>IFERROR(INDEX('Base de datos gestión'!$D$28:$D$50,MATCH(C57,'Base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57" s="585" t="str">
        <f>IFERROR(INDEX('Base de datos gestión'!$E$28:$E$50,MATCH(C57,'Base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57" s="628" t="s">
        <v>188</v>
      </c>
      <c r="G57" s="629" t="s">
        <v>542</v>
      </c>
      <c r="H57" s="628" t="s">
        <v>543</v>
      </c>
      <c r="I57" s="628" t="s">
        <v>544</v>
      </c>
      <c r="J57" s="630" t="s">
        <v>280</v>
      </c>
      <c r="K57" s="630" t="s">
        <v>193</v>
      </c>
      <c r="L57" s="630">
        <v>2</v>
      </c>
      <c r="M57" s="588" t="str">
        <f t="shared" ref="M57:M60" si="27">IF(L57&lt;=0,"",IF(L57&lt;=2,"Muy Baja",IF(L57&lt;=24,"Baja",IF(L57&lt;=500,"Media",IF(L57&lt;=5000,"Alta","Muy Alta")))))</f>
        <v>Muy Baja</v>
      </c>
      <c r="N57" s="589">
        <f t="shared" si="15"/>
        <v>0.2</v>
      </c>
      <c r="O57" s="590" t="s">
        <v>440</v>
      </c>
      <c r="P57" s="589" t="str">
        <f>IF(NOT(ISERROR(MATCH(O57,'Tabla Impacto'!$B$222:$B$224,0))),'Tabla Impacto'!$F$224&amp;"Por favor no seleccionar los criterios de impacto(Afectación Económica o presupuestal y Pérdida Reputacional)",O57)</f>
        <v xml:space="preserve">     El riesgo afecta la imagen de alguna área de la organización</v>
      </c>
      <c r="Q57" s="591" t="str">
        <f>IF(OR(P57='[8]Tabla Impacto'!$C$12,P57='[8]Tabla Impacto'!$D$12),"Leve",IF(OR(P57='[8]Tabla Impacto'!$C$13,P57='[8]Tabla Impacto'!$D$13),"Menor",IF(OR(P57='[8]Tabla Impacto'!$C$14,P57='[8]Tabla Impacto'!$D$14),"Moderado",IF(OR(P57='[8]Tabla Impacto'!$C$15,P57='[8]Tabla Impacto'!$D$15),"Mayor",IF(OR(P57='[8]Tabla Impacto'!$C$16,P57='[8]Tabla Impacto'!$D$16),"Catastrófico","")))))</f>
        <v>Leve</v>
      </c>
      <c r="R57" s="590">
        <f t="shared" si="0"/>
        <v>0.2</v>
      </c>
      <c r="S57" s="592" t="str">
        <f t="shared" si="1"/>
        <v>Bajo</v>
      </c>
      <c r="T57" s="595">
        <v>2</v>
      </c>
      <c r="U57" s="631" t="s">
        <v>549</v>
      </c>
      <c r="V57" s="595" t="str">
        <f t="shared" si="2"/>
        <v>Probabilidad</v>
      </c>
      <c r="W57" s="596" t="s">
        <v>269</v>
      </c>
      <c r="X57" s="596" t="s">
        <v>198</v>
      </c>
      <c r="Y57" s="597" t="str">
        <f t="shared" si="3"/>
        <v>30%</v>
      </c>
      <c r="Z57" s="596" t="s">
        <v>259</v>
      </c>
      <c r="AA57" s="596" t="s">
        <v>200</v>
      </c>
      <c r="AB57" s="596" t="s">
        <v>201</v>
      </c>
      <c r="AC57" s="598">
        <f>IFERROR(IF(AND(V56="Probabilidad",V57="Probabilidad"),(AE56-(+AE56*Y57)),IF(AND(V56="Impacto",V57="Probabilidad"),(AE55-(+AE55*Y57)),IF(V57="Impacto",AE56,""))),"")</f>
        <v>0.21</v>
      </c>
      <c r="AD57" s="599" t="str">
        <f t="shared" si="4"/>
        <v>Baja</v>
      </c>
      <c r="AE57" s="600">
        <f t="shared" si="5"/>
        <v>0.21</v>
      </c>
      <c r="AF57" s="599" t="str">
        <f t="shared" si="6"/>
        <v>Moderado</v>
      </c>
      <c r="AG57" s="600">
        <f>IFERROR(IF(AND(V56="Impacto",V57="Impacto"),(AG56-(+AG56*Y57)),IF(AND(V56="Probabilidad",V57="Impacto"),(AG55-(+AG55*Y57)),IF(V57="Probabilidad",AG56,""))),"")</f>
        <v>0.6</v>
      </c>
      <c r="AH57" s="601" t="str">
        <f t="shared" si="7"/>
        <v>Moderado</v>
      </c>
      <c r="AI57" s="602" t="s">
        <v>202</v>
      </c>
      <c r="AJ57" s="638"/>
      <c r="AK57" s="638"/>
      <c r="AL57" s="639"/>
      <c r="AM57" s="605"/>
      <c r="AN57" s="606"/>
      <c r="AO57" s="607"/>
      <c r="AP57" s="608">
        <v>45769</v>
      </c>
      <c r="AQ57" s="609" t="s">
        <v>533</v>
      </c>
      <c r="AR57" s="283" t="s">
        <v>550</v>
      </c>
      <c r="AS57" s="611" t="s">
        <v>205</v>
      </c>
      <c r="AT57" s="612" t="s">
        <v>206</v>
      </c>
      <c r="AU57" s="283" t="s">
        <v>535</v>
      </c>
      <c r="AV57" s="613"/>
      <c r="AW57" s="614">
        <v>45770</v>
      </c>
      <c r="AX57" s="615" t="s">
        <v>207</v>
      </c>
      <c r="AY57" s="635" t="s">
        <v>536</v>
      </c>
      <c r="BA57" s="617"/>
      <c r="BB57" s="617"/>
      <c r="BC57" s="618" t="s">
        <v>209</v>
      </c>
      <c r="BE57" s="668">
        <v>45863</v>
      </c>
      <c r="BF57" s="670" t="s">
        <v>533</v>
      </c>
      <c r="BG57" s="283" t="s">
        <v>551</v>
      </c>
      <c r="BH57" s="449" t="s">
        <v>205</v>
      </c>
      <c r="BI57" s="617" t="s">
        <v>206</v>
      </c>
      <c r="BJ57" s="617" t="s">
        <v>472</v>
      </c>
      <c r="BL57" s="450">
        <v>45869</v>
      </c>
      <c r="BM57" s="449" t="s">
        <v>215</v>
      </c>
      <c r="BN57" s="283" t="s">
        <v>231</v>
      </c>
      <c r="BP57" s="617"/>
      <c r="BQ57" s="617"/>
      <c r="BR57" s="618" t="s">
        <v>209</v>
      </c>
      <c r="BT57" s="668">
        <v>45940</v>
      </c>
      <c r="BU57" s="651" t="s">
        <v>538</v>
      </c>
      <c r="BV57" s="618" t="s">
        <v>552</v>
      </c>
      <c r="BW57" s="617" t="s">
        <v>205</v>
      </c>
      <c r="BX57" s="617" t="s">
        <v>206</v>
      </c>
      <c r="BY57" s="617" t="s">
        <v>206</v>
      </c>
      <c r="CA57" s="671">
        <v>45986</v>
      </c>
      <c r="CB57" s="286" t="s">
        <v>218</v>
      </c>
      <c r="CC57" s="643" t="s">
        <v>540</v>
      </c>
      <c r="CE57" s="617"/>
      <c r="CF57" s="617"/>
      <c r="CG57" s="618" t="s">
        <v>209</v>
      </c>
      <c r="CH57" s="192"/>
      <c r="CI57" s="558"/>
      <c r="CJ57" s="558"/>
      <c r="CK57" s="559" t="s">
        <v>209</v>
      </c>
      <c r="CL57" s="558"/>
      <c r="CM57" s="558"/>
      <c r="CN57" s="558"/>
      <c r="CO57" s="553"/>
      <c r="CP57" s="558"/>
      <c r="CQ57" s="558"/>
      <c r="CR57" s="559" t="s">
        <v>209</v>
      </c>
      <c r="CS57" s="553"/>
      <c r="CT57" s="558"/>
      <c r="CU57" s="558"/>
      <c r="CV57" s="559" t="s">
        <v>209</v>
      </c>
    </row>
    <row r="58" spans="1:100" ht="151.5" customHeight="1" x14ac:dyDescent="0.3">
      <c r="A58" s="622">
        <v>29</v>
      </c>
      <c r="B58" s="622" t="s">
        <v>553</v>
      </c>
      <c r="C58" s="623" t="s">
        <v>528</v>
      </c>
      <c r="D58" s="585" t="str">
        <f>IFERROR(INDEX('Base de datos gestión'!$D$28:$D$50,MATCH(C58,'Base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58" s="585" t="str">
        <f>IFERROR(INDEX('Base de datos gestión'!$E$28:$E$50,MATCH(C58,'Base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58" s="628" t="s">
        <v>188</v>
      </c>
      <c r="G58" s="629" t="s">
        <v>554</v>
      </c>
      <c r="H58" s="628" t="s">
        <v>555</v>
      </c>
      <c r="I58" s="628" t="s">
        <v>556</v>
      </c>
      <c r="J58" s="630" t="s">
        <v>280</v>
      </c>
      <c r="K58" s="630" t="s">
        <v>311</v>
      </c>
      <c r="L58" s="630">
        <v>1500</v>
      </c>
      <c r="M58" s="588" t="str">
        <f t="shared" si="27"/>
        <v>Alta</v>
      </c>
      <c r="N58" s="589">
        <f t="shared" si="15"/>
        <v>0.8</v>
      </c>
      <c r="O58" s="590" t="s">
        <v>248</v>
      </c>
      <c r="P58" s="589" t="str">
        <f>IF(NOT(ISERROR(MATCH(O58,'Tabla Impacto'!$B$222:$B$224,0))),'Tabla Impacto'!$F$224&amp;"Por favor no seleccionar los criterios de impacto(Afectación Económica o presupuestal y Pérdida Reputacional)",O58)</f>
        <v xml:space="preserve">     El riesgo afecta la imagen de la entidad con algunos usuarios de relevancia frente al logro de los objetivos</v>
      </c>
      <c r="Q58" s="591" t="str">
        <f>IF(OR(P58='[8]Tabla Impacto'!$C$12,P58='[8]Tabla Impacto'!$D$12),"Leve",IF(OR(P58='[8]Tabla Impacto'!$C$13,P58='[8]Tabla Impacto'!$D$13),"Menor",IF(OR(P58='[8]Tabla Impacto'!$C$14,P58='[8]Tabla Impacto'!$D$14),"Moderado",IF(OR(P58='[8]Tabla Impacto'!$C$15,P58='[8]Tabla Impacto'!$D$15),"Mayor",IF(OR(P58='[8]Tabla Impacto'!$C$16,P58='[8]Tabla Impacto'!$D$16),"Catastrófico","")))))</f>
        <v>Moderado</v>
      </c>
      <c r="R58" s="590">
        <f t="shared" si="0"/>
        <v>0.6</v>
      </c>
      <c r="S58" s="592" t="str">
        <f t="shared" si="1"/>
        <v>Alto</v>
      </c>
      <c r="T58" s="595">
        <v>1</v>
      </c>
      <c r="U58" s="631" t="s">
        <v>557</v>
      </c>
      <c r="V58" s="595" t="str">
        <f t="shared" si="2"/>
        <v>Probabilidad</v>
      </c>
      <c r="W58" s="596" t="s">
        <v>269</v>
      </c>
      <c r="X58" s="596" t="s">
        <v>198</v>
      </c>
      <c r="Y58" s="597" t="str">
        <f t="shared" si="3"/>
        <v>30%</v>
      </c>
      <c r="Z58" s="596" t="s">
        <v>259</v>
      </c>
      <c r="AA58" s="596" t="s">
        <v>200</v>
      </c>
      <c r="AB58" s="596" t="s">
        <v>201</v>
      </c>
      <c r="AC58" s="598">
        <f>IFERROR(IF(AND(V57="Probabilidad",V58="Probabilidad"),(AE57-(+AE57*Y58)),IF(AND(V57="Impacto",V58="Probabilidad"),(AE56-(+AE56*Y58)),IF(V58="Impacto",AE57,""))),"")</f>
        <v>0.14699999999999999</v>
      </c>
      <c r="AD58" s="599" t="str">
        <f t="shared" si="4"/>
        <v>Muy Baja</v>
      </c>
      <c r="AE58" s="600">
        <f t="shared" si="5"/>
        <v>0.14699999999999999</v>
      </c>
      <c r="AF58" s="599" t="str">
        <f t="shared" si="6"/>
        <v>Moderado</v>
      </c>
      <c r="AG58" s="600">
        <f>IFERROR(IF(AND(V57="Impacto",V58="Impacto"),(AG57-(+AG57*Y58)),IF(AND(V57="Probabilidad",V58="Impacto"),(AG56-(+AG56*Y58)),IF(V58="Probabilidad",AG57,""))),"")</f>
        <v>0.6</v>
      </c>
      <c r="AH58" s="601" t="str">
        <f t="shared" si="7"/>
        <v>Moderado</v>
      </c>
      <c r="AI58" s="602" t="s">
        <v>202</v>
      </c>
      <c r="AJ58" s="603"/>
      <c r="AK58" s="603"/>
      <c r="AL58" s="604"/>
      <c r="AM58" s="605"/>
      <c r="AN58" s="606"/>
      <c r="AO58" s="607"/>
      <c r="AP58" s="608">
        <v>45769</v>
      </c>
      <c r="AQ58" s="609" t="s">
        <v>533</v>
      </c>
      <c r="AR58" s="283" t="s">
        <v>558</v>
      </c>
      <c r="AS58" s="611" t="s">
        <v>205</v>
      </c>
      <c r="AT58" s="612" t="s">
        <v>206</v>
      </c>
      <c r="AU58" s="283" t="s">
        <v>535</v>
      </c>
      <c r="AV58" s="613"/>
      <c r="AW58" s="614">
        <v>45770</v>
      </c>
      <c r="AX58" s="615" t="s">
        <v>207</v>
      </c>
      <c r="AY58" s="635" t="s">
        <v>536</v>
      </c>
      <c r="BA58" s="617"/>
      <c r="BB58" s="617"/>
      <c r="BC58" s="618" t="s">
        <v>209</v>
      </c>
      <c r="BE58" s="668">
        <v>45863</v>
      </c>
      <c r="BF58" s="670" t="s">
        <v>533</v>
      </c>
      <c r="BG58" s="283" t="s">
        <v>558</v>
      </c>
      <c r="BH58" s="449" t="s">
        <v>205</v>
      </c>
      <c r="BI58" s="617" t="s">
        <v>206</v>
      </c>
      <c r="BJ58" s="617" t="s">
        <v>472</v>
      </c>
      <c r="BL58" s="450">
        <v>45869</v>
      </c>
      <c r="BM58" s="449" t="s">
        <v>215</v>
      </c>
      <c r="BN58" s="283" t="s">
        <v>231</v>
      </c>
      <c r="BP58" s="617"/>
      <c r="BQ58" s="617"/>
      <c r="BR58" s="618" t="s">
        <v>209</v>
      </c>
      <c r="BT58" s="668">
        <v>45940</v>
      </c>
      <c r="BU58" s="651" t="s">
        <v>538</v>
      </c>
      <c r="BV58" s="283" t="s">
        <v>559</v>
      </c>
      <c r="BW58" s="617" t="s">
        <v>205</v>
      </c>
      <c r="BX58" s="617" t="s">
        <v>206</v>
      </c>
      <c r="BY58" s="617" t="s">
        <v>206</v>
      </c>
      <c r="CA58" s="671">
        <v>45986</v>
      </c>
      <c r="CB58" s="286" t="s">
        <v>218</v>
      </c>
      <c r="CC58" s="643" t="s">
        <v>540</v>
      </c>
      <c r="CE58" s="617"/>
      <c r="CF58" s="617"/>
      <c r="CG58" s="618" t="s">
        <v>209</v>
      </c>
      <c r="CH58" s="192"/>
      <c r="CI58" s="560">
        <v>46019</v>
      </c>
      <c r="CJ58" s="561" t="s">
        <v>560</v>
      </c>
      <c r="CK58" s="562" t="s">
        <v>561</v>
      </c>
      <c r="CL58" s="562" t="s">
        <v>212</v>
      </c>
      <c r="CM58" s="562" t="s">
        <v>317</v>
      </c>
      <c r="CN58" s="562" t="s">
        <v>562</v>
      </c>
      <c r="CO58" s="553"/>
      <c r="CP58" s="558"/>
      <c r="CQ58" s="558"/>
      <c r="CR58" s="559" t="s">
        <v>209</v>
      </c>
      <c r="CS58" s="553"/>
      <c r="CT58" s="558"/>
      <c r="CU58" s="558"/>
      <c r="CV58" s="559" t="s">
        <v>209</v>
      </c>
    </row>
    <row r="59" spans="1:100" ht="151.5" customHeight="1" x14ac:dyDescent="0.3">
      <c r="A59" s="622">
        <v>29</v>
      </c>
      <c r="B59" s="622" t="s">
        <v>553</v>
      </c>
      <c r="C59" s="623" t="s">
        <v>528</v>
      </c>
      <c r="D59" s="585" t="str">
        <f>IFERROR(INDEX('Base de datos gestión'!$D$28:$D$50,MATCH(C59,'Base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59" s="585" t="str">
        <f>IFERROR(INDEX('Base de datos gestión'!$E$28:$E$50,MATCH(C59,'Base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59" s="628" t="s">
        <v>188</v>
      </c>
      <c r="G59" s="629" t="s">
        <v>554</v>
      </c>
      <c r="H59" s="628" t="s">
        <v>555</v>
      </c>
      <c r="I59" s="628" t="s">
        <v>556</v>
      </c>
      <c r="J59" s="630" t="s">
        <v>280</v>
      </c>
      <c r="K59" s="630" t="s">
        <v>311</v>
      </c>
      <c r="L59" s="630">
        <v>1500</v>
      </c>
      <c r="M59" s="588" t="str">
        <f t="shared" si="27"/>
        <v>Alta</v>
      </c>
      <c r="N59" s="589">
        <f t="shared" si="15"/>
        <v>0.8</v>
      </c>
      <c r="O59" s="590" t="s">
        <v>248</v>
      </c>
      <c r="P59" s="589" t="str">
        <f>IF(NOT(ISERROR(MATCH(O59,'Tabla Impacto'!$B$222:$B$224,0))),'Tabla Impacto'!$F$224&amp;"Por favor no seleccionar los criterios de impacto(Afectación Económica o presupuestal y Pérdida Reputacional)",O59)</f>
        <v xml:space="preserve">     El riesgo afecta la imagen de la entidad con algunos usuarios de relevancia frente al logro de los objetivos</v>
      </c>
      <c r="Q59" s="591" t="str">
        <f>IF(OR(P59='[8]Tabla Impacto'!$C$12,P59='[8]Tabla Impacto'!$D$12),"Leve",IF(OR(P59='[8]Tabla Impacto'!$C$13,P59='[8]Tabla Impacto'!$D$13),"Menor",IF(OR(P59='[8]Tabla Impacto'!$C$14,P59='[8]Tabla Impacto'!$D$14),"Moderado",IF(OR(P59='[8]Tabla Impacto'!$C$15,P59='[8]Tabla Impacto'!$D$15),"Mayor",IF(OR(P59='[8]Tabla Impacto'!$C$16,P59='[8]Tabla Impacto'!$D$16),"Catastrófico","")))))</f>
        <v>Moderado</v>
      </c>
      <c r="R59" s="590">
        <f t="shared" si="0"/>
        <v>0.6</v>
      </c>
      <c r="S59" s="592" t="str">
        <f t="shared" si="1"/>
        <v>Alto</v>
      </c>
      <c r="T59" s="595">
        <v>2</v>
      </c>
      <c r="U59" s="631" t="s">
        <v>563</v>
      </c>
      <c r="V59" s="595" t="str">
        <f t="shared" si="2"/>
        <v>Probabilidad</v>
      </c>
      <c r="W59" s="596" t="s">
        <v>269</v>
      </c>
      <c r="X59" s="596" t="s">
        <v>198</v>
      </c>
      <c r="Y59" s="597" t="str">
        <f t="shared" si="3"/>
        <v>30%</v>
      </c>
      <c r="Z59" s="596" t="s">
        <v>259</v>
      </c>
      <c r="AA59" s="596" t="s">
        <v>200</v>
      </c>
      <c r="AB59" s="596" t="s">
        <v>201</v>
      </c>
      <c r="AC59" s="598">
        <f>IFERROR(IF(AND(V58="Probabilidad",V59="Probabilidad"),(AE58-(+AE58*Y59)),IF(AND(V58="Impacto",V59="Probabilidad"),(AE57-(+AE57*Y59)),IF(V59="Impacto",AE58,""))),"")</f>
        <v>0.10289999999999999</v>
      </c>
      <c r="AD59" s="599" t="str">
        <f t="shared" si="4"/>
        <v>Muy Baja</v>
      </c>
      <c r="AE59" s="600">
        <f t="shared" si="5"/>
        <v>0.10289999999999999</v>
      </c>
      <c r="AF59" s="599" t="str">
        <f t="shared" si="6"/>
        <v>Moderado</v>
      </c>
      <c r="AG59" s="600">
        <f>IFERROR(IF(AND(V58="Impacto",V59="Impacto"),(AG58-(+AG58*Y59)),IF(AND(V58="Probabilidad",V59="Impacto"),(AG57-(+AG57*Y59)),IF(V59="Probabilidad",AG58,""))),"")</f>
        <v>0.6</v>
      </c>
      <c r="AH59" s="601" t="str">
        <f t="shared" si="7"/>
        <v>Moderado</v>
      </c>
      <c r="AI59" s="602" t="s">
        <v>202</v>
      </c>
      <c r="AJ59" s="603"/>
      <c r="AK59" s="603"/>
      <c r="AL59" s="604"/>
      <c r="AM59" s="605"/>
      <c r="AN59" s="606"/>
      <c r="AO59" s="607"/>
      <c r="AP59" s="608">
        <v>45769</v>
      </c>
      <c r="AQ59" s="609" t="s">
        <v>533</v>
      </c>
      <c r="AR59" s="283" t="s">
        <v>564</v>
      </c>
      <c r="AS59" s="611" t="s">
        <v>205</v>
      </c>
      <c r="AT59" s="612" t="s">
        <v>206</v>
      </c>
      <c r="AU59" s="283" t="s">
        <v>535</v>
      </c>
      <c r="AV59" s="613"/>
      <c r="AW59" s="614">
        <v>45770</v>
      </c>
      <c r="AX59" s="615" t="s">
        <v>207</v>
      </c>
      <c r="AY59" s="635" t="s">
        <v>536</v>
      </c>
      <c r="BA59" s="617"/>
      <c r="BB59" s="617"/>
      <c r="BC59" s="618" t="s">
        <v>209</v>
      </c>
      <c r="BE59" s="668">
        <v>45863</v>
      </c>
      <c r="BF59" s="670" t="s">
        <v>533</v>
      </c>
      <c r="BG59" s="283" t="s">
        <v>565</v>
      </c>
      <c r="BH59" s="449" t="s">
        <v>205</v>
      </c>
      <c r="BI59" s="617" t="s">
        <v>206</v>
      </c>
      <c r="BJ59" s="617" t="s">
        <v>472</v>
      </c>
      <c r="BL59" s="450">
        <v>45869</v>
      </c>
      <c r="BM59" s="449" t="s">
        <v>215</v>
      </c>
      <c r="BN59" s="283" t="s">
        <v>231</v>
      </c>
      <c r="BP59" s="617"/>
      <c r="BQ59" s="617"/>
      <c r="BR59" s="618" t="s">
        <v>209</v>
      </c>
      <c r="BT59" s="668">
        <v>45940</v>
      </c>
      <c r="BU59" s="651" t="s">
        <v>538</v>
      </c>
      <c r="BV59" s="283" t="s">
        <v>566</v>
      </c>
      <c r="BW59" s="617" t="s">
        <v>205</v>
      </c>
      <c r="BX59" s="617" t="s">
        <v>206</v>
      </c>
      <c r="BY59" s="617" t="s">
        <v>206</v>
      </c>
      <c r="CA59" s="671">
        <v>45986</v>
      </c>
      <c r="CB59" s="286" t="s">
        <v>218</v>
      </c>
      <c r="CC59" s="643" t="s">
        <v>540</v>
      </c>
      <c r="CE59" s="617"/>
      <c r="CF59" s="617"/>
      <c r="CG59" s="618" t="s">
        <v>209</v>
      </c>
      <c r="CH59" s="192"/>
      <c r="CI59" s="558"/>
      <c r="CJ59" s="558"/>
      <c r="CK59" s="559" t="s">
        <v>209</v>
      </c>
      <c r="CL59" s="558"/>
      <c r="CM59" s="558"/>
      <c r="CN59" s="558"/>
      <c r="CO59" s="553"/>
      <c r="CP59" s="558"/>
      <c r="CQ59" s="558"/>
      <c r="CR59" s="559" t="s">
        <v>209</v>
      </c>
      <c r="CS59" s="553"/>
      <c r="CT59" s="558"/>
      <c r="CU59" s="558"/>
      <c r="CV59" s="559" t="s">
        <v>209</v>
      </c>
    </row>
    <row r="60" spans="1:100" ht="151.5" customHeight="1" x14ac:dyDescent="0.3">
      <c r="A60" s="632">
        <v>29</v>
      </c>
      <c r="B60" s="632" t="s">
        <v>553</v>
      </c>
      <c r="C60" s="633" t="s">
        <v>528</v>
      </c>
      <c r="D60" s="585" t="str">
        <f>IFERROR(INDEX('Base de datos gestión'!$D$28:$D$50,MATCH(C60,'Base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E60" s="585" t="str">
        <f>IFERROR(INDEX('Base de datos gestión'!$E$28:$E$50,MATCH(C60,'Base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F60" s="628" t="s">
        <v>188</v>
      </c>
      <c r="G60" s="629" t="s">
        <v>554</v>
      </c>
      <c r="H60" s="628" t="s">
        <v>555</v>
      </c>
      <c r="I60" s="628" t="s">
        <v>556</v>
      </c>
      <c r="J60" s="630" t="s">
        <v>280</v>
      </c>
      <c r="K60" s="630" t="s">
        <v>311</v>
      </c>
      <c r="L60" s="630">
        <v>1500</v>
      </c>
      <c r="M60" s="588" t="str">
        <f t="shared" si="27"/>
        <v>Alta</v>
      </c>
      <c r="N60" s="589">
        <f t="shared" si="15"/>
        <v>0.8</v>
      </c>
      <c r="O60" s="590" t="s">
        <v>248</v>
      </c>
      <c r="P60" s="589" t="str">
        <f>IF(NOT(ISERROR(MATCH(O60,'Tabla Impacto'!$B$222:$B$224,0))),'Tabla Impacto'!$F$224&amp;"Por favor no seleccionar los criterios de impacto(Afectación Económica o presupuestal y Pérdida Reputacional)",O60)</f>
        <v xml:space="preserve">     El riesgo afecta la imagen de la entidad con algunos usuarios de relevancia frente al logro de los objetivos</v>
      </c>
      <c r="Q60" s="591" t="str">
        <f>IF(OR(P60='[8]Tabla Impacto'!$C$12,P60='[8]Tabla Impacto'!$D$12),"Leve",IF(OR(P60='[8]Tabla Impacto'!$C$13,P60='[8]Tabla Impacto'!$D$13),"Menor",IF(OR(P60='[8]Tabla Impacto'!$C$14,P60='[8]Tabla Impacto'!$D$14),"Moderado",IF(OR(P60='[8]Tabla Impacto'!$C$15,P60='[8]Tabla Impacto'!$D$15),"Mayor",IF(OR(P60='[8]Tabla Impacto'!$C$16,P60='[8]Tabla Impacto'!$D$16),"Catastrófico","")))))</f>
        <v>Moderado</v>
      </c>
      <c r="R60" s="590">
        <f t="shared" si="0"/>
        <v>0.6</v>
      </c>
      <c r="S60" s="592" t="str">
        <f t="shared" si="1"/>
        <v>Alto</v>
      </c>
      <c r="T60" s="595">
        <v>3</v>
      </c>
      <c r="U60" s="631" t="s">
        <v>567</v>
      </c>
      <c r="V60" s="595" t="str">
        <f t="shared" si="2"/>
        <v>Impacto</v>
      </c>
      <c r="W60" s="596" t="s">
        <v>240</v>
      </c>
      <c r="X60" s="596" t="s">
        <v>198</v>
      </c>
      <c r="Y60" s="597" t="str">
        <f t="shared" si="3"/>
        <v>25%</v>
      </c>
      <c r="Z60" s="596" t="s">
        <v>259</v>
      </c>
      <c r="AA60" s="596" t="s">
        <v>200</v>
      </c>
      <c r="AB60" s="596" t="s">
        <v>201</v>
      </c>
      <c r="AC60" s="598">
        <f>IFERROR(IF(AND(V59="Probabilidad",V60="Probabilidad"),(AE59-(+AE59*Y60)),IF(AND(V59="Impacto",V60="Probabilidad"),(AE58-(+AE58*Y60)),IF(V60="Impacto",AE59,""))),"")</f>
        <v>0.10289999999999999</v>
      </c>
      <c r="AD60" s="599" t="str">
        <f t="shared" si="4"/>
        <v>Muy Baja</v>
      </c>
      <c r="AE60" s="600">
        <f t="shared" si="5"/>
        <v>0.10289999999999999</v>
      </c>
      <c r="AF60" s="599" t="str">
        <f t="shared" si="6"/>
        <v>Moderado</v>
      </c>
      <c r="AG60" s="600">
        <f>IFERROR(IF(AND(V59="Impacto",V60="Impacto"),(AG59-(+AG59*Y60)),IF(AND(V59="Probabilidad",V60="Impacto"),(AG58-(+AG58*Y60)),IF(V60="Probabilidad",AG59,""))),"")</f>
        <v>0.44999999999999996</v>
      </c>
      <c r="AH60" s="601" t="str">
        <f t="shared" si="7"/>
        <v>Moderado</v>
      </c>
      <c r="AI60" s="602" t="s">
        <v>202</v>
      </c>
      <c r="AJ60" s="603"/>
      <c r="AK60" s="603"/>
      <c r="AL60" s="604"/>
      <c r="AM60" s="605"/>
      <c r="AN60" s="606"/>
      <c r="AO60" s="607"/>
      <c r="AP60" s="608">
        <v>45769</v>
      </c>
      <c r="AQ60" s="609" t="s">
        <v>533</v>
      </c>
      <c r="AR60" s="283" t="s">
        <v>550</v>
      </c>
      <c r="AS60" s="611" t="s">
        <v>205</v>
      </c>
      <c r="AT60" s="612" t="s">
        <v>206</v>
      </c>
      <c r="AU60" s="283" t="s">
        <v>535</v>
      </c>
      <c r="AV60" s="613"/>
      <c r="AW60" s="614">
        <v>45770</v>
      </c>
      <c r="AX60" s="615" t="s">
        <v>207</v>
      </c>
      <c r="AY60" s="635" t="s">
        <v>536</v>
      </c>
      <c r="BA60" s="617"/>
      <c r="BB60" s="617"/>
      <c r="BC60" s="618" t="s">
        <v>209</v>
      </c>
      <c r="BE60" s="668">
        <v>45863</v>
      </c>
      <c r="BF60" s="670" t="s">
        <v>533</v>
      </c>
      <c r="BG60" s="283" t="s">
        <v>568</v>
      </c>
      <c r="BH60" s="449" t="s">
        <v>205</v>
      </c>
      <c r="BI60" s="617" t="s">
        <v>206</v>
      </c>
      <c r="BJ60" s="617" t="s">
        <v>472</v>
      </c>
      <c r="BL60" s="450">
        <v>45869</v>
      </c>
      <c r="BM60" s="449" t="s">
        <v>215</v>
      </c>
      <c r="BN60" s="283" t="s">
        <v>231</v>
      </c>
      <c r="BP60" s="617"/>
      <c r="BQ60" s="617"/>
      <c r="BR60" s="618" t="s">
        <v>209</v>
      </c>
      <c r="BT60" s="668">
        <v>45940</v>
      </c>
      <c r="BU60" s="651" t="s">
        <v>538</v>
      </c>
      <c r="BV60" s="283" t="s">
        <v>566</v>
      </c>
      <c r="BW60" s="617" t="s">
        <v>205</v>
      </c>
      <c r="BX60" s="617" t="s">
        <v>206</v>
      </c>
      <c r="BY60" s="617" t="s">
        <v>206</v>
      </c>
      <c r="CA60" s="671">
        <v>45986</v>
      </c>
      <c r="CB60" s="286" t="s">
        <v>218</v>
      </c>
      <c r="CC60" s="643" t="s">
        <v>540</v>
      </c>
      <c r="CE60" s="617"/>
      <c r="CF60" s="617"/>
      <c r="CG60" s="618" t="s">
        <v>209</v>
      </c>
      <c r="CH60" s="192"/>
      <c r="CI60" s="558"/>
      <c r="CJ60" s="558"/>
      <c r="CK60" s="559" t="s">
        <v>209</v>
      </c>
      <c r="CL60" s="558"/>
      <c r="CM60" s="558"/>
      <c r="CN60" s="558"/>
      <c r="CO60" s="553"/>
      <c r="CP60" s="558"/>
      <c r="CQ60" s="558"/>
      <c r="CR60" s="559" t="s">
        <v>209</v>
      </c>
      <c r="CS60" s="553"/>
      <c r="CT60" s="558"/>
      <c r="CU60" s="558"/>
      <c r="CV60" s="559" t="s">
        <v>209</v>
      </c>
    </row>
    <row r="61" spans="1:100" ht="151.5" customHeight="1" x14ac:dyDescent="0.3">
      <c r="A61" s="584">
        <v>30</v>
      </c>
      <c r="B61" s="584" t="s">
        <v>569</v>
      </c>
      <c r="C61" s="585" t="s">
        <v>570</v>
      </c>
      <c r="D61" s="585" t="str">
        <f>IFERROR(INDEX('Base de datos gestión'!$D$28:$D$50,MATCH(C61,'Base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1" s="585" t="str">
        <f>IFERROR(INDEX('Base de datos gestión'!$E$28:$E$50,MATCH(C61,'Base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1" s="628" t="s">
        <v>276</v>
      </c>
      <c r="G61" s="629" t="s">
        <v>571</v>
      </c>
      <c r="H61" s="628" t="s">
        <v>572</v>
      </c>
      <c r="I61" s="628" t="s">
        <v>573</v>
      </c>
      <c r="J61" s="630" t="s">
        <v>574</v>
      </c>
      <c r="K61" s="630" t="s">
        <v>311</v>
      </c>
      <c r="L61" s="630">
        <v>50</v>
      </c>
      <c r="M61" s="588" t="str">
        <f>IF(L61&lt;=0,"",IF(L61&lt;=2,"Muy Baja",IF(L61&lt;=24,"Baja",IF(L61&lt;=500,"Media",IF(L61&lt;=5000,"Alta","Muy Alta")))))</f>
        <v>Media</v>
      </c>
      <c r="N61" s="589">
        <f t="shared" si="15"/>
        <v>0.6</v>
      </c>
      <c r="O61" s="590" t="s">
        <v>248</v>
      </c>
      <c r="P61" s="589" t="str">
        <f>IF(NOT(ISERROR(MATCH(O61,'Tabla Impacto'!$B$222:$B$224,0))),'Tabla Impacto'!$F$224&amp;"Por favor no seleccionar los criterios de impacto(Afectación Económica o presupuestal y Pérdida Reputacional)",O61)</f>
        <v xml:space="preserve">     El riesgo afecta la imagen de la entidad con algunos usuarios de relevancia frente al logro de los objetivos</v>
      </c>
      <c r="Q61" s="591" t="str">
        <f>IF(OR(P61='[8]Tabla Impacto'!$C$12,P61='[8]Tabla Impacto'!$D$12),"Leve",IF(OR(P61='[8]Tabla Impacto'!$C$13,P61='[8]Tabla Impacto'!$D$13),"Menor",IF(OR(P61='[8]Tabla Impacto'!$C$14,P61='[8]Tabla Impacto'!$D$14),"Moderado",IF(OR(P61='[8]Tabla Impacto'!$C$15,P61='[8]Tabla Impacto'!$D$15),"Mayor",IF(OR(P61='[8]Tabla Impacto'!$C$16,P61='[8]Tabla Impacto'!$D$16),"Catastrófico","")))))</f>
        <v>Moderado</v>
      </c>
      <c r="R61" s="590">
        <f t="shared" si="0"/>
        <v>0.6</v>
      </c>
      <c r="S61" s="592" t="str">
        <f t="shared" si="1"/>
        <v>Moderado</v>
      </c>
      <c r="T61" s="595">
        <v>1</v>
      </c>
      <c r="U61" s="631" t="s">
        <v>575</v>
      </c>
      <c r="V61" s="595" t="str">
        <f t="shared" si="2"/>
        <v>Probabilidad</v>
      </c>
      <c r="W61" s="596" t="s">
        <v>197</v>
      </c>
      <c r="X61" s="596" t="s">
        <v>198</v>
      </c>
      <c r="Y61" s="597" t="str">
        <f t="shared" ref="Y61:Y124" si="28">IF(AND(W61="Preventivo",X61="Automático"),"50%",IF(AND(W61="Preventivo",X61="Manual"),"40%",IF(AND(W61="Detectivo",X61="Automático"),"40%",IF(AND(W61="Detectivo",X61="Manual"),"30%",IF(AND(W61="Correctivo",X61="Automático"),"35%",IF(AND(W61="Correctivo",X61="Manual"),"25%",""))))))</f>
        <v>40%</v>
      </c>
      <c r="Z61" s="596" t="s">
        <v>259</v>
      </c>
      <c r="AA61" s="596" t="s">
        <v>200</v>
      </c>
      <c r="AB61" s="596" t="s">
        <v>201</v>
      </c>
      <c r="AC61" s="598">
        <f>IFERROR(IF(V61="Probabilidad",(N61-(+N61*Y61)),IF(V61="Impacto",N61,"")),"")</f>
        <v>0.36</v>
      </c>
      <c r="AD61" s="599" t="str">
        <f t="shared" ref="AD61:AD124" si="29">IFERROR(IF(AC61="","",IF(AC61&lt;=0.2,"Muy Baja",IF(AC61&lt;=0.4,"Baja",IF(AC61&lt;=0.6,"Media",IF(AC61&lt;=0.8,"Alta","Muy Alta"))))),"")</f>
        <v>Baja</v>
      </c>
      <c r="AE61" s="600">
        <f t="shared" ref="AE61:AE124" si="30">+AC61</f>
        <v>0.36</v>
      </c>
      <c r="AF61" s="599" t="str">
        <f t="shared" ref="AF61:AF124" si="31">IFERROR(IF(AG61="","",IF(AG61&lt;=0.2,"Leve",IF(AG61&lt;=0.4,"Menor",IF(AG61&lt;=0.6,"Moderado",IF(AG61&lt;=0.8,"Mayor","Catastrófico"))))),"")</f>
        <v>Moderado</v>
      </c>
      <c r="AG61" s="600">
        <f>IFERROR(IF(V61="Impacto",(R61-(+R61*Y61)),IF(V61="Probabilidad",R61,"")),"")</f>
        <v>0.6</v>
      </c>
      <c r="AH61" s="601" t="str">
        <f t="shared" ref="AH61:AH124" si="32">IFERROR(IF(OR(AND(AD61="Muy Baja",AF61="Leve"),AND(AD61="Muy Baja",AF61="Menor"),AND(AD61="Baja",AF61="Leve")),"Bajo",IF(OR(AND(AD61="Muy baja",AF61="Moderado"),AND(AD61="Baja",AF61="Menor"),AND(AD61="Baja",AF61="Moderado"),AND(AD61="Media",AF61="Leve"),AND(AD61="Media",AF61="Menor"),AND(AD61="Media",AF61="Moderado"),AND(AD61="Alta",AF61="Leve"),AND(AD61="Alta",AF61="Menor")),"Moderado",IF(OR(AND(AD61="Muy Baja",AF61="Mayor"),AND(AD61="Baja",AF61="Mayor"),AND(AD61="Media",AF61="Mayor"),AND(AD61="Alta",AF61="Moderado"),AND(AD61="Alta",AF61="Mayor"),AND(AD61="Muy Alta",AF61="Leve"),AND(AD61="Muy Alta",AF61="Menor"),AND(AD61="Muy Alta",AF61="Moderado"),AND(AD61="Muy Alta",AF61="Mayor")),"Alto",IF(OR(AND(AD61="Muy Baja",AF61="Catastrófico"),AND(AD61="Baja",AF61="Catastrófico"),AND(AD61="Media",AF61="Catastrófico"),AND(AD61="Alta",AF61="Catastrófico"),AND(AD61="Muy Alta",AF61="Catastrófico")),"Extremo","")))),"")</f>
        <v>Moderado</v>
      </c>
      <c r="AI61" s="602" t="s">
        <v>202</v>
      </c>
      <c r="AJ61" s="603"/>
      <c r="AK61" s="603"/>
      <c r="AL61" s="604"/>
      <c r="AM61" s="605"/>
      <c r="AN61" s="606"/>
      <c r="AO61" s="607"/>
      <c r="AP61" s="608">
        <v>45755</v>
      </c>
      <c r="AQ61" s="609" t="s">
        <v>576</v>
      </c>
      <c r="AR61" s="283" t="s">
        <v>577</v>
      </c>
      <c r="AS61" s="611" t="s">
        <v>205</v>
      </c>
      <c r="AT61" s="612" t="s">
        <v>206</v>
      </c>
      <c r="AU61" s="283" t="s">
        <v>206</v>
      </c>
      <c r="AV61" s="613"/>
      <c r="AW61" s="614">
        <v>45782</v>
      </c>
      <c r="AX61" s="615" t="s">
        <v>207</v>
      </c>
      <c r="AY61" s="635" t="s">
        <v>578</v>
      </c>
      <c r="BA61" s="617"/>
      <c r="BB61" s="617"/>
      <c r="BC61" s="618" t="s">
        <v>209</v>
      </c>
      <c r="BE61" s="672" t="s">
        <v>579</v>
      </c>
      <c r="BF61" s="673" t="s">
        <v>580</v>
      </c>
      <c r="BG61" s="674" t="s">
        <v>581</v>
      </c>
      <c r="BH61" s="619" t="s">
        <v>205</v>
      </c>
      <c r="BI61" s="675" t="s">
        <v>206</v>
      </c>
      <c r="BJ61" s="675" t="s">
        <v>206</v>
      </c>
      <c r="BL61" s="450">
        <v>45861</v>
      </c>
      <c r="BM61" s="676" t="s">
        <v>215</v>
      </c>
      <c r="BN61" s="283" t="s">
        <v>231</v>
      </c>
      <c r="BP61" s="617"/>
      <c r="BQ61" s="617"/>
      <c r="BR61" s="618" t="s">
        <v>209</v>
      </c>
      <c r="BT61" s="476">
        <v>45944</v>
      </c>
      <c r="BU61" s="471" t="s">
        <v>582</v>
      </c>
      <c r="BV61" s="677" t="s">
        <v>583</v>
      </c>
      <c r="BW61" s="651" t="s">
        <v>205</v>
      </c>
      <c r="BX61" s="615" t="s">
        <v>206</v>
      </c>
      <c r="BY61" s="615" t="s">
        <v>206</v>
      </c>
      <c r="CA61" s="614">
        <v>45992</v>
      </c>
      <c r="CB61" s="616" t="s">
        <v>218</v>
      </c>
      <c r="CC61" s="286" t="s">
        <v>233</v>
      </c>
      <c r="CE61" s="617"/>
      <c r="CF61" s="617"/>
      <c r="CG61" s="618" t="s">
        <v>209</v>
      </c>
      <c r="CH61" s="192"/>
      <c r="CI61" s="558"/>
      <c r="CJ61" s="558"/>
      <c r="CK61" s="559" t="s">
        <v>209</v>
      </c>
      <c r="CL61" s="558"/>
      <c r="CM61" s="558"/>
      <c r="CN61" s="558"/>
      <c r="CO61" s="553"/>
      <c r="CP61" s="558"/>
      <c r="CQ61" s="558"/>
      <c r="CR61" s="559" t="s">
        <v>209</v>
      </c>
      <c r="CS61" s="553"/>
      <c r="CT61" s="558"/>
      <c r="CU61" s="558"/>
      <c r="CV61" s="559" t="s">
        <v>209</v>
      </c>
    </row>
    <row r="62" spans="1:100" ht="151.5" customHeight="1" x14ac:dyDescent="0.3">
      <c r="A62" s="622">
        <v>30</v>
      </c>
      <c r="B62" s="622" t="s">
        <v>569</v>
      </c>
      <c r="C62" s="623" t="s">
        <v>570</v>
      </c>
      <c r="D62" s="585" t="str">
        <f>IFERROR(INDEX('Base de datos gestión'!$D$28:$D$50,MATCH(C62,'Base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2" s="585" t="str">
        <f>IFERROR(INDEX('Base de datos gestión'!$E$28:$E$50,MATCH(C62,'Base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2" s="628" t="s">
        <v>276</v>
      </c>
      <c r="G62" s="629" t="s">
        <v>571</v>
      </c>
      <c r="H62" s="628" t="s">
        <v>572</v>
      </c>
      <c r="I62" s="628" t="s">
        <v>573</v>
      </c>
      <c r="J62" s="630" t="s">
        <v>574</v>
      </c>
      <c r="K62" s="630" t="s">
        <v>311</v>
      </c>
      <c r="L62" s="630">
        <v>50</v>
      </c>
      <c r="M62" s="588" t="str">
        <f>IF(L62&lt;=0,"",IF(L62&lt;=2,"Muy Baja",IF(L62&lt;=24,"Baja",IF(L62&lt;=500,"Media",IF(L62&lt;=5000,"Alta","Muy Alta")))))</f>
        <v>Media</v>
      </c>
      <c r="N62" s="589">
        <f t="shared" si="15"/>
        <v>0.6</v>
      </c>
      <c r="O62" s="590" t="s">
        <v>248</v>
      </c>
      <c r="P62" s="589" t="str">
        <f>IF(NOT(ISERROR(MATCH(O62,'Tabla Impacto'!$B$222:$B$224,0))),'Tabla Impacto'!$F$224&amp;"Por favor no seleccionar los criterios de impacto(Afectación Económica o presupuestal y Pérdida Reputacional)",O62)</f>
        <v xml:space="preserve">     El riesgo afecta la imagen de la entidad con algunos usuarios de relevancia frente al logro de los objetivos</v>
      </c>
      <c r="Q62" s="591" t="str">
        <f>IF(OR(P62='[8]Tabla Impacto'!$C$12,P62='[8]Tabla Impacto'!$D$12),"Leve",IF(OR(P62='[8]Tabla Impacto'!$C$13,P62='[8]Tabla Impacto'!$D$13),"Menor",IF(OR(P62='[8]Tabla Impacto'!$C$14,P62='[8]Tabla Impacto'!$D$14),"Moderado",IF(OR(P62='[8]Tabla Impacto'!$C$15,P62='[8]Tabla Impacto'!$D$15),"Mayor",IF(OR(P62='[8]Tabla Impacto'!$C$16,P62='[8]Tabla Impacto'!$D$16),"Catastrófico","")))))</f>
        <v>Moderado</v>
      </c>
      <c r="R62" s="590">
        <f t="shared" si="0"/>
        <v>0.6</v>
      </c>
      <c r="S62" s="592" t="str">
        <f t="shared" si="1"/>
        <v>Moderado</v>
      </c>
      <c r="T62" s="595">
        <v>2</v>
      </c>
      <c r="U62" s="631" t="s">
        <v>584</v>
      </c>
      <c r="V62" s="595" t="str">
        <f t="shared" si="2"/>
        <v>Probabilidad</v>
      </c>
      <c r="W62" s="596" t="s">
        <v>197</v>
      </c>
      <c r="X62" s="596" t="s">
        <v>198</v>
      </c>
      <c r="Y62" s="597" t="str">
        <f t="shared" si="28"/>
        <v>40%</v>
      </c>
      <c r="Z62" s="596" t="s">
        <v>199</v>
      </c>
      <c r="AA62" s="596" t="s">
        <v>200</v>
      </c>
      <c r="AB62" s="596" t="s">
        <v>250</v>
      </c>
      <c r="AC62" s="598">
        <f>IFERROR(IF(AND(V61="Probabilidad",V62="Probabilidad"),(AE61-(+AE61*Y62)),IF(V62="Probabilidad",(N61-(+N61*Y62)),IF(V62="Impacto",AE61,""))),"")</f>
        <v>0.216</v>
      </c>
      <c r="AD62" s="599" t="str">
        <f t="shared" si="29"/>
        <v>Baja</v>
      </c>
      <c r="AE62" s="600">
        <f t="shared" si="30"/>
        <v>0.216</v>
      </c>
      <c r="AF62" s="599" t="str">
        <f t="shared" si="31"/>
        <v>Moderado</v>
      </c>
      <c r="AG62" s="600">
        <f>IFERROR(IF(AND(V61="Impacto",V62="Impacto"),(AG55-(+AG55*Y62)),IF(V62="Impacto",($R$49-(+$R$49*Y62)),IF(V62="Probabilidad",AG55,""))),"")</f>
        <v>0.6</v>
      </c>
      <c r="AH62" s="601" t="str">
        <f t="shared" si="32"/>
        <v>Moderado</v>
      </c>
      <c r="AI62" s="602" t="s">
        <v>202</v>
      </c>
      <c r="AJ62" s="603"/>
      <c r="AK62" s="603"/>
      <c r="AL62" s="604"/>
      <c r="AM62" s="605"/>
      <c r="AN62" s="606"/>
      <c r="AO62" s="607"/>
      <c r="AP62" s="608">
        <v>45755</v>
      </c>
      <c r="AQ62" s="609" t="s">
        <v>576</v>
      </c>
      <c r="AR62" s="283" t="s">
        <v>585</v>
      </c>
      <c r="AS62" s="611" t="s">
        <v>205</v>
      </c>
      <c r="AT62" s="612" t="s">
        <v>206</v>
      </c>
      <c r="AU62" s="283" t="s">
        <v>206</v>
      </c>
      <c r="AV62" s="613"/>
      <c r="AW62" s="614">
        <v>45782</v>
      </c>
      <c r="AX62" s="615" t="s">
        <v>207</v>
      </c>
      <c r="AY62" s="635" t="s">
        <v>578</v>
      </c>
      <c r="BA62" s="617"/>
      <c r="BB62" s="617"/>
      <c r="BC62" s="618" t="s">
        <v>209</v>
      </c>
      <c r="BE62" s="672" t="s">
        <v>579</v>
      </c>
      <c r="BF62" s="673" t="s">
        <v>580</v>
      </c>
      <c r="BG62" s="674" t="s">
        <v>586</v>
      </c>
      <c r="BH62" s="619" t="s">
        <v>205</v>
      </c>
      <c r="BI62" s="675" t="s">
        <v>206</v>
      </c>
      <c r="BJ62" s="675" t="s">
        <v>206</v>
      </c>
      <c r="BL62" s="450">
        <v>45861</v>
      </c>
      <c r="BM62" s="676" t="s">
        <v>215</v>
      </c>
      <c r="BN62" s="283" t="s">
        <v>231</v>
      </c>
      <c r="BP62" s="617"/>
      <c r="BQ62" s="617"/>
      <c r="BR62" s="618" t="s">
        <v>209</v>
      </c>
      <c r="BT62" s="476">
        <v>45944</v>
      </c>
      <c r="BU62" s="471" t="s">
        <v>582</v>
      </c>
      <c r="BV62" s="677" t="s">
        <v>583</v>
      </c>
      <c r="BW62" s="651" t="s">
        <v>205</v>
      </c>
      <c r="BX62" s="615" t="s">
        <v>206</v>
      </c>
      <c r="BY62" s="615" t="s">
        <v>206</v>
      </c>
      <c r="CA62" s="614">
        <v>45992</v>
      </c>
      <c r="CB62" s="616" t="s">
        <v>218</v>
      </c>
      <c r="CC62" s="286" t="s">
        <v>233</v>
      </c>
      <c r="CE62" s="617"/>
      <c r="CF62" s="617"/>
      <c r="CG62" s="618" t="s">
        <v>209</v>
      </c>
      <c r="CH62" s="192"/>
      <c r="CI62" s="558"/>
      <c r="CJ62" s="558"/>
      <c r="CK62" s="559" t="s">
        <v>209</v>
      </c>
      <c r="CL62" s="558"/>
      <c r="CM62" s="558"/>
      <c r="CN62" s="558"/>
      <c r="CO62" s="553"/>
      <c r="CP62" s="558"/>
      <c r="CQ62" s="558"/>
      <c r="CR62" s="559" t="s">
        <v>209</v>
      </c>
      <c r="CS62" s="553"/>
      <c r="CT62" s="558"/>
      <c r="CU62" s="558"/>
      <c r="CV62" s="559" t="s">
        <v>209</v>
      </c>
    </row>
    <row r="63" spans="1:100" ht="151.5" customHeight="1" x14ac:dyDescent="0.3">
      <c r="A63" s="622">
        <v>30</v>
      </c>
      <c r="B63" s="622" t="s">
        <v>569</v>
      </c>
      <c r="C63" s="623" t="s">
        <v>570</v>
      </c>
      <c r="D63" s="585" t="str">
        <f>IFERROR(INDEX('Base de datos gestión'!$D$28:$D$50,MATCH(C63,'Base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3" s="585" t="str">
        <f>IFERROR(INDEX('Base de datos gestión'!$E$28:$E$50,MATCH(C63,'Base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3" s="628" t="s">
        <v>276</v>
      </c>
      <c r="G63" s="629" t="s">
        <v>571</v>
      </c>
      <c r="H63" s="628" t="s">
        <v>572</v>
      </c>
      <c r="I63" s="628" t="s">
        <v>573</v>
      </c>
      <c r="J63" s="630" t="s">
        <v>574</v>
      </c>
      <c r="K63" s="630" t="s">
        <v>311</v>
      </c>
      <c r="L63" s="630">
        <v>50</v>
      </c>
      <c r="M63" s="588" t="str">
        <f t="shared" ref="M63" si="33">IF(L63&lt;=0,"",IF(L63&lt;=2,"Muy Baja",IF(L63&lt;=24,"Baja",IF(L63&lt;=500,"Media",IF(L63&lt;=5000,"Alta","Muy Alta")))))</f>
        <v>Media</v>
      </c>
      <c r="N63" s="589">
        <f t="shared" si="15"/>
        <v>0.6</v>
      </c>
      <c r="O63" s="590" t="s">
        <v>248</v>
      </c>
      <c r="P63" s="589" t="str">
        <f>IF(NOT(ISERROR(MATCH(O63,'Tabla Impacto'!$B$222:$B$224,0))),'Tabla Impacto'!$F$224&amp;"Por favor no seleccionar los criterios de impacto(Afectación Económica o presupuestal y Pérdida Reputacional)",O63)</f>
        <v xml:space="preserve">     El riesgo afecta la imagen de la entidad con algunos usuarios de relevancia frente al logro de los objetivos</v>
      </c>
      <c r="Q63" s="591" t="str">
        <f>IF(OR(P63='[8]Tabla Impacto'!$C$12,P63='[8]Tabla Impacto'!$D$12),"Leve",IF(OR(P63='[8]Tabla Impacto'!$C$13,P63='[8]Tabla Impacto'!$D$13),"Menor",IF(OR(P63='[8]Tabla Impacto'!$C$14,P63='[8]Tabla Impacto'!$D$14),"Moderado",IF(OR(P63='[8]Tabla Impacto'!$C$15,P63='[8]Tabla Impacto'!$D$15),"Mayor",IF(OR(P63='[8]Tabla Impacto'!$C$16,P63='[8]Tabla Impacto'!$D$16),"Catastrófico","")))))</f>
        <v>Moderado</v>
      </c>
      <c r="R63" s="590">
        <f t="shared" si="0"/>
        <v>0.6</v>
      </c>
      <c r="S63" s="592" t="str">
        <f t="shared" si="1"/>
        <v>Moderado</v>
      </c>
      <c r="T63" s="595">
        <v>3</v>
      </c>
      <c r="U63" s="631" t="s">
        <v>587</v>
      </c>
      <c r="V63" s="595" t="str">
        <f t="shared" si="2"/>
        <v>Probabilidad</v>
      </c>
      <c r="W63" s="596" t="s">
        <v>197</v>
      </c>
      <c r="X63" s="596" t="s">
        <v>198</v>
      </c>
      <c r="Y63" s="597" t="str">
        <f t="shared" si="28"/>
        <v>40%</v>
      </c>
      <c r="Z63" s="596" t="s">
        <v>259</v>
      </c>
      <c r="AA63" s="596" t="s">
        <v>200</v>
      </c>
      <c r="AB63" s="596" t="s">
        <v>201</v>
      </c>
      <c r="AC63" s="598">
        <f>IFERROR(IF(AND(V62="Probabilidad",V63="Probabilidad"),(AE62-(+AE62*Y63)),IF(AND(V62="Impacto",V63="Probabilidad"),(AE61-(+AE61*Y63)),IF(V63="Impacto",AE62,""))),"")</f>
        <v>0.12959999999999999</v>
      </c>
      <c r="AD63" s="599" t="str">
        <f t="shared" si="29"/>
        <v>Muy Baja</v>
      </c>
      <c r="AE63" s="600">
        <f t="shared" si="30"/>
        <v>0.12959999999999999</v>
      </c>
      <c r="AF63" s="599" t="str">
        <f t="shared" si="31"/>
        <v>Moderado</v>
      </c>
      <c r="AG63" s="600">
        <f>IFERROR(IF(AND(V62="Impacto",V63="Impacto"),(AG62-(+AG62*Y63)),IF(AND(V62="Probabilidad",V63="Impacto"),(AG61-(+AG61*Y63)),IF(V63="Probabilidad",AG62,""))),"")</f>
        <v>0.6</v>
      </c>
      <c r="AH63" s="601" t="str">
        <f t="shared" si="32"/>
        <v>Moderado</v>
      </c>
      <c r="AI63" s="602" t="s">
        <v>202</v>
      </c>
      <c r="AJ63" s="603"/>
      <c r="AK63" s="603"/>
      <c r="AL63" s="604"/>
      <c r="AM63" s="605"/>
      <c r="AN63" s="606"/>
      <c r="AO63" s="607"/>
      <c r="AP63" s="608">
        <v>45755</v>
      </c>
      <c r="AQ63" s="609" t="s">
        <v>576</v>
      </c>
      <c r="AR63" s="283" t="s">
        <v>588</v>
      </c>
      <c r="AS63" s="611" t="s">
        <v>205</v>
      </c>
      <c r="AT63" s="612" t="s">
        <v>206</v>
      </c>
      <c r="AU63" s="283" t="s">
        <v>206</v>
      </c>
      <c r="AV63" s="613"/>
      <c r="AW63" s="614">
        <v>45782</v>
      </c>
      <c r="AX63" s="615" t="s">
        <v>207</v>
      </c>
      <c r="AY63" s="635" t="s">
        <v>578</v>
      </c>
      <c r="BA63" s="617"/>
      <c r="BB63" s="617"/>
      <c r="BC63" s="618" t="s">
        <v>209</v>
      </c>
      <c r="BE63" s="672" t="s">
        <v>579</v>
      </c>
      <c r="BF63" s="673" t="s">
        <v>580</v>
      </c>
      <c r="BG63" s="674" t="s">
        <v>589</v>
      </c>
      <c r="BH63" s="619" t="s">
        <v>205</v>
      </c>
      <c r="BI63" s="675" t="s">
        <v>206</v>
      </c>
      <c r="BJ63" s="675" t="s">
        <v>206</v>
      </c>
      <c r="BL63" s="450">
        <v>45861</v>
      </c>
      <c r="BM63" s="676" t="s">
        <v>215</v>
      </c>
      <c r="BN63" s="283" t="s">
        <v>231</v>
      </c>
      <c r="BP63" s="617"/>
      <c r="BQ63" s="617"/>
      <c r="BR63" s="618" t="s">
        <v>209</v>
      </c>
      <c r="BT63" s="476">
        <v>45944</v>
      </c>
      <c r="BU63" s="471" t="s">
        <v>582</v>
      </c>
      <c r="BV63" s="677" t="s">
        <v>583</v>
      </c>
      <c r="BW63" s="651" t="s">
        <v>205</v>
      </c>
      <c r="BX63" s="615" t="s">
        <v>206</v>
      </c>
      <c r="BY63" s="615" t="s">
        <v>206</v>
      </c>
      <c r="CA63" s="614">
        <v>45992</v>
      </c>
      <c r="CB63" s="616" t="s">
        <v>218</v>
      </c>
      <c r="CC63" s="286" t="s">
        <v>233</v>
      </c>
      <c r="CE63" s="617"/>
      <c r="CF63" s="617"/>
      <c r="CG63" s="618" t="s">
        <v>209</v>
      </c>
      <c r="CH63" s="192"/>
      <c r="CI63" s="558"/>
      <c r="CJ63" s="558"/>
      <c r="CK63" s="559" t="s">
        <v>209</v>
      </c>
      <c r="CL63" s="558"/>
      <c r="CM63" s="558"/>
      <c r="CN63" s="558"/>
      <c r="CO63" s="553"/>
      <c r="CP63" s="558"/>
      <c r="CQ63" s="558"/>
      <c r="CR63" s="559" t="s">
        <v>209</v>
      </c>
      <c r="CS63" s="553"/>
      <c r="CT63" s="558"/>
      <c r="CU63" s="558"/>
      <c r="CV63" s="559" t="s">
        <v>209</v>
      </c>
    </row>
    <row r="64" spans="1:100" ht="151.5" customHeight="1" x14ac:dyDescent="0.3">
      <c r="A64" s="622">
        <v>31</v>
      </c>
      <c r="B64" s="622" t="s">
        <v>590</v>
      </c>
      <c r="C64" s="623" t="s">
        <v>570</v>
      </c>
      <c r="D64" s="585" t="str">
        <f>IFERROR(INDEX('Base de datos gestión'!$D$28:$D$50,MATCH(C64,'Base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4" s="585" t="str">
        <f>IFERROR(INDEX('Base de datos gestión'!$E$28:$E$50,MATCH(C64,'Base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4" s="628" t="s">
        <v>276</v>
      </c>
      <c r="G64" s="629" t="s">
        <v>591</v>
      </c>
      <c r="H64" s="628" t="s">
        <v>592</v>
      </c>
      <c r="I64" s="628" t="s">
        <v>593</v>
      </c>
      <c r="J64" s="630" t="s">
        <v>192</v>
      </c>
      <c r="K64" s="630" t="s">
        <v>311</v>
      </c>
      <c r="L64" s="630">
        <v>20</v>
      </c>
      <c r="M64" s="588" t="str">
        <f>IF(L64&lt;=0,"",IF(L64&lt;=2,"Muy Baja",IF(L64&lt;=24,"Baja",IF(L64&lt;=500,"Media",IF(L64&lt;=5000,"Alta","Muy Alta")))))</f>
        <v>Baja</v>
      </c>
      <c r="N64" s="589">
        <f t="shared" si="15"/>
        <v>0.4</v>
      </c>
      <c r="O64" s="590" t="s">
        <v>281</v>
      </c>
      <c r="P64" s="589" t="str">
        <f>IF(NOT(ISERROR(MATCH(O64,'Tabla Impacto'!$B$222:$B$224,0))),'Tabla Impacto'!$F$224&amp;"Por favor no seleccionar los criterios de impacto(Afectación Económica o presupuestal y Pérdida Reputacional)",O64)</f>
        <v xml:space="preserve">     El riesgo afecta la imagen de de la entidad con efecto publicitario sostenido a nivel de sector administrativo, nivel departamental o municipal</v>
      </c>
      <c r="Q64" s="591" t="str">
        <f>IF(OR(P64='[8]Tabla Impacto'!$C$12,P64='[8]Tabla Impacto'!$D$12),"Leve",IF(OR(P64='[8]Tabla Impacto'!$C$13,P64='[8]Tabla Impacto'!$D$13),"Menor",IF(OR(P64='[8]Tabla Impacto'!$C$14,P64='[8]Tabla Impacto'!$D$14),"Moderado",IF(OR(P64='[8]Tabla Impacto'!$C$15,P64='[8]Tabla Impacto'!$D$15),"Mayor",IF(OR(P64='[8]Tabla Impacto'!$C$16,P64='[8]Tabla Impacto'!$D$16),"Catastrófico","")))))</f>
        <v>Mayor</v>
      </c>
      <c r="R64" s="590">
        <f t="shared" si="0"/>
        <v>0.8</v>
      </c>
      <c r="S64" s="592" t="str">
        <f t="shared" si="1"/>
        <v>Alto</v>
      </c>
      <c r="T64" s="595">
        <v>1</v>
      </c>
      <c r="U64" s="631" t="s">
        <v>594</v>
      </c>
      <c r="V64" s="595" t="str">
        <f t="shared" si="2"/>
        <v>Probabilidad</v>
      </c>
      <c r="W64" s="596" t="s">
        <v>197</v>
      </c>
      <c r="X64" s="596" t="s">
        <v>198</v>
      </c>
      <c r="Y64" s="597" t="str">
        <f t="shared" si="28"/>
        <v>40%</v>
      </c>
      <c r="Z64" s="596" t="s">
        <v>259</v>
      </c>
      <c r="AA64" s="596" t="s">
        <v>200</v>
      </c>
      <c r="AB64" s="596" t="s">
        <v>201</v>
      </c>
      <c r="AC64" s="598">
        <f>IFERROR(IF(AND(V63="Probabilidad",V64="Probabilidad"),(AE63-(+AE63*Y64)),IF(AND(V63="Impacto",V64="Probabilidad"),(AE62-(+AE62*Y64)),IF(V64="Impacto",AE63,""))),"")</f>
        <v>7.7759999999999996E-2</v>
      </c>
      <c r="AD64" s="599" t="str">
        <f t="shared" si="29"/>
        <v>Muy Baja</v>
      </c>
      <c r="AE64" s="600">
        <f t="shared" si="30"/>
        <v>7.7759999999999996E-2</v>
      </c>
      <c r="AF64" s="599" t="str">
        <f t="shared" si="31"/>
        <v>Moderado</v>
      </c>
      <c r="AG64" s="600">
        <f>IFERROR(IF(AND(V63="Impacto",V64="Impacto"),(AG63-(+AG63*Y64)),IF(AND(V63="Probabilidad",V64="Impacto"),(AG62-(+AG62*Y64)),IF(V64="Probabilidad",AG63,""))),"")</f>
        <v>0.6</v>
      </c>
      <c r="AH64" s="601" t="str">
        <f t="shared" si="32"/>
        <v>Moderado</v>
      </c>
      <c r="AI64" s="602" t="s">
        <v>202</v>
      </c>
      <c r="AJ64" s="603"/>
      <c r="AK64" s="603"/>
      <c r="AL64" s="604"/>
      <c r="AM64" s="605"/>
      <c r="AN64" s="606"/>
      <c r="AO64" s="607"/>
      <c r="AP64" s="608">
        <v>45878</v>
      </c>
      <c r="AQ64" s="609" t="s">
        <v>576</v>
      </c>
      <c r="AR64" s="283" t="s">
        <v>595</v>
      </c>
      <c r="AS64" s="611" t="s">
        <v>205</v>
      </c>
      <c r="AT64" s="612" t="s">
        <v>206</v>
      </c>
      <c r="AU64" s="283" t="s">
        <v>206</v>
      </c>
      <c r="AV64" s="613"/>
      <c r="AW64" s="614">
        <v>45782</v>
      </c>
      <c r="AX64" s="615" t="s">
        <v>207</v>
      </c>
      <c r="AY64" s="635" t="s">
        <v>578</v>
      </c>
      <c r="BA64" s="617"/>
      <c r="BB64" s="617"/>
      <c r="BC64" s="618" t="s">
        <v>209</v>
      </c>
      <c r="BE64" s="672" t="s">
        <v>579</v>
      </c>
      <c r="BF64" s="673" t="s">
        <v>580</v>
      </c>
      <c r="BG64" s="674" t="s">
        <v>596</v>
      </c>
      <c r="BH64" s="619" t="s">
        <v>205</v>
      </c>
      <c r="BI64" s="675" t="s">
        <v>206</v>
      </c>
      <c r="BJ64" s="675" t="s">
        <v>206</v>
      </c>
      <c r="BL64" s="450">
        <v>45861</v>
      </c>
      <c r="BM64" s="676" t="s">
        <v>215</v>
      </c>
      <c r="BN64" s="283" t="s">
        <v>231</v>
      </c>
      <c r="BP64" s="617"/>
      <c r="BQ64" s="617"/>
      <c r="BR64" s="618" t="s">
        <v>209</v>
      </c>
      <c r="BT64" s="476">
        <v>45944</v>
      </c>
      <c r="BU64" s="471" t="s">
        <v>582</v>
      </c>
      <c r="BV64" s="283" t="s">
        <v>597</v>
      </c>
      <c r="BW64" s="651" t="s">
        <v>205</v>
      </c>
      <c r="BX64" s="615" t="s">
        <v>206</v>
      </c>
      <c r="BY64" s="615" t="s">
        <v>206</v>
      </c>
      <c r="CA64" s="614">
        <v>45992</v>
      </c>
      <c r="CB64" s="616" t="s">
        <v>218</v>
      </c>
      <c r="CC64" s="286" t="s">
        <v>233</v>
      </c>
      <c r="CE64" s="617"/>
      <c r="CF64" s="617"/>
      <c r="CG64" s="618" t="s">
        <v>209</v>
      </c>
      <c r="CH64" s="192"/>
      <c r="CI64" s="558"/>
      <c r="CJ64" s="558"/>
      <c r="CK64" s="559" t="s">
        <v>209</v>
      </c>
      <c r="CL64" s="558"/>
      <c r="CM64" s="558"/>
      <c r="CN64" s="558"/>
      <c r="CO64" s="553"/>
      <c r="CP64" s="558"/>
      <c r="CQ64" s="558"/>
      <c r="CR64" s="559" t="s">
        <v>209</v>
      </c>
      <c r="CS64" s="553"/>
      <c r="CT64" s="558"/>
      <c r="CU64" s="558"/>
      <c r="CV64" s="559" t="s">
        <v>209</v>
      </c>
    </row>
    <row r="65" spans="1:100" ht="151.5" customHeight="1" x14ac:dyDescent="0.3">
      <c r="A65" s="622">
        <v>31</v>
      </c>
      <c r="B65" s="622" t="s">
        <v>590</v>
      </c>
      <c r="C65" s="623" t="s">
        <v>570</v>
      </c>
      <c r="D65" s="585" t="str">
        <f>IFERROR(INDEX('Base de datos gestión'!$D$28:$D$50,MATCH(C65,'Base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5" s="585" t="str">
        <f>IFERROR(INDEX('Base de datos gestión'!$E$28:$E$50,MATCH(C65,'Base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5" s="628" t="s">
        <v>276</v>
      </c>
      <c r="G65" s="629" t="s">
        <v>591</v>
      </c>
      <c r="H65" s="628" t="s">
        <v>592</v>
      </c>
      <c r="I65" s="628" t="s">
        <v>593</v>
      </c>
      <c r="J65" s="630" t="s">
        <v>192</v>
      </c>
      <c r="K65" s="630" t="s">
        <v>311</v>
      </c>
      <c r="L65" s="630">
        <v>20</v>
      </c>
      <c r="M65" s="588" t="str">
        <f t="shared" ref="M65" si="34">IF(L65&lt;=0,"",IF(L65&lt;=2,"Muy Baja",IF(L65&lt;=24,"Baja",IF(L65&lt;=500,"Media",IF(L65&lt;=5000,"Alta","Muy Alta")))))</f>
        <v>Baja</v>
      </c>
      <c r="N65" s="589">
        <f t="shared" si="15"/>
        <v>0.4</v>
      </c>
      <c r="O65" s="590" t="s">
        <v>281</v>
      </c>
      <c r="P65" s="589" t="str">
        <f>IF(NOT(ISERROR(MATCH(O65,'Tabla Impacto'!$B$222:$B$224,0))),'Tabla Impacto'!$F$224&amp;"Por favor no seleccionar los criterios de impacto(Afectación Económica o presupuestal y Pérdida Reputacional)",O65)</f>
        <v xml:space="preserve">     El riesgo afecta la imagen de de la entidad con efecto publicitario sostenido a nivel de sector administrativo, nivel departamental o municipal</v>
      </c>
      <c r="Q65" s="591" t="str">
        <f>IF(OR(P65='[8]Tabla Impacto'!$C$12,P65='[8]Tabla Impacto'!$D$12),"Leve",IF(OR(P65='[8]Tabla Impacto'!$C$13,P65='[8]Tabla Impacto'!$D$13),"Menor",IF(OR(P65='[8]Tabla Impacto'!$C$14,P65='[8]Tabla Impacto'!$D$14),"Moderado",IF(OR(P65='[8]Tabla Impacto'!$C$15,P65='[8]Tabla Impacto'!$D$15),"Mayor",IF(OR(P65='[8]Tabla Impacto'!$C$16,P65='[8]Tabla Impacto'!$D$16),"Catastrófico","")))))</f>
        <v>Mayor</v>
      </c>
      <c r="R65" s="590">
        <f t="shared" si="0"/>
        <v>0.8</v>
      </c>
      <c r="S65" s="592" t="str">
        <f t="shared" si="1"/>
        <v>Alto</v>
      </c>
      <c r="T65" s="595">
        <v>2</v>
      </c>
      <c r="U65" s="631" t="s">
        <v>598</v>
      </c>
      <c r="V65" s="595" t="str">
        <f t="shared" si="2"/>
        <v>Probabilidad</v>
      </c>
      <c r="W65" s="596" t="s">
        <v>269</v>
      </c>
      <c r="X65" s="596" t="s">
        <v>198</v>
      </c>
      <c r="Y65" s="597" t="str">
        <f t="shared" si="28"/>
        <v>30%</v>
      </c>
      <c r="Z65" s="596" t="s">
        <v>259</v>
      </c>
      <c r="AA65" s="596" t="s">
        <v>225</v>
      </c>
      <c r="AB65" s="596" t="s">
        <v>201</v>
      </c>
      <c r="AC65" s="598">
        <f>IFERROR(IF(AND(V64="Probabilidad",V65="Probabilidad"),(AE64-(+AE64*Y65)),IF(AND(V64="Impacto",V65="Probabilidad"),(AE63-(+AE63*Y65)),IF(V65="Impacto",AE64,""))),"")</f>
        <v>5.4431999999999994E-2</v>
      </c>
      <c r="AD65" s="599" t="str">
        <f t="shared" si="29"/>
        <v>Muy Baja</v>
      </c>
      <c r="AE65" s="600">
        <f t="shared" si="30"/>
        <v>5.4431999999999994E-2</v>
      </c>
      <c r="AF65" s="599" t="str">
        <f t="shared" si="31"/>
        <v>Moderado</v>
      </c>
      <c r="AG65" s="600">
        <f>IFERROR(IF(AND(V64="Impacto",V65="Impacto"),(AG64-(+AG64*Y65)),IF(AND(V64="Probabilidad",V65="Impacto"),(AG63-(+AG63*Y65)),IF(V65="Probabilidad",AG64,""))),"")</f>
        <v>0.6</v>
      </c>
      <c r="AH65" s="601" t="str">
        <f t="shared" si="32"/>
        <v>Moderado</v>
      </c>
      <c r="AI65" s="602" t="s">
        <v>202</v>
      </c>
      <c r="AJ65" s="603"/>
      <c r="AK65" s="603"/>
      <c r="AL65" s="604"/>
      <c r="AM65" s="605"/>
      <c r="AN65" s="606"/>
      <c r="AO65" s="607"/>
      <c r="AP65" s="608">
        <v>45878</v>
      </c>
      <c r="AQ65" s="609" t="s">
        <v>576</v>
      </c>
      <c r="AR65" s="283" t="s">
        <v>599</v>
      </c>
      <c r="AS65" s="611" t="s">
        <v>205</v>
      </c>
      <c r="AT65" s="612" t="s">
        <v>206</v>
      </c>
      <c r="AU65" s="283" t="s">
        <v>206</v>
      </c>
      <c r="AV65" s="613"/>
      <c r="AW65" s="614">
        <v>45782</v>
      </c>
      <c r="AX65" s="615" t="s">
        <v>207</v>
      </c>
      <c r="AY65" s="635" t="s">
        <v>578</v>
      </c>
      <c r="BA65" s="617"/>
      <c r="BB65" s="617"/>
      <c r="BC65" s="618" t="s">
        <v>209</v>
      </c>
      <c r="BE65" s="672" t="s">
        <v>579</v>
      </c>
      <c r="BF65" s="673" t="s">
        <v>580</v>
      </c>
      <c r="BG65" s="674" t="s">
        <v>600</v>
      </c>
      <c r="BH65" s="619" t="s">
        <v>205</v>
      </c>
      <c r="BI65" s="675" t="s">
        <v>206</v>
      </c>
      <c r="BJ65" s="675" t="s">
        <v>206</v>
      </c>
      <c r="BL65" s="450">
        <v>45861</v>
      </c>
      <c r="BM65" s="676" t="s">
        <v>215</v>
      </c>
      <c r="BN65" s="283" t="s">
        <v>231</v>
      </c>
      <c r="BP65" s="617"/>
      <c r="BQ65" s="617"/>
      <c r="BR65" s="618" t="s">
        <v>209</v>
      </c>
      <c r="BT65" s="476">
        <v>45944</v>
      </c>
      <c r="BU65" s="471" t="s">
        <v>582</v>
      </c>
      <c r="BV65" s="283" t="s">
        <v>597</v>
      </c>
      <c r="BW65" s="651" t="s">
        <v>205</v>
      </c>
      <c r="BX65" s="615" t="s">
        <v>206</v>
      </c>
      <c r="BY65" s="615" t="s">
        <v>206</v>
      </c>
      <c r="CA65" s="614">
        <v>45992</v>
      </c>
      <c r="CB65" s="616" t="s">
        <v>218</v>
      </c>
      <c r="CC65" s="286" t="s">
        <v>233</v>
      </c>
      <c r="CE65" s="617"/>
      <c r="CF65" s="617"/>
      <c r="CG65" s="618" t="s">
        <v>209</v>
      </c>
      <c r="CH65" s="192"/>
      <c r="CI65" s="558"/>
      <c r="CJ65" s="558"/>
      <c r="CK65" s="559" t="s">
        <v>209</v>
      </c>
      <c r="CL65" s="558"/>
      <c r="CM65" s="558"/>
      <c r="CN65" s="558"/>
      <c r="CO65" s="553"/>
      <c r="CP65" s="558"/>
      <c r="CQ65" s="558"/>
      <c r="CR65" s="559" t="s">
        <v>209</v>
      </c>
      <c r="CS65" s="553"/>
      <c r="CT65" s="558"/>
      <c r="CU65" s="558"/>
      <c r="CV65" s="559" t="s">
        <v>209</v>
      </c>
    </row>
    <row r="66" spans="1:100" ht="151.5" customHeight="1" x14ac:dyDescent="0.3">
      <c r="A66" s="632">
        <v>31</v>
      </c>
      <c r="B66" s="632" t="s">
        <v>590</v>
      </c>
      <c r="C66" s="633" t="s">
        <v>570</v>
      </c>
      <c r="D66" s="585" t="str">
        <f>IFERROR(INDEX('Base de datos gestión'!$D$28:$D$50,MATCH(C66,'Base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6" s="585" t="str">
        <f>IFERROR(INDEX('Base de datos gestión'!$E$28:$E$50,MATCH(C66,'Base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6" s="628" t="s">
        <v>276</v>
      </c>
      <c r="G66" s="629" t="s">
        <v>591</v>
      </c>
      <c r="H66" s="628" t="s">
        <v>592</v>
      </c>
      <c r="I66" s="628" t="s">
        <v>593</v>
      </c>
      <c r="J66" s="630" t="s">
        <v>192</v>
      </c>
      <c r="K66" s="630" t="s">
        <v>311</v>
      </c>
      <c r="L66" s="630">
        <v>20</v>
      </c>
      <c r="M66" s="588" t="str">
        <f>IF(L66&lt;=0,"",IF(L66&lt;=2,"Muy Baja",IF(L66&lt;=24,"Baja",IF(L66&lt;=500,"Media",IF(L66&lt;=5000,"Alta","Muy Alta")))))</f>
        <v>Baja</v>
      </c>
      <c r="N66" s="589">
        <f t="shared" si="15"/>
        <v>0.4</v>
      </c>
      <c r="O66" s="590" t="s">
        <v>281</v>
      </c>
      <c r="P66" s="589" t="str">
        <f>IF(NOT(ISERROR(MATCH(O66,'Tabla Impacto'!$B$222:$B$224,0))),'Tabla Impacto'!$F$224&amp;"Por favor no seleccionar los criterios de impacto(Afectación Económica o presupuestal y Pérdida Reputacional)",O66)</f>
        <v xml:space="preserve">     El riesgo afecta la imagen de de la entidad con efecto publicitario sostenido a nivel de sector administrativo, nivel departamental o municipal</v>
      </c>
      <c r="Q66" s="591" t="str">
        <f>IF(OR(P66='[8]Tabla Impacto'!$C$12,P66='[8]Tabla Impacto'!$D$12),"Leve",IF(OR(P66='[8]Tabla Impacto'!$C$13,P66='[8]Tabla Impacto'!$D$13),"Menor",IF(OR(P66='[8]Tabla Impacto'!$C$14,P66='[8]Tabla Impacto'!$D$14),"Moderado",IF(OR(P66='[8]Tabla Impacto'!$C$15,P66='[8]Tabla Impacto'!$D$15),"Mayor",IF(OR(P66='[8]Tabla Impacto'!$C$16,P66='[8]Tabla Impacto'!$D$16),"Catastrófico","")))))</f>
        <v>Mayor</v>
      </c>
      <c r="R66" s="590">
        <f t="shared" si="0"/>
        <v>0.8</v>
      </c>
      <c r="S66" s="592" t="str">
        <f t="shared" si="1"/>
        <v>Alto</v>
      </c>
      <c r="T66" s="595">
        <v>3</v>
      </c>
      <c r="U66" s="631" t="s">
        <v>601</v>
      </c>
      <c r="V66" s="595" t="str">
        <f t="shared" si="2"/>
        <v>Probabilidad</v>
      </c>
      <c r="W66" s="596" t="s">
        <v>197</v>
      </c>
      <c r="X66" s="596" t="s">
        <v>198</v>
      </c>
      <c r="Y66" s="597" t="str">
        <f t="shared" si="28"/>
        <v>40%</v>
      </c>
      <c r="Z66" s="596" t="s">
        <v>259</v>
      </c>
      <c r="AA66" s="596" t="s">
        <v>200</v>
      </c>
      <c r="AB66" s="596" t="s">
        <v>201</v>
      </c>
      <c r="AC66" s="598">
        <f>IFERROR(IF(AND(V65="Probabilidad",V66="Probabilidad"),(AE65-(+AE65*Y66)),IF(AND(V65="Impacto",V66="Probabilidad"),(AE64-(+AE64*Y66)),IF(V66="Impacto",AE65,""))),"")</f>
        <v>3.2659199999999999E-2</v>
      </c>
      <c r="AD66" s="599" t="str">
        <f t="shared" si="29"/>
        <v>Muy Baja</v>
      </c>
      <c r="AE66" s="600">
        <f t="shared" si="30"/>
        <v>3.2659199999999999E-2</v>
      </c>
      <c r="AF66" s="599" t="str">
        <f t="shared" si="31"/>
        <v>Moderado</v>
      </c>
      <c r="AG66" s="600">
        <f>IFERROR(IF(AND(V65="Impacto",V66="Impacto"),(AG65-(+AG65*Y66)),IF(AND(V65="Probabilidad",V66="Impacto"),(AG64-(+AG64*Y66)),IF(V66="Probabilidad",AG65,""))),"")</f>
        <v>0.6</v>
      </c>
      <c r="AH66" s="601" t="str">
        <f t="shared" si="32"/>
        <v>Moderado</v>
      </c>
      <c r="AI66" s="602" t="s">
        <v>202</v>
      </c>
      <c r="AJ66" s="603"/>
      <c r="AK66" s="603"/>
      <c r="AL66" s="604"/>
      <c r="AM66" s="605"/>
      <c r="AN66" s="606"/>
      <c r="AO66" s="607"/>
      <c r="AP66" s="608">
        <v>45878</v>
      </c>
      <c r="AQ66" s="609" t="s">
        <v>576</v>
      </c>
      <c r="AR66" s="283" t="s">
        <v>602</v>
      </c>
      <c r="AS66" s="611" t="s">
        <v>205</v>
      </c>
      <c r="AT66" s="612" t="s">
        <v>206</v>
      </c>
      <c r="AU66" s="283" t="s">
        <v>206</v>
      </c>
      <c r="AV66" s="613"/>
      <c r="AW66" s="614">
        <v>45782</v>
      </c>
      <c r="AX66" s="615" t="s">
        <v>207</v>
      </c>
      <c r="AY66" s="635" t="s">
        <v>578</v>
      </c>
      <c r="BA66" s="617"/>
      <c r="BB66" s="617"/>
      <c r="BC66" s="618" t="s">
        <v>209</v>
      </c>
      <c r="BE66" s="672" t="s">
        <v>579</v>
      </c>
      <c r="BF66" s="673" t="s">
        <v>580</v>
      </c>
      <c r="BG66" s="658" t="s">
        <v>603</v>
      </c>
      <c r="BH66" s="619" t="s">
        <v>205</v>
      </c>
      <c r="BI66" s="619" t="s">
        <v>206</v>
      </c>
      <c r="BJ66" s="675" t="s">
        <v>206</v>
      </c>
      <c r="BL66" s="450">
        <v>45861</v>
      </c>
      <c r="BM66" s="676" t="s">
        <v>215</v>
      </c>
      <c r="BN66" s="283" t="s">
        <v>604</v>
      </c>
      <c r="BP66" s="617"/>
      <c r="BQ66" s="617"/>
      <c r="BR66" s="618" t="s">
        <v>209</v>
      </c>
      <c r="BT66" s="476">
        <v>45944</v>
      </c>
      <c r="BU66" s="471" t="s">
        <v>582</v>
      </c>
      <c r="BV66" s="283" t="s">
        <v>605</v>
      </c>
      <c r="BW66" s="651" t="s">
        <v>205</v>
      </c>
      <c r="BX66" s="615" t="s">
        <v>206</v>
      </c>
      <c r="BY66" s="615" t="s">
        <v>206</v>
      </c>
      <c r="CA66" s="614">
        <v>45992</v>
      </c>
      <c r="CB66" s="616" t="s">
        <v>218</v>
      </c>
      <c r="CC66" s="286" t="s">
        <v>233</v>
      </c>
      <c r="CE66" s="617"/>
      <c r="CF66" s="617"/>
      <c r="CG66" s="618" t="s">
        <v>209</v>
      </c>
      <c r="CH66" s="192"/>
      <c r="CI66" s="558"/>
      <c r="CJ66" s="558"/>
      <c r="CK66" s="559" t="s">
        <v>209</v>
      </c>
      <c r="CL66" s="558"/>
      <c r="CM66" s="558"/>
      <c r="CN66" s="558"/>
      <c r="CO66" s="553"/>
      <c r="CP66" s="558"/>
      <c r="CQ66" s="558"/>
      <c r="CR66" s="559" t="s">
        <v>209</v>
      </c>
      <c r="CS66" s="553"/>
      <c r="CT66" s="558"/>
      <c r="CU66" s="558"/>
      <c r="CV66" s="559" t="s">
        <v>209</v>
      </c>
    </row>
    <row r="67" spans="1:100" ht="151.5" customHeight="1" x14ac:dyDescent="0.3">
      <c r="A67" s="584">
        <v>31</v>
      </c>
      <c r="B67" s="584" t="s">
        <v>590</v>
      </c>
      <c r="C67" s="585" t="s">
        <v>570</v>
      </c>
      <c r="D67" s="585" t="str">
        <f>IFERROR(INDEX('Base de datos gestión'!$D$28:$D$50,MATCH(C67,'Base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7" s="585" t="str">
        <f>IFERROR(INDEX('Base de datos gestión'!$E$28:$E$50,MATCH(C67,'Base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7" s="628" t="s">
        <v>276</v>
      </c>
      <c r="G67" s="629" t="s">
        <v>591</v>
      </c>
      <c r="H67" s="628" t="s">
        <v>592</v>
      </c>
      <c r="I67" s="628" t="s">
        <v>593</v>
      </c>
      <c r="J67" s="630" t="s">
        <v>192</v>
      </c>
      <c r="K67" s="630" t="s">
        <v>311</v>
      </c>
      <c r="L67" s="630">
        <v>20</v>
      </c>
      <c r="M67" s="588" t="str">
        <f t="shared" ref="M67:M71" si="35">IF(L67&lt;=0,"",IF(L67&lt;=2,"Muy Baja",IF(L67&lt;=24,"Baja",IF(L67&lt;=500,"Media",IF(L67&lt;=5000,"Alta","Muy Alta")))))</f>
        <v>Baja</v>
      </c>
      <c r="N67" s="589">
        <f t="shared" si="15"/>
        <v>0.4</v>
      </c>
      <c r="O67" s="590" t="s">
        <v>281</v>
      </c>
      <c r="P67" s="589" t="str">
        <f>IF(NOT(ISERROR(MATCH(O67,'Tabla Impacto'!$B$222:$B$224,0))),'Tabla Impacto'!$F$224&amp;"Por favor no seleccionar los criterios de impacto(Afectación Económica o presupuestal y Pérdida Reputacional)",O67)</f>
        <v xml:space="preserve">     El riesgo afecta la imagen de de la entidad con efecto publicitario sostenido a nivel de sector administrativo, nivel departamental o municipal</v>
      </c>
      <c r="Q67" s="591" t="str">
        <f>IF(OR(P67='[8]Tabla Impacto'!$C$12,P67='[8]Tabla Impacto'!$D$12),"Leve",IF(OR(P67='[8]Tabla Impacto'!$C$13,P67='[8]Tabla Impacto'!$D$13),"Menor",IF(OR(P67='[8]Tabla Impacto'!$C$14,P67='[8]Tabla Impacto'!$D$14),"Moderado",IF(OR(P67='[8]Tabla Impacto'!$C$15,P67='[8]Tabla Impacto'!$D$15),"Mayor",IF(OR(P67='[8]Tabla Impacto'!$C$16,P67='[8]Tabla Impacto'!$D$16),"Catastrófico","")))))</f>
        <v>Mayor</v>
      </c>
      <c r="R67" s="590">
        <f t="shared" si="0"/>
        <v>0.8</v>
      </c>
      <c r="S67" s="592" t="str">
        <f t="shared" si="1"/>
        <v>Alto</v>
      </c>
      <c r="T67" s="595">
        <v>4</v>
      </c>
      <c r="U67" s="631" t="s">
        <v>606</v>
      </c>
      <c r="V67" s="595" t="str">
        <f t="shared" si="2"/>
        <v>Probabilidad</v>
      </c>
      <c r="W67" s="596" t="s">
        <v>197</v>
      </c>
      <c r="X67" s="596" t="s">
        <v>198</v>
      </c>
      <c r="Y67" s="597" t="str">
        <f t="shared" si="28"/>
        <v>40%</v>
      </c>
      <c r="Z67" s="596" t="s">
        <v>199</v>
      </c>
      <c r="AA67" s="596" t="s">
        <v>225</v>
      </c>
      <c r="AB67" s="596" t="s">
        <v>201</v>
      </c>
      <c r="AC67" s="598">
        <f>IFERROR(IF(V67="Probabilidad",(N67-(+N67*Y67)),IF(V67="Impacto",N67,"")),"")</f>
        <v>0.24</v>
      </c>
      <c r="AD67" s="599" t="str">
        <f t="shared" si="29"/>
        <v>Baja</v>
      </c>
      <c r="AE67" s="600">
        <f t="shared" si="30"/>
        <v>0.24</v>
      </c>
      <c r="AF67" s="599" t="str">
        <f t="shared" si="31"/>
        <v>Mayor</v>
      </c>
      <c r="AG67" s="600">
        <f>IFERROR(IF(V67="Impacto",(R67-(+R67*Y67)),IF(V67="Probabilidad",R67,"")),"")</f>
        <v>0.8</v>
      </c>
      <c r="AH67" s="601" t="str">
        <f t="shared" si="32"/>
        <v>Alto</v>
      </c>
      <c r="AI67" s="602" t="s">
        <v>202</v>
      </c>
      <c r="AJ67" s="603"/>
      <c r="AK67" s="603"/>
      <c r="AL67" s="604"/>
      <c r="AM67" s="605"/>
      <c r="AN67" s="606"/>
      <c r="AO67" s="607"/>
      <c r="AP67" s="608">
        <v>45878</v>
      </c>
      <c r="AQ67" s="609" t="s">
        <v>576</v>
      </c>
      <c r="AR67" s="283" t="s">
        <v>607</v>
      </c>
      <c r="AS67" s="611" t="s">
        <v>205</v>
      </c>
      <c r="AT67" s="612" t="s">
        <v>206</v>
      </c>
      <c r="AU67" s="283" t="s">
        <v>206</v>
      </c>
      <c r="AV67" s="613"/>
      <c r="AW67" s="614">
        <v>45782</v>
      </c>
      <c r="AX67" s="615" t="s">
        <v>207</v>
      </c>
      <c r="AY67" s="635" t="s">
        <v>578</v>
      </c>
      <c r="BA67" s="617"/>
      <c r="BB67" s="617"/>
      <c r="BC67" s="618" t="s">
        <v>209</v>
      </c>
      <c r="BE67" s="672" t="s">
        <v>579</v>
      </c>
      <c r="BF67" s="673" t="s">
        <v>580</v>
      </c>
      <c r="BG67" s="658" t="s">
        <v>608</v>
      </c>
      <c r="BH67" s="619" t="s">
        <v>205</v>
      </c>
      <c r="BI67" s="675" t="s">
        <v>206</v>
      </c>
      <c r="BJ67" s="675" t="s">
        <v>609</v>
      </c>
      <c r="BL67" s="450">
        <v>45861</v>
      </c>
      <c r="BM67" s="676" t="s">
        <v>215</v>
      </c>
      <c r="BN67" s="283" t="s">
        <v>604</v>
      </c>
      <c r="BP67" s="617"/>
      <c r="BQ67" s="617"/>
      <c r="BR67" s="618" t="s">
        <v>209</v>
      </c>
      <c r="BT67" s="476">
        <v>45944</v>
      </c>
      <c r="BU67" s="471" t="s">
        <v>582</v>
      </c>
      <c r="BV67" s="283" t="s">
        <v>597</v>
      </c>
      <c r="BW67" s="651" t="s">
        <v>205</v>
      </c>
      <c r="BX67" s="615" t="s">
        <v>206</v>
      </c>
      <c r="BY67" s="615" t="s">
        <v>206</v>
      </c>
      <c r="CA67" s="614">
        <v>45992</v>
      </c>
      <c r="CB67" s="616" t="s">
        <v>218</v>
      </c>
      <c r="CC67" s="286" t="s">
        <v>233</v>
      </c>
      <c r="CE67" s="617"/>
      <c r="CF67" s="617"/>
      <c r="CG67" s="618" t="s">
        <v>209</v>
      </c>
      <c r="CH67" s="192"/>
      <c r="CI67" s="558"/>
      <c r="CJ67" s="558"/>
      <c r="CK67" s="559" t="s">
        <v>209</v>
      </c>
      <c r="CL67" s="558"/>
      <c r="CM67" s="558"/>
      <c r="CN67" s="558"/>
      <c r="CO67" s="553"/>
      <c r="CP67" s="558"/>
      <c r="CQ67" s="558"/>
      <c r="CR67" s="559" t="s">
        <v>209</v>
      </c>
      <c r="CS67" s="553"/>
      <c r="CT67" s="558"/>
      <c r="CU67" s="558"/>
      <c r="CV67" s="559" t="s">
        <v>209</v>
      </c>
    </row>
    <row r="68" spans="1:100" ht="151.5" customHeight="1" x14ac:dyDescent="0.3">
      <c r="A68" s="622">
        <v>31</v>
      </c>
      <c r="B68" s="622" t="s">
        <v>590</v>
      </c>
      <c r="C68" s="623" t="s">
        <v>570</v>
      </c>
      <c r="D68" s="585" t="str">
        <f>IFERROR(INDEX('Base de datos gestión'!$D$28:$D$50,MATCH(C68,'Base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8" s="585" t="str">
        <f>IFERROR(INDEX('Base de datos gestión'!$E$28:$E$50,MATCH(C68,'Base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8" s="628" t="s">
        <v>276</v>
      </c>
      <c r="G68" s="629" t="s">
        <v>591</v>
      </c>
      <c r="H68" s="628" t="s">
        <v>592</v>
      </c>
      <c r="I68" s="628" t="s">
        <v>593</v>
      </c>
      <c r="J68" s="630" t="s">
        <v>192</v>
      </c>
      <c r="K68" s="630" t="s">
        <v>311</v>
      </c>
      <c r="L68" s="630">
        <v>20</v>
      </c>
      <c r="M68" s="588" t="str">
        <f t="shared" si="35"/>
        <v>Baja</v>
      </c>
      <c r="N68" s="589">
        <f t="shared" si="15"/>
        <v>0.4</v>
      </c>
      <c r="O68" s="590" t="s">
        <v>281</v>
      </c>
      <c r="P68" s="589" t="str">
        <f>IF(NOT(ISERROR(MATCH(O68,'Tabla Impacto'!$B$222:$B$224,0))),'Tabla Impacto'!$F$224&amp;"Por favor no seleccionar los criterios de impacto(Afectación Económica o presupuestal y Pérdida Reputacional)",O68)</f>
        <v xml:space="preserve">     El riesgo afecta la imagen de de la entidad con efecto publicitario sostenido a nivel de sector administrativo, nivel departamental o municipal</v>
      </c>
      <c r="Q68" s="591" t="str">
        <f>IF(OR(P68='[8]Tabla Impacto'!$C$12,P68='[8]Tabla Impacto'!$D$12),"Leve",IF(OR(P68='[8]Tabla Impacto'!$C$13,P68='[8]Tabla Impacto'!$D$13),"Menor",IF(OR(P68='[8]Tabla Impacto'!$C$14,P68='[8]Tabla Impacto'!$D$14),"Moderado",IF(OR(P68='[8]Tabla Impacto'!$C$15,P68='[8]Tabla Impacto'!$D$15),"Mayor",IF(OR(P68='[8]Tabla Impacto'!$C$16,P68='[8]Tabla Impacto'!$D$16),"Catastrófico","")))))</f>
        <v>Mayor</v>
      </c>
      <c r="R68" s="590">
        <f t="shared" si="0"/>
        <v>0.8</v>
      </c>
      <c r="S68" s="592" t="str">
        <f t="shared" si="1"/>
        <v>Alto</v>
      </c>
      <c r="T68" s="595">
        <v>5</v>
      </c>
      <c r="U68" s="631" t="s">
        <v>610</v>
      </c>
      <c r="V68" s="595" t="str">
        <f t="shared" si="2"/>
        <v>Probabilidad</v>
      </c>
      <c r="W68" s="596" t="s">
        <v>197</v>
      </c>
      <c r="X68" s="596" t="s">
        <v>198</v>
      </c>
      <c r="Y68" s="597" t="str">
        <f t="shared" si="28"/>
        <v>40%</v>
      </c>
      <c r="Z68" s="596" t="s">
        <v>259</v>
      </c>
      <c r="AA68" s="596" t="s">
        <v>225</v>
      </c>
      <c r="AB68" s="596" t="s">
        <v>201</v>
      </c>
      <c r="AC68" s="598">
        <f>IFERROR(IF(AND(V67="Probabilidad",V68="Probabilidad"),(AE67-(+AE67*Y68)),IF(V68="Probabilidad",(N67-(+N67*Y68)),IF(V68="Impacto",AE67,""))),"")</f>
        <v>0.14399999999999999</v>
      </c>
      <c r="AD68" s="599" t="str">
        <f t="shared" si="29"/>
        <v>Muy Baja</v>
      </c>
      <c r="AE68" s="600">
        <f t="shared" si="30"/>
        <v>0.14399999999999999</v>
      </c>
      <c r="AF68" s="599" t="str">
        <f t="shared" si="31"/>
        <v>Moderado</v>
      </c>
      <c r="AG68" s="600">
        <f>IFERROR(IF(AND(V67="Impacto",V68="Impacto"),(AG61-(+AG61*Y68)),IF(V68="Impacto",($R$55-(+$R$55*Y68)),IF(V68="Probabilidad",AG61,""))),"")</f>
        <v>0.6</v>
      </c>
      <c r="AH68" s="601" t="str">
        <f t="shared" si="32"/>
        <v>Moderado</v>
      </c>
      <c r="AI68" s="602" t="s">
        <v>202</v>
      </c>
      <c r="AJ68" s="603"/>
      <c r="AK68" s="603"/>
      <c r="AL68" s="604"/>
      <c r="AM68" s="605"/>
      <c r="AN68" s="606"/>
      <c r="AO68" s="607"/>
      <c r="AP68" s="608">
        <v>45878</v>
      </c>
      <c r="AQ68" s="609" t="s">
        <v>576</v>
      </c>
      <c r="AR68" s="283" t="s">
        <v>611</v>
      </c>
      <c r="AS68" s="611" t="s">
        <v>205</v>
      </c>
      <c r="AT68" s="612" t="s">
        <v>206</v>
      </c>
      <c r="AU68" s="283" t="s">
        <v>206</v>
      </c>
      <c r="AV68" s="613"/>
      <c r="AW68" s="614">
        <v>45782</v>
      </c>
      <c r="AX68" s="615" t="s">
        <v>207</v>
      </c>
      <c r="AY68" s="635" t="s">
        <v>578</v>
      </c>
      <c r="BA68" s="617"/>
      <c r="BB68" s="617"/>
      <c r="BC68" s="618" t="s">
        <v>209</v>
      </c>
      <c r="BE68" s="672" t="s">
        <v>579</v>
      </c>
      <c r="BF68" s="673" t="s">
        <v>580</v>
      </c>
      <c r="BG68" s="658" t="s">
        <v>612</v>
      </c>
      <c r="BH68" s="619" t="s">
        <v>205</v>
      </c>
      <c r="BI68" s="675" t="s">
        <v>206</v>
      </c>
      <c r="BJ68" s="675" t="s">
        <v>206</v>
      </c>
      <c r="BL68" s="450">
        <v>45861</v>
      </c>
      <c r="BM68" s="676" t="s">
        <v>215</v>
      </c>
      <c r="BN68" s="283" t="s">
        <v>231</v>
      </c>
      <c r="BP68" s="617"/>
      <c r="BQ68" s="617"/>
      <c r="BR68" s="618" t="s">
        <v>209</v>
      </c>
      <c r="BT68" s="476">
        <v>45944</v>
      </c>
      <c r="BU68" s="471" t="s">
        <v>582</v>
      </c>
      <c r="BV68" s="283" t="s">
        <v>597</v>
      </c>
      <c r="BW68" s="651" t="s">
        <v>205</v>
      </c>
      <c r="BX68" s="615" t="s">
        <v>206</v>
      </c>
      <c r="BY68" s="615" t="s">
        <v>206</v>
      </c>
      <c r="CA68" s="614">
        <v>45992</v>
      </c>
      <c r="CB68" s="616" t="s">
        <v>218</v>
      </c>
      <c r="CC68" s="286" t="s">
        <v>233</v>
      </c>
      <c r="CE68" s="617"/>
      <c r="CF68" s="617"/>
      <c r="CG68" s="618" t="s">
        <v>209</v>
      </c>
      <c r="CH68" s="192"/>
      <c r="CI68" s="558"/>
      <c r="CJ68" s="558"/>
      <c r="CK68" s="559" t="s">
        <v>209</v>
      </c>
      <c r="CL68" s="558"/>
      <c r="CM68" s="558"/>
      <c r="CN68" s="558"/>
      <c r="CO68" s="553"/>
      <c r="CP68" s="558"/>
      <c r="CQ68" s="558"/>
      <c r="CR68" s="559" t="s">
        <v>209</v>
      </c>
      <c r="CS68" s="553"/>
      <c r="CT68" s="558"/>
      <c r="CU68" s="558"/>
      <c r="CV68" s="559" t="s">
        <v>209</v>
      </c>
    </row>
    <row r="69" spans="1:100" ht="151.5" customHeight="1" x14ac:dyDescent="0.3">
      <c r="A69" s="622">
        <v>32</v>
      </c>
      <c r="B69" s="622" t="s">
        <v>613</v>
      </c>
      <c r="C69" s="623" t="s">
        <v>570</v>
      </c>
      <c r="D69" s="585" t="str">
        <f>IFERROR(INDEX('Base de datos gestión'!$D$28:$D$50,MATCH(C69,'Base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69" s="585" t="str">
        <f>IFERROR(INDEX('Base de datos gestión'!$E$28:$E$50,MATCH(C69,'Base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69" s="628" t="s">
        <v>276</v>
      </c>
      <c r="G69" s="629" t="s">
        <v>614</v>
      </c>
      <c r="H69" s="628" t="s">
        <v>615</v>
      </c>
      <c r="I69" s="628" t="s">
        <v>616</v>
      </c>
      <c r="J69" s="630" t="s">
        <v>574</v>
      </c>
      <c r="K69" s="630" t="s">
        <v>311</v>
      </c>
      <c r="L69" s="630">
        <v>10</v>
      </c>
      <c r="M69" s="588" t="str">
        <f t="shared" si="35"/>
        <v>Baja</v>
      </c>
      <c r="N69" s="589">
        <f t="shared" si="15"/>
        <v>0.4</v>
      </c>
      <c r="O69" s="590" t="s">
        <v>248</v>
      </c>
      <c r="P69" s="589" t="str">
        <f>IF(NOT(ISERROR(MATCH(O69,'Tabla Impacto'!$B$222:$B$224,0))),'Tabla Impacto'!$F$224&amp;"Por favor no seleccionar los criterios de impacto(Afectación Económica o presupuestal y Pérdida Reputacional)",O69)</f>
        <v xml:space="preserve">     El riesgo afecta la imagen de la entidad con algunos usuarios de relevancia frente al logro de los objetivos</v>
      </c>
      <c r="Q69" s="591" t="str">
        <f>IF(OR(P69='[8]Tabla Impacto'!$C$12,P69='[8]Tabla Impacto'!$D$12),"Leve",IF(OR(P69='[8]Tabla Impacto'!$C$13,P69='[8]Tabla Impacto'!$D$13),"Menor",IF(OR(P69='[8]Tabla Impacto'!$C$14,P69='[8]Tabla Impacto'!$D$14),"Moderado",IF(OR(P69='[8]Tabla Impacto'!$C$15,P69='[8]Tabla Impacto'!$D$15),"Mayor",IF(OR(P69='[8]Tabla Impacto'!$C$16,P69='[8]Tabla Impacto'!$D$16),"Catastrófico","")))))</f>
        <v>Moderado</v>
      </c>
      <c r="R69" s="590">
        <f t="shared" si="0"/>
        <v>0.6</v>
      </c>
      <c r="S69" s="592" t="str">
        <f t="shared" si="1"/>
        <v>Moderado</v>
      </c>
      <c r="T69" s="595">
        <v>1</v>
      </c>
      <c r="U69" s="631" t="s">
        <v>617</v>
      </c>
      <c r="V69" s="595" t="str">
        <f t="shared" si="2"/>
        <v>Probabilidad</v>
      </c>
      <c r="W69" s="596" t="s">
        <v>269</v>
      </c>
      <c r="X69" s="596" t="s">
        <v>198</v>
      </c>
      <c r="Y69" s="597" t="str">
        <f t="shared" si="28"/>
        <v>30%</v>
      </c>
      <c r="Z69" s="596" t="s">
        <v>259</v>
      </c>
      <c r="AA69" s="596" t="s">
        <v>200</v>
      </c>
      <c r="AB69" s="596" t="s">
        <v>201</v>
      </c>
      <c r="AC69" s="598">
        <f>IFERROR(IF(AND(V68="Probabilidad",V69="Probabilidad"),(AE68-(+AE68*Y69)),IF(AND(V68="Impacto",V69="Probabilidad"),(AE67-(+AE67*Y69)),IF(V69="Impacto",AE68,""))),"")</f>
        <v>0.1008</v>
      </c>
      <c r="AD69" s="599" t="str">
        <f t="shared" si="29"/>
        <v>Muy Baja</v>
      </c>
      <c r="AE69" s="600">
        <f t="shared" si="30"/>
        <v>0.1008</v>
      </c>
      <c r="AF69" s="599" t="str">
        <f t="shared" si="31"/>
        <v>Moderado</v>
      </c>
      <c r="AG69" s="600">
        <f>IFERROR(IF(AND(V68="Impacto",V69="Impacto"),(AG68-(+AG68*Y69)),IF(AND(V68="Probabilidad",V69="Impacto"),(AG67-(+AG67*Y69)),IF(V69="Probabilidad",AG68,""))),"")</f>
        <v>0.6</v>
      </c>
      <c r="AH69" s="601" t="str">
        <f t="shared" si="32"/>
        <v>Moderado</v>
      </c>
      <c r="AI69" s="602" t="s">
        <v>202</v>
      </c>
      <c r="AJ69" s="603"/>
      <c r="AK69" s="603"/>
      <c r="AL69" s="604"/>
      <c r="AM69" s="605"/>
      <c r="AN69" s="606"/>
      <c r="AO69" s="607"/>
      <c r="AP69" s="608">
        <v>45878</v>
      </c>
      <c r="AQ69" s="609" t="s">
        <v>576</v>
      </c>
      <c r="AR69" s="283" t="s">
        <v>618</v>
      </c>
      <c r="AS69" s="611" t="s">
        <v>205</v>
      </c>
      <c r="AT69" s="612" t="s">
        <v>206</v>
      </c>
      <c r="AU69" s="283" t="s">
        <v>206</v>
      </c>
      <c r="AV69" s="613"/>
      <c r="AW69" s="614">
        <v>45782</v>
      </c>
      <c r="AX69" s="615" t="s">
        <v>207</v>
      </c>
      <c r="AY69" s="635" t="s">
        <v>578</v>
      </c>
      <c r="BA69" s="617"/>
      <c r="BB69" s="617"/>
      <c r="BC69" s="618" t="s">
        <v>209</v>
      </c>
      <c r="BE69" s="672" t="s">
        <v>579</v>
      </c>
      <c r="BF69" s="673" t="s">
        <v>580</v>
      </c>
      <c r="BG69" s="658" t="s">
        <v>619</v>
      </c>
      <c r="BH69" s="619" t="s">
        <v>205</v>
      </c>
      <c r="BI69" s="675" t="s">
        <v>206</v>
      </c>
      <c r="BJ69" s="675" t="s">
        <v>206</v>
      </c>
      <c r="BL69" s="450">
        <v>45861</v>
      </c>
      <c r="BM69" s="676" t="s">
        <v>215</v>
      </c>
      <c r="BN69" s="283" t="s">
        <v>231</v>
      </c>
      <c r="BP69" s="617"/>
      <c r="BQ69" s="617"/>
      <c r="BR69" s="618" t="s">
        <v>209</v>
      </c>
      <c r="BT69" s="476">
        <v>45944</v>
      </c>
      <c r="BU69" s="471" t="s">
        <v>582</v>
      </c>
      <c r="BV69" s="283" t="s">
        <v>620</v>
      </c>
      <c r="BW69" s="651" t="s">
        <v>205</v>
      </c>
      <c r="BX69" s="615" t="s">
        <v>206</v>
      </c>
      <c r="BY69" s="615" t="s">
        <v>206</v>
      </c>
      <c r="CA69" s="614">
        <v>45992</v>
      </c>
      <c r="CB69" s="616" t="s">
        <v>218</v>
      </c>
      <c r="CC69" s="286" t="s">
        <v>233</v>
      </c>
      <c r="CE69" s="617"/>
      <c r="CF69" s="617"/>
      <c r="CG69" s="618" t="s">
        <v>209</v>
      </c>
      <c r="CH69" s="192"/>
      <c r="CI69" s="558"/>
      <c r="CJ69" s="558"/>
      <c r="CK69" s="559" t="s">
        <v>209</v>
      </c>
      <c r="CL69" s="558"/>
      <c r="CM69" s="558"/>
      <c r="CN69" s="558"/>
      <c r="CO69" s="553"/>
      <c r="CP69" s="558"/>
      <c r="CQ69" s="558"/>
      <c r="CR69" s="559" t="s">
        <v>209</v>
      </c>
      <c r="CS69" s="553"/>
      <c r="CT69" s="558"/>
      <c r="CU69" s="558"/>
      <c r="CV69" s="559" t="s">
        <v>209</v>
      </c>
    </row>
    <row r="70" spans="1:100" ht="151.5" customHeight="1" x14ac:dyDescent="0.3">
      <c r="A70" s="622">
        <v>32</v>
      </c>
      <c r="B70" s="622" t="s">
        <v>613</v>
      </c>
      <c r="C70" s="623" t="s">
        <v>570</v>
      </c>
      <c r="D70" s="585" t="str">
        <f>IFERROR(INDEX('Base de datos gestión'!$D$28:$D$50,MATCH(C70,'Base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0" s="585" t="str">
        <f>IFERROR(INDEX('Base de datos gestión'!$E$28:$E$50,MATCH(C70,'Base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0" s="628" t="s">
        <v>276</v>
      </c>
      <c r="G70" s="629" t="s">
        <v>614</v>
      </c>
      <c r="H70" s="628" t="s">
        <v>615</v>
      </c>
      <c r="I70" s="628" t="s">
        <v>616</v>
      </c>
      <c r="J70" s="630" t="s">
        <v>574</v>
      </c>
      <c r="K70" s="630" t="s">
        <v>311</v>
      </c>
      <c r="L70" s="630">
        <v>10</v>
      </c>
      <c r="M70" s="588" t="str">
        <f t="shared" si="35"/>
        <v>Baja</v>
      </c>
      <c r="N70" s="589">
        <f t="shared" si="15"/>
        <v>0.4</v>
      </c>
      <c r="O70" s="590" t="s">
        <v>248</v>
      </c>
      <c r="P70" s="589" t="str">
        <f>IF(NOT(ISERROR(MATCH(O70,'Tabla Impacto'!$B$222:$B$224,0))),'Tabla Impacto'!$F$224&amp;"Por favor no seleccionar los criterios de impacto(Afectación Económica o presupuestal y Pérdida Reputacional)",O70)</f>
        <v xml:space="preserve">     El riesgo afecta la imagen de la entidad con algunos usuarios de relevancia frente al logro de los objetivos</v>
      </c>
      <c r="Q70" s="591" t="str">
        <f>IF(OR(P70='[8]Tabla Impacto'!$C$12,P70='[8]Tabla Impacto'!$D$12),"Leve",IF(OR(P70='[8]Tabla Impacto'!$C$13,P70='[8]Tabla Impacto'!$D$13),"Menor",IF(OR(P70='[8]Tabla Impacto'!$C$14,P70='[8]Tabla Impacto'!$D$14),"Moderado",IF(OR(P70='[8]Tabla Impacto'!$C$15,P70='[8]Tabla Impacto'!$D$15),"Mayor",IF(OR(P70='[8]Tabla Impacto'!$C$16,P70='[8]Tabla Impacto'!$D$16),"Catastrófico","")))))</f>
        <v>Moderado</v>
      </c>
      <c r="R70" s="590">
        <f t="shared" si="0"/>
        <v>0.6</v>
      </c>
      <c r="S70" s="592" t="str">
        <f t="shared" si="1"/>
        <v>Moderado</v>
      </c>
      <c r="T70" s="595">
        <v>2</v>
      </c>
      <c r="U70" s="631" t="s">
        <v>621</v>
      </c>
      <c r="V70" s="595" t="str">
        <f t="shared" si="2"/>
        <v>Probabilidad</v>
      </c>
      <c r="W70" s="596" t="s">
        <v>197</v>
      </c>
      <c r="X70" s="596" t="s">
        <v>198</v>
      </c>
      <c r="Y70" s="597" t="str">
        <f t="shared" si="28"/>
        <v>40%</v>
      </c>
      <c r="Z70" s="596" t="s">
        <v>259</v>
      </c>
      <c r="AA70" s="596" t="s">
        <v>200</v>
      </c>
      <c r="AB70" s="596" t="s">
        <v>201</v>
      </c>
      <c r="AC70" s="598">
        <f>IFERROR(IF(AND(V69="Probabilidad",V70="Probabilidad"),(AE69-(+AE69*Y70)),IF(AND(V69="Impacto",V70="Probabilidad"),(AE68-(+AE68*Y70)),IF(V70="Impacto",AE69,""))),"")</f>
        <v>6.0479999999999999E-2</v>
      </c>
      <c r="AD70" s="599" t="str">
        <f t="shared" si="29"/>
        <v>Muy Baja</v>
      </c>
      <c r="AE70" s="600">
        <f t="shared" si="30"/>
        <v>6.0479999999999999E-2</v>
      </c>
      <c r="AF70" s="599" t="str">
        <f t="shared" si="31"/>
        <v>Moderado</v>
      </c>
      <c r="AG70" s="600">
        <f>IFERROR(IF(AND(V69="Impacto",V70="Impacto"),(AG69-(+AG69*Y70)),IF(AND(V69="Probabilidad",V70="Impacto"),(AG68-(+AG68*Y70)),IF(V70="Probabilidad",AG69,""))),"")</f>
        <v>0.6</v>
      </c>
      <c r="AH70" s="601" t="str">
        <f t="shared" si="32"/>
        <v>Moderado</v>
      </c>
      <c r="AI70" s="602" t="s">
        <v>202</v>
      </c>
      <c r="AJ70" s="603"/>
      <c r="AK70" s="603"/>
      <c r="AL70" s="604"/>
      <c r="AM70" s="605"/>
      <c r="AN70" s="606"/>
      <c r="AO70" s="607"/>
      <c r="AP70" s="608">
        <v>45878</v>
      </c>
      <c r="AQ70" s="609" t="s">
        <v>576</v>
      </c>
      <c r="AR70" s="283" t="s">
        <v>622</v>
      </c>
      <c r="AS70" s="611" t="s">
        <v>205</v>
      </c>
      <c r="AT70" s="612" t="s">
        <v>206</v>
      </c>
      <c r="AU70" s="283" t="s">
        <v>206</v>
      </c>
      <c r="AV70" s="613"/>
      <c r="AW70" s="614">
        <v>45782</v>
      </c>
      <c r="AX70" s="615" t="s">
        <v>207</v>
      </c>
      <c r="AY70" s="635" t="s">
        <v>578</v>
      </c>
      <c r="BA70" s="617"/>
      <c r="BB70" s="617"/>
      <c r="BC70" s="618" t="s">
        <v>209</v>
      </c>
      <c r="BE70" s="672" t="s">
        <v>579</v>
      </c>
      <c r="BF70" s="673" t="s">
        <v>580</v>
      </c>
      <c r="BG70" s="658" t="s">
        <v>619</v>
      </c>
      <c r="BH70" s="619" t="s">
        <v>205</v>
      </c>
      <c r="BI70" s="675" t="s">
        <v>206</v>
      </c>
      <c r="BJ70" s="675" t="s">
        <v>206</v>
      </c>
      <c r="BL70" s="450">
        <v>45861</v>
      </c>
      <c r="BM70" s="676" t="s">
        <v>215</v>
      </c>
      <c r="BN70" s="283" t="s">
        <v>623</v>
      </c>
      <c r="BP70" s="617"/>
      <c r="BQ70" s="617"/>
      <c r="BR70" s="618" t="s">
        <v>209</v>
      </c>
      <c r="BT70" s="476">
        <v>45944</v>
      </c>
      <c r="BU70" s="471" t="s">
        <v>582</v>
      </c>
      <c r="BV70" s="283" t="s">
        <v>620</v>
      </c>
      <c r="BW70" s="651" t="s">
        <v>205</v>
      </c>
      <c r="BX70" s="615" t="s">
        <v>206</v>
      </c>
      <c r="BY70" s="615" t="s">
        <v>206</v>
      </c>
      <c r="CA70" s="614">
        <v>45992</v>
      </c>
      <c r="CB70" s="616" t="s">
        <v>218</v>
      </c>
      <c r="CC70" s="286" t="s">
        <v>233</v>
      </c>
      <c r="CE70" s="617"/>
      <c r="CF70" s="617"/>
      <c r="CG70" s="618" t="s">
        <v>209</v>
      </c>
      <c r="CH70" s="192"/>
      <c r="CI70" s="558"/>
      <c r="CJ70" s="558"/>
      <c r="CK70" s="559" t="s">
        <v>209</v>
      </c>
      <c r="CL70" s="558"/>
      <c r="CM70" s="558"/>
      <c r="CN70" s="558"/>
      <c r="CO70" s="553"/>
      <c r="CP70" s="558"/>
      <c r="CQ70" s="558"/>
      <c r="CR70" s="559" t="s">
        <v>209</v>
      </c>
      <c r="CS70" s="553"/>
      <c r="CT70" s="558"/>
      <c r="CU70" s="558"/>
      <c r="CV70" s="559" t="s">
        <v>209</v>
      </c>
    </row>
    <row r="71" spans="1:100" ht="168" customHeight="1" x14ac:dyDescent="0.3">
      <c r="A71" s="622">
        <v>32</v>
      </c>
      <c r="B71" s="622" t="s">
        <v>613</v>
      </c>
      <c r="C71" s="623" t="s">
        <v>570</v>
      </c>
      <c r="D71" s="585" t="str">
        <f>IFERROR(INDEX('Base de datos gestión'!$D$28:$D$50,MATCH(C71,'Base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1" s="585" t="str">
        <f>IFERROR(INDEX('Base de datos gestión'!$E$28:$E$50,MATCH(C71,'Base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1" s="628" t="s">
        <v>276</v>
      </c>
      <c r="G71" s="629" t="s">
        <v>614</v>
      </c>
      <c r="H71" s="628" t="s">
        <v>615</v>
      </c>
      <c r="I71" s="628" t="s">
        <v>616</v>
      </c>
      <c r="J71" s="630" t="s">
        <v>574</v>
      </c>
      <c r="K71" s="630" t="s">
        <v>311</v>
      </c>
      <c r="L71" s="630">
        <v>10</v>
      </c>
      <c r="M71" s="588" t="str">
        <f t="shared" si="35"/>
        <v>Baja</v>
      </c>
      <c r="N71" s="589">
        <f t="shared" si="15"/>
        <v>0.4</v>
      </c>
      <c r="O71" s="590" t="s">
        <v>248</v>
      </c>
      <c r="P71" s="589" t="str">
        <f>IF(NOT(ISERROR(MATCH(O71,'Tabla Impacto'!$B$222:$B$224,0))),'Tabla Impacto'!$F$224&amp;"Por favor no seleccionar los criterios de impacto(Afectación Económica o presupuestal y Pérdida Reputacional)",O71)</f>
        <v xml:space="preserve">     El riesgo afecta la imagen de la entidad con algunos usuarios de relevancia frente al logro de los objetivos</v>
      </c>
      <c r="Q71" s="591" t="str">
        <f>IF(OR(P71='[8]Tabla Impacto'!$C$12,P71='[8]Tabla Impacto'!$D$12),"Leve",IF(OR(P71='[8]Tabla Impacto'!$C$13,P71='[8]Tabla Impacto'!$D$13),"Menor",IF(OR(P71='[8]Tabla Impacto'!$C$14,P71='[8]Tabla Impacto'!$D$14),"Moderado",IF(OR(P71='[8]Tabla Impacto'!$C$15,P71='[8]Tabla Impacto'!$D$15),"Mayor",IF(OR(P71='[8]Tabla Impacto'!$C$16,P71='[8]Tabla Impacto'!$D$16),"Catastrófico","")))))</f>
        <v>Moderado</v>
      </c>
      <c r="R71" s="590">
        <f t="shared" si="0"/>
        <v>0.6</v>
      </c>
      <c r="S71" s="592" t="str">
        <f t="shared" si="1"/>
        <v>Moderado</v>
      </c>
      <c r="T71" s="595">
        <v>3</v>
      </c>
      <c r="U71" s="631" t="s">
        <v>624</v>
      </c>
      <c r="V71" s="595" t="str">
        <f t="shared" si="2"/>
        <v>Probabilidad</v>
      </c>
      <c r="W71" s="596" t="s">
        <v>197</v>
      </c>
      <c r="X71" s="596" t="s">
        <v>198</v>
      </c>
      <c r="Y71" s="597" t="str">
        <f t="shared" si="28"/>
        <v>40%</v>
      </c>
      <c r="Z71" s="596" t="s">
        <v>259</v>
      </c>
      <c r="AA71" s="596" t="s">
        <v>200</v>
      </c>
      <c r="AB71" s="596" t="s">
        <v>201</v>
      </c>
      <c r="AC71" s="598">
        <f>IFERROR(IF(AND(V70="Probabilidad",V71="Probabilidad"),(AE70-(+AE70*Y71)),IF(AND(V70="Impacto",V71="Probabilidad"),(AE69-(+AE69*Y71)),IF(V71="Impacto",AE70,""))),"")</f>
        <v>3.6288000000000001E-2</v>
      </c>
      <c r="AD71" s="599" t="str">
        <f t="shared" si="29"/>
        <v>Muy Baja</v>
      </c>
      <c r="AE71" s="600">
        <f t="shared" si="30"/>
        <v>3.6288000000000001E-2</v>
      </c>
      <c r="AF71" s="599" t="str">
        <f t="shared" si="31"/>
        <v>Moderado</v>
      </c>
      <c r="AG71" s="600">
        <f>IFERROR(IF(AND(V70="Impacto",V71="Impacto"),(AG70-(+AG70*Y71)),IF(AND(V70="Probabilidad",V71="Impacto"),(AG69-(+AG69*Y71)),IF(V71="Probabilidad",AG70,""))),"")</f>
        <v>0.6</v>
      </c>
      <c r="AH71" s="601" t="str">
        <f t="shared" si="32"/>
        <v>Moderado</v>
      </c>
      <c r="AI71" s="602" t="s">
        <v>202</v>
      </c>
      <c r="AJ71" s="603"/>
      <c r="AK71" s="603"/>
      <c r="AL71" s="604"/>
      <c r="AM71" s="605"/>
      <c r="AN71" s="606"/>
      <c r="AO71" s="607"/>
      <c r="AP71" s="608">
        <v>45878</v>
      </c>
      <c r="AQ71" s="609" t="s">
        <v>576</v>
      </c>
      <c r="AR71" s="283" t="s">
        <v>625</v>
      </c>
      <c r="AS71" s="611" t="s">
        <v>205</v>
      </c>
      <c r="AT71" s="612" t="s">
        <v>206</v>
      </c>
      <c r="AU71" s="283" t="s">
        <v>206</v>
      </c>
      <c r="AV71" s="613"/>
      <c r="AW71" s="614">
        <v>45782</v>
      </c>
      <c r="AX71" s="615" t="s">
        <v>207</v>
      </c>
      <c r="AY71" s="635" t="s">
        <v>578</v>
      </c>
      <c r="BA71" s="617"/>
      <c r="BB71" s="617"/>
      <c r="BC71" s="618" t="s">
        <v>209</v>
      </c>
      <c r="BE71" s="672" t="s">
        <v>579</v>
      </c>
      <c r="BF71" s="673" t="s">
        <v>580</v>
      </c>
      <c r="BG71" s="658" t="s">
        <v>619</v>
      </c>
      <c r="BH71" s="619" t="s">
        <v>205</v>
      </c>
      <c r="BI71" s="675" t="s">
        <v>206</v>
      </c>
      <c r="BJ71" s="675" t="s">
        <v>206</v>
      </c>
      <c r="BL71" s="450">
        <v>45861</v>
      </c>
      <c r="BM71" s="676" t="s">
        <v>215</v>
      </c>
      <c r="BN71" s="283" t="s">
        <v>623</v>
      </c>
      <c r="BP71" s="617"/>
      <c r="BQ71" s="617"/>
      <c r="BR71" s="618" t="s">
        <v>209</v>
      </c>
      <c r="BT71" s="476">
        <v>45944</v>
      </c>
      <c r="BU71" s="471" t="s">
        <v>582</v>
      </c>
      <c r="BV71" s="283" t="s">
        <v>626</v>
      </c>
      <c r="BW71" s="651" t="s">
        <v>205</v>
      </c>
      <c r="BX71" s="615" t="s">
        <v>206</v>
      </c>
      <c r="BY71" s="615" t="s">
        <v>206</v>
      </c>
      <c r="CA71" s="614">
        <v>45992</v>
      </c>
      <c r="CB71" s="616" t="s">
        <v>218</v>
      </c>
      <c r="CC71" s="286" t="s">
        <v>233</v>
      </c>
      <c r="CE71" s="617"/>
      <c r="CF71" s="617"/>
      <c r="CG71" s="618" t="s">
        <v>209</v>
      </c>
      <c r="CH71" s="192"/>
      <c r="CI71" s="563">
        <v>45989</v>
      </c>
      <c r="CJ71" s="564" t="s">
        <v>627</v>
      </c>
      <c r="CK71" s="565" t="s">
        <v>628</v>
      </c>
      <c r="CL71" s="566" t="s">
        <v>205</v>
      </c>
      <c r="CM71" s="566" t="s">
        <v>629</v>
      </c>
      <c r="CN71" s="566" t="s">
        <v>630</v>
      </c>
      <c r="CO71" s="553"/>
      <c r="CP71" s="558"/>
      <c r="CQ71" s="558"/>
      <c r="CR71" s="559" t="s">
        <v>209</v>
      </c>
      <c r="CS71" s="553"/>
      <c r="CT71" s="558"/>
      <c r="CU71" s="558"/>
      <c r="CV71" s="559" t="s">
        <v>209</v>
      </c>
    </row>
    <row r="72" spans="1:100" ht="151.5" customHeight="1" x14ac:dyDescent="0.3">
      <c r="A72" s="632">
        <v>33</v>
      </c>
      <c r="B72" s="632" t="s">
        <v>631</v>
      </c>
      <c r="C72" s="633" t="s">
        <v>570</v>
      </c>
      <c r="D72" s="585" t="str">
        <f>IFERROR(INDEX('Base de datos gestión'!$D$28:$D$50,MATCH(C72,'Base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2" s="585" t="str">
        <f>IFERROR(INDEX('Base de datos gestión'!$E$28:$E$50,MATCH(C72,'Base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2" s="628" t="s">
        <v>276</v>
      </c>
      <c r="G72" s="629" t="s">
        <v>632</v>
      </c>
      <c r="H72" s="628" t="s">
        <v>633</v>
      </c>
      <c r="I72" s="628" t="s">
        <v>634</v>
      </c>
      <c r="J72" s="630" t="s">
        <v>192</v>
      </c>
      <c r="K72" s="630" t="s">
        <v>311</v>
      </c>
      <c r="L72" s="630">
        <v>10</v>
      </c>
      <c r="M72" s="588" t="str">
        <f>IF(L72&lt;=0,"",IF(L72&lt;=2,"Muy Baja",IF(L72&lt;=24,"Baja",IF(L72&lt;=500,"Media",IF(L72&lt;=5000,"Alta","Muy Alta")))))</f>
        <v>Baja</v>
      </c>
      <c r="N72" s="589">
        <f t="shared" si="15"/>
        <v>0.4</v>
      </c>
      <c r="O72" s="590" t="s">
        <v>248</v>
      </c>
      <c r="P72" s="589" t="str">
        <f>IF(NOT(ISERROR(MATCH(O72,'Tabla Impacto'!$B$222:$B$224,0))),'Tabla Impacto'!$F$224&amp;"Por favor no seleccionar los criterios de impacto(Afectación Económica o presupuestal y Pérdida Reputacional)",O72)</f>
        <v xml:space="preserve">     El riesgo afecta la imagen de la entidad con algunos usuarios de relevancia frente al logro de los objetivos</v>
      </c>
      <c r="Q72" s="591" t="str">
        <f>IF(OR(P72='[8]Tabla Impacto'!$C$12,P72='[8]Tabla Impacto'!$D$12),"Leve",IF(OR(P72='[8]Tabla Impacto'!$C$13,P72='[8]Tabla Impacto'!$D$13),"Menor",IF(OR(P72='[8]Tabla Impacto'!$C$14,P72='[8]Tabla Impacto'!$D$14),"Moderado",IF(OR(P72='[8]Tabla Impacto'!$C$15,P72='[8]Tabla Impacto'!$D$15),"Mayor",IF(OR(P72='[8]Tabla Impacto'!$C$16,P72='[8]Tabla Impacto'!$D$16),"Catastrófico","")))))</f>
        <v>Moderado</v>
      </c>
      <c r="R72" s="590">
        <f t="shared" si="0"/>
        <v>0.6</v>
      </c>
      <c r="S72" s="592" t="str">
        <f t="shared" si="1"/>
        <v>Moderado</v>
      </c>
      <c r="T72" s="595">
        <v>1</v>
      </c>
      <c r="U72" s="631" t="s">
        <v>635</v>
      </c>
      <c r="V72" s="595" t="str">
        <f t="shared" si="2"/>
        <v>Probabilidad</v>
      </c>
      <c r="W72" s="596" t="s">
        <v>197</v>
      </c>
      <c r="X72" s="596" t="s">
        <v>198</v>
      </c>
      <c r="Y72" s="597" t="str">
        <f t="shared" si="28"/>
        <v>40%</v>
      </c>
      <c r="Z72" s="596" t="s">
        <v>259</v>
      </c>
      <c r="AA72" s="596" t="s">
        <v>200</v>
      </c>
      <c r="AB72" s="596" t="s">
        <v>201</v>
      </c>
      <c r="AC72" s="598">
        <f>IFERROR(IF(AND(V71="Probabilidad",V72="Probabilidad"),(AE71-(+AE71*Y72)),IF(AND(V71="Impacto",V72="Probabilidad"),(AE70-(+AE70*Y72)),IF(V72="Impacto",AE71,""))),"")</f>
        <v>2.1772800000000002E-2</v>
      </c>
      <c r="AD72" s="599" t="str">
        <f t="shared" si="29"/>
        <v>Muy Baja</v>
      </c>
      <c r="AE72" s="600">
        <f t="shared" si="30"/>
        <v>2.1772800000000002E-2</v>
      </c>
      <c r="AF72" s="599" t="str">
        <f t="shared" si="31"/>
        <v>Moderado</v>
      </c>
      <c r="AG72" s="600">
        <f>IFERROR(IF(AND(V71="Impacto",V72="Impacto"),(AG71-(+AG71*Y72)),IF(AND(V71="Probabilidad",V72="Impacto"),(AG70-(+AG70*Y72)),IF(V72="Probabilidad",AG71,""))),"")</f>
        <v>0.6</v>
      </c>
      <c r="AH72" s="601" t="str">
        <f t="shared" si="32"/>
        <v>Moderado</v>
      </c>
      <c r="AI72" s="602" t="s">
        <v>202</v>
      </c>
      <c r="AJ72" s="603"/>
      <c r="AK72" s="603"/>
      <c r="AL72" s="604"/>
      <c r="AM72" s="605"/>
      <c r="AN72" s="606"/>
      <c r="AO72" s="607"/>
      <c r="AP72" s="608">
        <v>45878</v>
      </c>
      <c r="AQ72" s="609" t="s">
        <v>576</v>
      </c>
      <c r="AR72" s="283" t="s">
        <v>636</v>
      </c>
      <c r="AS72" s="611" t="s">
        <v>205</v>
      </c>
      <c r="AT72" s="612" t="s">
        <v>206</v>
      </c>
      <c r="AU72" s="283" t="s">
        <v>206</v>
      </c>
      <c r="AV72" s="613"/>
      <c r="AW72" s="614">
        <v>45782</v>
      </c>
      <c r="AX72" s="615" t="s">
        <v>207</v>
      </c>
      <c r="AY72" s="635" t="s">
        <v>578</v>
      </c>
      <c r="BA72" s="617"/>
      <c r="BB72" s="617"/>
      <c r="BC72" s="618" t="s">
        <v>209</v>
      </c>
      <c r="BE72" s="672" t="s">
        <v>579</v>
      </c>
      <c r="BF72" s="673" t="s">
        <v>580</v>
      </c>
      <c r="BG72" s="658" t="s">
        <v>637</v>
      </c>
      <c r="BH72" s="619" t="s">
        <v>205</v>
      </c>
      <c r="BI72" s="675" t="s">
        <v>206</v>
      </c>
      <c r="BJ72" s="675" t="s">
        <v>206</v>
      </c>
      <c r="BL72" s="450">
        <v>45861</v>
      </c>
      <c r="BM72" s="676" t="s">
        <v>215</v>
      </c>
      <c r="BN72" s="283" t="s">
        <v>623</v>
      </c>
      <c r="BP72" s="617"/>
      <c r="BQ72" s="617"/>
      <c r="BR72" s="618" t="s">
        <v>209</v>
      </c>
      <c r="BT72" s="476">
        <v>45944</v>
      </c>
      <c r="BU72" s="471" t="s">
        <v>582</v>
      </c>
      <c r="BV72" s="283" t="s">
        <v>638</v>
      </c>
      <c r="BW72" s="651" t="s">
        <v>205</v>
      </c>
      <c r="BX72" s="615" t="s">
        <v>206</v>
      </c>
      <c r="BY72" s="615" t="s">
        <v>206</v>
      </c>
      <c r="CA72" s="614">
        <v>45992</v>
      </c>
      <c r="CB72" s="616" t="s">
        <v>218</v>
      </c>
      <c r="CC72" s="286" t="s">
        <v>233</v>
      </c>
      <c r="CE72" s="617"/>
      <c r="CF72" s="617"/>
      <c r="CG72" s="618" t="s">
        <v>209</v>
      </c>
      <c r="CH72" s="192"/>
      <c r="CI72" s="558"/>
      <c r="CJ72" s="558"/>
      <c r="CK72" s="559" t="s">
        <v>209</v>
      </c>
      <c r="CL72" s="558"/>
      <c r="CM72" s="558"/>
      <c r="CN72" s="558"/>
      <c r="CO72" s="553"/>
      <c r="CP72" s="558"/>
      <c r="CQ72" s="558"/>
      <c r="CR72" s="559" t="s">
        <v>209</v>
      </c>
      <c r="CS72" s="553"/>
      <c r="CT72" s="558"/>
      <c r="CU72" s="558"/>
      <c r="CV72" s="559" t="s">
        <v>209</v>
      </c>
    </row>
    <row r="73" spans="1:100" ht="151.5" customHeight="1" x14ac:dyDescent="0.3">
      <c r="A73" s="584">
        <v>33</v>
      </c>
      <c r="B73" s="584" t="s">
        <v>631</v>
      </c>
      <c r="C73" s="585" t="s">
        <v>570</v>
      </c>
      <c r="D73" s="585" t="str">
        <f>IFERROR(INDEX('Base de datos gestión'!$D$28:$D$50,MATCH(C73,'Base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3" s="585" t="str">
        <f>IFERROR(INDEX('Base de datos gestión'!$E$28:$E$50,MATCH(C73,'Base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3" s="628" t="s">
        <v>276</v>
      </c>
      <c r="G73" s="629" t="s">
        <v>632</v>
      </c>
      <c r="H73" s="628" t="s">
        <v>633</v>
      </c>
      <c r="I73" s="628" t="s">
        <v>634</v>
      </c>
      <c r="J73" s="630" t="s">
        <v>192</v>
      </c>
      <c r="K73" s="630" t="s">
        <v>311</v>
      </c>
      <c r="L73" s="630">
        <v>10</v>
      </c>
      <c r="M73" s="588" t="str">
        <f>IF(L73&lt;=0,"",IF(L73&lt;=2,"Muy Baja",IF(L73&lt;=24,"Baja",IF(L73&lt;=500,"Media",IF(L73&lt;=5000,"Alta","Muy Alta")))))</f>
        <v>Baja</v>
      </c>
      <c r="N73" s="589">
        <f t="shared" si="15"/>
        <v>0.4</v>
      </c>
      <c r="O73" s="590" t="s">
        <v>248</v>
      </c>
      <c r="P73" s="589" t="str">
        <f>IF(NOT(ISERROR(MATCH(O73,'Tabla Impacto'!$B$222:$B$224,0))),'Tabla Impacto'!$F$224&amp;"Por favor no seleccionar los criterios de impacto(Afectación Económica o presupuestal y Pérdida Reputacional)",O73)</f>
        <v xml:space="preserve">     El riesgo afecta la imagen de la entidad con algunos usuarios de relevancia frente al logro de los objetivos</v>
      </c>
      <c r="Q73" s="591" t="str">
        <f>IF(OR(P73='[8]Tabla Impacto'!$C$12,P73='[8]Tabla Impacto'!$D$12),"Leve",IF(OR(P73='[8]Tabla Impacto'!$C$13,P73='[8]Tabla Impacto'!$D$13),"Menor",IF(OR(P73='[8]Tabla Impacto'!$C$14,P73='[8]Tabla Impacto'!$D$14),"Moderado",IF(OR(P73='[8]Tabla Impacto'!$C$15,P73='[8]Tabla Impacto'!$D$15),"Mayor",IF(OR(P73='[8]Tabla Impacto'!$C$16,P73='[8]Tabla Impacto'!$D$16),"Catastrófico","")))))</f>
        <v>Moderado</v>
      </c>
      <c r="R73" s="590">
        <f t="shared" si="0"/>
        <v>0.6</v>
      </c>
      <c r="S73" s="592" t="str">
        <f t="shared" si="1"/>
        <v>Moderado</v>
      </c>
      <c r="T73" s="595">
        <v>2</v>
      </c>
      <c r="U73" s="631" t="s">
        <v>639</v>
      </c>
      <c r="V73" s="595" t="str">
        <f t="shared" si="2"/>
        <v>Probabilidad</v>
      </c>
      <c r="W73" s="596" t="s">
        <v>269</v>
      </c>
      <c r="X73" s="596" t="s">
        <v>198</v>
      </c>
      <c r="Y73" s="597" t="str">
        <f t="shared" si="28"/>
        <v>30%</v>
      </c>
      <c r="Z73" s="596" t="s">
        <v>259</v>
      </c>
      <c r="AA73" s="596" t="s">
        <v>200</v>
      </c>
      <c r="AB73" s="596" t="s">
        <v>201</v>
      </c>
      <c r="AC73" s="598">
        <f>IFERROR(IF(V73="Probabilidad",(N73-(+N73*Y73)),IF(V73="Impacto",N73,"")),"")</f>
        <v>0.28000000000000003</v>
      </c>
      <c r="AD73" s="599" t="str">
        <f t="shared" si="29"/>
        <v>Baja</v>
      </c>
      <c r="AE73" s="600">
        <f t="shared" si="30"/>
        <v>0.28000000000000003</v>
      </c>
      <c r="AF73" s="599" t="str">
        <f t="shared" si="31"/>
        <v>Moderado</v>
      </c>
      <c r="AG73" s="600">
        <f>IFERROR(IF(V73="Impacto",(R73-(+R73*Y73)),IF(V73="Probabilidad",R73,"")),"")</f>
        <v>0.6</v>
      </c>
      <c r="AH73" s="601" t="str">
        <f t="shared" si="32"/>
        <v>Moderado</v>
      </c>
      <c r="AI73" s="602" t="s">
        <v>202</v>
      </c>
      <c r="AJ73" s="603"/>
      <c r="AK73" s="603"/>
      <c r="AL73" s="604"/>
      <c r="AM73" s="605"/>
      <c r="AN73" s="606"/>
      <c r="AO73" s="607"/>
      <c r="AP73" s="608">
        <v>45878</v>
      </c>
      <c r="AQ73" s="609" t="s">
        <v>576</v>
      </c>
      <c r="AR73" s="283" t="s">
        <v>636</v>
      </c>
      <c r="AS73" s="611" t="s">
        <v>205</v>
      </c>
      <c r="AT73" s="612" t="s">
        <v>206</v>
      </c>
      <c r="AU73" s="283" t="s">
        <v>206</v>
      </c>
      <c r="AV73" s="613"/>
      <c r="AW73" s="614">
        <v>45782</v>
      </c>
      <c r="AX73" s="615" t="s">
        <v>207</v>
      </c>
      <c r="AY73" s="635" t="s">
        <v>578</v>
      </c>
      <c r="BA73" s="617"/>
      <c r="BB73" s="617"/>
      <c r="BC73" s="618" t="s">
        <v>209</v>
      </c>
      <c r="BE73" s="672" t="s">
        <v>579</v>
      </c>
      <c r="BF73" s="673" t="s">
        <v>580</v>
      </c>
      <c r="BG73" s="658" t="s">
        <v>637</v>
      </c>
      <c r="BH73" s="619" t="s">
        <v>205</v>
      </c>
      <c r="BI73" s="675" t="s">
        <v>206</v>
      </c>
      <c r="BJ73" s="675" t="s">
        <v>206</v>
      </c>
      <c r="BL73" s="450">
        <v>45861</v>
      </c>
      <c r="BM73" s="676" t="s">
        <v>215</v>
      </c>
      <c r="BN73" s="283" t="s">
        <v>623</v>
      </c>
      <c r="BP73" s="617"/>
      <c r="BQ73" s="617"/>
      <c r="BR73" s="618" t="s">
        <v>209</v>
      </c>
      <c r="BT73" s="476">
        <v>45944</v>
      </c>
      <c r="BU73" s="471" t="s">
        <v>582</v>
      </c>
      <c r="BV73" s="283" t="s">
        <v>640</v>
      </c>
      <c r="BW73" s="651" t="s">
        <v>205</v>
      </c>
      <c r="BX73" s="615" t="s">
        <v>206</v>
      </c>
      <c r="BY73" s="615" t="s">
        <v>206</v>
      </c>
      <c r="CA73" s="614">
        <v>45992</v>
      </c>
      <c r="CB73" s="616" t="s">
        <v>218</v>
      </c>
      <c r="CC73" s="286" t="s">
        <v>233</v>
      </c>
      <c r="CE73" s="617"/>
      <c r="CF73" s="617"/>
      <c r="CG73" s="618" t="s">
        <v>209</v>
      </c>
      <c r="CH73" s="192"/>
      <c r="CI73" s="558"/>
      <c r="CJ73" s="558"/>
      <c r="CK73" s="559" t="s">
        <v>209</v>
      </c>
      <c r="CL73" s="558"/>
      <c r="CM73" s="558"/>
      <c r="CN73" s="558"/>
      <c r="CO73" s="553"/>
      <c r="CP73" s="558"/>
      <c r="CQ73" s="558"/>
      <c r="CR73" s="559" t="s">
        <v>209</v>
      </c>
      <c r="CS73" s="553"/>
      <c r="CT73" s="558"/>
      <c r="CU73" s="558"/>
      <c r="CV73" s="559" t="s">
        <v>209</v>
      </c>
    </row>
    <row r="74" spans="1:100" ht="151.5" customHeight="1" x14ac:dyDescent="0.3">
      <c r="A74" s="622">
        <v>34</v>
      </c>
      <c r="B74" s="622" t="s">
        <v>641</v>
      </c>
      <c r="C74" s="623" t="s">
        <v>570</v>
      </c>
      <c r="D74" s="585" t="str">
        <f>IFERROR(INDEX('Base de datos gestión'!$D$28:$D$50,MATCH(C74,'Base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4" s="585" t="str">
        <f>IFERROR(INDEX('Base de datos gestión'!$E$28:$E$50,MATCH(C74,'Base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4" s="628" t="s">
        <v>276</v>
      </c>
      <c r="G74" s="629" t="s">
        <v>642</v>
      </c>
      <c r="H74" s="628" t="s">
        <v>643</v>
      </c>
      <c r="I74" s="628" t="s">
        <v>644</v>
      </c>
      <c r="J74" s="630" t="s">
        <v>574</v>
      </c>
      <c r="K74" s="630" t="s">
        <v>311</v>
      </c>
      <c r="L74" s="630">
        <v>20</v>
      </c>
      <c r="M74" s="588" t="str">
        <f t="shared" ref="M74:M77" si="36">IF(L74&lt;=0,"",IF(L74&lt;=2,"Muy Baja",IF(L74&lt;=24,"Baja",IF(L74&lt;=500,"Media",IF(L74&lt;=5000,"Alta","Muy Alta")))))</f>
        <v>Baja</v>
      </c>
      <c r="N74" s="589">
        <f t="shared" si="15"/>
        <v>0.4</v>
      </c>
      <c r="O74" s="590" t="s">
        <v>248</v>
      </c>
      <c r="P74" s="589" t="str">
        <f>IF(NOT(ISERROR(MATCH(O74,'Tabla Impacto'!$B$222:$B$224,0))),'Tabla Impacto'!$F$224&amp;"Por favor no seleccionar los criterios de impacto(Afectación Económica o presupuestal y Pérdida Reputacional)",O74)</f>
        <v xml:space="preserve">     El riesgo afecta la imagen de la entidad con algunos usuarios de relevancia frente al logro de los objetivos</v>
      </c>
      <c r="Q74" s="591" t="str">
        <f>IF(OR(P74='[8]Tabla Impacto'!$C$12,P74='[8]Tabla Impacto'!$D$12),"Leve",IF(OR(P74='[8]Tabla Impacto'!$C$13,P74='[8]Tabla Impacto'!$D$13),"Menor",IF(OR(P74='[8]Tabla Impacto'!$C$14,P74='[8]Tabla Impacto'!$D$14),"Moderado",IF(OR(P74='[8]Tabla Impacto'!$C$15,P74='[8]Tabla Impacto'!$D$15),"Mayor",IF(OR(P74='[8]Tabla Impacto'!$C$16,P74='[8]Tabla Impacto'!$D$16),"Catastrófico","")))))</f>
        <v>Moderado</v>
      </c>
      <c r="R74" s="590">
        <f t="shared" si="0"/>
        <v>0.6</v>
      </c>
      <c r="S74" s="592" t="str">
        <f t="shared" si="1"/>
        <v>Moderado</v>
      </c>
      <c r="T74" s="595">
        <v>1</v>
      </c>
      <c r="U74" s="631" t="s">
        <v>645</v>
      </c>
      <c r="V74" s="595" t="str">
        <f t="shared" si="2"/>
        <v>Probabilidad</v>
      </c>
      <c r="W74" s="596" t="s">
        <v>197</v>
      </c>
      <c r="X74" s="596" t="s">
        <v>198</v>
      </c>
      <c r="Y74" s="597" t="str">
        <f t="shared" si="28"/>
        <v>40%</v>
      </c>
      <c r="Z74" s="596" t="s">
        <v>259</v>
      </c>
      <c r="AA74" s="596" t="s">
        <v>200</v>
      </c>
      <c r="AB74" s="596" t="s">
        <v>201</v>
      </c>
      <c r="AC74" s="598">
        <f>IFERROR(IF(AND(V73="Probabilidad",V74="Probabilidad"),(AE73-(+AE73*Y74)),IF(V74="Probabilidad",(N73-(+N73*Y74)),IF(V74="Impacto",AE73,""))),"")</f>
        <v>0.16800000000000001</v>
      </c>
      <c r="AD74" s="599" t="str">
        <f t="shared" si="29"/>
        <v>Muy Baja</v>
      </c>
      <c r="AE74" s="600">
        <f t="shared" si="30"/>
        <v>0.16800000000000001</v>
      </c>
      <c r="AF74" s="599" t="str">
        <f t="shared" si="31"/>
        <v>Mayor</v>
      </c>
      <c r="AG74" s="600">
        <f>IFERROR(IF(AND(V73="Impacto",V74="Impacto"),(AG67-(+AG67*Y74)),IF(V74="Impacto",($R$49-(+$R$49*Y74)),IF(V74="Probabilidad",AG67,""))),"")</f>
        <v>0.8</v>
      </c>
      <c r="AH74" s="601" t="str">
        <f t="shared" si="32"/>
        <v>Alto</v>
      </c>
      <c r="AI74" s="602" t="s">
        <v>202</v>
      </c>
      <c r="AJ74" s="603"/>
      <c r="AK74" s="603"/>
      <c r="AL74" s="604"/>
      <c r="AM74" s="605"/>
      <c r="AN74" s="606"/>
      <c r="AO74" s="607"/>
      <c r="AP74" s="608">
        <v>45878</v>
      </c>
      <c r="AQ74" s="609" t="s">
        <v>576</v>
      </c>
      <c r="AR74" s="283" t="s">
        <v>646</v>
      </c>
      <c r="AS74" s="611" t="s">
        <v>205</v>
      </c>
      <c r="AT74" s="612" t="s">
        <v>206</v>
      </c>
      <c r="AU74" s="283" t="s">
        <v>206</v>
      </c>
      <c r="AV74" s="613"/>
      <c r="AW74" s="614">
        <v>45782</v>
      </c>
      <c r="AX74" s="615" t="s">
        <v>207</v>
      </c>
      <c r="AY74" s="635" t="s">
        <v>578</v>
      </c>
      <c r="BA74" s="617"/>
      <c r="BB74" s="617"/>
      <c r="BC74" s="618" t="s">
        <v>209</v>
      </c>
      <c r="BE74" s="672" t="s">
        <v>579</v>
      </c>
      <c r="BF74" s="673" t="s">
        <v>580</v>
      </c>
      <c r="BG74" s="658" t="s">
        <v>647</v>
      </c>
      <c r="BH74" s="619" t="s">
        <v>205</v>
      </c>
      <c r="BI74" s="675" t="s">
        <v>206</v>
      </c>
      <c r="BJ74" s="675" t="s">
        <v>206</v>
      </c>
      <c r="BL74" s="450">
        <v>45861</v>
      </c>
      <c r="BM74" s="676" t="s">
        <v>215</v>
      </c>
      <c r="BN74" s="283" t="s">
        <v>623</v>
      </c>
      <c r="BP74" s="617"/>
      <c r="BQ74" s="617"/>
      <c r="BR74" s="618" t="s">
        <v>209</v>
      </c>
      <c r="BT74" s="476">
        <v>45944</v>
      </c>
      <c r="BU74" s="471" t="s">
        <v>582</v>
      </c>
      <c r="BV74" s="283" t="s">
        <v>648</v>
      </c>
      <c r="BW74" s="651" t="s">
        <v>205</v>
      </c>
      <c r="BX74" s="615" t="s">
        <v>206</v>
      </c>
      <c r="BY74" s="615" t="s">
        <v>206</v>
      </c>
      <c r="CA74" s="614">
        <v>45992</v>
      </c>
      <c r="CB74" s="616" t="s">
        <v>218</v>
      </c>
      <c r="CC74" s="286" t="s">
        <v>233</v>
      </c>
      <c r="CE74" s="617"/>
      <c r="CF74" s="617"/>
      <c r="CG74" s="618" t="s">
        <v>209</v>
      </c>
      <c r="CH74" s="192"/>
      <c r="CI74" s="558"/>
      <c r="CJ74" s="558"/>
      <c r="CK74" s="559" t="s">
        <v>209</v>
      </c>
      <c r="CL74" s="558"/>
      <c r="CM74" s="558"/>
      <c r="CN74" s="558"/>
      <c r="CO74" s="553"/>
      <c r="CP74" s="558"/>
      <c r="CQ74" s="558"/>
      <c r="CR74" s="559" t="s">
        <v>209</v>
      </c>
      <c r="CS74" s="553"/>
      <c r="CT74" s="558"/>
      <c r="CU74" s="558"/>
      <c r="CV74" s="559" t="s">
        <v>209</v>
      </c>
    </row>
    <row r="75" spans="1:100" ht="151.5" customHeight="1" x14ac:dyDescent="0.3">
      <c r="A75" s="622">
        <v>34</v>
      </c>
      <c r="B75" s="622" t="s">
        <v>641</v>
      </c>
      <c r="C75" s="623" t="s">
        <v>570</v>
      </c>
      <c r="D75" s="585" t="str">
        <f>IFERROR(INDEX('Base de datos gestión'!$D$28:$D$50,MATCH(C75,'Base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5" s="585" t="str">
        <f>IFERROR(INDEX('Base de datos gestión'!$E$28:$E$50,MATCH(C75,'Base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5" s="628" t="s">
        <v>276</v>
      </c>
      <c r="G75" s="629" t="s">
        <v>642</v>
      </c>
      <c r="H75" s="628" t="s">
        <v>643</v>
      </c>
      <c r="I75" s="628" t="s">
        <v>644</v>
      </c>
      <c r="J75" s="630" t="s">
        <v>574</v>
      </c>
      <c r="K75" s="630" t="s">
        <v>311</v>
      </c>
      <c r="L75" s="630">
        <v>20</v>
      </c>
      <c r="M75" s="588" t="str">
        <f t="shared" si="36"/>
        <v>Baja</v>
      </c>
      <c r="N75" s="589">
        <f t="shared" si="15"/>
        <v>0.4</v>
      </c>
      <c r="O75" s="590" t="s">
        <v>248</v>
      </c>
      <c r="P75" s="589" t="str">
        <f>IF(NOT(ISERROR(MATCH(O75,'Tabla Impacto'!$B$222:$B$224,0))),'Tabla Impacto'!$F$224&amp;"Por favor no seleccionar los criterios de impacto(Afectación Económica o presupuestal y Pérdida Reputacional)",O75)</f>
        <v xml:space="preserve">     El riesgo afecta la imagen de la entidad con algunos usuarios de relevancia frente al logro de los objetivos</v>
      </c>
      <c r="Q75" s="591" t="str">
        <f>IF(OR(P75='[8]Tabla Impacto'!$C$12,P75='[8]Tabla Impacto'!$D$12),"Leve",IF(OR(P75='[8]Tabla Impacto'!$C$13,P75='[8]Tabla Impacto'!$D$13),"Menor",IF(OR(P75='[8]Tabla Impacto'!$C$14,P75='[8]Tabla Impacto'!$D$14),"Moderado",IF(OR(P75='[8]Tabla Impacto'!$C$15,P75='[8]Tabla Impacto'!$D$15),"Mayor",IF(OR(P75='[8]Tabla Impacto'!$C$16,P75='[8]Tabla Impacto'!$D$16),"Catastrófico","")))))</f>
        <v>Moderado</v>
      </c>
      <c r="R75" s="590">
        <f t="shared" si="0"/>
        <v>0.6</v>
      </c>
      <c r="S75" s="592" t="str">
        <f t="shared" si="1"/>
        <v>Moderado</v>
      </c>
      <c r="T75" s="595">
        <v>2</v>
      </c>
      <c r="U75" s="631" t="s">
        <v>649</v>
      </c>
      <c r="V75" s="595" t="str">
        <f t="shared" si="2"/>
        <v>Probabilidad</v>
      </c>
      <c r="W75" s="596" t="s">
        <v>197</v>
      </c>
      <c r="X75" s="596" t="s">
        <v>198</v>
      </c>
      <c r="Y75" s="597" t="str">
        <f t="shared" si="28"/>
        <v>40%</v>
      </c>
      <c r="Z75" s="596" t="s">
        <v>259</v>
      </c>
      <c r="AA75" s="596" t="s">
        <v>200</v>
      </c>
      <c r="AB75" s="596" t="s">
        <v>201</v>
      </c>
      <c r="AC75" s="598">
        <f>IFERROR(IF(AND(V74="Probabilidad",V75="Probabilidad"),(AE74-(+AE74*Y75)),IF(AND(V74="Impacto",V75="Probabilidad"),(AE73-(+AE73*Y75)),IF(V75="Impacto",AE74,""))),"")</f>
        <v>0.1008</v>
      </c>
      <c r="AD75" s="599" t="str">
        <f t="shared" si="29"/>
        <v>Muy Baja</v>
      </c>
      <c r="AE75" s="600">
        <f t="shared" si="30"/>
        <v>0.1008</v>
      </c>
      <c r="AF75" s="599" t="str">
        <f t="shared" si="31"/>
        <v>Mayor</v>
      </c>
      <c r="AG75" s="600">
        <f>IFERROR(IF(AND(V74="Impacto",V75="Impacto"),(AG74-(+AG74*Y75)),IF(AND(V74="Probabilidad",V75="Impacto"),(AG73-(+AG73*Y75)),IF(V75="Probabilidad",AG74,""))),"")</f>
        <v>0.8</v>
      </c>
      <c r="AH75" s="601" t="str">
        <f t="shared" si="32"/>
        <v>Alto</v>
      </c>
      <c r="AI75" s="602" t="s">
        <v>202</v>
      </c>
      <c r="AJ75" s="603"/>
      <c r="AK75" s="603"/>
      <c r="AL75" s="604"/>
      <c r="AM75" s="605"/>
      <c r="AN75" s="606"/>
      <c r="AO75" s="607"/>
      <c r="AP75" s="608">
        <v>45878</v>
      </c>
      <c r="AQ75" s="609" t="s">
        <v>576</v>
      </c>
      <c r="AR75" s="283" t="s">
        <v>646</v>
      </c>
      <c r="AS75" s="611" t="s">
        <v>205</v>
      </c>
      <c r="AT75" s="612" t="s">
        <v>206</v>
      </c>
      <c r="AU75" s="283" t="s">
        <v>206</v>
      </c>
      <c r="AV75" s="613"/>
      <c r="AW75" s="614">
        <v>45782</v>
      </c>
      <c r="AX75" s="615" t="s">
        <v>207</v>
      </c>
      <c r="AY75" s="635" t="s">
        <v>578</v>
      </c>
      <c r="BA75" s="617"/>
      <c r="BB75" s="617"/>
      <c r="BC75" s="618" t="s">
        <v>209</v>
      </c>
      <c r="BE75" s="672" t="s">
        <v>579</v>
      </c>
      <c r="BF75" s="673" t="s">
        <v>580</v>
      </c>
      <c r="BG75" s="658" t="s">
        <v>647</v>
      </c>
      <c r="BH75" s="619" t="s">
        <v>205</v>
      </c>
      <c r="BI75" s="675" t="s">
        <v>206</v>
      </c>
      <c r="BJ75" s="675" t="s">
        <v>206</v>
      </c>
      <c r="BL75" s="450">
        <v>45861</v>
      </c>
      <c r="BM75" s="676" t="s">
        <v>215</v>
      </c>
      <c r="BN75" s="283" t="s">
        <v>623</v>
      </c>
      <c r="BP75" s="617"/>
      <c r="BQ75" s="617"/>
      <c r="BR75" s="618" t="s">
        <v>209</v>
      </c>
      <c r="BT75" s="476">
        <v>45944</v>
      </c>
      <c r="BU75" s="471" t="s">
        <v>582</v>
      </c>
      <c r="BV75" s="283" t="s">
        <v>648</v>
      </c>
      <c r="BW75" s="651" t="s">
        <v>205</v>
      </c>
      <c r="BX75" s="615" t="s">
        <v>206</v>
      </c>
      <c r="BY75" s="615" t="s">
        <v>206</v>
      </c>
      <c r="CA75" s="614">
        <v>45992</v>
      </c>
      <c r="CB75" s="616" t="s">
        <v>218</v>
      </c>
      <c r="CC75" s="286" t="s">
        <v>233</v>
      </c>
      <c r="CE75" s="617"/>
      <c r="CF75" s="617"/>
      <c r="CG75" s="618" t="s">
        <v>209</v>
      </c>
      <c r="CH75" s="192"/>
      <c r="CI75" s="558"/>
      <c r="CJ75" s="558"/>
      <c r="CK75" s="559" t="s">
        <v>209</v>
      </c>
      <c r="CL75" s="558"/>
      <c r="CM75" s="558"/>
      <c r="CN75" s="558"/>
      <c r="CO75" s="553"/>
      <c r="CP75" s="558"/>
      <c r="CQ75" s="558"/>
      <c r="CR75" s="559" t="s">
        <v>209</v>
      </c>
      <c r="CS75" s="553"/>
      <c r="CT75" s="558"/>
      <c r="CU75" s="558"/>
      <c r="CV75" s="559" t="s">
        <v>209</v>
      </c>
    </row>
    <row r="76" spans="1:100" ht="151.5" customHeight="1" x14ac:dyDescent="0.3">
      <c r="A76" s="622">
        <v>34</v>
      </c>
      <c r="B76" s="622" t="s">
        <v>641</v>
      </c>
      <c r="C76" s="623" t="s">
        <v>570</v>
      </c>
      <c r="D76" s="585" t="str">
        <f>IFERROR(INDEX('Base de datos gestión'!$D$28:$D$50,MATCH(C76,'Base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6" s="585" t="str">
        <f>IFERROR(INDEX('Base de datos gestión'!$E$28:$E$50,MATCH(C76,'Base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6" s="628" t="s">
        <v>276</v>
      </c>
      <c r="G76" s="629" t="s">
        <v>642</v>
      </c>
      <c r="H76" s="628" t="s">
        <v>643</v>
      </c>
      <c r="I76" s="628" t="s">
        <v>644</v>
      </c>
      <c r="J76" s="630" t="s">
        <v>574</v>
      </c>
      <c r="K76" s="630" t="s">
        <v>311</v>
      </c>
      <c r="L76" s="630">
        <v>20</v>
      </c>
      <c r="M76" s="588" t="str">
        <f t="shared" si="36"/>
        <v>Baja</v>
      </c>
      <c r="N76" s="589">
        <f t="shared" si="15"/>
        <v>0.4</v>
      </c>
      <c r="O76" s="590" t="s">
        <v>248</v>
      </c>
      <c r="P76" s="589" t="str">
        <f>IF(NOT(ISERROR(MATCH(O76,'Tabla Impacto'!$B$222:$B$224,0))),'Tabla Impacto'!$F$224&amp;"Por favor no seleccionar los criterios de impacto(Afectación Económica o presupuestal y Pérdida Reputacional)",O76)</f>
        <v xml:space="preserve">     El riesgo afecta la imagen de la entidad con algunos usuarios de relevancia frente al logro de los objetivos</v>
      </c>
      <c r="Q76" s="591" t="str">
        <f>IF(OR(P76='[8]Tabla Impacto'!$C$12,P76='[8]Tabla Impacto'!$D$12),"Leve",IF(OR(P76='[8]Tabla Impacto'!$C$13,P76='[8]Tabla Impacto'!$D$13),"Menor",IF(OR(P76='[8]Tabla Impacto'!$C$14,P76='[8]Tabla Impacto'!$D$14),"Moderado",IF(OR(P76='[8]Tabla Impacto'!$C$15,P76='[8]Tabla Impacto'!$D$15),"Mayor",IF(OR(P76='[8]Tabla Impacto'!$C$16,P76='[8]Tabla Impacto'!$D$16),"Catastrófico","")))))</f>
        <v>Moderado</v>
      </c>
      <c r="R76" s="590">
        <f t="shared" si="0"/>
        <v>0.6</v>
      </c>
      <c r="S76" s="592" t="str">
        <f t="shared" si="1"/>
        <v>Moderado</v>
      </c>
      <c r="T76" s="595">
        <v>3</v>
      </c>
      <c r="U76" s="631" t="s">
        <v>650</v>
      </c>
      <c r="V76" s="595" t="str">
        <f t="shared" si="2"/>
        <v>Probabilidad</v>
      </c>
      <c r="W76" s="596" t="s">
        <v>197</v>
      </c>
      <c r="X76" s="596" t="s">
        <v>198</v>
      </c>
      <c r="Y76" s="597" t="str">
        <f t="shared" si="28"/>
        <v>40%</v>
      </c>
      <c r="Z76" s="596" t="s">
        <v>259</v>
      </c>
      <c r="AA76" s="596" t="s">
        <v>200</v>
      </c>
      <c r="AB76" s="596" t="s">
        <v>201</v>
      </c>
      <c r="AC76" s="598">
        <f>IFERROR(IF(AND(V75="Probabilidad",V76="Probabilidad"),(AE75-(+AE75*Y76)),IF(AND(V75="Impacto",V76="Probabilidad"),(AE74-(+AE74*Y76)),IF(V76="Impacto",AE75,""))),"")</f>
        <v>6.0479999999999999E-2</v>
      </c>
      <c r="AD76" s="599" t="str">
        <f t="shared" si="29"/>
        <v>Muy Baja</v>
      </c>
      <c r="AE76" s="600">
        <f t="shared" si="30"/>
        <v>6.0479999999999999E-2</v>
      </c>
      <c r="AF76" s="599" t="str">
        <f t="shared" si="31"/>
        <v>Mayor</v>
      </c>
      <c r="AG76" s="600">
        <f>IFERROR(IF(AND(V75="Impacto",V76="Impacto"),(AG75-(+AG75*Y76)),IF(AND(V75="Probabilidad",V76="Impacto"),(AG74-(+AG74*Y76)),IF(V76="Probabilidad",AG75,""))),"")</f>
        <v>0.8</v>
      </c>
      <c r="AH76" s="601" t="str">
        <f t="shared" si="32"/>
        <v>Alto</v>
      </c>
      <c r="AI76" s="602" t="s">
        <v>202</v>
      </c>
      <c r="AJ76" s="603"/>
      <c r="AK76" s="603"/>
      <c r="AL76" s="604"/>
      <c r="AM76" s="605"/>
      <c r="AN76" s="606"/>
      <c r="AO76" s="607"/>
      <c r="AP76" s="608">
        <v>45878</v>
      </c>
      <c r="AQ76" s="609" t="s">
        <v>576</v>
      </c>
      <c r="AR76" s="283" t="s">
        <v>646</v>
      </c>
      <c r="AS76" s="611" t="s">
        <v>205</v>
      </c>
      <c r="AT76" s="612" t="s">
        <v>206</v>
      </c>
      <c r="AU76" s="283" t="s">
        <v>206</v>
      </c>
      <c r="AV76" s="613"/>
      <c r="AW76" s="614">
        <v>45782</v>
      </c>
      <c r="AX76" s="615" t="s">
        <v>207</v>
      </c>
      <c r="AY76" s="635" t="s">
        <v>578</v>
      </c>
      <c r="BA76" s="617"/>
      <c r="BB76" s="617"/>
      <c r="BC76" s="618" t="s">
        <v>209</v>
      </c>
      <c r="BE76" s="672" t="s">
        <v>579</v>
      </c>
      <c r="BF76" s="673" t="s">
        <v>580</v>
      </c>
      <c r="BG76" s="658" t="s">
        <v>647</v>
      </c>
      <c r="BH76" s="619" t="s">
        <v>205</v>
      </c>
      <c r="BI76" s="675" t="s">
        <v>206</v>
      </c>
      <c r="BJ76" s="675" t="s">
        <v>206</v>
      </c>
      <c r="BL76" s="450">
        <v>45861</v>
      </c>
      <c r="BM76" s="676" t="s">
        <v>215</v>
      </c>
      <c r="BN76" s="283" t="s">
        <v>623</v>
      </c>
      <c r="BP76" s="617"/>
      <c r="BQ76" s="617"/>
      <c r="BR76" s="618" t="s">
        <v>209</v>
      </c>
      <c r="BT76" s="476">
        <v>45944</v>
      </c>
      <c r="BU76" s="471" t="s">
        <v>582</v>
      </c>
      <c r="BV76" s="283" t="s">
        <v>648</v>
      </c>
      <c r="BW76" s="651" t="s">
        <v>205</v>
      </c>
      <c r="BX76" s="615" t="s">
        <v>206</v>
      </c>
      <c r="BY76" s="615" t="s">
        <v>206</v>
      </c>
      <c r="CA76" s="614">
        <v>45992</v>
      </c>
      <c r="CB76" s="616" t="s">
        <v>218</v>
      </c>
      <c r="CC76" s="286" t="s">
        <v>233</v>
      </c>
      <c r="CE76" s="617"/>
      <c r="CF76" s="617"/>
      <c r="CG76" s="618" t="s">
        <v>209</v>
      </c>
      <c r="CH76" s="192"/>
      <c r="CI76" s="558"/>
      <c r="CJ76" s="558"/>
      <c r="CK76" s="559" t="s">
        <v>209</v>
      </c>
      <c r="CL76" s="558"/>
      <c r="CM76" s="558"/>
      <c r="CN76" s="558"/>
      <c r="CO76" s="553"/>
      <c r="CP76" s="558"/>
      <c r="CQ76" s="558"/>
      <c r="CR76" s="559" t="s">
        <v>209</v>
      </c>
      <c r="CS76" s="553"/>
      <c r="CT76" s="558"/>
      <c r="CU76" s="558"/>
      <c r="CV76" s="559" t="s">
        <v>209</v>
      </c>
    </row>
    <row r="77" spans="1:100" ht="151.5" customHeight="1" x14ac:dyDescent="0.3">
      <c r="A77" s="622">
        <v>35</v>
      </c>
      <c r="B77" s="622" t="s">
        <v>651</v>
      </c>
      <c r="C77" s="623" t="s">
        <v>570</v>
      </c>
      <c r="D77" s="585" t="str">
        <f>IFERROR(INDEX('Base de datos gestión'!$D$28:$D$50,MATCH(C77,'Base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7" s="585" t="str">
        <f>IFERROR(INDEX('Base de datos gestión'!$E$28:$E$50,MATCH(C77,'Base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7" s="628" t="s">
        <v>652</v>
      </c>
      <c r="G77" s="629" t="s">
        <v>653</v>
      </c>
      <c r="H77" s="630" t="s">
        <v>654</v>
      </c>
      <c r="I77" s="628" t="s">
        <v>655</v>
      </c>
      <c r="J77" s="630" t="s">
        <v>192</v>
      </c>
      <c r="K77" s="630" t="s">
        <v>311</v>
      </c>
      <c r="L77" s="630">
        <v>10</v>
      </c>
      <c r="M77" s="588" t="str">
        <f t="shared" si="36"/>
        <v>Baja</v>
      </c>
      <c r="N77" s="589">
        <f t="shared" si="15"/>
        <v>0.4</v>
      </c>
      <c r="O77" s="590" t="s">
        <v>248</v>
      </c>
      <c r="P77" s="589" t="str">
        <f>IF(NOT(ISERROR(MATCH(O77,'Tabla Impacto'!$B$222:$B$224,0))),'Tabla Impacto'!$F$224&amp;"Por favor no seleccionar los criterios de impacto(Afectación Económica o presupuestal y Pérdida Reputacional)",O77)</f>
        <v xml:space="preserve">     El riesgo afecta la imagen de la entidad con algunos usuarios de relevancia frente al logro de los objetivos</v>
      </c>
      <c r="Q77" s="591" t="str">
        <f>IF(OR(P77='[8]Tabla Impacto'!$C$12,P77='[8]Tabla Impacto'!$D$12),"Leve",IF(OR(P77='[8]Tabla Impacto'!$C$13,P77='[8]Tabla Impacto'!$D$13),"Menor",IF(OR(P77='[8]Tabla Impacto'!$C$14,P77='[8]Tabla Impacto'!$D$14),"Moderado",IF(OR(P77='[8]Tabla Impacto'!$C$15,P77='[8]Tabla Impacto'!$D$15),"Mayor",IF(OR(P77='[8]Tabla Impacto'!$C$16,P77='[8]Tabla Impacto'!$D$16),"Catastrófico","")))))</f>
        <v>Moderado</v>
      </c>
      <c r="R77" s="590">
        <f t="shared" ref="R77:R93" si="37">IF(Q77="","",IF(Q77="Leve",0.2,IF(Q77="Menor",0.4,IF(Q77="Moderado",0.6,IF(Q77="Mayor",0.8,IF(Q77="Catastrófico",1,))))))</f>
        <v>0.6</v>
      </c>
      <c r="S77" s="592" t="str">
        <f t="shared" ref="S77:S93" si="38">IF(OR(AND(M77="Muy Baja",Q77="Leve"),AND(M77="Muy Baja",Q77="Menor"),AND(M77="Baja",Q77="Leve")),"Bajo",IF(OR(AND(M77="Muy baja",Q77="Moderado"),AND(M77="Baja",Q77="Menor"),AND(M77="Baja",Q77="Moderado"),AND(M77="Media",Q77="Leve"),AND(M77="Media",Q77="Menor"),AND(M77="Media",Q77="Moderado"),AND(M77="Alta",Q77="Leve"),AND(M77="Alta",Q77="Menor")),"Moderado",IF(OR(AND(M77="Muy Baja",Q77="Mayor"),AND(M77="Baja",Q77="Mayor"),AND(M77="Media",Q77="Mayor"),AND(M77="Alta",Q77="Moderado"),AND(M77="Alta",Q77="Mayor"),AND(M77="Muy Alta",Q77="Leve"),AND(M77="Muy Alta",Q77="Menor"),AND(M77="Muy Alta",Q77="Moderado"),AND(M77="Muy Alta",Q77="Mayor")),"Alto",IF(OR(AND(M77="Muy Baja",Q77="Catastrófico"),AND(M77="Baja",Q77="Catastrófico"),AND(M77="Media",Q77="Catastrófico"),AND(M77="Alta",Q77="Catastrófico"),AND(M77="Muy Alta",Q77="Catastrófico")),"Extremo",""))))</f>
        <v>Moderado</v>
      </c>
      <c r="T77" s="595">
        <v>1</v>
      </c>
      <c r="U77" s="631" t="s">
        <v>656</v>
      </c>
      <c r="V77" s="595" t="str">
        <f t="shared" ref="V77:V140" si="39">IF(OR(W77="Preventivo",W77="Detectivo"),"Probabilidad",IF(W77="Correctivo","Impacto",""))</f>
        <v>Probabilidad</v>
      </c>
      <c r="W77" s="596" t="s">
        <v>197</v>
      </c>
      <c r="X77" s="596" t="s">
        <v>198</v>
      </c>
      <c r="Y77" s="597" t="str">
        <f t="shared" si="28"/>
        <v>40%</v>
      </c>
      <c r="Z77" s="596" t="s">
        <v>259</v>
      </c>
      <c r="AA77" s="596" t="s">
        <v>200</v>
      </c>
      <c r="AB77" s="596" t="s">
        <v>201</v>
      </c>
      <c r="AC77" s="598">
        <f>IFERROR(IF(AND(V76="Probabilidad",V77="Probabilidad"),(AE76-(+AE76*Y77)),IF(AND(V76="Impacto",V77="Probabilidad"),(AE75-(+AE75*Y77)),IF(V77="Impacto",AE76,""))),"")</f>
        <v>3.6288000000000001E-2</v>
      </c>
      <c r="AD77" s="599" t="str">
        <f t="shared" si="29"/>
        <v>Muy Baja</v>
      </c>
      <c r="AE77" s="600">
        <f t="shared" si="30"/>
        <v>3.6288000000000001E-2</v>
      </c>
      <c r="AF77" s="599" t="str">
        <f t="shared" si="31"/>
        <v>Mayor</v>
      </c>
      <c r="AG77" s="600">
        <f>IFERROR(IF(AND(V76="Impacto",V77="Impacto"),(AG76-(+AG76*Y77)),IF(AND(V76="Probabilidad",V77="Impacto"),(AG75-(+AG75*Y77)),IF(V77="Probabilidad",AG76,""))),"")</f>
        <v>0.8</v>
      </c>
      <c r="AH77" s="601" t="str">
        <f t="shared" si="32"/>
        <v>Alto</v>
      </c>
      <c r="AI77" s="602" t="s">
        <v>202</v>
      </c>
      <c r="AJ77" s="603"/>
      <c r="AK77" s="603"/>
      <c r="AL77" s="604"/>
      <c r="AM77" s="605"/>
      <c r="AN77" s="606"/>
      <c r="AO77" s="607"/>
      <c r="AP77" s="608">
        <v>45878</v>
      </c>
      <c r="AQ77" s="609" t="s">
        <v>576</v>
      </c>
      <c r="AR77" s="286" t="s">
        <v>657</v>
      </c>
      <c r="AS77" s="611" t="s">
        <v>205</v>
      </c>
      <c r="AT77" s="612" t="s">
        <v>206</v>
      </c>
      <c r="AU77" s="283" t="s">
        <v>206</v>
      </c>
      <c r="AV77" s="613"/>
      <c r="AW77" s="614">
        <v>45782</v>
      </c>
      <c r="AX77" s="615" t="s">
        <v>207</v>
      </c>
      <c r="AY77" s="635" t="s">
        <v>578</v>
      </c>
      <c r="BA77" s="617"/>
      <c r="BB77" s="617"/>
      <c r="BC77" s="618" t="s">
        <v>209</v>
      </c>
      <c r="BE77" s="672" t="s">
        <v>579</v>
      </c>
      <c r="BF77" s="673" t="s">
        <v>580</v>
      </c>
      <c r="BG77" s="658" t="s">
        <v>658</v>
      </c>
      <c r="BH77" s="619" t="s">
        <v>205</v>
      </c>
      <c r="BI77" s="675" t="s">
        <v>206</v>
      </c>
      <c r="BJ77" s="675" t="s">
        <v>206</v>
      </c>
      <c r="BL77" s="450">
        <v>45861</v>
      </c>
      <c r="BM77" s="676" t="s">
        <v>215</v>
      </c>
      <c r="BN77" s="283" t="s">
        <v>623</v>
      </c>
      <c r="BP77" s="617"/>
      <c r="BQ77" s="617"/>
      <c r="BR77" s="618" t="s">
        <v>209</v>
      </c>
      <c r="BT77" s="476">
        <v>45944</v>
      </c>
      <c r="BU77" s="471" t="s">
        <v>582</v>
      </c>
      <c r="BV77" s="283" t="s">
        <v>659</v>
      </c>
      <c r="BW77" s="651" t="s">
        <v>205</v>
      </c>
      <c r="BX77" s="615" t="s">
        <v>206</v>
      </c>
      <c r="BY77" s="615" t="s">
        <v>206</v>
      </c>
      <c r="CA77" s="614">
        <v>45992</v>
      </c>
      <c r="CB77" s="616" t="s">
        <v>218</v>
      </c>
      <c r="CC77" s="286" t="s">
        <v>233</v>
      </c>
      <c r="CE77" s="617"/>
      <c r="CF77" s="617"/>
      <c r="CG77" s="618" t="s">
        <v>209</v>
      </c>
      <c r="CH77" s="192"/>
      <c r="CI77" s="558"/>
      <c r="CJ77" s="558"/>
      <c r="CK77" s="559" t="s">
        <v>209</v>
      </c>
      <c r="CL77" s="558"/>
      <c r="CM77" s="558"/>
      <c r="CN77" s="558"/>
      <c r="CO77" s="553"/>
      <c r="CP77" s="558"/>
      <c r="CQ77" s="558"/>
      <c r="CR77" s="559" t="s">
        <v>209</v>
      </c>
      <c r="CS77" s="553"/>
      <c r="CT77" s="558"/>
      <c r="CU77" s="558"/>
      <c r="CV77" s="559" t="s">
        <v>209</v>
      </c>
    </row>
    <row r="78" spans="1:100" ht="151.5" customHeight="1" x14ac:dyDescent="0.3">
      <c r="A78" s="632">
        <v>35</v>
      </c>
      <c r="B78" s="632" t="s">
        <v>651</v>
      </c>
      <c r="C78" s="633" t="s">
        <v>570</v>
      </c>
      <c r="D78" s="585" t="str">
        <f>IFERROR(INDEX('Base de datos gestión'!$D$28:$D$50,MATCH(C78,'Base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8" s="585" t="str">
        <f>IFERROR(INDEX('Base de datos gestión'!$E$28:$E$50,MATCH(C78,'Base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8" s="628" t="s">
        <v>652</v>
      </c>
      <c r="G78" s="629" t="s">
        <v>653</v>
      </c>
      <c r="H78" s="630" t="s">
        <v>654</v>
      </c>
      <c r="I78" s="628" t="s">
        <v>655</v>
      </c>
      <c r="J78" s="630" t="s">
        <v>192</v>
      </c>
      <c r="K78" s="630" t="s">
        <v>311</v>
      </c>
      <c r="L78" s="630">
        <v>10</v>
      </c>
      <c r="M78" s="588" t="str">
        <f>IF(L78&lt;=0,"",IF(L78&lt;=2,"Muy Baja",IF(L78&lt;=24,"Baja",IF(L78&lt;=500,"Media",IF(L78&lt;=5000,"Alta","Muy Alta")))))</f>
        <v>Baja</v>
      </c>
      <c r="N78" s="589">
        <f t="shared" si="15"/>
        <v>0.4</v>
      </c>
      <c r="O78" s="590" t="s">
        <v>248</v>
      </c>
      <c r="P78" s="589" t="str">
        <f>IF(NOT(ISERROR(MATCH(O78,'Tabla Impacto'!$B$222:$B$224,0))),'Tabla Impacto'!$F$224&amp;"Por favor no seleccionar los criterios de impacto(Afectación Económica o presupuestal y Pérdida Reputacional)",O78)</f>
        <v xml:space="preserve">     El riesgo afecta la imagen de la entidad con algunos usuarios de relevancia frente al logro de los objetivos</v>
      </c>
      <c r="Q78" s="591" t="str">
        <f>IF(OR(P78='[8]Tabla Impacto'!$C$12,P78='[8]Tabla Impacto'!$D$12),"Leve",IF(OR(P78='[8]Tabla Impacto'!$C$13,P78='[8]Tabla Impacto'!$D$13),"Menor",IF(OR(P78='[8]Tabla Impacto'!$C$14,P78='[8]Tabla Impacto'!$D$14),"Moderado",IF(OR(P78='[8]Tabla Impacto'!$C$15,P78='[8]Tabla Impacto'!$D$15),"Mayor",IF(OR(P78='[8]Tabla Impacto'!$C$16,P78='[8]Tabla Impacto'!$D$16),"Catastrófico","")))))</f>
        <v>Moderado</v>
      </c>
      <c r="R78" s="590">
        <f t="shared" si="37"/>
        <v>0.6</v>
      </c>
      <c r="S78" s="592" t="str">
        <f t="shared" si="38"/>
        <v>Moderado</v>
      </c>
      <c r="T78" s="595">
        <v>2</v>
      </c>
      <c r="U78" s="631" t="s">
        <v>639</v>
      </c>
      <c r="V78" s="595" t="str">
        <f t="shared" si="39"/>
        <v>Probabilidad</v>
      </c>
      <c r="W78" s="596" t="s">
        <v>197</v>
      </c>
      <c r="X78" s="596" t="s">
        <v>198</v>
      </c>
      <c r="Y78" s="597" t="str">
        <f t="shared" si="28"/>
        <v>40%</v>
      </c>
      <c r="Z78" s="596" t="s">
        <v>259</v>
      </c>
      <c r="AA78" s="596" t="s">
        <v>200</v>
      </c>
      <c r="AB78" s="596" t="s">
        <v>201</v>
      </c>
      <c r="AC78" s="598">
        <f>IFERROR(IF(AND(V77="Probabilidad",V78="Probabilidad"),(AE77-(+AE77*Y78)),IF(AND(V77="Impacto",V78="Probabilidad"),(AE76-(+AE76*Y78)),IF(V78="Impacto",AE77,""))),"")</f>
        <v>2.1772800000000002E-2</v>
      </c>
      <c r="AD78" s="599" t="str">
        <f t="shared" si="29"/>
        <v>Muy Baja</v>
      </c>
      <c r="AE78" s="600">
        <f t="shared" si="30"/>
        <v>2.1772800000000002E-2</v>
      </c>
      <c r="AF78" s="599" t="str">
        <f t="shared" si="31"/>
        <v>Mayor</v>
      </c>
      <c r="AG78" s="600">
        <f>IFERROR(IF(AND(V77="Impacto",V78="Impacto"),(AG77-(+AG77*Y78)),IF(AND(V77="Probabilidad",V78="Impacto"),(AG76-(+AG76*Y78)),IF(V78="Probabilidad",AG77,""))),"")</f>
        <v>0.8</v>
      </c>
      <c r="AH78" s="601" t="str">
        <f t="shared" si="32"/>
        <v>Alto</v>
      </c>
      <c r="AI78" s="602" t="s">
        <v>202</v>
      </c>
      <c r="AJ78" s="603"/>
      <c r="AK78" s="603"/>
      <c r="AL78" s="604"/>
      <c r="AM78" s="605"/>
      <c r="AN78" s="606"/>
      <c r="AO78" s="607"/>
      <c r="AP78" s="608">
        <v>45878</v>
      </c>
      <c r="AQ78" s="609" t="s">
        <v>576</v>
      </c>
      <c r="AR78" s="286" t="s">
        <v>657</v>
      </c>
      <c r="AS78" s="611" t="s">
        <v>205</v>
      </c>
      <c r="AT78" s="612" t="s">
        <v>206</v>
      </c>
      <c r="AU78" s="283" t="s">
        <v>206</v>
      </c>
      <c r="AV78" s="613"/>
      <c r="AW78" s="614">
        <v>45782</v>
      </c>
      <c r="AX78" s="615" t="s">
        <v>207</v>
      </c>
      <c r="AY78" s="635" t="s">
        <v>578</v>
      </c>
      <c r="BA78" s="617"/>
      <c r="BB78" s="617"/>
      <c r="BC78" s="618" t="s">
        <v>209</v>
      </c>
      <c r="BE78" s="672" t="s">
        <v>579</v>
      </c>
      <c r="BF78" s="673" t="s">
        <v>580</v>
      </c>
      <c r="BG78" s="658" t="s">
        <v>658</v>
      </c>
      <c r="BH78" s="619" t="s">
        <v>205</v>
      </c>
      <c r="BI78" s="675" t="s">
        <v>206</v>
      </c>
      <c r="BJ78" s="675" t="s">
        <v>206</v>
      </c>
      <c r="BL78" s="450">
        <v>45861</v>
      </c>
      <c r="BM78" s="676" t="s">
        <v>215</v>
      </c>
      <c r="BN78" s="283" t="s">
        <v>623</v>
      </c>
      <c r="BP78" s="617"/>
      <c r="BQ78" s="617"/>
      <c r="BR78" s="618" t="s">
        <v>209</v>
      </c>
      <c r="BT78" s="476">
        <v>45944</v>
      </c>
      <c r="BU78" s="471" t="s">
        <v>582</v>
      </c>
      <c r="BV78" s="283" t="s">
        <v>660</v>
      </c>
      <c r="BW78" s="651" t="s">
        <v>205</v>
      </c>
      <c r="BX78" s="615" t="s">
        <v>206</v>
      </c>
      <c r="BY78" s="615" t="s">
        <v>206</v>
      </c>
      <c r="CA78" s="614">
        <v>45992</v>
      </c>
      <c r="CB78" s="616" t="s">
        <v>218</v>
      </c>
      <c r="CC78" s="286" t="s">
        <v>233</v>
      </c>
      <c r="CE78" s="617"/>
      <c r="CF78" s="617"/>
      <c r="CG78" s="618" t="s">
        <v>209</v>
      </c>
      <c r="CH78" s="192"/>
      <c r="CI78" s="558"/>
      <c r="CJ78" s="558"/>
      <c r="CK78" s="559" t="s">
        <v>209</v>
      </c>
      <c r="CL78" s="558"/>
      <c r="CM78" s="558"/>
      <c r="CN78" s="558"/>
      <c r="CO78" s="553"/>
      <c r="CP78" s="558"/>
      <c r="CQ78" s="558"/>
      <c r="CR78" s="559" t="s">
        <v>209</v>
      </c>
      <c r="CS78" s="553"/>
      <c r="CT78" s="558"/>
      <c r="CU78" s="558"/>
      <c r="CV78" s="559" t="s">
        <v>209</v>
      </c>
    </row>
    <row r="79" spans="1:100" ht="151.5" customHeight="1" x14ac:dyDescent="0.3">
      <c r="A79" s="584">
        <v>36</v>
      </c>
      <c r="B79" s="584" t="s">
        <v>661</v>
      </c>
      <c r="C79" s="585" t="s">
        <v>570</v>
      </c>
      <c r="D79" s="585" t="str">
        <f>IFERROR(INDEX('Base de datos gestión'!$D$28:$D$50,MATCH(C79,'Base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79" s="585" t="str">
        <f>IFERROR(INDEX('Base de datos gestión'!$E$28:$E$50,MATCH(C79,'Base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79" s="628" t="s">
        <v>276</v>
      </c>
      <c r="G79" s="629" t="s">
        <v>662</v>
      </c>
      <c r="H79" s="630" t="s">
        <v>654</v>
      </c>
      <c r="I79" s="628" t="s">
        <v>663</v>
      </c>
      <c r="J79" s="630" t="s">
        <v>192</v>
      </c>
      <c r="K79" s="630" t="s">
        <v>311</v>
      </c>
      <c r="L79" s="630">
        <v>5</v>
      </c>
      <c r="M79" s="588" t="str">
        <f>IF(L79&lt;=0,"",IF(L79&lt;=2,"Muy Baja",IF(L79&lt;=24,"Baja",IF(L79&lt;=500,"Media",IF(L79&lt;=5000,"Alta","Muy Alta")))))</f>
        <v>Baja</v>
      </c>
      <c r="N79" s="589">
        <f t="shared" si="15"/>
        <v>0.4</v>
      </c>
      <c r="O79" s="590" t="s">
        <v>452</v>
      </c>
      <c r="P79" s="589" t="str">
        <f>IF(NOT(ISERROR(MATCH(O79,'Tabla Impacto'!$B$222:$B$224,0))),'Tabla Impacto'!$F$224&amp;"Por favor no seleccionar los criterios de impacto(Afectación Económica o presupuestal y Pérdida Reputacional)",O79)</f>
        <v xml:space="preserve">     El riesgo afecta la imagen de la entidad a nivel nacional, con efecto publicitarios sostenible a nivel país</v>
      </c>
      <c r="Q79" s="591" t="str">
        <f>IF(OR(P79='[8]Tabla Impacto'!$C$12,P79='[8]Tabla Impacto'!$D$12),"Leve",IF(OR(P79='[8]Tabla Impacto'!$C$13,P79='[8]Tabla Impacto'!$D$13),"Menor",IF(OR(P79='[8]Tabla Impacto'!$C$14,P79='[8]Tabla Impacto'!$D$14),"Moderado",IF(OR(P79='[8]Tabla Impacto'!$C$15,P79='[8]Tabla Impacto'!$D$15),"Mayor",IF(OR(P79='[8]Tabla Impacto'!$C$16,P79='[8]Tabla Impacto'!$D$16),"Catastrófico","")))))</f>
        <v>Catastrófico</v>
      </c>
      <c r="R79" s="590">
        <f t="shared" si="37"/>
        <v>1</v>
      </c>
      <c r="S79" s="592" t="str">
        <f t="shared" si="38"/>
        <v>Extremo</v>
      </c>
      <c r="T79" s="595">
        <v>1</v>
      </c>
      <c r="U79" s="631" t="s">
        <v>664</v>
      </c>
      <c r="V79" s="595" t="str">
        <f t="shared" si="39"/>
        <v>Probabilidad</v>
      </c>
      <c r="W79" s="596" t="s">
        <v>197</v>
      </c>
      <c r="X79" s="596" t="s">
        <v>198</v>
      </c>
      <c r="Y79" s="597" t="str">
        <f t="shared" si="28"/>
        <v>40%</v>
      </c>
      <c r="Z79" s="596" t="s">
        <v>259</v>
      </c>
      <c r="AA79" s="596" t="s">
        <v>200</v>
      </c>
      <c r="AB79" s="596" t="s">
        <v>201</v>
      </c>
      <c r="AC79" s="598">
        <f>IFERROR(IF(V79="Probabilidad",(N79-(+N79*Y79)),IF(V79="Impacto",N79,"")),"")</f>
        <v>0.24</v>
      </c>
      <c r="AD79" s="599" t="str">
        <f t="shared" si="29"/>
        <v>Baja</v>
      </c>
      <c r="AE79" s="600">
        <f t="shared" si="30"/>
        <v>0.24</v>
      </c>
      <c r="AF79" s="599" t="str">
        <f t="shared" si="31"/>
        <v>Catastrófico</v>
      </c>
      <c r="AG79" s="600">
        <f>IFERROR(IF(V79="Impacto",(R79-(+R79*Y79)),IF(V79="Probabilidad",R79,"")),"")</f>
        <v>1</v>
      </c>
      <c r="AH79" s="601" t="str">
        <f t="shared" si="32"/>
        <v>Extremo</v>
      </c>
      <c r="AI79" s="602" t="s">
        <v>202</v>
      </c>
      <c r="AJ79" s="603"/>
      <c r="AK79" s="603"/>
      <c r="AL79" s="604"/>
      <c r="AM79" s="605"/>
      <c r="AN79" s="606"/>
      <c r="AO79" s="607"/>
      <c r="AP79" s="608">
        <v>45878</v>
      </c>
      <c r="AQ79" s="609" t="s">
        <v>576</v>
      </c>
      <c r="AR79" s="286" t="s">
        <v>665</v>
      </c>
      <c r="AS79" s="611" t="s">
        <v>205</v>
      </c>
      <c r="AT79" s="612" t="s">
        <v>206</v>
      </c>
      <c r="AU79" s="283" t="s">
        <v>206</v>
      </c>
      <c r="AV79" s="613"/>
      <c r="AW79" s="614">
        <v>45782</v>
      </c>
      <c r="AX79" s="615" t="s">
        <v>207</v>
      </c>
      <c r="AY79" s="635" t="s">
        <v>578</v>
      </c>
      <c r="BA79" s="617"/>
      <c r="BB79" s="617"/>
      <c r="BC79" s="618" t="s">
        <v>209</v>
      </c>
      <c r="BE79" s="672" t="s">
        <v>579</v>
      </c>
      <c r="BF79" s="673" t="s">
        <v>580</v>
      </c>
      <c r="BG79" s="658" t="s">
        <v>666</v>
      </c>
      <c r="BH79" s="619" t="s">
        <v>205</v>
      </c>
      <c r="BI79" s="675" t="s">
        <v>206</v>
      </c>
      <c r="BJ79" s="675" t="s">
        <v>206</v>
      </c>
      <c r="BL79" s="450">
        <v>45861</v>
      </c>
      <c r="BM79" s="676" t="s">
        <v>215</v>
      </c>
      <c r="BN79" s="283" t="s">
        <v>667</v>
      </c>
      <c r="BP79" s="617"/>
      <c r="BQ79" s="617"/>
      <c r="BR79" s="618" t="s">
        <v>209</v>
      </c>
      <c r="BT79" s="476">
        <v>45944</v>
      </c>
      <c r="BU79" s="471" t="s">
        <v>668</v>
      </c>
      <c r="BV79" s="283" t="s">
        <v>669</v>
      </c>
      <c r="BW79" s="651" t="s">
        <v>205</v>
      </c>
      <c r="BX79" s="615" t="s">
        <v>206</v>
      </c>
      <c r="BY79" s="615" t="s">
        <v>206</v>
      </c>
      <c r="CA79" s="614">
        <v>45992</v>
      </c>
      <c r="CB79" s="616" t="s">
        <v>218</v>
      </c>
      <c r="CC79" s="286" t="s">
        <v>233</v>
      </c>
      <c r="CE79" s="617"/>
      <c r="CF79" s="617"/>
      <c r="CG79" s="618" t="s">
        <v>209</v>
      </c>
      <c r="CH79" s="192"/>
      <c r="CI79" s="567">
        <v>45986</v>
      </c>
      <c r="CJ79" s="564" t="s">
        <v>627</v>
      </c>
      <c r="CK79" s="568" t="s">
        <v>670</v>
      </c>
      <c r="CL79" s="569" t="s">
        <v>205</v>
      </c>
      <c r="CM79" s="561" t="s">
        <v>317</v>
      </c>
      <c r="CN79" s="562" t="s">
        <v>671</v>
      </c>
      <c r="CO79" s="553"/>
      <c r="CP79" s="558"/>
      <c r="CQ79" s="558"/>
      <c r="CR79" s="559" t="s">
        <v>209</v>
      </c>
      <c r="CS79" s="553"/>
      <c r="CT79" s="558"/>
      <c r="CU79" s="558"/>
      <c r="CV79" s="559" t="s">
        <v>209</v>
      </c>
    </row>
    <row r="80" spans="1:100" ht="151.5" customHeight="1" x14ac:dyDescent="0.3">
      <c r="A80" s="622">
        <v>36</v>
      </c>
      <c r="B80" s="622" t="s">
        <v>661</v>
      </c>
      <c r="C80" s="623" t="s">
        <v>570</v>
      </c>
      <c r="D80" s="585" t="str">
        <f>IFERROR(INDEX('Base de datos gestión'!$D$28:$D$50,MATCH(C80,'Base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0" s="585" t="str">
        <f>IFERROR(INDEX('Base de datos gestión'!$E$28:$E$50,MATCH(C80,'Base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0" s="628" t="s">
        <v>276</v>
      </c>
      <c r="G80" s="629" t="s">
        <v>662</v>
      </c>
      <c r="H80" s="630" t="s">
        <v>654</v>
      </c>
      <c r="I80" s="628" t="s">
        <v>663</v>
      </c>
      <c r="J80" s="630" t="s">
        <v>192</v>
      </c>
      <c r="K80" s="630" t="s">
        <v>311</v>
      </c>
      <c r="L80" s="630">
        <v>5</v>
      </c>
      <c r="M80" s="588" t="str">
        <f t="shared" ref="M80:M84" si="40">IF(L80&lt;=0,"",IF(L80&lt;=2,"Muy Baja",IF(L80&lt;=24,"Baja",IF(L80&lt;=500,"Media",IF(L80&lt;=5000,"Alta","Muy Alta")))))</f>
        <v>Baja</v>
      </c>
      <c r="N80" s="589">
        <f t="shared" si="15"/>
        <v>0.4</v>
      </c>
      <c r="O80" s="590" t="s">
        <v>452</v>
      </c>
      <c r="P80" s="589" t="str">
        <f>IF(NOT(ISERROR(MATCH(O80,'Tabla Impacto'!$B$222:$B$224,0))),'Tabla Impacto'!$F$224&amp;"Por favor no seleccionar los criterios de impacto(Afectación Económica o presupuestal y Pérdida Reputacional)",O80)</f>
        <v xml:space="preserve">     El riesgo afecta la imagen de la entidad a nivel nacional, con efecto publicitarios sostenible a nivel país</v>
      </c>
      <c r="Q80" s="591" t="str">
        <f>IF(OR(P80='[8]Tabla Impacto'!$C$12,P80='[8]Tabla Impacto'!$D$12),"Leve",IF(OR(P80='[8]Tabla Impacto'!$C$13,P80='[8]Tabla Impacto'!$D$13),"Menor",IF(OR(P80='[8]Tabla Impacto'!$C$14,P80='[8]Tabla Impacto'!$D$14),"Moderado",IF(OR(P80='[8]Tabla Impacto'!$C$15,P80='[8]Tabla Impacto'!$D$15),"Mayor",IF(OR(P80='[8]Tabla Impacto'!$C$16,P80='[8]Tabla Impacto'!$D$16),"Catastrófico","")))))</f>
        <v>Catastrófico</v>
      </c>
      <c r="R80" s="590">
        <f t="shared" si="37"/>
        <v>1</v>
      </c>
      <c r="S80" s="592" t="str">
        <f t="shared" si="38"/>
        <v>Extremo</v>
      </c>
      <c r="T80" s="595">
        <v>2</v>
      </c>
      <c r="U80" s="631" t="s">
        <v>672</v>
      </c>
      <c r="V80" s="595" t="str">
        <f t="shared" si="39"/>
        <v>Probabilidad</v>
      </c>
      <c r="W80" s="596" t="s">
        <v>269</v>
      </c>
      <c r="X80" s="596" t="s">
        <v>198</v>
      </c>
      <c r="Y80" s="597" t="str">
        <f t="shared" si="28"/>
        <v>30%</v>
      </c>
      <c r="Z80" s="596" t="s">
        <v>199</v>
      </c>
      <c r="AA80" s="596" t="s">
        <v>200</v>
      </c>
      <c r="AB80" s="596" t="s">
        <v>250</v>
      </c>
      <c r="AC80" s="598">
        <f>IFERROR(IF(AND(V79="Probabilidad",V80="Probabilidad"),(AE79-(+AE79*Y80)),IF(V80="Probabilidad",(N79-(+N79*Y80)),IF(V80="Impacto",AE79,""))),"")</f>
        <v>0.16799999999999998</v>
      </c>
      <c r="AD80" s="599" t="str">
        <f t="shared" si="29"/>
        <v>Muy Baja</v>
      </c>
      <c r="AE80" s="600">
        <f t="shared" si="30"/>
        <v>0.16799999999999998</v>
      </c>
      <c r="AF80" s="599" t="str">
        <f t="shared" si="31"/>
        <v>Moderado</v>
      </c>
      <c r="AG80" s="600">
        <f>IFERROR(IF(AND(V79="Impacto",V80="Impacto"),(AG73-(+AG73*Y80)),IF(V80="Impacto",($R$55-(+$R$55*Y80)),IF(V80="Probabilidad",AG73,""))),"")</f>
        <v>0.6</v>
      </c>
      <c r="AH80" s="601" t="str">
        <f t="shared" si="32"/>
        <v>Moderado</v>
      </c>
      <c r="AI80" s="602" t="s">
        <v>202</v>
      </c>
      <c r="AJ80" s="603"/>
      <c r="AK80" s="603"/>
      <c r="AL80" s="604"/>
      <c r="AM80" s="605"/>
      <c r="AN80" s="606"/>
      <c r="AO80" s="607"/>
      <c r="AP80" s="608">
        <v>45878</v>
      </c>
      <c r="AQ80" s="609" t="s">
        <v>576</v>
      </c>
      <c r="AR80" s="286" t="s">
        <v>673</v>
      </c>
      <c r="AS80" s="611" t="s">
        <v>205</v>
      </c>
      <c r="AT80" s="612" t="s">
        <v>206</v>
      </c>
      <c r="AU80" s="283" t="s">
        <v>206</v>
      </c>
      <c r="AV80" s="613"/>
      <c r="AW80" s="614">
        <v>45782</v>
      </c>
      <c r="AX80" s="615" t="s">
        <v>207</v>
      </c>
      <c r="AY80" s="635" t="s">
        <v>578</v>
      </c>
      <c r="BA80" s="617"/>
      <c r="BB80" s="617"/>
      <c r="BC80" s="618" t="s">
        <v>209</v>
      </c>
      <c r="BE80" s="672" t="s">
        <v>579</v>
      </c>
      <c r="BF80" s="673" t="s">
        <v>580</v>
      </c>
      <c r="BG80" s="658" t="s">
        <v>674</v>
      </c>
      <c r="BH80" s="619" t="s">
        <v>205</v>
      </c>
      <c r="BI80" s="675" t="s">
        <v>206</v>
      </c>
      <c r="BJ80" s="675" t="s">
        <v>206</v>
      </c>
      <c r="BL80" s="450">
        <v>45861</v>
      </c>
      <c r="BM80" s="676" t="s">
        <v>215</v>
      </c>
      <c r="BN80" s="283" t="s">
        <v>675</v>
      </c>
      <c r="BP80" s="617"/>
      <c r="BQ80" s="617"/>
      <c r="BR80" s="618" t="s">
        <v>209</v>
      </c>
      <c r="BT80" s="476">
        <v>45944</v>
      </c>
      <c r="BU80" s="471" t="s">
        <v>582</v>
      </c>
      <c r="BV80" s="283" t="s">
        <v>676</v>
      </c>
      <c r="BW80" s="651" t="s">
        <v>205</v>
      </c>
      <c r="BX80" s="615" t="s">
        <v>206</v>
      </c>
      <c r="BY80" s="615" t="s">
        <v>206</v>
      </c>
      <c r="CA80" s="614">
        <v>45992</v>
      </c>
      <c r="CB80" s="616" t="s">
        <v>218</v>
      </c>
      <c r="CC80" s="286" t="s">
        <v>233</v>
      </c>
      <c r="CE80" s="617"/>
      <c r="CF80" s="617"/>
      <c r="CG80" s="618" t="s">
        <v>209</v>
      </c>
      <c r="CH80" s="192"/>
      <c r="CI80" s="558"/>
      <c r="CJ80" s="558"/>
      <c r="CK80" s="559" t="s">
        <v>209</v>
      </c>
      <c r="CL80" s="558"/>
      <c r="CM80" s="558"/>
      <c r="CN80" s="558"/>
      <c r="CO80" s="553"/>
      <c r="CP80" s="558"/>
      <c r="CQ80" s="558"/>
      <c r="CR80" s="559" t="s">
        <v>209</v>
      </c>
      <c r="CS80" s="553"/>
      <c r="CT80" s="558"/>
      <c r="CU80" s="558"/>
      <c r="CV80" s="559" t="s">
        <v>209</v>
      </c>
    </row>
    <row r="81" spans="1:100" ht="151.5" customHeight="1" x14ac:dyDescent="0.3">
      <c r="A81" s="622">
        <v>37</v>
      </c>
      <c r="B81" s="622" t="s">
        <v>677</v>
      </c>
      <c r="C81" s="623" t="s">
        <v>570</v>
      </c>
      <c r="D81" s="585" t="str">
        <f>IFERROR(INDEX('Base de datos gestión'!$D$28:$D$50,MATCH(C81,'Base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1" s="585" t="str">
        <f>IFERROR(INDEX('Base de datos gestión'!$E$28:$E$50,MATCH(C81,'Base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1" s="628" t="s">
        <v>276</v>
      </c>
      <c r="G81" s="629" t="s">
        <v>678</v>
      </c>
      <c r="H81" s="628" t="s">
        <v>679</v>
      </c>
      <c r="I81" s="628" t="s">
        <v>680</v>
      </c>
      <c r="J81" s="630" t="s">
        <v>192</v>
      </c>
      <c r="K81" s="630" t="s">
        <v>311</v>
      </c>
      <c r="L81" s="630">
        <v>5</v>
      </c>
      <c r="M81" s="588" t="str">
        <f t="shared" si="40"/>
        <v>Baja</v>
      </c>
      <c r="N81" s="589">
        <f t="shared" si="15"/>
        <v>0.4</v>
      </c>
      <c r="O81" s="590" t="s">
        <v>440</v>
      </c>
      <c r="P81" s="589" t="str">
        <f>IF(NOT(ISERROR(MATCH(O81,'Tabla Impacto'!$B$222:$B$224,0))),'Tabla Impacto'!$F$224&amp;"Por favor no seleccionar los criterios de impacto(Afectación Económica o presupuestal y Pérdida Reputacional)",O81)</f>
        <v xml:space="preserve">     El riesgo afecta la imagen de alguna área de la organización</v>
      </c>
      <c r="Q81" s="591" t="str">
        <f>IF(OR(P81='[8]Tabla Impacto'!$C$12,P81='[8]Tabla Impacto'!$D$12),"Leve",IF(OR(P81='[8]Tabla Impacto'!$C$13,P81='[8]Tabla Impacto'!$D$13),"Menor",IF(OR(P81='[8]Tabla Impacto'!$C$14,P81='[8]Tabla Impacto'!$D$14),"Moderado",IF(OR(P81='[8]Tabla Impacto'!$C$15,P81='[8]Tabla Impacto'!$D$15),"Mayor",IF(OR(P81='[8]Tabla Impacto'!$C$16,P81='[8]Tabla Impacto'!$D$16),"Catastrófico","")))))</f>
        <v>Leve</v>
      </c>
      <c r="R81" s="590">
        <f t="shared" si="37"/>
        <v>0.2</v>
      </c>
      <c r="S81" s="592" t="str">
        <f t="shared" si="38"/>
        <v>Bajo</v>
      </c>
      <c r="T81" s="595">
        <v>1</v>
      </c>
      <c r="U81" s="631" t="s">
        <v>681</v>
      </c>
      <c r="V81" s="595" t="str">
        <f t="shared" si="39"/>
        <v>Probabilidad</v>
      </c>
      <c r="W81" s="596" t="s">
        <v>197</v>
      </c>
      <c r="X81" s="596" t="s">
        <v>198</v>
      </c>
      <c r="Y81" s="597" t="str">
        <f t="shared" si="28"/>
        <v>40%</v>
      </c>
      <c r="Z81" s="596" t="s">
        <v>259</v>
      </c>
      <c r="AA81" s="596" t="s">
        <v>200</v>
      </c>
      <c r="AB81" s="596" t="s">
        <v>201</v>
      </c>
      <c r="AC81" s="598">
        <f>IFERROR(IF(AND(V80="Probabilidad",V81="Probabilidad"),(AE80-(+AE80*Y81)),IF(AND(V80="Impacto",V81="Probabilidad"),(AE79-(+AE79*Y81)),IF(V81="Impacto",AE80,""))),"")</f>
        <v>0.10079999999999999</v>
      </c>
      <c r="AD81" s="599" t="str">
        <f t="shared" si="29"/>
        <v>Muy Baja</v>
      </c>
      <c r="AE81" s="600">
        <f t="shared" si="30"/>
        <v>0.10079999999999999</v>
      </c>
      <c r="AF81" s="599" t="str">
        <f t="shared" si="31"/>
        <v>Moderado</v>
      </c>
      <c r="AG81" s="600">
        <f>IFERROR(IF(AND(V80="Impacto",V81="Impacto"),(AG80-(+AG80*Y81)),IF(AND(V80="Probabilidad",V81="Impacto"),(AG79-(+AG79*Y81)),IF(V81="Probabilidad",AG80,""))),"")</f>
        <v>0.6</v>
      </c>
      <c r="AH81" s="601" t="str">
        <f t="shared" si="32"/>
        <v>Moderado</v>
      </c>
      <c r="AI81" s="602" t="s">
        <v>202</v>
      </c>
      <c r="AJ81" s="603"/>
      <c r="AK81" s="603"/>
      <c r="AL81" s="604"/>
      <c r="AM81" s="605"/>
      <c r="AN81" s="606"/>
      <c r="AO81" s="607"/>
      <c r="AP81" s="608">
        <v>45878</v>
      </c>
      <c r="AQ81" s="609" t="s">
        <v>576</v>
      </c>
      <c r="AR81" s="286" t="s">
        <v>682</v>
      </c>
      <c r="AS81" s="611" t="s">
        <v>205</v>
      </c>
      <c r="AT81" s="612" t="s">
        <v>206</v>
      </c>
      <c r="AU81" s="283" t="s">
        <v>206</v>
      </c>
      <c r="AV81" s="613"/>
      <c r="AW81" s="614">
        <v>45782</v>
      </c>
      <c r="AX81" s="615" t="s">
        <v>207</v>
      </c>
      <c r="AY81" s="635" t="s">
        <v>578</v>
      </c>
      <c r="BA81" s="617"/>
      <c r="BB81" s="617"/>
      <c r="BC81" s="618" t="s">
        <v>209</v>
      </c>
      <c r="BE81" s="672" t="s">
        <v>579</v>
      </c>
      <c r="BF81" s="673" t="s">
        <v>580</v>
      </c>
      <c r="BG81" s="658" t="s">
        <v>683</v>
      </c>
      <c r="BH81" s="619" t="s">
        <v>205</v>
      </c>
      <c r="BI81" s="675" t="s">
        <v>206</v>
      </c>
      <c r="BJ81" s="675" t="s">
        <v>206</v>
      </c>
      <c r="BL81" s="450">
        <v>45861</v>
      </c>
      <c r="BM81" s="676" t="s">
        <v>215</v>
      </c>
      <c r="BN81" s="283" t="s">
        <v>623</v>
      </c>
      <c r="BP81" s="617"/>
      <c r="BQ81" s="617"/>
      <c r="BR81" s="618" t="s">
        <v>209</v>
      </c>
      <c r="BT81" s="476">
        <v>45944</v>
      </c>
      <c r="BU81" s="471" t="s">
        <v>582</v>
      </c>
      <c r="BV81" s="283" t="s">
        <v>684</v>
      </c>
      <c r="BW81" s="651" t="s">
        <v>205</v>
      </c>
      <c r="BX81" s="615" t="s">
        <v>206</v>
      </c>
      <c r="BY81" s="615" t="s">
        <v>206</v>
      </c>
      <c r="CA81" s="614">
        <v>45992</v>
      </c>
      <c r="CB81" s="616" t="s">
        <v>218</v>
      </c>
      <c r="CC81" s="286" t="s">
        <v>233</v>
      </c>
      <c r="CE81" s="617"/>
      <c r="CF81" s="617"/>
      <c r="CG81" s="618" t="s">
        <v>209</v>
      </c>
      <c r="CH81" s="192"/>
      <c r="CI81" s="558"/>
      <c r="CJ81" s="558"/>
      <c r="CK81" s="559" t="s">
        <v>209</v>
      </c>
      <c r="CL81" s="558"/>
      <c r="CM81" s="558"/>
      <c r="CN81" s="558"/>
      <c r="CO81" s="553"/>
      <c r="CP81" s="558"/>
      <c r="CQ81" s="558"/>
      <c r="CR81" s="559" t="s">
        <v>209</v>
      </c>
      <c r="CS81" s="553"/>
      <c r="CT81" s="558"/>
      <c r="CU81" s="558"/>
      <c r="CV81" s="559" t="s">
        <v>209</v>
      </c>
    </row>
    <row r="82" spans="1:100" ht="151.5" customHeight="1" x14ac:dyDescent="0.3">
      <c r="A82" s="622">
        <v>37</v>
      </c>
      <c r="B82" s="622" t="s">
        <v>677</v>
      </c>
      <c r="C82" s="623" t="s">
        <v>570</v>
      </c>
      <c r="D82" s="585" t="str">
        <f>IFERROR(INDEX('Base de datos gestión'!$D$28:$D$50,MATCH(C82,'Base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2" s="585" t="str">
        <f>IFERROR(INDEX('Base de datos gestión'!$E$28:$E$50,MATCH(C82,'Base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2" s="628" t="s">
        <v>276</v>
      </c>
      <c r="G82" s="629" t="s">
        <v>678</v>
      </c>
      <c r="H82" s="628" t="s">
        <v>679</v>
      </c>
      <c r="I82" s="628" t="s">
        <v>680</v>
      </c>
      <c r="J82" s="630" t="s">
        <v>192</v>
      </c>
      <c r="K82" s="630" t="s">
        <v>311</v>
      </c>
      <c r="L82" s="630">
        <v>5</v>
      </c>
      <c r="M82" s="588" t="str">
        <f t="shared" si="40"/>
        <v>Baja</v>
      </c>
      <c r="N82" s="589">
        <f t="shared" si="15"/>
        <v>0.4</v>
      </c>
      <c r="O82" s="590" t="s">
        <v>440</v>
      </c>
      <c r="P82" s="589" t="str">
        <f>IF(NOT(ISERROR(MATCH(O82,'Tabla Impacto'!$B$222:$B$224,0))),'Tabla Impacto'!$F$224&amp;"Por favor no seleccionar los criterios de impacto(Afectación Económica o presupuestal y Pérdida Reputacional)",O82)</f>
        <v xml:space="preserve">     El riesgo afecta la imagen de alguna área de la organización</v>
      </c>
      <c r="Q82" s="591" t="str">
        <f>IF(OR(P82='[8]Tabla Impacto'!$C$12,P82='[8]Tabla Impacto'!$D$12),"Leve",IF(OR(P82='[8]Tabla Impacto'!$C$13,P82='[8]Tabla Impacto'!$D$13),"Menor",IF(OR(P82='[8]Tabla Impacto'!$C$14,P82='[8]Tabla Impacto'!$D$14),"Moderado",IF(OR(P82='[8]Tabla Impacto'!$C$15,P82='[8]Tabla Impacto'!$D$15),"Mayor",IF(OR(P82='[8]Tabla Impacto'!$C$16,P82='[8]Tabla Impacto'!$D$16),"Catastrófico","")))))</f>
        <v>Leve</v>
      </c>
      <c r="R82" s="590">
        <f t="shared" si="37"/>
        <v>0.2</v>
      </c>
      <c r="S82" s="592" t="str">
        <f t="shared" si="38"/>
        <v>Bajo</v>
      </c>
      <c r="T82" s="595">
        <v>2</v>
      </c>
      <c r="U82" s="631" t="s">
        <v>639</v>
      </c>
      <c r="V82" s="595" t="str">
        <f t="shared" si="39"/>
        <v>Probabilidad</v>
      </c>
      <c r="W82" s="596" t="s">
        <v>197</v>
      </c>
      <c r="X82" s="596" t="s">
        <v>198</v>
      </c>
      <c r="Y82" s="597" t="str">
        <f t="shared" si="28"/>
        <v>40%</v>
      </c>
      <c r="Z82" s="596" t="s">
        <v>259</v>
      </c>
      <c r="AA82" s="596" t="s">
        <v>200</v>
      </c>
      <c r="AB82" s="596" t="s">
        <v>201</v>
      </c>
      <c r="AC82" s="598">
        <f>IFERROR(IF(AND(V81="Probabilidad",V82="Probabilidad"),(AE81-(+AE81*Y82)),IF(AND(V81="Impacto",V82="Probabilidad"),(AE80-(+AE80*Y82)),IF(V82="Impacto",AE81,""))),"")</f>
        <v>6.0479999999999992E-2</v>
      </c>
      <c r="AD82" s="599" t="str">
        <f t="shared" si="29"/>
        <v>Muy Baja</v>
      </c>
      <c r="AE82" s="600">
        <f t="shared" si="30"/>
        <v>6.0479999999999992E-2</v>
      </c>
      <c r="AF82" s="599" t="str">
        <f t="shared" si="31"/>
        <v>Moderado</v>
      </c>
      <c r="AG82" s="600">
        <f>IFERROR(IF(AND(V81="Impacto",V82="Impacto"),(AG81-(+AG81*Y82)),IF(AND(V81="Probabilidad",V82="Impacto"),(AG80-(+AG80*Y82)),IF(V82="Probabilidad",AG81,""))),"")</f>
        <v>0.6</v>
      </c>
      <c r="AH82" s="601" t="str">
        <f t="shared" si="32"/>
        <v>Moderado</v>
      </c>
      <c r="AI82" s="602" t="s">
        <v>202</v>
      </c>
      <c r="AJ82" s="603"/>
      <c r="AK82" s="603"/>
      <c r="AL82" s="604"/>
      <c r="AM82" s="605"/>
      <c r="AN82" s="606"/>
      <c r="AO82" s="607"/>
      <c r="AP82" s="608">
        <v>45878</v>
      </c>
      <c r="AQ82" s="609" t="s">
        <v>576</v>
      </c>
      <c r="AR82" s="286" t="s">
        <v>682</v>
      </c>
      <c r="AS82" s="611" t="s">
        <v>205</v>
      </c>
      <c r="AT82" s="612" t="s">
        <v>206</v>
      </c>
      <c r="AU82" s="283" t="s">
        <v>206</v>
      </c>
      <c r="AV82" s="613"/>
      <c r="AW82" s="614">
        <v>45782</v>
      </c>
      <c r="AX82" s="615" t="s">
        <v>207</v>
      </c>
      <c r="AY82" s="635" t="s">
        <v>578</v>
      </c>
      <c r="BA82" s="617"/>
      <c r="BB82" s="617"/>
      <c r="BC82" s="618" t="s">
        <v>209</v>
      </c>
      <c r="BE82" s="672" t="s">
        <v>579</v>
      </c>
      <c r="BF82" s="673" t="s">
        <v>580</v>
      </c>
      <c r="BG82" s="658" t="s">
        <v>685</v>
      </c>
      <c r="BH82" s="619" t="s">
        <v>205</v>
      </c>
      <c r="BI82" s="675" t="s">
        <v>206</v>
      </c>
      <c r="BJ82" s="675" t="s">
        <v>206</v>
      </c>
      <c r="BL82" s="450">
        <v>45861</v>
      </c>
      <c r="BM82" s="676" t="s">
        <v>215</v>
      </c>
      <c r="BN82" s="283" t="s">
        <v>623</v>
      </c>
      <c r="BP82" s="617"/>
      <c r="BQ82" s="617"/>
      <c r="BR82" s="618" t="s">
        <v>209</v>
      </c>
      <c r="BT82" s="476">
        <v>45944</v>
      </c>
      <c r="BU82" s="471" t="s">
        <v>582</v>
      </c>
      <c r="BV82" s="283" t="s">
        <v>686</v>
      </c>
      <c r="BW82" s="651" t="s">
        <v>205</v>
      </c>
      <c r="BX82" s="615" t="s">
        <v>206</v>
      </c>
      <c r="BY82" s="615" t="s">
        <v>206</v>
      </c>
      <c r="CA82" s="614">
        <v>45992</v>
      </c>
      <c r="CB82" s="616" t="s">
        <v>218</v>
      </c>
      <c r="CC82" s="286" t="s">
        <v>233</v>
      </c>
      <c r="CE82" s="617"/>
      <c r="CF82" s="617"/>
      <c r="CG82" s="618" t="s">
        <v>209</v>
      </c>
      <c r="CH82" s="192"/>
      <c r="CI82" s="558"/>
      <c r="CJ82" s="558"/>
      <c r="CK82" s="559" t="s">
        <v>209</v>
      </c>
      <c r="CL82" s="558"/>
      <c r="CM82" s="558"/>
      <c r="CN82" s="558"/>
      <c r="CO82" s="553"/>
      <c r="CP82" s="558"/>
      <c r="CQ82" s="558"/>
      <c r="CR82" s="559" t="s">
        <v>209</v>
      </c>
      <c r="CS82" s="553"/>
      <c r="CT82" s="558"/>
      <c r="CU82" s="558"/>
      <c r="CV82" s="559" t="s">
        <v>209</v>
      </c>
    </row>
    <row r="83" spans="1:100" ht="151.5" customHeight="1" x14ac:dyDescent="0.3">
      <c r="A83" s="622">
        <v>37</v>
      </c>
      <c r="B83" s="622" t="s">
        <v>677</v>
      </c>
      <c r="C83" s="623" t="s">
        <v>570</v>
      </c>
      <c r="D83" s="585" t="str">
        <f>IFERROR(INDEX('Base de datos gestión'!$D$28:$D$50,MATCH(C83,'Base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3" s="585" t="str">
        <f>IFERROR(INDEX('Base de datos gestión'!$E$28:$E$50,MATCH(C83,'Base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3" s="628" t="s">
        <v>276</v>
      </c>
      <c r="G83" s="629" t="s">
        <v>678</v>
      </c>
      <c r="H83" s="628" t="s">
        <v>679</v>
      </c>
      <c r="I83" s="628" t="s">
        <v>680</v>
      </c>
      <c r="J83" s="630" t="s">
        <v>192</v>
      </c>
      <c r="K83" s="630" t="s">
        <v>311</v>
      </c>
      <c r="L83" s="630">
        <v>5</v>
      </c>
      <c r="M83" s="588" t="str">
        <f t="shared" si="40"/>
        <v>Baja</v>
      </c>
      <c r="N83" s="589">
        <f t="shared" si="15"/>
        <v>0.4</v>
      </c>
      <c r="O83" s="590" t="s">
        <v>440</v>
      </c>
      <c r="P83" s="589" t="str">
        <f>IF(NOT(ISERROR(MATCH(O83,'Tabla Impacto'!$B$222:$B$224,0))),'Tabla Impacto'!$F$224&amp;"Por favor no seleccionar los criterios de impacto(Afectación Económica o presupuestal y Pérdida Reputacional)",O83)</f>
        <v xml:space="preserve">     El riesgo afecta la imagen de alguna área de la organización</v>
      </c>
      <c r="Q83" s="591" t="str">
        <f>IF(OR(P83='[8]Tabla Impacto'!$C$12,P83='[8]Tabla Impacto'!$D$12),"Leve",IF(OR(P83='[8]Tabla Impacto'!$C$13,P83='[8]Tabla Impacto'!$D$13),"Menor",IF(OR(P83='[8]Tabla Impacto'!$C$14,P83='[8]Tabla Impacto'!$D$14),"Moderado",IF(OR(P83='[8]Tabla Impacto'!$C$15,P83='[8]Tabla Impacto'!$D$15),"Mayor",IF(OR(P83='[8]Tabla Impacto'!$C$16,P83='[8]Tabla Impacto'!$D$16),"Catastrófico","")))))</f>
        <v>Leve</v>
      </c>
      <c r="R83" s="590">
        <f t="shared" si="37"/>
        <v>0.2</v>
      </c>
      <c r="S83" s="592" t="str">
        <f t="shared" si="38"/>
        <v>Bajo</v>
      </c>
      <c r="T83" s="595">
        <v>3</v>
      </c>
      <c r="U83" s="631" t="s">
        <v>687</v>
      </c>
      <c r="V83" s="595" t="str">
        <f t="shared" si="39"/>
        <v>Probabilidad</v>
      </c>
      <c r="W83" s="596" t="s">
        <v>269</v>
      </c>
      <c r="X83" s="596" t="s">
        <v>198</v>
      </c>
      <c r="Y83" s="597" t="str">
        <f t="shared" si="28"/>
        <v>30%</v>
      </c>
      <c r="Z83" s="596" t="s">
        <v>259</v>
      </c>
      <c r="AA83" s="596" t="s">
        <v>200</v>
      </c>
      <c r="AB83" s="596" t="s">
        <v>201</v>
      </c>
      <c r="AC83" s="598">
        <f>IFERROR(IF(AND(V82="Probabilidad",V83="Probabilidad"),(AE82-(+AE82*Y83)),IF(AND(V82="Impacto",V83="Probabilidad"),(AE81-(+AE81*Y83)),IF(V83="Impacto",AE82,""))),"")</f>
        <v>4.2335999999999999E-2</v>
      </c>
      <c r="AD83" s="599" t="str">
        <f t="shared" si="29"/>
        <v>Muy Baja</v>
      </c>
      <c r="AE83" s="600">
        <f t="shared" si="30"/>
        <v>4.2335999999999999E-2</v>
      </c>
      <c r="AF83" s="599" t="str">
        <f t="shared" si="31"/>
        <v>Moderado</v>
      </c>
      <c r="AG83" s="600">
        <f>IFERROR(IF(AND(V82="Impacto",V83="Impacto"),(AG82-(+AG82*Y83)),IF(AND(V82="Probabilidad",V83="Impacto"),(AG81-(+AG81*Y83)),IF(V83="Probabilidad",AG82,""))),"")</f>
        <v>0.6</v>
      </c>
      <c r="AH83" s="601" t="str">
        <f t="shared" si="32"/>
        <v>Moderado</v>
      </c>
      <c r="AI83" s="602" t="s">
        <v>202</v>
      </c>
      <c r="AJ83" s="603"/>
      <c r="AK83" s="603"/>
      <c r="AL83" s="604"/>
      <c r="AM83" s="605"/>
      <c r="AN83" s="606"/>
      <c r="AO83" s="607"/>
      <c r="AP83" s="608">
        <v>45878</v>
      </c>
      <c r="AQ83" s="609" t="s">
        <v>576</v>
      </c>
      <c r="AR83" s="286" t="s">
        <v>688</v>
      </c>
      <c r="AS83" s="611" t="s">
        <v>205</v>
      </c>
      <c r="AT83" s="612" t="s">
        <v>206</v>
      </c>
      <c r="AU83" s="283" t="s">
        <v>206</v>
      </c>
      <c r="AV83" s="613"/>
      <c r="AW83" s="614">
        <v>45782</v>
      </c>
      <c r="AX83" s="615" t="s">
        <v>207</v>
      </c>
      <c r="AY83" s="635" t="s">
        <v>578</v>
      </c>
      <c r="BA83" s="617"/>
      <c r="BB83" s="617"/>
      <c r="BC83" s="618" t="s">
        <v>209</v>
      </c>
      <c r="BE83" s="672" t="s">
        <v>579</v>
      </c>
      <c r="BF83" s="673" t="s">
        <v>580</v>
      </c>
      <c r="BG83" s="286" t="s">
        <v>689</v>
      </c>
      <c r="BH83" s="619" t="s">
        <v>205</v>
      </c>
      <c r="BI83" s="675" t="s">
        <v>206</v>
      </c>
      <c r="BJ83" s="675" t="s">
        <v>206</v>
      </c>
      <c r="BL83" s="450">
        <v>45861</v>
      </c>
      <c r="BM83" s="676" t="s">
        <v>215</v>
      </c>
      <c r="BN83" s="283" t="s">
        <v>623</v>
      </c>
      <c r="BP83" s="617"/>
      <c r="BQ83" s="617"/>
      <c r="BR83" s="618" t="s">
        <v>209</v>
      </c>
      <c r="BT83" s="476">
        <v>45944</v>
      </c>
      <c r="BU83" s="471" t="s">
        <v>582</v>
      </c>
      <c r="BV83" s="283" t="s">
        <v>690</v>
      </c>
      <c r="BW83" s="651" t="s">
        <v>205</v>
      </c>
      <c r="BX83" s="615" t="s">
        <v>206</v>
      </c>
      <c r="BY83" s="615" t="s">
        <v>206</v>
      </c>
      <c r="CA83" s="614">
        <v>45992</v>
      </c>
      <c r="CB83" s="616" t="s">
        <v>218</v>
      </c>
      <c r="CC83" s="286" t="s">
        <v>233</v>
      </c>
      <c r="CE83" s="617"/>
      <c r="CF83" s="617"/>
      <c r="CG83" s="618" t="s">
        <v>209</v>
      </c>
      <c r="CH83" s="192"/>
      <c r="CI83" s="558"/>
      <c r="CJ83" s="558"/>
      <c r="CK83" s="559" t="s">
        <v>209</v>
      </c>
      <c r="CL83" s="558"/>
      <c r="CM83" s="558"/>
      <c r="CN83" s="558"/>
      <c r="CO83" s="553"/>
      <c r="CP83" s="558"/>
      <c r="CQ83" s="558"/>
      <c r="CR83" s="559" t="s">
        <v>209</v>
      </c>
      <c r="CS83" s="553"/>
      <c r="CT83" s="558"/>
      <c r="CU83" s="558"/>
      <c r="CV83" s="559" t="s">
        <v>209</v>
      </c>
    </row>
    <row r="84" spans="1:100" ht="151.5" customHeight="1" x14ac:dyDescent="0.3">
      <c r="A84" s="632">
        <v>38</v>
      </c>
      <c r="B84" s="632" t="s">
        <v>691</v>
      </c>
      <c r="C84" s="633" t="s">
        <v>570</v>
      </c>
      <c r="D84" s="585" t="str">
        <f>IFERROR(INDEX('Base de datos gestión'!$D$28:$D$50,MATCH(C84,'Base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4" s="585" t="str">
        <f>IFERROR(INDEX('Base de datos gestión'!$E$28:$E$50,MATCH(C84,'Base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4" s="628" t="s">
        <v>276</v>
      </c>
      <c r="G84" s="629" t="s">
        <v>692</v>
      </c>
      <c r="H84" s="628" t="s">
        <v>693</v>
      </c>
      <c r="I84" s="628" t="s">
        <v>694</v>
      </c>
      <c r="J84" s="637" t="s">
        <v>192</v>
      </c>
      <c r="K84" s="678" t="s">
        <v>311</v>
      </c>
      <c r="L84" s="630">
        <v>700</v>
      </c>
      <c r="M84" s="588" t="str">
        <f t="shared" si="40"/>
        <v>Alta</v>
      </c>
      <c r="N84" s="589">
        <f t="shared" ref="N84:N147" si="41">IF(M84="","",IF(M84="Muy Baja",0.2,IF(M84="Baja",0.4,IF(M84="Media",0.6,IF(M84="Alta",0.8,IF(M84="Muy Alta",1,))))))</f>
        <v>0.8</v>
      </c>
      <c r="O84" s="590" t="s">
        <v>248</v>
      </c>
      <c r="P84" s="589" t="str">
        <f>IF(NOT(ISERROR(MATCH(O84,'Tabla Impacto'!$B$222:$B$224,0))),'Tabla Impacto'!$F$224&amp;"Por favor no seleccionar los criterios de impacto(Afectación Económica o presupuestal y Pérdida Reputacional)",O84)</f>
        <v xml:space="preserve">     El riesgo afecta la imagen de la entidad con algunos usuarios de relevancia frente al logro de los objetivos</v>
      </c>
      <c r="Q84" s="591" t="str">
        <f>IF(OR(P84='[8]Tabla Impacto'!$C$12,P84='[8]Tabla Impacto'!$D$12),"Leve",IF(OR(P84='[8]Tabla Impacto'!$C$13,P84='[8]Tabla Impacto'!$D$13),"Menor",IF(OR(P84='[8]Tabla Impacto'!$C$14,P84='[8]Tabla Impacto'!$D$14),"Moderado",IF(OR(P84='[8]Tabla Impacto'!$C$15,P84='[8]Tabla Impacto'!$D$15),"Mayor",IF(OR(P84='[8]Tabla Impacto'!$C$16,P84='[8]Tabla Impacto'!$D$16),"Catastrófico","")))))</f>
        <v>Moderado</v>
      </c>
      <c r="R84" s="590">
        <f t="shared" si="37"/>
        <v>0.6</v>
      </c>
      <c r="S84" s="592" t="str">
        <f t="shared" si="38"/>
        <v>Alto</v>
      </c>
      <c r="T84" s="595">
        <v>1</v>
      </c>
      <c r="U84" s="631" t="s">
        <v>695</v>
      </c>
      <c r="V84" s="595" t="str">
        <f t="shared" si="39"/>
        <v>Probabilidad</v>
      </c>
      <c r="W84" s="596" t="s">
        <v>197</v>
      </c>
      <c r="X84" s="596" t="s">
        <v>198</v>
      </c>
      <c r="Y84" s="597" t="str">
        <f t="shared" si="28"/>
        <v>40%</v>
      </c>
      <c r="Z84" s="596" t="s">
        <v>259</v>
      </c>
      <c r="AA84" s="596" t="s">
        <v>200</v>
      </c>
      <c r="AB84" s="596" t="s">
        <v>201</v>
      </c>
      <c r="AC84" s="598">
        <f>IFERROR(IF(AND(V83="Probabilidad",V84="Probabilidad"),(AE83-(+AE83*Y84)),IF(AND(V83="Impacto",V84="Probabilidad"),(AE82-(+AE82*Y84)),IF(V84="Impacto",AE83,""))),"")</f>
        <v>2.54016E-2</v>
      </c>
      <c r="AD84" s="599" t="str">
        <f t="shared" si="29"/>
        <v>Muy Baja</v>
      </c>
      <c r="AE84" s="600">
        <f t="shared" si="30"/>
        <v>2.54016E-2</v>
      </c>
      <c r="AF84" s="599" t="str">
        <f t="shared" si="31"/>
        <v>Moderado</v>
      </c>
      <c r="AG84" s="600">
        <f>IFERROR(IF(AND(V83="Impacto",V84="Impacto"),(AG83-(+AG83*Y84)),IF(AND(V83="Probabilidad",V84="Impacto"),(AG82-(+AG82*Y84)),IF(V84="Probabilidad",AG83,""))),"")</f>
        <v>0.6</v>
      </c>
      <c r="AH84" s="601" t="str">
        <f t="shared" si="32"/>
        <v>Moderado</v>
      </c>
      <c r="AI84" s="602" t="s">
        <v>202</v>
      </c>
      <c r="AJ84" s="631" t="s">
        <v>696</v>
      </c>
      <c r="AK84" s="631" t="s">
        <v>696</v>
      </c>
      <c r="AL84" s="631" t="s">
        <v>697</v>
      </c>
      <c r="AM84" s="679">
        <v>45138</v>
      </c>
      <c r="AN84" s="606"/>
      <c r="AO84" s="607"/>
      <c r="AP84" s="608">
        <v>45878</v>
      </c>
      <c r="AQ84" s="609" t="s">
        <v>576</v>
      </c>
      <c r="AR84" s="286" t="s">
        <v>698</v>
      </c>
      <c r="AS84" s="611" t="s">
        <v>205</v>
      </c>
      <c r="AT84" s="612" t="s">
        <v>206</v>
      </c>
      <c r="AU84" s="283" t="s">
        <v>206</v>
      </c>
      <c r="AV84" s="613"/>
      <c r="AW84" s="614">
        <v>45782</v>
      </c>
      <c r="AX84" s="615" t="s">
        <v>207</v>
      </c>
      <c r="AY84" s="635" t="s">
        <v>578</v>
      </c>
      <c r="BA84" s="617"/>
      <c r="BB84" s="617"/>
      <c r="BC84" s="618" t="s">
        <v>209</v>
      </c>
      <c r="BE84" s="672" t="s">
        <v>579</v>
      </c>
      <c r="BF84" s="673" t="s">
        <v>580</v>
      </c>
      <c r="BG84" s="658" t="s">
        <v>699</v>
      </c>
      <c r="BH84" s="619" t="s">
        <v>205</v>
      </c>
      <c r="BI84" s="675" t="s">
        <v>206</v>
      </c>
      <c r="BJ84" s="675" t="s">
        <v>206</v>
      </c>
      <c r="BL84" s="450">
        <v>45861</v>
      </c>
      <c r="BM84" s="676" t="s">
        <v>215</v>
      </c>
      <c r="BN84" s="283" t="s">
        <v>623</v>
      </c>
      <c r="BP84" s="617"/>
      <c r="BQ84" s="617"/>
      <c r="BR84" s="618" t="s">
        <v>209</v>
      </c>
      <c r="BT84" s="476">
        <v>45944</v>
      </c>
      <c r="BU84" s="471" t="s">
        <v>582</v>
      </c>
      <c r="BV84" s="283" t="s">
        <v>700</v>
      </c>
      <c r="BW84" s="651" t="s">
        <v>205</v>
      </c>
      <c r="BX84" s="615" t="s">
        <v>206</v>
      </c>
      <c r="BY84" s="615" t="s">
        <v>206</v>
      </c>
      <c r="CA84" s="614">
        <v>45992</v>
      </c>
      <c r="CB84" s="616" t="s">
        <v>218</v>
      </c>
      <c r="CC84" s="286" t="s">
        <v>233</v>
      </c>
      <c r="CE84" s="617"/>
      <c r="CF84" s="617"/>
      <c r="CG84" s="618" t="s">
        <v>209</v>
      </c>
      <c r="CH84" s="192"/>
      <c r="CI84" s="558"/>
      <c r="CJ84" s="558"/>
      <c r="CK84" s="559" t="s">
        <v>209</v>
      </c>
      <c r="CL84" s="558"/>
      <c r="CM84" s="558"/>
      <c r="CN84" s="558"/>
      <c r="CO84" s="553"/>
      <c r="CP84" s="558"/>
      <c r="CQ84" s="558"/>
      <c r="CR84" s="559" t="s">
        <v>209</v>
      </c>
      <c r="CS84" s="553"/>
      <c r="CT84" s="558"/>
      <c r="CU84" s="558"/>
      <c r="CV84" s="559" t="s">
        <v>209</v>
      </c>
    </row>
    <row r="85" spans="1:100" ht="151.5" customHeight="1" x14ac:dyDescent="0.3">
      <c r="A85" s="584">
        <v>38</v>
      </c>
      <c r="B85" s="584" t="s">
        <v>691</v>
      </c>
      <c r="C85" s="585" t="s">
        <v>570</v>
      </c>
      <c r="D85" s="585" t="str">
        <f>IFERROR(INDEX('Base de datos gestión'!$D$28:$D$50,MATCH(C85,'Base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5" s="585" t="str">
        <f>IFERROR(INDEX('Base de datos gestión'!$E$28:$E$50,MATCH(C85,'Base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5" s="628" t="s">
        <v>276</v>
      </c>
      <c r="G85" s="629" t="s">
        <v>692</v>
      </c>
      <c r="H85" s="628" t="s">
        <v>701</v>
      </c>
      <c r="I85" s="628" t="s">
        <v>694</v>
      </c>
      <c r="J85" s="637" t="s">
        <v>192</v>
      </c>
      <c r="K85" s="678" t="s">
        <v>311</v>
      </c>
      <c r="L85" s="630">
        <v>700</v>
      </c>
      <c r="M85" s="588" t="str">
        <f>IF(L85&lt;=0,"",IF(L85&lt;=2,"Muy Baja",IF(L85&lt;=24,"Baja",IF(L85&lt;=500,"Media",IF(L85&lt;=5000,"Alta","Muy Alta")))))</f>
        <v>Alta</v>
      </c>
      <c r="N85" s="589">
        <f t="shared" si="41"/>
        <v>0.8</v>
      </c>
      <c r="O85" s="590" t="s">
        <v>248</v>
      </c>
      <c r="P85" s="589" t="str">
        <f>IF(NOT(ISERROR(MATCH(O85,'Tabla Impacto'!$B$222:$B$224,0))),'Tabla Impacto'!$F$224&amp;"Por favor no seleccionar los criterios de impacto(Afectación Económica o presupuestal y Pérdida Reputacional)",O85)</f>
        <v xml:space="preserve">     El riesgo afecta la imagen de la entidad con algunos usuarios de relevancia frente al logro de los objetivos</v>
      </c>
      <c r="Q85" s="591" t="str">
        <f>IF(OR(P85='[8]Tabla Impacto'!$C$12,P85='[8]Tabla Impacto'!$D$12),"Leve",IF(OR(P85='[8]Tabla Impacto'!$C$13,P85='[8]Tabla Impacto'!$D$13),"Menor",IF(OR(P85='[8]Tabla Impacto'!$C$14,P85='[8]Tabla Impacto'!$D$14),"Moderado",IF(OR(P85='[8]Tabla Impacto'!$C$15,P85='[8]Tabla Impacto'!$D$15),"Mayor",IF(OR(P85='[8]Tabla Impacto'!$C$16,P85='[8]Tabla Impacto'!$D$16),"Catastrófico","")))))</f>
        <v>Moderado</v>
      </c>
      <c r="R85" s="590">
        <f t="shared" si="37"/>
        <v>0.6</v>
      </c>
      <c r="S85" s="592" t="str">
        <f t="shared" si="38"/>
        <v>Alto</v>
      </c>
      <c r="T85" s="595">
        <v>2</v>
      </c>
      <c r="U85" s="631" t="s">
        <v>702</v>
      </c>
      <c r="V85" s="595" t="str">
        <f t="shared" si="39"/>
        <v>Probabilidad</v>
      </c>
      <c r="W85" s="596" t="s">
        <v>197</v>
      </c>
      <c r="X85" s="596" t="s">
        <v>198</v>
      </c>
      <c r="Y85" s="597" t="str">
        <f t="shared" si="28"/>
        <v>40%</v>
      </c>
      <c r="Z85" s="596" t="s">
        <v>259</v>
      </c>
      <c r="AA85" s="596" t="s">
        <v>200</v>
      </c>
      <c r="AB85" s="596" t="s">
        <v>201</v>
      </c>
      <c r="AC85" s="598">
        <f>IFERROR(IF(V85="Probabilidad",(N85-(+N85*Y85)),IF(V85="Impacto",N85,"")),"")</f>
        <v>0.48</v>
      </c>
      <c r="AD85" s="599" t="str">
        <f t="shared" si="29"/>
        <v>Media</v>
      </c>
      <c r="AE85" s="600">
        <f t="shared" si="30"/>
        <v>0.48</v>
      </c>
      <c r="AF85" s="599" t="str">
        <f t="shared" si="31"/>
        <v>Moderado</v>
      </c>
      <c r="AG85" s="600">
        <f>IFERROR(IF(V85="Impacto",(R85-(+R85*Y85)),IF(V85="Probabilidad",R85,"")),"")</f>
        <v>0.6</v>
      </c>
      <c r="AH85" s="601" t="str">
        <f t="shared" si="32"/>
        <v>Moderado</v>
      </c>
      <c r="AI85" s="602" t="s">
        <v>202</v>
      </c>
      <c r="AJ85" s="631" t="s">
        <v>696</v>
      </c>
      <c r="AK85" s="631" t="s">
        <v>696</v>
      </c>
      <c r="AL85" s="631" t="s">
        <v>697</v>
      </c>
      <c r="AM85" s="679">
        <v>45138</v>
      </c>
      <c r="AN85" s="606"/>
      <c r="AO85" s="607"/>
      <c r="AP85" s="608">
        <v>45878</v>
      </c>
      <c r="AQ85" s="609" t="s">
        <v>576</v>
      </c>
      <c r="AR85" s="286" t="s">
        <v>698</v>
      </c>
      <c r="AS85" s="611" t="s">
        <v>205</v>
      </c>
      <c r="AT85" s="612" t="s">
        <v>206</v>
      </c>
      <c r="AU85" s="283" t="s">
        <v>206</v>
      </c>
      <c r="AV85" s="613"/>
      <c r="AW85" s="614">
        <v>45782</v>
      </c>
      <c r="AX85" s="615" t="s">
        <v>207</v>
      </c>
      <c r="AY85" s="635" t="s">
        <v>578</v>
      </c>
      <c r="BA85" s="617"/>
      <c r="BB85" s="617"/>
      <c r="BC85" s="618" t="s">
        <v>209</v>
      </c>
      <c r="BE85" s="672" t="s">
        <v>579</v>
      </c>
      <c r="BF85" s="673" t="s">
        <v>580</v>
      </c>
      <c r="BG85" s="658" t="s">
        <v>699</v>
      </c>
      <c r="BH85" s="619" t="s">
        <v>205</v>
      </c>
      <c r="BI85" s="675" t="s">
        <v>206</v>
      </c>
      <c r="BJ85" s="675" t="s">
        <v>206</v>
      </c>
      <c r="BL85" s="450">
        <v>45861</v>
      </c>
      <c r="BM85" s="676" t="s">
        <v>215</v>
      </c>
      <c r="BN85" s="283" t="s">
        <v>623</v>
      </c>
      <c r="BP85" s="617"/>
      <c r="BQ85" s="617"/>
      <c r="BR85" s="618" t="s">
        <v>209</v>
      </c>
      <c r="BT85" s="476">
        <v>45944</v>
      </c>
      <c r="BU85" s="471" t="s">
        <v>582</v>
      </c>
      <c r="BV85" s="283" t="s">
        <v>700</v>
      </c>
      <c r="BW85" s="651" t="s">
        <v>205</v>
      </c>
      <c r="BX85" s="615" t="s">
        <v>206</v>
      </c>
      <c r="BY85" s="615" t="s">
        <v>206</v>
      </c>
      <c r="CA85" s="614">
        <v>45992</v>
      </c>
      <c r="CB85" s="616" t="s">
        <v>218</v>
      </c>
      <c r="CC85" s="286" t="s">
        <v>233</v>
      </c>
      <c r="CE85" s="617"/>
      <c r="CF85" s="617"/>
      <c r="CG85" s="618" t="s">
        <v>209</v>
      </c>
      <c r="CH85" s="192"/>
      <c r="CI85" s="558"/>
      <c r="CJ85" s="558"/>
      <c r="CK85" s="559" t="s">
        <v>209</v>
      </c>
      <c r="CL85" s="558"/>
      <c r="CM85" s="558"/>
      <c r="CN85" s="558"/>
      <c r="CO85" s="553"/>
      <c r="CP85" s="558"/>
      <c r="CQ85" s="558"/>
      <c r="CR85" s="559" t="s">
        <v>209</v>
      </c>
      <c r="CS85" s="553"/>
      <c r="CT85" s="558"/>
      <c r="CU85" s="558"/>
      <c r="CV85" s="559" t="s">
        <v>209</v>
      </c>
    </row>
    <row r="86" spans="1:100" ht="151.5" customHeight="1" x14ac:dyDescent="0.3">
      <c r="A86" s="622">
        <v>38</v>
      </c>
      <c r="B86" s="622" t="s">
        <v>691</v>
      </c>
      <c r="C86" s="623" t="s">
        <v>570</v>
      </c>
      <c r="D86" s="585" t="str">
        <f>IFERROR(INDEX('Base de datos gestión'!$D$28:$D$50,MATCH(C86,'Base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6" s="585" t="str">
        <f>IFERROR(INDEX('Base de datos gestión'!$E$28:$E$50,MATCH(C86,'Base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6" s="628" t="s">
        <v>276</v>
      </c>
      <c r="G86" s="629" t="s">
        <v>692</v>
      </c>
      <c r="H86" s="628" t="s">
        <v>703</v>
      </c>
      <c r="I86" s="628" t="s">
        <v>694</v>
      </c>
      <c r="J86" s="637" t="s">
        <v>192</v>
      </c>
      <c r="K86" s="678" t="s">
        <v>311</v>
      </c>
      <c r="L86" s="630">
        <v>700</v>
      </c>
      <c r="M86" s="588" t="str">
        <f>IF(L86&lt;=0,"",IF(L86&lt;=2,"Muy Baja",IF(L86&lt;=24,"Baja",IF(L86&lt;=500,"Media",IF(L86&lt;=5000,"Alta","Muy Alta")))))</f>
        <v>Alta</v>
      </c>
      <c r="N86" s="589">
        <f t="shared" si="41"/>
        <v>0.8</v>
      </c>
      <c r="O86" s="590" t="s">
        <v>248</v>
      </c>
      <c r="P86" s="589" t="str">
        <f>IF(NOT(ISERROR(MATCH(O86,'Tabla Impacto'!$B$222:$B$224,0))),'Tabla Impacto'!$F$224&amp;"Por favor no seleccionar los criterios de impacto(Afectación Económica o presupuestal y Pérdida Reputacional)",O86)</f>
        <v xml:space="preserve">     El riesgo afecta la imagen de la entidad con algunos usuarios de relevancia frente al logro de los objetivos</v>
      </c>
      <c r="Q86" s="591" t="str">
        <f>IF(OR(P86='[8]Tabla Impacto'!$C$12,P86='[8]Tabla Impacto'!$D$12),"Leve",IF(OR(P86='[8]Tabla Impacto'!$C$13,P86='[8]Tabla Impacto'!$D$13),"Menor",IF(OR(P86='[8]Tabla Impacto'!$C$14,P86='[8]Tabla Impacto'!$D$14),"Moderado",IF(OR(P86='[8]Tabla Impacto'!$C$15,P86='[8]Tabla Impacto'!$D$15),"Mayor",IF(OR(P86='[8]Tabla Impacto'!$C$16,P86='[8]Tabla Impacto'!$D$16),"Catastrófico","")))))</f>
        <v>Moderado</v>
      </c>
      <c r="R86" s="590">
        <f t="shared" si="37"/>
        <v>0.6</v>
      </c>
      <c r="S86" s="592" t="str">
        <f t="shared" si="38"/>
        <v>Alto</v>
      </c>
      <c r="T86" s="595">
        <v>3</v>
      </c>
      <c r="U86" s="631" t="s">
        <v>704</v>
      </c>
      <c r="V86" s="595" t="str">
        <f t="shared" si="39"/>
        <v>Impacto</v>
      </c>
      <c r="W86" s="596" t="s">
        <v>240</v>
      </c>
      <c r="X86" s="596" t="s">
        <v>198</v>
      </c>
      <c r="Y86" s="597" t="str">
        <f t="shared" si="28"/>
        <v>25%</v>
      </c>
      <c r="Z86" s="596" t="s">
        <v>199</v>
      </c>
      <c r="AA86" s="596" t="s">
        <v>225</v>
      </c>
      <c r="AB86" s="596" t="s">
        <v>201</v>
      </c>
      <c r="AC86" s="598">
        <f>IFERROR(IF(AND(V85="Probabilidad",V86="Probabilidad"),(AE85-(+AE85*Y86)),IF(V86="Probabilidad",(N85-(+N85*Y86)),IF(V86="Impacto",AE85,""))),"")</f>
        <v>0.48</v>
      </c>
      <c r="AD86" s="599" t="str">
        <f t="shared" si="29"/>
        <v>Media</v>
      </c>
      <c r="AE86" s="600">
        <f t="shared" si="30"/>
        <v>0.48</v>
      </c>
      <c r="AF86" s="599" t="str">
        <f t="shared" si="31"/>
        <v>Moderado</v>
      </c>
      <c r="AG86" s="600">
        <f>IFERROR(IF(AND(V85="Impacto",V86="Impacto"),(AG79-(+AG79*Y86)),IF(V86="Impacto",($R$49-(+$R$49*Y86)),IF(V86="Probabilidad",AG79,""))),"")</f>
        <v>0.44999999999999996</v>
      </c>
      <c r="AH86" s="601" t="str">
        <f t="shared" si="32"/>
        <v>Moderado</v>
      </c>
      <c r="AI86" s="602" t="s">
        <v>202</v>
      </c>
      <c r="AJ86" s="631" t="s">
        <v>705</v>
      </c>
      <c r="AK86" s="631" t="s">
        <v>705</v>
      </c>
      <c r="AL86" s="631" t="s">
        <v>706</v>
      </c>
      <c r="AM86" s="679">
        <v>45230</v>
      </c>
      <c r="AN86" s="606"/>
      <c r="AO86" s="607"/>
      <c r="AP86" s="608">
        <v>45878</v>
      </c>
      <c r="AQ86" s="609" t="s">
        <v>576</v>
      </c>
      <c r="AR86" s="286" t="s">
        <v>698</v>
      </c>
      <c r="AS86" s="611" t="s">
        <v>205</v>
      </c>
      <c r="AT86" s="612" t="s">
        <v>206</v>
      </c>
      <c r="AU86" s="283" t="s">
        <v>206</v>
      </c>
      <c r="AV86" s="613"/>
      <c r="AW86" s="614">
        <v>45782</v>
      </c>
      <c r="AX86" s="615" t="s">
        <v>207</v>
      </c>
      <c r="AY86" s="635" t="s">
        <v>578</v>
      </c>
      <c r="BA86" s="617"/>
      <c r="BB86" s="617"/>
      <c r="BC86" s="618" t="s">
        <v>209</v>
      </c>
      <c r="BE86" s="672" t="s">
        <v>579</v>
      </c>
      <c r="BF86" s="673" t="s">
        <v>580</v>
      </c>
      <c r="BG86" s="658" t="s">
        <v>699</v>
      </c>
      <c r="BH86" s="619" t="s">
        <v>205</v>
      </c>
      <c r="BI86" s="675" t="s">
        <v>206</v>
      </c>
      <c r="BJ86" s="675" t="s">
        <v>206</v>
      </c>
      <c r="BL86" s="450">
        <v>45861</v>
      </c>
      <c r="BM86" s="676" t="s">
        <v>215</v>
      </c>
      <c r="BN86" s="283" t="s">
        <v>623</v>
      </c>
      <c r="BP86" s="617"/>
      <c r="BQ86" s="617"/>
      <c r="BR86" s="618" t="s">
        <v>209</v>
      </c>
      <c r="BT86" s="476">
        <v>45944</v>
      </c>
      <c r="BU86" s="471" t="s">
        <v>582</v>
      </c>
      <c r="BV86" s="283" t="s">
        <v>700</v>
      </c>
      <c r="BW86" s="651" t="s">
        <v>205</v>
      </c>
      <c r="BX86" s="615" t="s">
        <v>206</v>
      </c>
      <c r="BY86" s="615" t="s">
        <v>206</v>
      </c>
      <c r="CA86" s="614">
        <v>45992</v>
      </c>
      <c r="CB86" s="616" t="s">
        <v>218</v>
      </c>
      <c r="CC86" s="286" t="s">
        <v>233</v>
      </c>
      <c r="CE86" s="617"/>
      <c r="CF86" s="617"/>
      <c r="CG86" s="618" t="s">
        <v>209</v>
      </c>
      <c r="CH86" s="192"/>
      <c r="CI86" s="558"/>
      <c r="CJ86" s="558"/>
      <c r="CK86" s="559" t="s">
        <v>209</v>
      </c>
      <c r="CL86" s="558"/>
      <c r="CM86" s="558"/>
      <c r="CN86" s="558"/>
      <c r="CO86" s="553"/>
      <c r="CP86" s="558"/>
      <c r="CQ86" s="558"/>
      <c r="CR86" s="559" t="s">
        <v>209</v>
      </c>
      <c r="CS86" s="553"/>
      <c r="CT86" s="558"/>
      <c r="CU86" s="558"/>
      <c r="CV86" s="559" t="s">
        <v>209</v>
      </c>
    </row>
    <row r="87" spans="1:100" ht="151.5" customHeight="1" x14ac:dyDescent="0.3">
      <c r="A87" s="622">
        <v>38</v>
      </c>
      <c r="B87" s="622" t="s">
        <v>691</v>
      </c>
      <c r="C87" s="623" t="s">
        <v>570</v>
      </c>
      <c r="D87" s="585" t="str">
        <f>IFERROR(INDEX('Base de datos gestión'!$D$28:$D$50,MATCH(C87,'Base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E87" s="585" t="str">
        <f>IFERROR(INDEX('Base de datos gestión'!$E$28:$E$50,MATCH(C87,'Base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F87" s="628" t="s">
        <v>276</v>
      </c>
      <c r="G87" s="629" t="s">
        <v>692</v>
      </c>
      <c r="H87" s="628" t="s">
        <v>707</v>
      </c>
      <c r="I87" s="628" t="s">
        <v>694</v>
      </c>
      <c r="J87" s="637" t="s">
        <v>192</v>
      </c>
      <c r="K87" s="678" t="s">
        <v>311</v>
      </c>
      <c r="L87" s="630">
        <v>700</v>
      </c>
      <c r="M87" s="588" t="str">
        <f t="shared" ref="M87:M90" si="42">IF(L87&lt;=0,"",IF(L87&lt;=2,"Muy Baja",IF(L87&lt;=24,"Baja",IF(L87&lt;=500,"Media",IF(L87&lt;=5000,"Alta","Muy Alta")))))</f>
        <v>Alta</v>
      </c>
      <c r="N87" s="589">
        <f t="shared" si="41"/>
        <v>0.8</v>
      </c>
      <c r="O87" s="590" t="s">
        <v>248</v>
      </c>
      <c r="P87" s="589" t="str">
        <f>IF(NOT(ISERROR(MATCH(O87,'Tabla Impacto'!$B$222:$B$224,0))),'Tabla Impacto'!$F$224&amp;"Por favor no seleccionar los criterios de impacto(Afectación Económica o presupuestal y Pérdida Reputacional)",O87)</f>
        <v xml:space="preserve">     El riesgo afecta la imagen de la entidad con algunos usuarios de relevancia frente al logro de los objetivos</v>
      </c>
      <c r="Q87" s="591" t="str">
        <f>IF(OR(P87='[8]Tabla Impacto'!$C$12,P87='[8]Tabla Impacto'!$D$12),"Leve",IF(OR(P87='[8]Tabla Impacto'!$C$13,P87='[8]Tabla Impacto'!$D$13),"Menor",IF(OR(P87='[8]Tabla Impacto'!$C$14,P87='[8]Tabla Impacto'!$D$14),"Moderado",IF(OR(P87='[8]Tabla Impacto'!$C$15,P87='[8]Tabla Impacto'!$D$15),"Mayor",IF(OR(P87='[8]Tabla Impacto'!$C$16,P87='[8]Tabla Impacto'!$D$16),"Catastrófico","")))))</f>
        <v>Moderado</v>
      </c>
      <c r="R87" s="590">
        <f t="shared" si="37"/>
        <v>0.6</v>
      </c>
      <c r="S87" s="592" t="str">
        <f t="shared" si="38"/>
        <v>Alto</v>
      </c>
      <c r="T87" s="595">
        <v>4</v>
      </c>
      <c r="U87" s="631" t="s">
        <v>708</v>
      </c>
      <c r="V87" s="595" t="str">
        <f t="shared" si="39"/>
        <v>Probabilidad</v>
      </c>
      <c r="W87" s="596" t="s">
        <v>197</v>
      </c>
      <c r="X87" s="596" t="s">
        <v>198</v>
      </c>
      <c r="Y87" s="597" t="str">
        <f t="shared" si="28"/>
        <v>40%</v>
      </c>
      <c r="Z87" s="596" t="s">
        <v>199</v>
      </c>
      <c r="AA87" s="596" t="s">
        <v>200</v>
      </c>
      <c r="AB87" s="596" t="s">
        <v>250</v>
      </c>
      <c r="AC87" s="598">
        <f>IFERROR(IF(AND(V86="Probabilidad",V87="Probabilidad"),(AE86-(+AE86*Y87)),IF(AND(V86="Impacto",V87="Probabilidad"),(AE85-(+AE85*Y87)),IF(V87="Impacto",AE86,""))),"")</f>
        <v>0.28799999999999998</v>
      </c>
      <c r="AD87" s="599" t="str">
        <f t="shared" si="29"/>
        <v>Baja</v>
      </c>
      <c r="AE87" s="600">
        <f t="shared" si="30"/>
        <v>0.28799999999999998</v>
      </c>
      <c r="AF87" s="599" t="str">
        <f t="shared" si="31"/>
        <v>Moderado</v>
      </c>
      <c r="AG87" s="600">
        <f>IFERROR(IF(AND(V86="Impacto",V87="Impacto"),(AG86-(+AG86*Y87)),IF(AND(V86="Probabilidad",V87="Impacto"),(AG85-(+AG85*Y87)),IF(V87="Probabilidad",AG86,""))),"")</f>
        <v>0.44999999999999996</v>
      </c>
      <c r="AH87" s="601" t="str">
        <f t="shared" si="32"/>
        <v>Moderado</v>
      </c>
      <c r="AI87" s="602" t="s">
        <v>202</v>
      </c>
      <c r="AJ87" s="631" t="s">
        <v>709</v>
      </c>
      <c r="AK87" s="631" t="s">
        <v>709</v>
      </c>
      <c r="AL87" s="631" t="s">
        <v>706</v>
      </c>
      <c r="AM87" s="679">
        <v>45230</v>
      </c>
      <c r="AN87" s="606"/>
      <c r="AO87" s="607"/>
      <c r="AP87" s="608">
        <v>45878</v>
      </c>
      <c r="AQ87" s="609" t="s">
        <v>576</v>
      </c>
      <c r="AR87" s="286" t="s">
        <v>710</v>
      </c>
      <c r="AS87" s="611" t="s">
        <v>205</v>
      </c>
      <c r="AT87" s="612" t="s">
        <v>206</v>
      </c>
      <c r="AU87" s="283" t="s">
        <v>206</v>
      </c>
      <c r="AV87" s="613"/>
      <c r="AW87" s="614">
        <v>45782</v>
      </c>
      <c r="AX87" s="615" t="s">
        <v>207</v>
      </c>
      <c r="AY87" s="635" t="s">
        <v>578</v>
      </c>
      <c r="BA87" s="617"/>
      <c r="BB87" s="617"/>
      <c r="BC87" s="618" t="s">
        <v>209</v>
      </c>
      <c r="BE87" s="672" t="s">
        <v>579</v>
      </c>
      <c r="BF87" s="673" t="s">
        <v>580</v>
      </c>
      <c r="BG87" s="658" t="s">
        <v>711</v>
      </c>
      <c r="BH87" s="619" t="s">
        <v>205</v>
      </c>
      <c r="BI87" s="675" t="s">
        <v>206</v>
      </c>
      <c r="BJ87" s="675" t="s">
        <v>206</v>
      </c>
      <c r="BL87" s="450">
        <v>45861</v>
      </c>
      <c r="BM87" s="676" t="s">
        <v>215</v>
      </c>
      <c r="BN87" s="283" t="s">
        <v>623</v>
      </c>
      <c r="BP87" s="617"/>
      <c r="BQ87" s="617"/>
      <c r="BR87" s="618" t="s">
        <v>209</v>
      </c>
      <c r="BT87" s="476">
        <v>45944</v>
      </c>
      <c r="BU87" s="471" t="s">
        <v>582</v>
      </c>
      <c r="BV87" s="283" t="s">
        <v>712</v>
      </c>
      <c r="BW87" s="651" t="s">
        <v>205</v>
      </c>
      <c r="BX87" s="615" t="s">
        <v>206</v>
      </c>
      <c r="BY87" s="615" t="s">
        <v>206</v>
      </c>
      <c r="CA87" s="614">
        <v>45992</v>
      </c>
      <c r="CB87" s="616" t="s">
        <v>218</v>
      </c>
      <c r="CC87" s="286" t="s">
        <v>233</v>
      </c>
      <c r="CE87" s="617"/>
      <c r="CF87" s="617"/>
      <c r="CG87" s="618" t="s">
        <v>209</v>
      </c>
      <c r="CH87" s="192"/>
      <c r="CI87" s="558"/>
      <c r="CJ87" s="558"/>
      <c r="CK87" s="559" t="s">
        <v>209</v>
      </c>
      <c r="CL87" s="558"/>
      <c r="CM87" s="558"/>
      <c r="CN87" s="558"/>
      <c r="CO87" s="553"/>
      <c r="CP87" s="558"/>
      <c r="CQ87" s="558"/>
      <c r="CR87" s="559" t="s">
        <v>209</v>
      </c>
      <c r="CS87" s="553"/>
      <c r="CT87" s="558"/>
      <c r="CU87" s="558"/>
      <c r="CV87" s="559" t="s">
        <v>209</v>
      </c>
    </row>
    <row r="88" spans="1:100" ht="151.5" customHeight="1" x14ac:dyDescent="0.3">
      <c r="A88" s="622">
        <v>39</v>
      </c>
      <c r="B88" s="622" t="s">
        <v>713</v>
      </c>
      <c r="C88" s="623" t="s">
        <v>714</v>
      </c>
      <c r="D88" s="585" t="str">
        <f>IFERROR(INDEX('Base de datos gestión'!$D$28:$D$50,MATCH(C88,'Base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88" s="585" t="str">
        <f>IFERROR(INDEX('Base de datos gestión'!$E$28:$E$50,MATCH(C88,'Base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88" s="628" t="s">
        <v>276</v>
      </c>
      <c r="G88" s="629" t="s">
        <v>715</v>
      </c>
      <c r="H88" s="628" t="s">
        <v>716</v>
      </c>
      <c r="I88" s="628" t="s">
        <v>717</v>
      </c>
      <c r="J88" s="630" t="s">
        <v>192</v>
      </c>
      <c r="K88" s="630" t="s">
        <v>193</v>
      </c>
      <c r="L88" s="630">
        <v>100</v>
      </c>
      <c r="M88" s="588" t="str">
        <f t="shared" si="42"/>
        <v>Media</v>
      </c>
      <c r="N88" s="589">
        <f t="shared" si="41"/>
        <v>0.6</v>
      </c>
      <c r="O88" s="590" t="s">
        <v>452</v>
      </c>
      <c r="P88" s="589" t="str">
        <f>IF(NOT(ISERROR(MATCH(O88,'Tabla Impacto'!$B$222:$B$224,0))),'Tabla Impacto'!$F$224&amp;"Por favor no seleccionar los criterios de impacto(Afectación Económica o presupuestal y Pérdida Reputacional)",O88)</f>
        <v xml:space="preserve">     El riesgo afecta la imagen de la entidad a nivel nacional, con efecto publicitarios sostenible a nivel país</v>
      </c>
      <c r="Q88" s="591" t="str">
        <f>IF(OR(P88='[8]Tabla Impacto'!$C$12,P88='[8]Tabla Impacto'!$D$12),"Leve",IF(OR(P88='[8]Tabla Impacto'!$C$13,P88='[8]Tabla Impacto'!$D$13),"Menor",IF(OR(P88='[8]Tabla Impacto'!$C$14,P88='[8]Tabla Impacto'!$D$14),"Moderado",IF(OR(P88='[8]Tabla Impacto'!$C$15,P88='[8]Tabla Impacto'!$D$15),"Mayor",IF(OR(P88='[8]Tabla Impacto'!$C$16,P88='[8]Tabla Impacto'!$D$16),"Catastrófico","")))))</f>
        <v>Catastrófico</v>
      </c>
      <c r="R88" s="590">
        <f t="shared" si="37"/>
        <v>1</v>
      </c>
      <c r="S88" s="592" t="str">
        <f t="shared" si="38"/>
        <v>Extremo</v>
      </c>
      <c r="T88" s="595">
        <v>1</v>
      </c>
      <c r="U88" s="631" t="s">
        <v>718</v>
      </c>
      <c r="V88" s="595" t="str">
        <f t="shared" si="39"/>
        <v>Impacto</v>
      </c>
      <c r="W88" s="596" t="s">
        <v>240</v>
      </c>
      <c r="X88" s="596" t="s">
        <v>198</v>
      </c>
      <c r="Y88" s="597" t="str">
        <f t="shared" si="28"/>
        <v>25%</v>
      </c>
      <c r="Z88" s="596" t="s">
        <v>259</v>
      </c>
      <c r="AA88" s="596" t="s">
        <v>200</v>
      </c>
      <c r="AB88" s="596" t="s">
        <v>201</v>
      </c>
      <c r="AC88" s="598">
        <f>IFERROR(IF(AND(V87="Probabilidad",V88="Probabilidad"),(AE87-(+AE87*Y88)),IF(AND(V87="Impacto",V88="Probabilidad"),(AE86-(+AE86*Y88)),IF(V88="Impacto",AE87,""))),"")</f>
        <v>0.28799999999999998</v>
      </c>
      <c r="AD88" s="599" t="str">
        <f t="shared" si="29"/>
        <v>Baja</v>
      </c>
      <c r="AE88" s="600">
        <f t="shared" si="30"/>
        <v>0.28799999999999998</v>
      </c>
      <c r="AF88" s="599" t="str">
        <f t="shared" si="31"/>
        <v>Menor</v>
      </c>
      <c r="AG88" s="600">
        <f>IFERROR(IF(AND(V87="Impacto",V88="Impacto"),(AG87-(+AG87*Y88)),IF(AND(V87="Probabilidad",V88="Impacto"),(AG86-(+AG86*Y88)),IF(V88="Probabilidad",AG87,""))),"")</f>
        <v>0.33749999999999997</v>
      </c>
      <c r="AH88" s="601" t="str">
        <f t="shared" si="32"/>
        <v>Moderado</v>
      </c>
      <c r="AI88" s="602" t="s">
        <v>202</v>
      </c>
      <c r="AJ88" s="603"/>
      <c r="AK88" s="603" t="s">
        <v>719</v>
      </c>
      <c r="AL88" s="603"/>
      <c r="AM88" s="604"/>
      <c r="AN88" s="606"/>
      <c r="AO88" s="607"/>
      <c r="AP88" s="608">
        <v>45756</v>
      </c>
      <c r="AQ88" s="609" t="s">
        <v>720</v>
      </c>
      <c r="AR88" s="286" t="s">
        <v>721</v>
      </c>
      <c r="AS88" s="611" t="s">
        <v>205</v>
      </c>
      <c r="AT88" s="612" t="s">
        <v>206</v>
      </c>
      <c r="AU88" s="283" t="s">
        <v>206</v>
      </c>
      <c r="AV88" s="613"/>
      <c r="AW88" s="614">
        <v>45782</v>
      </c>
      <c r="AX88" s="615" t="s">
        <v>207</v>
      </c>
      <c r="AY88" s="635" t="s">
        <v>722</v>
      </c>
      <c r="BA88" s="617"/>
      <c r="BB88" s="617"/>
      <c r="BC88" s="618" t="s">
        <v>209</v>
      </c>
      <c r="BE88" s="614">
        <v>45856</v>
      </c>
      <c r="BF88" s="616" t="s">
        <v>723</v>
      </c>
      <c r="BG88" s="658" t="s">
        <v>724</v>
      </c>
      <c r="BH88" s="449" t="s">
        <v>205</v>
      </c>
      <c r="BI88" s="449" t="s">
        <v>206</v>
      </c>
      <c r="BJ88" s="619" t="s">
        <v>206</v>
      </c>
      <c r="BL88" s="450">
        <v>45861</v>
      </c>
      <c r="BM88" s="676" t="s">
        <v>215</v>
      </c>
      <c r="BN88" s="283" t="s">
        <v>623</v>
      </c>
      <c r="BP88" s="617"/>
      <c r="BQ88" s="617"/>
      <c r="BR88" s="618" t="s">
        <v>209</v>
      </c>
      <c r="BT88" s="621">
        <v>45944</v>
      </c>
      <c r="BU88" s="615" t="s">
        <v>725</v>
      </c>
      <c r="BV88" s="286" t="s">
        <v>726</v>
      </c>
      <c r="BW88" s="617"/>
      <c r="BX88" s="651"/>
      <c r="BY88" s="617"/>
      <c r="CA88" s="680">
        <v>45992</v>
      </c>
      <c r="CB88" s="616" t="s">
        <v>218</v>
      </c>
      <c r="CC88" s="620" t="s">
        <v>727</v>
      </c>
      <c r="CE88" s="617"/>
      <c r="CF88" s="617"/>
      <c r="CG88" s="618" t="s">
        <v>209</v>
      </c>
      <c r="CH88" s="192"/>
      <c r="CI88" s="558"/>
      <c r="CJ88" s="558"/>
      <c r="CK88" s="559" t="s">
        <v>209</v>
      </c>
      <c r="CL88" s="558"/>
      <c r="CM88" s="558"/>
      <c r="CN88" s="558"/>
      <c r="CO88" s="553"/>
      <c r="CP88" s="558"/>
      <c r="CQ88" s="558"/>
      <c r="CR88" s="559" t="s">
        <v>209</v>
      </c>
      <c r="CS88" s="553"/>
      <c r="CT88" s="558"/>
      <c r="CU88" s="558"/>
      <c r="CV88" s="559" t="s">
        <v>209</v>
      </c>
    </row>
    <row r="89" spans="1:100" ht="199.5" customHeight="1" x14ac:dyDescent="0.3">
      <c r="A89" s="622">
        <v>39</v>
      </c>
      <c r="B89" s="622" t="s">
        <v>713</v>
      </c>
      <c r="C89" s="623" t="s">
        <v>714</v>
      </c>
      <c r="D89" s="585" t="str">
        <f>IFERROR(INDEX('Base de datos gestión'!$D$28:$D$50,MATCH(C89,'Base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89" s="585" t="str">
        <f>IFERROR(INDEX('Base de datos gestión'!$E$28:$E$50,MATCH(C89,'Base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89" s="628" t="s">
        <v>276</v>
      </c>
      <c r="G89" s="629" t="s">
        <v>715</v>
      </c>
      <c r="H89" s="628" t="s">
        <v>716</v>
      </c>
      <c r="I89" s="628" t="s">
        <v>717</v>
      </c>
      <c r="J89" s="630" t="s">
        <v>192</v>
      </c>
      <c r="K89" s="630" t="s">
        <v>193</v>
      </c>
      <c r="L89" s="630">
        <v>100</v>
      </c>
      <c r="M89" s="588" t="str">
        <f t="shared" si="42"/>
        <v>Media</v>
      </c>
      <c r="N89" s="589">
        <f t="shared" si="41"/>
        <v>0.6</v>
      </c>
      <c r="O89" s="590" t="s">
        <v>452</v>
      </c>
      <c r="P89" s="589" t="str">
        <f>IF(NOT(ISERROR(MATCH(O89,'Tabla Impacto'!$B$222:$B$224,0))),'Tabla Impacto'!$F$224&amp;"Por favor no seleccionar los criterios de impacto(Afectación Económica o presupuestal y Pérdida Reputacional)",O89)</f>
        <v xml:space="preserve">     El riesgo afecta la imagen de la entidad a nivel nacional, con efecto publicitarios sostenible a nivel país</v>
      </c>
      <c r="Q89" s="591" t="str">
        <f>IF(OR(P89='[8]Tabla Impacto'!$C$12,P89='[8]Tabla Impacto'!$D$12),"Leve",IF(OR(P89='[8]Tabla Impacto'!$C$13,P89='[8]Tabla Impacto'!$D$13),"Menor",IF(OR(P89='[8]Tabla Impacto'!$C$14,P89='[8]Tabla Impacto'!$D$14),"Moderado",IF(OR(P89='[8]Tabla Impacto'!$C$15,P89='[8]Tabla Impacto'!$D$15),"Mayor",IF(OR(P89='[8]Tabla Impacto'!$C$16,P89='[8]Tabla Impacto'!$D$16),"Catastrófico","")))))</f>
        <v>Catastrófico</v>
      </c>
      <c r="R89" s="590">
        <f t="shared" si="37"/>
        <v>1</v>
      </c>
      <c r="S89" s="592" t="str">
        <f t="shared" si="38"/>
        <v>Extremo</v>
      </c>
      <c r="T89" s="595">
        <v>2</v>
      </c>
      <c r="U89" s="631" t="s">
        <v>728</v>
      </c>
      <c r="V89" s="595" t="str">
        <f t="shared" si="39"/>
        <v>Impacto</v>
      </c>
      <c r="W89" s="596" t="s">
        <v>240</v>
      </c>
      <c r="X89" s="596" t="s">
        <v>198</v>
      </c>
      <c r="Y89" s="597" t="str">
        <f t="shared" si="28"/>
        <v>25%</v>
      </c>
      <c r="Z89" s="596" t="s">
        <v>259</v>
      </c>
      <c r="AA89" s="596" t="s">
        <v>200</v>
      </c>
      <c r="AB89" s="596" t="s">
        <v>201</v>
      </c>
      <c r="AC89" s="598">
        <f>IFERROR(IF(AND(V88="Probabilidad",V89="Probabilidad"),(AE88-(+AE88*Y89)),IF(AND(V88="Impacto",V89="Probabilidad"),(AE87-(+AE87*Y89)),IF(V89="Impacto",AE88,""))),"")</f>
        <v>0.28799999999999998</v>
      </c>
      <c r="AD89" s="599" t="str">
        <f t="shared" si="29"/>
        <v>Baja</v>
      </c>
      <c r="AE89" s="600">
        <f t="shared" si="30"/>
        <v>0.28799999999999998</v>
      </c>
      <c r="AF89" s="599" t="str">
        <f t="shared" si="31"/>
        <v>Menor</v>
      </c>
      <c r="AG89" s="600">
        <f>IFERROR(IF(AND(V88="Impacto",V89="Impacto"),(AG88-(+AG88*Y89)),IF(AND(V88="Probabilidad",V89="Impacto"),(AG87-(+AG87*Y89)),IF(V89="Probabilidad",AG88,""))),"")</f>
        <v>0.25312499999999999</v>
      </c>
      <c r="AH89" s="601" t="str">
        <f t="shared" si="32"/>
        <v>Moderado</v>
      </c>
      <c r="AI89" s="602" t="s">
        <v>202</v>
      </c>
      <c r="AJ89" s="603"/>
      <c r="AK89" s="603" t="s">
        <v>729</v>
      </c>
      <c r="AL89" s="603"/>
      <c r="AM89" s="604"/>
      <c r="AN89" s="606"/>
      <c r="AO89" s="607"/>
      <c r="AP89" s="608">
        <v>45756</v>
      </c>
      <c r="AQ89" s="609" t="s">
        <v>730</v>
      </c>
      <c r="AR89" s="286" t="s">
        <v>731</v>
      </c>
      <c r="AS89" s="611" t="s">
        <v>205</v>
      </c>
      <c r="AT89" s="612" t="s">
        <v>206</v>
      </c>
      <c r="AU89" s="283" t="s">
        <v>206</v>
      </c>
      <c r="AV89" s="613"/>
      <c r="AW89" s="614">
        <v>45782</v>
      </c>
      <c r="AX89" s="615" t="s">
        <v>207</v>
      </c>
      <c r="AY89" s="635" t="s">
        <v>578</v>
      </c>
      <c r="BA89" s="617"/>
      <c r="BB89" s="617"/>
      <c r="BC89" s="618" t="s">
        <v>209</v>
      </c>
      <c r="BE89" s="614">
        <v>45856</v>
      </c>
      <c r="BF89" s="616" t="s">
        <v>732</v>
      </c>
      <c r="BG89" s="658" t="s">
        <v>733</v>
      </c>
      <c r="BH89" s="449" t="s">
        <v>205</v>
      </c>
      <c r="BI89" s="286" t="s">
        <v>206</v>
      </c>
      <c r="BJ89" s="286" t="s">
        <v>206</v>
      </c>
      <c r="BL89" s="450">
        <v>45861</v>
      </c>
      <c r="BM89" s="676" t="s">
        <v>215</v>
      </c>
      <c r="BN89" s="283" t="s">
        <v>623</v>
      </c>
      <c r="BP89" s="617"/>
      <c r="BQ89" s="617"/>
      <c r="BR89" s="618" t="s">
        <v>209</v>
      </c>
      <c r="BT89" s="621">
        <v>45944</v>
      </c>
      <c r="BU89" s="615" t="s">
        <v>725</v>
      </c>
      <c r="BV89" s="286" t="s">
        <v>734</v>
      </c>
      <c r="BW89" s="617"/>
      <c r="BX89" s="617"/>
      <c r="BY89" s="617"/>
      <c r="CA89" s="680">
        <v>45992</v>
      </c>
      <c r="CB89" s="616" t="s">
        <v>218</v>
      </c>
      <c r="CC89" s="620" t="s">
        <v>727</v>
      </c>
      <c r="CE89" s="617"/>
      <c r="CF89" s="617"/>
      <c r="CG89" s="618" t="s">
        <v>209</v>
      </c>
      <c r="CH89" s="192"/>
      <c r="CI89" s="558"/>
      <c r="CJ89" s="558"/>
      <c r="CK89" s="559" t="s">
        <v>209</v>
      </c>
      <c r="CL89" s="558"/>
      <c r="CM89" s="558"/>
      <c r="CN89" s="558"/>
      <c r="CO89" s="553"/>
      <c r="CP89" s="558"/>
      <c r="CQ89" s="558"/>
      <c r="CR89" s="559" t="s">
        <v>209</v>
      </c>
      <c r="CS89" s="553"/>
      <c r="CT89" s="558"/>
      <c r="CU89" s="558"/>
      <c r="CV89" s="559" t="s">
        <v>209</v>
      </c>
    </row>
    <row r="90" spans="1:100" ht="405.75" customHeight="1" x14ac:dyDescent="0.3">
      <c r="A90" s="632">
        <v>39</v>
      </c>
      <c r="B90" s="632" t="s">
        <v>713</v>
      </c>
      <c r="C90" s="633" t="s">
        <v>714</v>
      </c>
      <c r="D90" s="585" t="str">
        <f>IFERROR(INDEX('Base de datos gestión'!$D$28:$D$50,MATCH(C90,'Base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0" s="585" t="str">
        <f>IFERROR(INDEX('Base de datos gestión'!$E$28:$E$50,MATCH(C90,'Base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0" s="628" t="s">
        <v>276</v>
      </c>
      <c r="G90" s="629" t="s">
        <v>715</v>
      </c>
      <c r="H90" s="628" t="s">
        <v>716</v>
      </c>
      <c r="I90" s="628" t="s">
        <v>717</v>
      </c>
      <c r="J90" s="630" t="s">
        <v>192</v>
      </c>
      <c r="K90" s="630" t="s">
        <v>193</v>
      </c>
      <c r="L90" s="630">
        <v>100</v>
      </c>
      <c r="M90" s="588" t="str">
        <f t="shared" si="42"/>
        <v>Media</v>
      </c>
      <c r="N90" s="589">
        <f t="shared" si="41"/>
        <v>0.6</v>
      </c>
      <c r="O90" s="590" t="s">
        <v>452</v>
      </c>
      <c r="P90" s="589" t="str">
        <f>IF(NOT(ISERROR(MATCH(O90,'Tabla Impacto'!$B$222:$B$224,0))),'Tabla Impacto'!$F$224&amp;"Por favor no seleccionar los criterios de impacto(Afectación Económica o presupuestal y Pérdida Reputacional)",O90)</f>
        <v xml:space="preserve">     El riesgo afecta la imagen de la entidad a nivel nacional, con efecto publicitarios sostenible a nivel país</v>
      </c>
      <c r="Q90" s="591" t="str">
        <f>IF(OR(P90='[8]Tabla Impacto'!$C$12,P90='[8]Tabla Impacto'!$D$12),"Leve",IF(OR(P90='[8]Tabla Impacto'!$C$13,P90='[8]Tabla Impacto'!$D$13),"Menor",IF(OR(P90='[8]Tabla Impacto'!$C$14,P90='[8]Tabla Impacto'!$D$14),"Moderado",IF(OR(P90='[8]Tabla Impacto'!$C$15,P90='[8]Tabla Impacto'!$D$15),"Mayor",IF(OR(P90='[8]Tabla Impacto'!$C$16,P90='[8]Tabla Impacto'!$D$16),"Catastrófico","")))))</f>
        <v>Catastrófico</v>
      </c>
      <c r="R90" s="590">
        <f t="shared" si="37"/>
        <v>1</v>
      </c>
      <c r="S90" s="592" t="str">
        <f t="shared" si="38"/>
        <v>Extremo</v>
      </c>
      <c r="T90" s="595">
        <v>3</v>
      </c>
      <c r="U90" s="631" t="s">
        <v>735</v>
      </c>
      <c r="V90" s="595" t="str">
        <f t="shared" si="39"/>
        <v>Probabilidad</v>
      </c>
      <c r="W90" s="596" t="s">
        <v>269</v>
      </c>
      <c r="X90" s="596" t="s">
        <v>198</v>
      </c>
      <c r="Y90" s="597" t="str">
        <f t="shared" si="28"/>
        <v>30%</v>
      </c>
      <c r="Z90" s="596" t="s">
        <v>259</v>
      </c>
      <c r="AA90" s="596" t="s">
        <v>200</v>
      </c>
      <c r="AB90" s="596" t="s">
        <v>201</v>
      </c>
      <c r="AC90" s="598">
        <f>IFERROR(IF(AND(V89="Probabilidad",V90="Probabilidad"),(AE89-(+AE89*Y90)),IF(AND(V89="Impacto",V90="Probabilidad"),(AE88-(+AE88*Y90)),IF(V90="Impacto",AE89,""))),"")</f>
        <v>0.2016</v>
      </c>
      <c r="AD90" s="599" t="str">
        <f t="shared" si="29"/>
        <v>Baja</v>
      </c>
      <c r="AE90" s="600">
        <f t="shared" si="30"/>
        <v>0.2016</v>
      </c>
      <c r="AF90" s="599" t="str">
        <f t="shared" si="31"/>
        <v>Menor</v>
      </c>
      <c r="AG90" s="600">
        <f>IFERROR(IF(AND(V89="Impacto",V90="Impacto"),(AG89-(+AG89*Y90)),IF(AND(V89="Probabilidad",V90="Impacto"),(AG88-(+AG88*Y90)),IF(V90="Probabilidad",AG89,""))),"")</f>
        <v>0.25312499999999999</v>
      </c>
      <c r="AH90" s="601" t="str">
        <f t="shared" si="32"/>
        <v>Moderado</v>
      </c>
      <c r="AI90" s="602" t="s">
        <v>202</v>
      </c>
      <c r="AJ90" s="603"/>
      <c r="AK90" s="603" t="s">
        <v>736</v>
      </c>
      <c r="AL90" s="603"/>
      <c r="AM90" s="604"/>
      <c r="AN90" s="606"/>
      <c r="AO90" s="607"/>
      <c r="AP90" s="608">
        <v>45756</v>
      </c>
      <c r="AQ90" s="609" t="s">
        <v>730</v>
      </c>
      <c r="AR90" s="286" t="s">
        <v>737</v>
      </c>
      <c r="AS90" s="611" t="s">
        <v>205</v>
      </c>
      <c r="AT90" s="612" t="s">
        <v>206</v>
      </c>
      <c r="AU90" s="283" t="s">
        <v>206</v>
      </c>
      <c r="AV90" s="613"/>
      <c r="AW90" s="614">
        <v>45782</v>
      </c>
      <c r="AX90" s="615" t="s">
        <v>207</v>
      </c>
      <c r="AY90" s="635" t="s">
        <v>722</v>
      </c>
      <c r="BA90" s="617"/>
      <c r="BB90" s="617"/>
      <c r="BC90" s="618" t="s">
        <v>209</v>
      </c>
      <c r="BE90" s="614">
        <v>45856</v>
      </c>
      <c r="BF90" s="616" t="s">
        <v>732</v>
      </c>
      <c r="BG90" s="658" t="s">
        <v>738</v>
      </c>
      <c r="BH90" s="449" t="s">
        <v>205</v>
      </c>
      <c r="BI90" s="449" t="s">
        <v>206</v>
      </c>
      <c r="BJ90" s="619" t="s">
        <v>206</v>
      </c>
      <c r="BL90" s="450">
        <v>45861</v>
      </c>
      <c r="BM90" s="676" t="s">
        <v>215</v>
      </c>
      <c r="BN90" s="283" t="s">
        <v>739</v>
      </c>
      <c r="BP90" s="617"/>
      <c r="BQ90" s="617"/>
      <c r="BR90" s="618" t="s">
        <v>209</v>
      </c>
      <c r="BT90" s="621">
        <v>45944</v>
      </c>
      <c r="BU90" s="616" t="s">
        <v>740</v>
      </c>
      <c r="BV90" s="286" t="s">
        <v>741</v>
      </c>
      <c r="BW90" s="286" t="s">
        <v>205</v>
      </c>
      <c r="BX90" s="286" t="s">
        <v>213</v>
      </c>
      <c r="BY90" s="449" t="s">
        <v>206</v>
      </c>
      <c r="CA90" s="680">
        <v>45992</v>
      </c>
      <c r="CB90" s="616" t="s">
        <v>218</v>
      </c>
      <c r="CC90" s="620" t="s">
        <v>742</v>
      </c>
      <c r="CE90" s="617"/>
      <c r="CF90" s="617"/>
      <c r="CG90" s="618" t="s">
        <v>209</v>
      </c>
      <c r="CH90" s="192"/>
      <c r="CI90" s="558"/>
      <c r="CJ90" s="558"/>
      <c r="CK90" s="559" t="s">
        <v>209</v>
      </c>
      <c r="CL90" s="558"/>
      <c r="CM90" s="558"/>
      <c r="CN90" s="558"/>
      <c r="CO90" s="553"/>
      <c r="CP90" s="558"/>
      <c r="CQ90" s="558"/>
      <c r="CR90" s="559" t="s">
        <v>209</v>
      </c>
      <c r="CS90" s="553"/>
      <c r="CT90" s="558"/>
      <c r="CU90" s="558"/>
      <c r="CV90" s="559" t="s">
        <v>209</v>
      </c>
    </row>
    <row r="91" spans="1:100" ht="151.5" customHeight="1" x14ac:dyDescent="0.3">
      <c r="A91" s="584">
        <v>39</v>
      </c>
      <c r="B91" s="584" t="s">
        <v>713</v>
      </c>
      <c r="C91" s="585" t="s">
        <v>714</v>
      </c>
      <c r="D91" s="585" t="str">
        <f>IFERROR(INDEX('Base de datos gestión'!$D$28:$D$50,MATCH(C91,'Base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1" s="585" t="str">
        <f>IFERROR(INDEX('Base de datos gestión'!$E$28:$E$50,MATCH(C91,'Base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1" s="628" t="s">
        <v>276</v>
      </c>
      <c r="G91" s="629" t="s">
        <v>715</v>
      </c>
      <c r="H91" s="628" t="s">
        <v>716</v>
      </c>
      <c r="I91" s="628" t="s">
        <v>717</v>
      </c>
      <c r="J91" s="630" t="s">
        <v>192</v>
      </c>
      <c r="K91" s="630" t="s">
        <v>193</v>
      </c>
      <c r="L91" s="630">
        <v>100</v>
      </c>
      <c r="M91" s="588" t="str">
        <f>IF(L91&lt;=0,"",IF(L91&lt;=2,"Muy Baja",IF(L91&lt;=24,"Baja",IF(L91&lt;=500,"Media",IF(L91&lt;=5000,"Alta","Muy Alta")))))</f>
        <v>Media</v>
      </c>
      <c r="N91" s="589">
        <f t="shared" si="41"/>
        <v>0.6</v>
      </c>
      <c r="O91" s="590" t="s">
        <v>452</v>
      </c>
      <c r="P91" s="589" t="str">
        <f>IF(NOT(ISERROR(MATCH(O91,'Tabla Impacto'!$B$222:$B$224,0))),'Tabla Impacto'!$F$224&amp;"Por favor no seleccionar los criterios de impacto(Afectación Económica o presupuestal y Pérdida Reputacional)",O91)</f>
        <v xml:space="preserve">     El riesgo afecta la imagen de la entidad a nivel nacional, con efecto publicitarios sostenible a nivel país</v>
      </c>
      <c r="Q91" s="591" t="str">
        <f>IF(OR(P91='[8]Tabla Impacto'!$C$12,P91='[8]Tabla Impacto'!$D$12),"Leve",IF(OR(P91='[8]Tabla Impacto'!$C$13,P91='[8]Tabla Impacto'!$D$13),"Menor",IF(OR(P91='[8]Tabla Impacto'!$C$14,P91='[8]Tabla Impacto'!$D$14),"Moderado",IF(OR(P91='[8]Tabla Impacto'!$C$15,P91='[8]Tabla Impacto'!$D$15),"Mayor",IF(OR(P91='[8]Tabla Impacto'!$C$16,P91='[8]Tabla Impacto'!$D$16),"Catastrófico","")))))</f>
        <v>Catastrófico</v>
      </c>
      <c r="R91" s="590">
        <f t="shared" si="37"/>
        <v>1</v>
      </c>
      <c r="S91" s="592" t="str">
        <f t="shared" si="38"/>
        <v>Extremo</v>
      </c>
      <c r="T91" s="595">
        <v>4</v>
      </c>
      <c r="U91" s="631" t="s">
        <v>743</v>
      </c>
      <c r="V91" s="595" t="str">
        <f t="shared" si="39"/>
        <v>Probabilidad</v>
      </c>
      <c r="W91" s="596" t="s">
        <v>197</v>
      </c>
      <c r="X91" s="596" t="s">
        <v>198</v>
      </c>
      <c r="Y91" s="597" t="str">
        <f t="shared" si="28"/>
        <v>40%</v>
      </c>
      <c r="Z91" s="596" t="s">
        <v>259</v>
      </c>
      <c r="AA91" s="596" t="s">
        <v>200</v>
      </c>
      <c r="AB91" s="596" t="s">
        <v>201</v>
      </c>
      <c r="AC91" s="598">
        <f>IFERROR(IF(V91="Probabilidad",(N91-(+N91*Y91)),IF(V91="Impacto",N91,"")),"")</f>
        <v>0.36</v>
      </c>
      <c r="AD91" s="599" t="str">
        <f t="shared" si="29"/>
        <v>Baja</v>
      </c>
      <c r="AE91" s="600">
        <f t="shared" si="30"/>
        <v>0.36</v>
      </c>
      <c r="AF91" s="599" t="str">
        <f t="shared" si="31"/>
        <v>Catastrófico</v>
      </c>
      <c r="AG91" s="600">
        <f>IFERROR(IF(V91="Impacto",(R91-(+R91*Y91)),IF(V91="Probabilidad",R91,"")),"")</f>
        <v>1</v>
      </c>
      <c r="AH91" s="601" t="str">
        <f t="shared" si="32"/>
        <v>Extremo</v>
      </c>
      <c r="AI91" s="602" t="s">
        <v>202</v>
      </c>
      <c r="AJ91" s="603"/>
      <c r="AK91" s="681" t="s">
        <v>744</v>
      </c>
      <c r="AL91" s="603"/>
      <c r="AM91" s="604"/>
      <c r="AN91" s="606"/>
      <c r="AO91" s="607"/>
      <c r="AP91" s="608">
        <v>45756</v>
      </c>
      <c r="AQ91" s="609" t="s">
        <v>576</v>
      </c>
      <c r="AR91" s="286" t="s">
        <v>745</v>
      </c>
      <c r="AS91" s="611" t="s">
        <v>205</v>
      </c>
      <c r="AT91" s="612" t="s">
        <v>206</v>
      </c>
      <c r="AU91" s="283" t="s">
        <v>206</v>
      </c>
      <c r="AV91" s="613"/>
      <c r="AW91" s="614">
        <v>45782</v>
      </c>
      <c r="AX91" s="615" t="s">
        <v>207</v>
      </c>
      <c r="AY91" s="635" t="s">
        <v>578</v>
      </c>
      <c r="BA91" s="617"/>
      <c r="BB91" s="617"/>
      <c r="BC91" s="618" t="s">
        <v>209</v>
      </c>
      <c r="BE91" s="682">
        <v>45856</v>
      </c>
      <c r="BF91" s="675" t="s">
        <v>627</v>
      </c>
      <c r="BG91" s="658" t="s">
        <v>746</v>
      </c>
      <c r="BH91" s="449" t="s">
        <v>205</v>
      </c>
      <c r="BI91" s="449" t="s">
        <v>206</v>
      </c>
      <c r="BJ91" s="449" t="s">
        <v>206</v>
      </c>
      <c r="BL91" s="450">
        <v>45861</v>
      </c>
      <c r="BM91" s="676" t="s">
        <v>215</v>
      </c>
      <c r="BN91" s="283" t="s">
        <v>739</v>
      </c>
      <c r="BP91" s="617"/>
      <c r="BQ91" s="617"/>
      <c r="BR91" s="618" t="s">
        <v>209</v>
      </c>
      <c r="BT91" s="621"/>
      <c r="BU91" s="615"/>
      <c r="BV91" s="618" t="s">
        <v>209</v>
      </c>
      <c r="BW91" s="617"/>
      <c r="BX91" s="617"/>
      <c r="BY91" s="617"/>
      <c r="CA91" s="680">
        <v>45992</v>
      </c>
      <c r="CB91" s="616" t="s">
        <v>218</v>
      </c>
      <c r="CC91" s="643" t="s">
        <v>747</v>
      </c>
      <c r="CE91" s="617"/>
      <c r="CF91" s="617"/>
      <c r="CG91" s="618" t="s">
        <v>209</v>
      </c>
      <c r="CH91" s="192"/>
      <c r="CI91" s="558"/>
      <c r="CJ91" s="558"/>
      <c r="CK91" s="559" t="s">
        <v>209</v>
      </c>
      <c r="CL91" s="558"/>
      <c r="CM91" s="558"/>
      <c r="CN91" s="558"/>
      <c r="CO91" s="553"/>
      <c r="CP91" s="558"/>
      <c r="CQ91" s="558"/>
      <c r="CR91" s="559" t="s">
        <v>209</v>
      </c>
      <c r="CS91" s="553"/>
      <c r="CT91" s="558"/>
      <c r="CU91" s="558"/>
      <c r="CV91" s="559" t="s">
        <v>209</v>
      </c>
    </row>
    <row r="92" spans="1:100" ht="151.5" customHeight="1" x14ac:dyDescent="0.3">
      <c r="A92" s="622">
        <v>39</v>
      </c>
      <c r="B92" s="622" t="s">
        <v>713</v>
      </c>
      <c r="C92" s="623" t="s">
        <v>714</v>
      </c>
      <c r="D92" s="585" t="str">
        <f>IFERROR(INDEX('Base de datos gestión'!$D$28:$D$50,MATCH(C92,'Base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2" s="585" t="str">
        <f>IFERROR(INDEX('Base de datos gestión'!$E$28:$E$50,MATCH(C92,'Base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2" s="628" t="s">
        <v>276</v>
      </c>
      <c r="G92" s="629" t="s">
        <v>715</v>
      </c>
      <c r="H92" s="628" t="s">
        <v>716</v>
      </c>
      <c r="I92" s="628" t="s">
        <v>717</v>
      </c>
      <c r="J92" s="630" t="s">
        <v>192</v>
      </c>
      <c r="K92" s="630" t="s">
        <v>193</v>
      </c>
      <c r="L92" s="630">
        <v>100</v>
      </c>
      <c r="M92" s="588" t="str">
        <f>IF(L92&lt;=0,"",IF(L92&lt;=2,"Muy Baja",IF(L92&lt;=24,"Baja",IF(L92&lt;=500,"Media",IF(L92&lt;=5000,"Alta","Muy Alta")))))</f>
        <v>Media</v>
      </c>
      <c r="N92" s="589">
        <f t="shared" si="41"/>
        <v>0.6</v>
      </c>
      <c r="O92" s="590" t="s">
        <v>452</v>
      </c>
      <c r="P92" s="589" t="str">
        <f>IF(NOT(ISERROR(MATCH(O92,'Tabla Impacto'!$B$222:$B$224,0))),'Tabla Impacto'!$F$224&amp;"Por favor no seleccionar los criterios de impacto(Afectación Económica o presupuestal y Pérdida Reputacional)",O92)</f>
        <v xml:space="preserve">     El riesgo afecta la imagen de la entidad a nivel nacional, con efecto publicitarios sostenible a nivel país</v>
      </c>
      <c r="Q92" s="591" t="str">
        <f>IF(OR(P92='[8]Tabla Impacto'!$C$12,P92='[8]Tabla Impacto'!$D$12),"Leve",IF(OR(P92='[8]Tabla Impacto'!$C$13,P92='[8]Tabla Impacto'!$D$13),"Menor",IF(OR(P92='[8]Tabla Impacto'!$C$14,P92='[8]Tabla Impacto'!$D$14),"Moderado",IF(OR(P92='[8]Tabla Impacto'!$C$15,P92='[8]Tabla Impacto'!$D$15),"Mayor",IF(OR(P92='[8]Tabla Impacto'!$C$16,P92='[8]Tabla Impacto'!$D$16),"Catastrófico","")))))</f>
        <v>Catastrófico</v>
      </c>
      <c r="R92" s="590">
        <f t="shared" si="37"/>
        <v>1</v>
      </c>
      <c r="S92" s="592" t="str">
        <f t="shared" si="38"/>
        <v>Extremo</v>
      </c>
      <c r="T92" s="595">
        <v>5</v>
      </c>
      <c r="U92" s="631" t="s">
        <v>748</v>
      </c>
      <c r="V92" s="595" t="str">
        <f t="shared" si="39"/>
        <v>Probabilidad</v>
      </c>
      <c r="W92" s="596" t="s">
        <v>197</v>
      </c>
      <c r="X92" s="596" t="s">
        <v>198</v>
      </c>
      <c r="Y92" s="597" t="str">
        <f t="shared" si="28"/>
        <v>40%</v>
      </c>
      <c r="Z92" s="596" t="s">
        <v>259</v>
      </c>
      <c r="AA92" s="596" t="s">
        <v>200</v>
      </c>
      <c r="AB92" s="596" t="s">
        <v>201</v>
      </c>
      <c r="AC92" s="598">
        <f>IFERROR(IF(AND(V91="Probabilidad",V92="Probabilidad"),(AE91-(+AE91*Y92)),IF(V92="Probabilidad",(N91-(+N91*Y92)),IF(V92="Impacto",AE91,""))),"")</f>
        <v>0.216</v>
      </c>
      <c r="AD92" s="599" t="str">
        <f t="shared" si="29"/>
        <v>Baja</v>
      </c>
      <c r="AE92" s="600">
        <f t="shared" si="30"/>
        <v>0.216</v>
      </c>
      <c r="AF92" s="599" t="str">
        <f t="shared" si="31"/>
        <v>Moderado</v>
      </c>
      <c r="AG92" s="600">
        <f>IFERROR(IF(AND(V91="Impacto",V92="Impacto"),(AG85-(+AG85*Y92)),IF(V92="Impacto",($R$55-(+$R$55*Y92)),IF(V92="Probabilidad",AG85,""))),"")</f>
        <v>0.6</v>
      </c>
      <c r="AH92" s="601" t="str">
        <f t="shared" si="32"/>
        <v>Moderado</v>
      </c>
      <c r="AI92" s="602" t="s">
        <v>202</v>
      </c>
      <c r="AJ92" s="603"/>
      <c r="AK92" s="681" t="s">
        <v>744</v>
      </c>
      <c r="AL92" s="603"/>
      <c r="AM92" s="604"/>
      <c r="AN92" s="606"/>
      <c r="AO92" s="607"/>
      <c r="AP92" s="608">
        <v>45756</v>
      </c>
      <c r="AQ92" s="609" t="s">
        <v>576</v>
      </c>
      <c r="AR92" s="286" t="s">
        <v>749</v>
      </c>
      <c r="AS92" s="611" t="s">
        <v>205</v>
      </c>
      <c r="AT92" s="612" t="s">
        <v>206</v>
      </c>
      <c r="AU92" s="283" t="s">
        <v>206</v>
      </c>
      <c r="AV92" s="613"/>
      <c r="AW92" s="614">
        <v>45782</v>
      </c>
      <c r="AX92" s="615" t="s">
        <v>207</v>
      </c>
      <c r="AY92" s="635" t="s">
        <v>578</v>
      </c>
      <c r="BA92" s="617"/>
      <c r="BB92" s="617"/>
      <c r="BC92" s="618" t="s">
        <v>209</v>
      </c>
      <c r="BE92" s="614">
        <v>45856</v>
      </c>
      <c r="BF92" s="616" t="s">
        <v>750</v>
      </c>
      <c r="BG92" s="283" t="s">
        <v>751</v>
      </c>
      <c r="BH92" s="619" t="s">
        <v>205</v>
      </c>
      <c r="BI92" s="675" t="s">
        <v>206</v>
      </c>
      <c r="BJ92" s="675" t="s">
        <v>206</v>
      </c>
      <c r="BL92" s="450">
        <v>45861</v>
      </c>
      <c r="BM92" s="676" t="s">
        <v>215</v>
      </c>
      <c r="BN92" s="283" t="s">
        <v>623</v>
      </c>
      <c r="BP92" s="617"/>
      <c r="BQ92" s="617"/>
      <c r="BR92" s="618" t="s">
        <v>209</v>
      </c>
      <c r="BT92" s="621">
        <v>45944</v>
      </c>
      <c r="BU92" s="615" t="s">
        <v>725</v>
      </c>
      <c r="BV92" s="286" t="s">
        <v>752</v>
      </c>
      <c r="BW92" s="617"/>
      <c r="BX92" s="617"/>
      <c r="BY92" s="617"/>
      <c r="CA92" s="669">
        <v>45992</v>
      </c>
      <c r="CB92" s="620" t="s">
        <v>218</v>
      </c>
      <c r="CC92" s="643" t="s">
        <v>233</v>
      </c>
      <c r="CE92" s="617"/>
      <c r="CF92" s="617"/>
      <c r="CG92" s="618" t="s">
        <v>209</v>
      </c>
      <c r="CH92" s="192"/>
      <c r="CI92" s="558"/>
      <c r="CJ92" s="558"/>
      <c r="CK92" s="559" t="s">
        <v>209</v>
      </c>
      <c r="CL92" s="558"/>
      <c r="CM92" s="558"/>
      <c r="CN92" s="558"/>
      <c r="CO92" s="553"/>
      <c r="CP92" s="558"/>
      <c r="CQ92" s="558"/>
      <c r="CR92" s="559" t="s">
        <v>209</v>
      </c>
      <c r="CS92" s="553"/>
      <c r="CT92" s="558"/>
      <c r="CU92" s="558"/>
      <c r="CV92" s="559" t="s">
        <v>209</v>
      </c>
    </row>
    <row r="93" spans="1:100" ht="151.5" customHeight="1" x14ac:dyDescent="0.3">
      <c r="A93" s="622">
        <v>39</v>
      </c>
      <c r="B93" s="622" t="s">
        <v>713</v>
      </c>
      <c r="C93" s="623" t="s">
        <v>714</v>
      </c>
      <c r="D93" s="585" t="str">
        <f>IFERROR(INDEX('Base de datos gestión'!$D$28:$D$50,MATCH(C93,'Base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3" s="585" t="str">
        <f>IFERROR(INDEX('Base de datos gestión'!$E$28:$E$50,MATCH(C93,'Base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3" s="628" t="s">
        <v>276</v>
      </c>
      <c r="G93" s="629" t="s">
        <v>715</v>
      </c>
      <c r="H93" s="628" t="s">
        <v>716</v>
      </c>
      <c r="I93" s="628" t="s">
        <v>717</v>
      </c>
      <c r="J93" s="630" t="s">
        <v>192</v>
      </c>
      <c r="K93" s="630" t="s">
        <v>193</v>
      </c>
      <c r="L93" s="630">
        <v>100</v>
      </c>
      <c r="M93" s="588" t="str">
        <f t="shared" ref="M93:M96" si="43">IF(L93&lt;=0,"",IF(L93&lt;=2,"Muy Baja",IF(L93&lt;=24,"Baja",IF(L93&lt;=500,"Media",IF(L93&lt;=5000,"Alta","Muy Alta")))))</f>
        <v>Media</v>
      </c>
      <c r="N93" s="589">
        <f t="shared" si="41"/>
        <v>0.6</v>
      </c>
      <c r="O93" s="590" t="s">
        <v>452</v>
      </c>
      <c r="P93" s="589" t="str">
        <f>IF(NOT(ISERROR(MATCH(O93,'Tabla Impacto'!$B$222:$B$224,0))),'Tabla Impacto'!$F$224&amp;"Por favor no seleccionar los criterios de impacto(Afectación Económica o presupuestal y Pérdida Reputacional)",O93)</f>
        <v xml:space="preserve">     El riesgo afecta la imagen de la entidad a nivel nacional, con efecto publicitarios sostenible a nivel país</v>
      </c>
      <c r="Q93" s="591" t="str">
        <f>IF(OR(P93='[8]Tabla Impacto'!$C$12,P93='[8]Tabla Impacto'!$D$12),"Leve",IF(OR(P93='[8]Tabla Impacto'!$C$13,P93='[8]Tabla Impacto'!$D$13),"Menor",IF(OR(P93='[8]Tabla Impacto'!$C$14,P93='[8]Tabla Impacto'!$D$14),"Moderado",IF(OR(P93='[8]Tabla Impacto'!$C$15,P93='[8]Tabla Impacto'!$D$15),"Mayor",IF(OR(P93='[8]Tabla Impacto'!$C$16,P93='[8]Tabla Impacto'!$D$16),"Catastrófico","")))))</f>
        <v>Catastrófico</v>
      </c>
      <c r="R93" s="590">
        <f t="shared" si="37"/>
        <v>1</v>
      </c>
      <c r="S93" s="592" t="str">
        <f t="shared" si="38"/>
        <v>Extremo</v>
      </c>
      <c r="T93" s="595">
        <v>6</v>
      </c>
      <c r="U93" s="631" t="s">
        <v>753</v>
      </c>
      <c r="V93" s="595" t="str">
        <f t="shared" si="39"/>
        <v>Probabilidad</v>
      </c>
      <c r="W93" s="596" t="s">
        <v>197</v>
      </c>
      <c r="X93" s="596" t="s">
        <v>198</v>
      </c>
      <c r="Y93" s="597" t="str">
        <f t="shared" si="28"/>
        <v>40%</v>
      </c>
      <c r="Z93" s="596" t="s">
        <v>259</v>
      </c>
      <c r="AA93" s="596" t="s">
        <v>200</v>
      </c>
      <c r="AB93" s="596" t="s">
        <v>201</v>
      </c>
      <c r="AC93" s="598">
        <f>IFERROR(IF(AND(V92="Probabilidad",V93="Probabilidad"),(AE92-(+AE92*Y93)),IF(AND(V92="Impacto",V93="Probabilidad"),(AE91-(+AE91*Y93)),IF(V93="Impacto",AE92,""))),"")</f>
        <v>0.12959999999999999</v>
      </c>
      <c r="AD93" s="599" t="str">
        <f t="shared" si="29"/>
        <v>Muy Baja</v>
      </c>
      <c r="AE93" s="600">
        <f t="shared" si="30"/>
        <v>0.12959999999999999</v>
      </c>
      <c r="AF93" s="599" t="str">
        <f t="shared" si="31"/>
        <v>Moderado</v>
      </c>
      <c r="AG93" s="600">
        <f>IFERROR(IF(AND(V92="Impacto",V93="Impacto"),(AG92-(+AG92*Y93)),IF(AND(V92="Probabilidad",V93="Impacto"),(AG91-(+AG91*Y93)),IF(V93="Probabilidad",AG92,""))),"")</f>
        <v>0.6</v>
      </c>
      <c r="AH93" s="601" t="str">
        <f t="shared" si="32"/>
        <v>Moderado</v>
      </c>
      <c r="AI93" s="602" t="s">
        <v>202</v>
      </c>
      <c r="AJ93" s="603"/>
      <c r="AK93" s="603" t="s">
        <v>754</v>
      </c>
      <c r="AL93" s="603"/>
      <c r="AM93" s="604"/>
      <c r="AN93" s="606"/>
      <c r="AO93" s="607"/>
      <c r="AP93" s="608">
        <v>45756</v>
      </c>
      <c r="AQ93" s="609" t="s">
        <v>576</v>
      </c>
      <c r="AR93" s="286" t="s">
        <v>755</v>
      </c>
      <c r="AS93" s="611" t="s">
        <v>205</v>
      </c>
      <c r="AT93" s="612" t="s">
        <v>206</v>
      </c>
      <c r="AU93" s="283" t="s">
        <v>206</v>
      </c>
      <c r="AV93" s="613"/>
      <c r="AW93" s="614">
        <v>45782</v>
      </c>
      <c r="AX93" s="615" t="s">
        <v>207</v>
      </c>
      <c r="AY93" s="635" t="s">
        <v>578</v>
      </c>
      <c r="BA93" s="617"/>
      <c r="BB93" s="617"/>
      <c r="BC93" s="618" t="s">
        <v>209</v>
      </c>
      <c r="BE93" s="682">
        <v>45856</v>
      </c>
      <c r="BF93" s="675" t="s">
        <v>627</v>
      </c>
      <c r="BG93" s="658" t="s">
        <v>756</v>
      </c>
      <c r="BH93" s="619" t="s">
        <v>205</v>
      </c>
      <c r="BI93" s="675" t="s">
        <v>206</v>
      </c>
      <c r="BJ93" s="675" t="s">
        <v>206</v>
      </c>
      <c r="BL93" s="450">
        <v>45861</v>
      </c>
      <c r="BM93" s="676" t="s">
        <v>215</v>
      </c>
      <c r="BN93" s="283" t="s">
        <v>623</v>
      </c>
      <c r="BP93" s="617"/>
      <c r="BQ93" s="617"/>
      <c r="BR93" s="618" t="s">
        <v>209</v>
      </c>
      <c r="BT93" s="621"/>
      <c r="BU93" s="615"/>
      <c r="BV93" s="618" t="s">
        <v>209</v>
      </c>
      <c r="BW93" s="617"/>
      <c r="BX93" s="617"/>
      <c r="BY93" s="617"/>
      <c r="CA93" s="680">
        <v>45992</v>
      </c>
      <c r="CB93" s="616" t="s">
        <v>218</v>
      </c>
      <c r="CC93" s="643" t="s">
        <v>747</v>
      </c>
      <c r="CE93" s="617"/>
      <c r="CF93" s="617"/>
      <c r="CG93" s="618" t="s">
        <v>209</v>
      </c>
      <c r="CH93" s="192"/>
      <c r="CI93" s="558"/>
      <c r="CJ93" s="558"/>
      <c r="CK93" s="559" t="s">
        <v>209</v>
      </c>
      <c r="CL93" s="558"/>
      <c r="CM93" s="558"/>
      <c r="CN93" s="558"/>
      <c r="CO93" s="553"/>
      <c r="CP93" s="558"/>
      <c r="CQ93" s="558"/>
      <c r="CR93" s="559" t="s">
        <v>209</v>
      </c>
      <c r="CS93" s="553"/>
      <c r="CT93" s="558"/>
      <c r="CU93" s="558"/>
      <c r="CV93" s="559" t="s">
        <v>209</v>
      </c>
    </row>
    <row r="94" spans="1:100" ht="151.5" customHeight="1" x14ac:dyDescent="0.3">
      <c r="A94" s="622">
        <v>40</v>
      </c>
      <c r="B94" s="622" t="s">
        <v>757</v>
      </c>
      <c r="C94" s="623" t="s">
        <v>714</v>
      </c>
      <c r="D94" s="585" t="str">
        <f>IFERROR(INDEX('Base de datos gestión'!$D$28:$D$50,MATCH(C94,'Base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4" s="585" t="str">
        <f>IFERROR(INDEX('Base de datos gestión'!$E$28:$E$50,MATCH(C94,'Base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4" s="628" t="s">
        <v>276</v>
      </c>
      <c r="G94" s="629" t="s">
        <v>758</v>
      </c>
      <c r="H94" s="628" t="s">
        <v>759</v>
      </c>
      <c r="I94" s="628" t="s">
        <v>760</v>
      </c>
      <c r="J94" s="630" t="s">
        <v>192</v>
      </c>
      <c r="K94" s="630" t="s">
        <v>311</v>
      </c>
      <c r="L94" s="630">
        <v>1000</v>
      </c>
      <c r="M94" s="588" t="str">
        <f t="shared" si="43"/>
        <v>Alta</v>
      </c>
      <c r="N94" s="589">
        <f t="shared" si="41"/>
        <v>0.8</v>
      </c>
      <c r="O94" s="590" t="s">
        <v>761</v>
      </c>
      <c r="P94" s="589" t="str">
        <f>IF(NOT(ISERROR(MATCH(O94,'Tabla Impacto'!$B$222:$B$224,0))),'Tabla Impacto'!$F$224&amp;"Por favor no seleccionar los criterios de impacto(Afectación Económica o presupuestal y Pérdida Reputacional)",O94)</f>
        <v>El riesgo afecta la imagen de la entidad a nivel nacional, con efecto publicitarios sostenible a nivel país</v>
      </c>
      <c r="Q94" s="591" t="s">
        <v>762</v>
      </c>
      <c r="R94" s="590">
        <v>1</v>
      </c>
      <c r="S94" s="592" t="s">
        <v>4</v>
      </c>
      <c r="T94" s="595">
        <v>1</v>
      </c>
      <c r="U94" s="631" t="s">
        <v>763</v>
      </c>
      <c r="V94" s="595" t="str">
        <f t="shared" si="39"/>
        <v>Probabilidad</v>
      </c>
      <c r="W94" s="596" t="s">
        <v>269</v>
      </c>
      <c r="X94" s="596" t="s">
        <v>198</v>
      </c>
      <c r="Y94" s="597" t="str">
        <f t="shared" si="28"/>
        <v>30%</v>
      </c>
      <c r="Z94" s="596" t="s">
        <v>259</v>
      </c>
      <c r="AA94" s="596" t="s">
        <v>200</v>
      </c>
      <c r="AB94" s="596" t="s">
        <v>201</v>
      </c>
      <c r="AC94" s="598">
        <f>IFERROR(IF(AND(V93="Probabilidad",V94="Probabilidad"),(AE93-(+AE93*Y94)),IF(AND(V93="Impacto",V94="Probabilidad"),(AE92-(+AE92*Y94)),IF(V94="Impacto",AE93,""))),"")</f>
        <v>9.0719999999999995E-2</v>
      </c>
      <c r="AD94" s="599" t="str">
        <f t="shared" si="29"/>
        <v>Muy Baja</v>
      </c>
      <c r="AE94" s="600">
        <f t="shared" si="30"/>
        <v>9.0719999999999995E-2</v>
      </c>
      <c r="AF94" s="599" t="str">
        <f t="shared" si="31"/>
        <v>Moderado</v>
      </c>
      <c r="AG94" s="600">
        <f>IFERROR(IF(AND(V93="Impacto",V94="Impacto"),(AG93-(+AG93*Y94)),IF(AND(V93="Probabilidad",V94="Impacto"),(AG92-(+AG92*Y94)),IF(V94="Probabilidad",AG93,""))),"")</f>
        <v>0.6</v>
      </c>
      <c r="AH94" s="601" t="str">
        <f t="shared" si="32"/>
        <v>Moderado</v>
      </c>
      <c r="AI94" s="602" t="s">
        <v>202</v>
      </c>
      <c r="AJ94" s="603"/>
      <c r="AK94" s="192"/>
      <c r="AL94" s="603"/>
      <c r="AM94" s="604"/>
      <c r="AN94" s="606"/>
      <c r="AO94" s="607"/>
      <c r="AP94" s="608">
        <v>45756</v>
      </c>
      <c r="AQ94" s="609" t="s">
        <v>576</v>
      </c>
      <c r="AR94" s="286" t="s">
        <v>764</v>
      </c>
      <c r="AS94" s="611" t="s">
        <v>205</v>
      </c>
      <c r="AT94" s="612" t="s">
        <v>206</v>
      </c>
      <c r="AU94" s="283" t="s">
        <v>206</v>
      </c>
      <c r="AV94" s="613"/>
      <c r="AW94" s="614">
        <v>45782</v>
      </c>
      <c r="AX94" s="615" t="s">
        <v>207</v>
      </c>
      <c r="AY94" s="635" t="s">
        <v>578</v>
      </c>
      <c r="BA94" s="617"/>
      <c r="BB94" s="617"/>
      <c r="BC94" s="618" t="s">
        <v>209</v>
      </c>
      <c r="BE94" s="682">
        <v>45856</v>
      </c>
      <c r="BF94" s="675" t="s">
        <v>627</v>
      </c>
      <c r="BG94" s="455" t="s">
        <v>765</v>
      </c>
      <c r="BH94" s="619" t="s">
        <v>205</v>
      </c>
      <c r="BI94" s="675" t="s">
        <v>206</v>
      </c>
      <c r="BJ94" s="675" t="s">
        <v>206</v>
      </c>
      <c r="BL94" s="450">
        <v>45861</v>
      </c>
      <c r="BM94" s="676" t="s">
        <v>215</v>
      </c>
      <c r="BN94" s="283" t="s">
        <v>623</v>
      </c>
      <c r="BP94" s="617"/>
      <c r="BQ94" s="617"/>
      <c r="BR94" s="618" t="s">
        <v>209</v>
      </c>
      <c r="BT94" s="621">
        <v>45950</v>
      </c>
      <c r="BU94" s="616" t="s">
        <v>766</v>
      </c>
      <c r="BV94" s="677" t="s">
        <v>767</v>
      </c>
      <c r="BW94" s="651" t="s">
        <v>205</v>
      </c>
      <c r="BX94" s="616" t="s">
        <v>206</v>
      </c>
      <c r="BY94" s="615" t="s">
        <v>206</v>
      </c>
      <c r="CA94" s="669">
        <v>45992</v>
      </c>
      <c r="CB94" s="620" t="s">
        <v>218</v>
      </c>
      <c r="CC94" s="643" t="s">
        <v>233</v>
      </c>
      <c r="CE94" s="617"/>
      <c r="CF94" s="617"/>
      <c r="CG94" s="618" t="s">
        <v>209</v>
      </c>
      <c r="CH94" s="192"/>
      <c r="CI94" s="558"/>
      <c r="CJ94" s="558"/>
      <c r="CK94" s="559" t="s">
        <v>209</v>
      </c>
      <c r="CL94" s="558"/>
      <c r="CM94" s="558"/>
      <c r="CN94" s="558"/>
      <c r="CO94" s="553"/>
      <c r="CP94" s="558"/>
      <c r="CQ94" s="558"/>
      <c r="CR94" s="559" t="s">
        <v>209</v>
      </c>
      <c r="CS94" s="553"/>
      <c r="CT94" s="558"/>
      <c r="CU94" s="558"/>
      <c r="CV94" s="559" t="s">
        <v>209</v>
      </c>
    </row>
    <row r="95" spans="1:100" ht="151.5" customHeight="1" x14ac:dyDescent="0.3">
      <c r="A95" s="622">
        <v>40</v>
      </c>
      <c r="B95" s="622" t="s">
        <v>757</v>
      </c>
      <c r="C95" s="623" t="s">
        <v>714</v>
      </c>
      <c r="D95" s="585" t="str">
        <f>IFERROR(INDEX('Base de datos gestión'!$D$28:$D$50,MATCH(C95,'Base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5" s="585" t="str">
        <f>IFERROR(INDEX('Base de datos gestión'!$E$28:$E$50,MATCH(C95,'Base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5" s="628" t="s">
        <v>276</v>
      </c>
      <c r="G95" s="629" t="s">
        <v>758</v>
      </c>
      <c r="H95" s="628" t="s">
        <v>759</v>
      </c>
      <c r="I95" s="628" t="s">
        <v>760</v>
      </c>
      <c r="J95" s="630" t="s">
        <v>192</v>
      </c>
      <c r="K95" s="630" t="s">
        <v>311</v>
      </c>
      <c r="L95" s="630">
        <v>1000</v>
      </c>
      <c r="M95" s="588" t="str">
        <f t="shared" si="43"/>
        <v>Alta</v>
      </c>
      <c r="N95" s="589">
        <f t="shared" si="41"/>
        <v>0.8</v>
      </c>
      <c r="O95" s="590" t="s">
        <v>761</v>
      </c>
      <c r="P95" s="589" t="str">
        <f>IF(NOT(ISERROR(MATCH(O95,'Tabla Impacto'!$B$222:$B$224,0))),'Tabla Impacto'!$F$224&amp;"Por favor no seleccionar los criterios de impacto(Afectación Económica o presupuestal y Pérdida Reputacional)",O95)</f>
        <v>El riesgo afecta la imagen de la entidad a nivel nacional, con efecto publicitarios sostenible a nivel país</v>
      </c>
      <c r="Q95" s="591" t="s">
        <v>762</v>
      </c>
      <c r="R95" s="590">
        <f t="shared" ref="R95:R122" si="44">IF(Q95="","",IF(Q95="Leve",0.2,IF(Q95="Menor",0.4,IF(Q95="Moderado",0.6,IF(Q95="Mayor",0.8,IF(Q95="Catastrófico",1,))))))</f>
        <v>1</v>
      </c>
      <c r="S95" s="592" t="s">
        <v>4</v>
      </c>
      <c r="T95" s="595">
        <v>2</v>
      </c>
      <c r="U95" s="631" t="s">
        <v>768</v>
      </c>
      <c r="V95" s="595" t="str">
        <f t="shared" si="39"/>
        <v>Impacto</v>
      </c>
      <c r="W95" s="596" t="s">
        <v>240</v>
      </c>
      <c r="X95" s="596" t="s">
        <v>198</v>
      </c>
      <c r="Y95" s="597" t="str">
        <f t="shared" si="28"/>
        <v>25%</v>
      </c>
      <c r="Z95" s="596" t="s">
        <v>259</v>
      </c>
      <c r="AA95" s="596" t="s">
        <v>200</v>
      </c>
      <c r="AB95" s="596" t="s">
        <v>201</v>
      </c>
      <c r="AC95" s="598">
        <f>IFERROR(IF(AND(V94="Probabilidad",V95="Probabilidad"),(AE94-(+AE94*Y95)),IF(AND(V94="Impacto",V95="Probabilidad"),(AE93-(+AE93*Y95)),IF(V95="Impacto",AE94,""))),"")</f>
        <v>9.0719999999999995E-2</v>
      </c>
      <c r="AD95" s="599" t="str">
        <f t="shared" si="29"/>
        <v>Muy Baja</v>
      </c>
      <c r="AE95" s="600">
        <f t="shared" si="30"/>
        <v>9.0719999999999995E-2</v>
      </c>
      <c r="AF95" s="599" t="str">
        <f t="shared" si="31"/>
        <v>Moderado</v>
      </c>
      <c r="AG95" s="600">
        <f>IFERROR(IF(AND(V94="Impacto",V95="Impacto"),(AG94-(+AG94*Y95)),IF(AND(V94="Probabilidad",V95="Impacto"),(AG93-(+AG93*Y95)),IF(V95="Probabilidad",AG94,""))),"")</f>
        <v>0.44999999999999996</v>
      </c>
      <c r="AH95" s="601" t="str">
        <f t="shared" si="32"/>
        <v>Moderado</v>
      </c>
      <c r="AI95" s="602" t="s">
        <v>202</v>
      </c>
      <c r="AJ95" s="603"/>
      <c r="AK95" s="192"/>
      <c r="AL95" s="603"/>
      <c r="AM95" s="604"/>
      <c r="AN95" s="606"/>
      <c r="AO95" s="607"/>
      <c r="AP95" s="608">
        <v>45756</v>
      </c>
      <c r="AQ95" s="609" t="s">
        <v>576</v>
      </c>
      <c r="AR95" s="286" t="s">
        <v>769</v>
      </c>
      <c r="AS95" s="611" t="s">
        <v>205</v>
      </c>
      <c r="AT95" s="612" t="s">
        <v>206</v>
      </c>
      <c r="AU95" s="283" t="s">
        <v>206</v>
      </c>
      <c r="AV95" s="613"/>
      <c r="AW95" s="614">
        <v>45782</v>
      </c>
      <c r="AX95" s="615" t="s">
        <v>207</v>
      </c>
      <c r="AY95" s="635" t="s">
        <v>578</v>
      </c>
      <c r="BA95" s="617"/>
      <c r="BB95" s="617"/>
      <c r="BC95" s="618" t="s">
        <v>209</v>
      </c>
      <c r="BE95" s="682">
        <v>45856</v>
      </c>
      <c r="BF95" s="675" t="s">
        <v>627</v>
      </c>
      <c r="BG95" s="455" t="s">
        <v>770</v>
      </c>
      <c r="BH95" s="619" t="s">
        <v>205</v>
      </c>
      <c r="BI95" s="675" t="s">
        <v>206</v>
      </c>
      <c r="BJ95" s="675" t="s">
        <v>206</v>
      </c>
      <c r="BL95" s="450">
        <v>45861</v>
      </c>
      <c r="BM95" s="676" t="s">
        <v>215</v>
      </c>
      <c r="BN95" s="283" t="s">
        <v>623</v>
      </c>
      <c r="BP95" s="617"/>
      <c r="BQ95" s="617"/>
      <c r="BR95" s="618" t="s">
        <v>209</v>
      </c>
      <c r="BT95" s="621">
        <v>45944</v>
      </c>
      <c r="BU95" s="616" t="s">
        <v>771</v>
      </c>
      <c r="BV95" s="283" t="s">
        <v>772</v>
      </c>
      <c r="BW95" s="286" t="s">
        <v>205</v>
      </c>
      <c r="BX95" s="616" t="s">
        <v>317</v>
      </c>
      <c r="BY95" s="615" t="s">
        <v>773</v>
      </c>
      <c r="CA95" s="669">
        <v>45992</v>
      </c>
      <c r="CB95" s="620" t="s">
        <v>218</v>
      </c>
      <c r="CC95" s="643" t="s">
        <v>774</v>
      </c>
      <c r="CE95" s="617"/>
      <c r="CF95" s="617"/>
      <c r="CG95" s="618" t="s">
        <v>209</v>
      </c>
      <c r="CH95" s="192"/>
      <c r="CI95" s="558"/>
      <c r="CJ95" s="558"/>
      <c r="CK95" s="559" t="s">
        <v>209</v>
      </c>
      <c r="CL95" s="558"/>
      <c r="CM95" s="558"/>
      <c r="CN95" s="558"/>
      <c r="CO95" s="553"/>
      <c r="CP95" s="558"/>
      <c r="CQ95" s="558"/>
      <c r="CR95" s="559" t="s">
        <v>209</v>
      </c>
      <c r="CS95" s="553"/>
      <c r="CT95" s="558"/>
      <c r="CU95" s="558"/>
      <c r="CV95" s="559" t="s">
        <v>209</v>
      </c>
    </row>
    <row r="96" spans="1:100" ht="151.5" customHeight="1" x14ac:dyDescent="0.3">
      <c r="A96" s="632">
        <v>41</v>
      </c>
      <c r="B96" s="632" t="s">
        <v>775</v>
      </c>
      <c r="C96" s="633" t="s">
        <v>714</v>
      </c>
      <c r="D96" s="585" t="str">
        <f>IFERROR(INDEX('Base de datos gestión'!$D$28:$D$50,MATCH(C96,'Base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6" s="585" t="str">
        <f>IFERROR(INDEX('Base de datos gestión'!$E$28:$E$50,MATCH(C96,'Base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6" s="628" t="s">
        <v>276</v>
      </c>
      <c r="G96" s="629" t="s">
        <v>776</v>
      </c>
      <c r="H96" s="628" t="s">
        <v>777</v>
      </c>
      <c r="I96" s="628" t="s">
        <v>778</v>
      </c>
      <c r="J96" s="630" t="s">
        <v>574</v>
      </c>
      <c r="K96" s="630" t="s">
        <v>311</v>
      </c>
      <c r="L96" s="630">
        <v>5000</v>
      </c>
      <c r="M96" s="588" t="str">
        <f t="shared" si="43"/>
        <v>Alta</v>
      </c>
      <c r="N96" s="589">
        <f t="shared" si="41"/>
        <v>0.8</v>
      </c>
      <c r="O96" s="590" t="s">
        <v>452</v>
      </c>
      <c r="P96" s="589" t="str">
        <f>IF(NOT(ISERROR(MATCH(O96,'Tabla Impacto'!$B$222:$B$224,0))),'Tabla Impacto'!$F$224&amp;"Por favor no seleccionar los criterios de impacto(Afectación Económica o presupuestal y Pérdida Reputacional)",O96)</f>
        <v xml:space="preserve">     El riesgo afecta la imagen de la entidad a nivel nacional, con efecto publicitarios sostenible a nivel país</v>
      </c>
      <c r="Q96" s="591" t="str">
        <f>IF(OR(P96='[8]Tabla Impacto'!$C$12,P96='[8]Tabla Impacto'!$D$12),"Leve",IF(OR(P96='[8]Tabla Impacto'!$C$13,P96='[8]Tabla Impacto'!$D$13),"Menor",IF(OR(P96='[8]Tabla Impacto'!$C$14,P96='[8]Tabla Impacto'!$D$14),"Moderado",IF(OR(P96='[8]Tabla Impacto'!$C$15,P96='[8]Tabla Impacto'!$D$15),"Mayor",IF(OR(P96='[8]Tabla Impacto'!$C$16,P96='[8]Tabla Impacto'!$D$16),"Catastrófico","")))))</f>
        <v>Catastrófico</v>
      </c>
      <c r="R96" s="590">
        <f t="shared" si="44"/>
        <v>1</v>
      </c>
      <c r="S96" s="592" t="str">
        <f t="shared" ref="S96:S122" si="45">IF(OR(AND(M96="Muy Baja",Q96="Leve"),AND(M96="Muy Baja",Q96="Menor"),AND(M96="Baja",Q96="Leve")),"Bajo",IF(OR(AND(M96="Muy baja",Q96="Moderado"),AND(M96="Baja",Q96="Menor"),AND(M96="Baja",Q96="Moderado"),AND(M96="Media",Q96="Leve"),AND(M96="Media",Q96="Menor"),AND(M96="Media",Q96="Moderado"),AND(M96="Alta",Q96="Leve"),AND(M96="Alta",Q96="Menor")),"Moderado",IF(OR(AND(M96="Muy Baja",Q96="Mayor"),AND(M96="Baja",Q96="Mayor"),AND(M96="Media",Q96="Mayor"),AND(M96="Alta",Q96="Moderado"),AND(M96="Alta",Q96="Mayor"),AND(M96="Muy Alta",Q96="Leve"),AND(M96="Muy Alta",Q96="Menor"),AND(M96="Muy Alta",Q96="Moderado"),AND(M96="Muy Alta",Q96="Mayor")),"Alto",IF(OR(AND(M96="Muy Baja",Q96="Catastrófico"),AND(M96="Baja",Q96="Catastrófico"),AND(M96="Media",Q96="Catastrófico"),AND(M96="Alta",Q96="Catastrófico"),AND(M96="Muy Alta",Q96="Catastrófico")),"Extremo",""))))</f>
        <v>Extremo</v>
      </c>
      <c r="T96" s="595">
        <v>1</v>
      </c>
      <c r="U96" s="631" t="s">
        <v>779</v>
      </c>
      <c r="V96" s="595" t="str">
        <f t="shared" si="39"/>
        <v>Impacto</v>
      </c>
      <c r="W96" s="596" t="s">
        <v>240</v>
      </c>
      <c r="X96" s="596" t="s">
        <v>198</v>
      </c>
      <c r="Y96" s="597" t="str">
        <f t="shared" si="28"/>
        <v>25%</v>
      </c>
      <c r="Z96" s="596" t="s">
        <v>259</v>
      </c>
      <c r="AA96" s="596" t="s">
        <v>200</v>
      </c>
      <c r="AB96" s="596" t="s">
        <v>201</v>
      </c>
      <c r="AC96" s="598">
        <f>IFERROR(IF(AND(V95="Probabilidad",V96="Probabilidad"),(AE95-(+AE95*Y96)),IF(AND(V95="Impacto",V96="Probabilidad"),(AE94-(+AE94*Y96)),IF(V96="Impacto",AE95,""))),"")</f>
        <v>9.0719999999999995E-2</v>
      </c>
      <c r="AD96" s="599" t="str">
        <f t="shared" si="29"/>
        <v>Muy Baja</v>
      </c>
      <c r="AE96" s="600">
        <f t="shared" si="30"/>
        <v>9.0719999999999995E-2</v>
      </c>
      <c r="AF96" s="599" t="str">
        <f t="shared" si="31"/>
        <v>Menor</v>
      </c>
      <c r="AG96" s="600">
        <f>IFERROR(IF(AND(V95="Impacto",V96="Impacto"),(AG95-(+AG95*Y96)),IF(AND(V95="Probabilidad",V96="Impacto"),(AG94-(+AG94*Y96)),IF(V96="Probabilidad",AG95,""))),"")</f>
        <v>0.33749999999999997</v>
      </c>
      <c r="AH96" s="601" t="str">
        <f t="shared" si="32"/>
        <v>Bajo</v>
      </c>
      <c r="AI96" s="602" t="s">
        <v>202</v>
      </c>
      <c r="AJ96" s="603"/>
      <c r="AK96" s="192"/>
      <c r="AL96" s="603"/>
      <c r="AM96" s="604"/>
      <c r="AN96" s="606"/>
      <c r="AO96" s="607"/>
      <c r="AP96" s="608">
        <v>45756</v>
      </c>
      <c r="AQ96" s="609" t="s">
        <v>576</v>
      </c>
      <c r="AR96" s="286" t="s">
        <v>780</v>
      </c>
      <c r="AS96" s="611" t="s">
        <v>205</v>
      </c>
      <c r="AT96" s="612" t="s">
        <v>206</v>
      </c>
      <c r="AU96" s="283" t="s">
        <v>206</v>
      </c>
      <c r="AV96" s="613"/>
      <c r="AW96" s="614">
        <v>45782</v>
      </c>
      <c r="AX96" s="615" t="s">
        <v>207</v>
      </c>
      <c r="AY96" s="635" t="s">
        <v>578</v>
      </c>
      <c r="BA96" s="617"/>
      <c r="BB96" s="617"/>
      <c r="BC96" s="618" t="s">
        <v>209</v>
      </c>
      <c r="BE96" s="682">
        <v>45856</v>
      </c>
      <c r="BF96" s="675" t="s">
        <v>627</v>
      </c>
      <c r="BG96" s="455" t="s">
        <v>781</v>
      </c>
      <c r="BH96" s="619" t="s">
        <v>205</v>
      </c>
      <c r="BI96" s="675" t="s">
        <v>206</v>
      </c>
      <c r="BJ96" s="675" t="s">
        <v>206</v>
      </c>
      <c r="BL96" s="450">
        <v>45861</v>
      </c>
      <c r="BM96" s="676" t="s">
        <v>215</v>
      </c>
      <c r="BN96" s="283" t="s">
        <v>623</v>
      </c>
      <c r="BP96" s="617"/>
      <c r="BQ96" s="617"/>
      <c r="BR96" s="618" t="s">
        <v>209</v>
      </c>
      <c r="BT96" s="621">
        <v>45950</v>
      </c>
      <c r="BU96" s="616" t="s">
        <v>766</v>
      </c>
      <c r="BV96" s="677" t="s">
        <v>782</v>
      </c>
      <c r="BW96" s="286" t="s">
        <v>205</v>
      </c>
      <c r="BX96" s="616" t="s">
        <v>206</v>
      </c>
      <c r="BY96" s="615" t="s">
        <v>206</v>
      </c>
      <c r="CA96" s="669">
        <v>45992</v>
      </c>
      <c r="CB96" s="620" t="s">
        <v>218</v>
      </c>
      <c r="CC96" s="643" t="s">
        <v>233</v>
      </c>
      <c r="CE96" s="617"/>
      <c r="CF96" s="617"/>
      <c r="CG96" s="618" t="s">
        <v>209</v>
      </c>
      <c r="CH96" s="192"/>
      <c r="CI96" s="558"/>
      <c r="CJ96" s="558"/>
      <c r="CK96" s="559" t="s">
        <v>209</v>
      </c>
      <c r="CL96" s="558"/>
      <c r="CM96" s="558"/>
      <c r="CN96" s="558"/>
      <c r="CO96" s="553"/>
      <c r="CP96" s="558"/>
      <c r="CQ96" s="558"/>
      <c r="CR96" s="559" t="s">
        <v>209</v>
      </c>
      <c r="CS96" s="553"/>
      <c r="CT96" s="558"/>
      <c r="CU96" s="558"/>
      <c r="CV96" s="559" t="s">
        <v>209</v>
      </c>
    </row>
    <row r="97" spans="1:100" ht="151.5" customHeight="1" x14ac:dyDescent="0.3">
      <c r="A97" s="584">
        <v>41</v>
      </c>
      <c r="B97" s="584" t="s">
        <v>775</v>
      </c>
      <c r="C97" s="585" t="s">
        <v>714</v>
      </c>
      <c r="D97" s="585" t="str">
        <f>IFERROR(INDEX('Base de datos gestión'!$D$28:$D$50,MATCH(C97,'Base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7" s="585" t="str">
        <f>IFERROR(INDEX('Base de datos gestión'!$E$28:$E$50,MATCH(C97,'Base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7" s="628" t="s">
        <v>276</v>
      </c>
      <c r="G97" s="629" t="s">
        <v>776</v>
      </c>
      <c r="H97" s="628" t="s">
        <v>777</v>
      </c>
      <c r="I97" s="628" t="s">
        <v>778</v>
      </c>
      <c r="J97" s="630" t="s">
        <v>574</v>
      </c>
      <c r="K97" s="630" t="s">
        <v>311</v>
      </c>
      <c r="L97" s="630">
        <v>5000</v>
      </c>
      <c r="M97" s="588" t="str">
        <f>IF(L97&lt;=0,"",IF(L97&lt;=2,"Muy Baja",IF(L97&lt;=24,"Baja",IF(L97&lt;=500,"Media",IF(L97&lt;=5000,"Alta","Muy Alta")))))</f>
        <v>Alta</v>
      </c>
      <c r="N97" s="589">
        <f t="shared" si="41"/>
        <v>0.8</v>
      </c>
      <c r="O97" s="590" t="s">
        <v>452</v>
      </c>
      <c r="P97" s="589" t="str">
        <f>IF(NOT(ISERROR(MATCH(O97,'Tabla Impacto'!$B$222:$B$224,0))),'Tabla Impacto'!$F$224&amp;"Por favor no seleccionar los criterios de impacto(Afectación Económica o presupuestal y Pérdida Reputacional)",O97)</f>
        <v xml:space="preserve">     El riesgo afecta la imagen de la entidad a nivel nacional, con efecto publicitarios sostenible a nivel país</v>
      </c>
      <c r="Q97" s="591" t="str">
        <f>IF(OR(P97='[8]Tabla Impacto'!$C$12,P97='[8]Tabla Impacto'!$D$12),"Leve",IF(OR(P97='[8]Tabla Impacto'!$C$13,P97='[8]Tabla Impacto'!$D$13),"Menor",IF(OR(P97='[8]Tabla Impacto'!$C$14,P97='[8]Tabla Impacto'!$D$14),"Moderado",IF(OR(P97='[8]Tabla Impacto'!$C$15,P97='[8]Tabla Impacto'!$D$15),"Mayor",IF(OR(P97='[8]Tabla Impacto'!$C$16,P97='[8]Tabla Impacto'!$D$16),"Catastrófico","")))))</f>
        <v>Catastrófico</v>
      </c>
      <c r="R97" s="590">
        <f t="shared" si="44"/>
        <v>1</v>
      </c>
      <c r="S97" s="592" t="str">
        <f t="shared" si="45"/>
        <v>Extremo</v>
      </c>
      <c r="T97" s="595">
        <v>2</v>
      </c>
      <c r="U97" s="631" t="s">
        <v>783</v>
      </c>
      <c r="V97" s="595" t="str">
        <f t="shared" si="39"/>
        <v>Probabilidad</v>
      </c>
      <c r="W97" s="596" t="s">
        <v>269</v>
      </c>
      <c r="X97" s="596" t="s">
        <v>198</v>
      </c>
      <c r="Y97" s="597" t="str">
        <f t="shared" si="28"/>
        <v>30%</v>
      </c>
      <c r="Z97" s="596" t="s">
        <v>259</v>
      </c>
      <c r="AA97" s="596" t="s">
        <v>200</v>
      </c>
      <c r="AB97" s="596" t="s">
        <v>201</v>
      </c>
      <c r="AC97" s="598">
        <f>IFERROR(IF(V97="Probabilidad",(N97-(+N97*Y97)),IF(V97="Impacto",N97,"")),"")</f>
        <v>0.56000000000000005</v>
      </c>
      <c r="AD97" s="599" t="str">
        <f t="shared" si="29"/>
        <v>Media</v>
      </c>
      <c r="AE97" s="600">
        <f t="shared" si="30"/>
        <v>0.56000000000000005</v>
      </c>
      <c r="AF97" s="599" t="str">
        <f t="shared" si="31"/>
        <v>Catastrófico</v>
      </c>
      <c r="AG97" s="600">
        <f>IFERROR(IF(V97="Impacto",(R97-(+R97*Y97)),IF(V97="Probabilidad",R97,"")),"")</f>
        <v>1</v>
      </c>
      <c r="AH97" s="601" t="str">
        <f t="shared" si="32"/>
        <v>Extremo</v>
      </c>
      <c r="AI97" s="602" t="s">
        <v>202</v>
      </c>
      <c r="AJ97" s="603"/>
      <c r="AK97" s="192"/>
      <c r="AL97" s="603"/>
      <c r="AM97" s="604"/>
      <c r="AN97" s="606"/>
      <c r="AO97" s="607"/>
      <c r="AP97" s="608">
        <v>45756</v>
      </c>
      <c r="AQ97" s="609" t="s">
        <v>576</v>
      </c>
      <c r="AR97" s="286" t="s">
        <v>780</v>
      </c>
      <c r="AS97" s="611" t="s">
        <v>205</v>
      </c>
      <c r="AT97" s="612" t="s">
        <v>206</v>
      </c>
      <c r="AU97" s="283" t="s">
        <v>206</v>
      </c>
      <c r="AV97" s="613"/>
      <c r="AW97" s="614">
        <v>45782</v>
      </c>
      <c r="AX97" s="615" t="s">
        <v>207</v>
      </c>
      <c r="AY97" s="635" t="s">
        <v>578</v>
      </c>
      <c r="BA97" s="617"/>
      <c r="BB97" s="617"/>
      <c r="BC97" s="618" t="s">
        <v>209</v>
      </c>
      <c r="BE97" s="682">
        <v>45856</v>
      </c>
      <c r="BF97" s="675" t="s">
        <v>627</v>
      </c>
      <c r="BG97" s="455" t="s">
        <v>781</v>
      </c>
      <c r="BH97" s="619" t="s">
        <v>205</v>
      </c>
      <c r="BI97" s="675" t="s">
        <v>206</v>
      </c>
      <c r="BJ97" s="675" t="s">
        <v>206</v>
      </c>
      <c r="BL97" s="450">
        <v>45861</v>
      </c>
      <c r="BM97" s="676" t="s">
        <v>215</v>
      </c>
      <c r="BN97" s="283" t="s">
        <v>623</v>
      </c>
      <c r="BP97" s="617"/>
      <c r="BQ97" s="617"/>
      <c r="BR97" s="618" t="s">
        <v>209</v>
      </c>
      <c r="BT97" s="621">
        <v>45950</v>
      </c>
      <c r="BU97" s="616" t="s">
        <v>784</v>
      </c>
      <c r="BV97" s="677" t="s">
        <v>785</v>
      </c>
      <c r="BW97" s="286" t="s">
        <v>212</v>
      </c>
      <c r="BX97" s="616" t="s">
        <v>629</v>
      </c>
      <c r="BY97" s="616" t="s">
        <v>786</v>
      </c>
      <c r="CA97" s="669">
        <v>45992</v>
      </c>
      <c r="CB97" s="620" t="s">
        <v>218</v>
      </c>
      <c r="CC97" s="643" t="s">
        <v>787</v>
      </c>
      <c r="CE97" s="617"/>
      <c r="CF97" s="617"/>
      <c r="CG97" s="618" t="s">
        <v>209</v>
      </c>
      <c r="CH97" s="192"/>
      <c r="CI97" s="558"/>
      <c r="CJ97" s="558"/>
      <c r="CK97" s="559" t="s">
        <v>209</v>
      </c>
      <c r="CL97" s="558"/>
      <c r="CM97" s="558"/>
      <c r="CN97" s="558"/>
      <c r="CO97" s="553"/>
      <c r="CP97" s="558"/>
      <c r="CQ97" s="558"/>
      <c r="CR97" s="559" t="s">
        <v>209</v>
      </c>
      <c r="CS97" s="553"/>
      <c r="CT97" s="558"/>
      <c r="CU97" s="558"/>
      <c r="CV97" s="559" t="s">
        <v>209</v>
      </c>
    </row>
    <row r="98" spans="1:100" ht="151.5" customHeight="1" x14ac:dyDescent="0.3">
      <c r="A98" s="622">
        <v>41</v>
      </c>
      <c r="B98" s="622" t="s">
        <v>775</v>
      </c>
      <c r="C98" s="623" t="s">
        <v>714</v>
      </c>
      <c r="D98" s="585" t="str">
        <f>IFERROR(INDEX('Base de datos gestión'!$D$28:$D$50,MATCH(C98,'Base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8" s="585" t="str">
        <f>IFERROR(INDEX('Base de datos gestión'!$E$28:$E$50,MATCH(C98,'Base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8" s="628" t="s">
        <v>276</v>
      </c>
      <c r="G98" s="629" t="s">
        <v>776</v>
      </c>
      <c r="H98" s="628" t="s">
        <v>777</v>
      </c>
      <c r="I98" s="628" t="s">
        <v>778</v>
      </c>
      <c r="J98" s="630" t="s">
        <v>574</v>
      </c>
      <c r="K98" s="630" t="s">
        <v>311</v>
      </c>
      <c r="L98" s="630">
        <v>5000</v>
      </c>
      <c r="M98" s="588" t="str">
        <f>IF(L98&lt;=0,"",IF(L98&lt;=2,"Muy Baja",IF(L98&lt;=24,"Baja",IF(L98&lt;=500,"Media",IF(L98&lt;=5000,"Alta","Muy Alta")))))</f>
        <v>Alta</v>
      </c>
      <c r="N98" s="589">
        <f t="shared" si="41"/>
        <v>0.8</v>
      </c>
      <c r="O98" s="590" t="s">
        <v>452</v>
      </c>
      <c r="P98" s="589" t="str">
        <f>IF(NOT(ISERROR(MATCH(O98,'Tabla Impacto'!$B$222:$B$224,0))),'Tabla Impacto'!$F$224&amp;"Por favor no seleccionar los criterios de impacto(Afectación Económica o presupuestal y Pérdida Reputacional)",O98)</f>
        <v xml:space="preserve">     El riesgo afecta la imagen de la entidad a nivel nacional, con efecto publicitarios sostenible a nivel país</v>
      </c>
      <c r="Q98" s="591" t="str">
        <f>IF(OR(P98='[8]Tabla Impacto'!$C$12,P98='[8]Tabla Impacto'!$D$12),"Leve",IF(OR(P98='[8]Tabla Impacto'!$C$13,P98='[8]Tabla Impacto'!$D$13),"Menor",IF(OR(P98='[8]Tabla Impacto'!$C$14,P98='[8]Tabla Impacto'!$D$14),"Moderado",IF(OR(P98='[8]Tabla Impacto'!$C$15,P98='[8]Tabla Impacto'!$D$15),"Mayor",IF(OR(P98='[8]Tabla Impacto'!$C$16,P98='[8]Tabla Impacto'!$D$16),"Catastrófico","")))))</f>
        <v>Catastrófico</v>
      </c>
      <c r="R98" s="590">
        <f t="shared" si="44"/>
        <v>1</v>
      </c>
      <c r="S98" s="592" t="str">
        <f t="shared" si="45"/>
        <v>Extremo</v>
      </c>
      <c r="T98" s="595">
        <v>3</v>
      </c>
      <c r="U98" s="631" t="s">
        <v>788</v>
      </c>
      <c r="V98" s="595" t="str">
        <f t="shared" si="39"/>
        <v>Probabilidad</v>
      </c>
      <c r="W98" s="596" t="s">
        <v>197</v>
      </c>
      <c r="X98" s="596" t="s">
        <v>198</v>
      </c>
      <c r="Y98" s="597" t="str">
        <f t="shared" si="28"/>
        <v>40%</v>
      </c>
      <c r="Z98" s="596" t="s">
        <v>199</v>
      </c>
      <c r="AA98" s="596" t="s">
        <v>200</v>
      </c>
      <c r="AB98" s="596" t="s">
        <v>250</v>
      </c>
      <c r="AC98" s="598">
        <f>IFERROR(IF(AND(V97="Probabilidad",V98="Probabilidad"),(AE97-(+AE97*Y98)),IF(V98="Probabilidad",(N97-(+N97*Y98)),IF(V98="Impacto",AE97,""))),"")</f>
        <v>0.33600000000000002</v>
      </c>
      <c r="AD98" s="599" t="str">
        <f t="shared" si="29"/>
        <v>Baja</v>
      </c>
      <c r="AE98" s="600">
        <f t="shared" si="30"/>
        <v>0.33600000000000002</v>
      </c>
      <c r="AF98" s="599" t="str">
        <f t="shared" si="31"/>
        <v>Catastrófico</v>
      </c>
      <c r="AG98" s="600">
        <f>IFERROR(IF(AND(V97="Impacto",V98="Impacto"),(AG91-(+AG91*Y98)),IF(V98="Impacto",($R$49-(+$R$49*Y98)),IF(V98="Probabilidad",AG91,""))),"")</f>
        <v>1</v>
      </c>
      <c r="AH98" s="601" t="str">
        <f t="shared" si="32"/>
        <v>Extremo</v>
      </c>
      <c r="AI98" s="602" t="s">
        <v>789</v>
      </c>
      <c r="AJ98" s="603"/>
      <c r="AK98" s="192"/>
      <c r="AL98" s="603"/>
      <c r="AM98" s="604"/>
      <c r="AN98" s="606"/>
      <c r="AO98" s="607"/>
      <c r="AP98" s="608">
        <v>45756</v>
      </c>
      <c r="AQ98" s="609" t="s">
        <v>576</v>
      </c>
      <c r="AR98" s="286" t="s">
        <v>790</v>
      </c>
      <c r="AS98" s="611" t="s">
        <v>205</v>
      </c>
      <c r="AT98" s="612" t="s">
        <v>206</v>
      </c>
      <c r="AU98" s="283" t="s">
        <v>206</v>
      </c>
      <c r="AV98" s="613"/>
      <c r="AW98" s="614">
        <v>45782</v>
      </c>
      <c r="AX98" s="615" t="s">
        <v>207</v>
      </c>
      <c r="AY98" s="635" t="s">
        <v>578</v>
      </c>
      <c r="BA98" s="617"/>
      <c r="BB98" s="617"/>
      <c r="BC98" s="618" t="s">
        <v>209</v>
      </c>
      <c r="BE98" s="682">
        <v>45856</v>
      </c>
      <c r="BF98" s="675" t="s">
        <v>627</v>
      </c>
      <c r="BG98" s="455" t="s">
        <v>791</v>
      </c>
      <c r="BH98" s="619" t="s">
        <v>205</v>
      </c>
      <c r="BI98" s="675" t="s">
        <v>206</v>
      </c>
      <c r="BJ98" s="675" t="s">
        <v>206</v>
      </c>
      <c r="BL98" s="450">
        <v>45861</v>
      </c>
      <c r="BM98" s="676" t="s">
        <v>215</v>
      </c>
      <c r="BN98" s="283" t="s">
        <v>623</v>
      </c>
      <c r="BP98" s="617"/>
      <c r="BQ98" s="617"/>
      <c r="BR98" s="618" t="s">
        <v>209</v>
      </c>
      <c r="BT98" s="621">
        <v>45950</v>
      </c>
      <c r="BU98" s="616" t="s">
        <v>766</v>
      </c>
      <c r="BV98" s="677" t="s">
        <v>782</v>
      </c>
      <c r="BW98" s="286" t="s">
        <v>205</v>
      </c>
      <c r="BX98" s="616" t="s">
        <v>206</v>
      </c>
      <c r="BY98" s="615" t="s">
        <v>206</v>
      </c>
      <c r="CA98" s="669">
        <v>45992</v>
      </c>
      <c r="CB98" s="620" t="s">
        <v>218</v>
      </c>
      <c r="CC98" s="643" t="s">
        <v>233</v>
      </c>
      <c r="CE98" s="617"/>
      <c r="CF98" s="617"/>
      <c r="CG98" s="618" t="s">
        <v>209</v>
      </c>
      <c r="CH98" s="192"/>
      <c r="CI98" s="558"/>
      <c r="CJ98" s="558"/>
      <c r="CK98" s="559" t="s">
        <v>209</v>
      </c>
      <c r="CL98" s="558"/>
      <c r="CM98" s="558"/>
      <c r="CN98" s="558"/>
      <c r="CO98" s="553"/>
      <c r="CP98" s="558"/>
      <c r="CQ98" s="558"/>
      <c r="CR98" s="559" t="s">
        <v>209</v>
      </c>
      <c r="CS98" s="553"/>
      <c r="CT98" s="558"/>
      <c r="CU98" s="558"/>
      <c r="CV98" s="559" t="s">
        <v>209</v>
      </c>
    </row>
    <row r="99" spans="1:100" ht="151.5" customHeight="1" x14ac:dyDescent="0.3">
      <c r="A99" s="622">
        <v>41</v>
      </c>
      <c r="B99" s="622" t="s">
        <v>775</v>
      </c>
      <c r="C99" s="623" t="s">
        <v>714</v>
      </c>
      <c r="D99" s="585" t="str">
        <f>IFERROR(INDEX('Base de datos gestión'!$D$28:$D$50,MATCH(C99,'Base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99" s="585" t="str">
        <f>IFERROR(INDEX('Base de datos gestión'!$E$28:$E$50,MATCH(C99,'Base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99" s="628" t="s">
        <v>276</v>
      </c>
      <c r="G99" s="629" t="s">
        <v>776</v>
      </c>
      <c r="H99" s="628" t="s">
        <v>777</v>
      </c>
      <c r="I99" s="628" t="s">
        <v>778</v>
      </c>
      <c r="J99" s="630" t="s">
        <v>574</v>
      </c>
      <c r="K99" s="630" t="s">
        <v>311</v>
      </c>
      <c r="L99" s="630">
        <v>5000</v>
      </c>
      <c r="M99" s="588" t="str">
        <f t="shared" ref="M99:M162" si="46">IF(L99&lt;=0,"",IF(L99&lt;=2,"Muy Baja",IF(L99&lt;=24,"Baja",IF(L99&lt;=500,"Media",IF(L99&lt;=5000,"Alta","Muy Alta")))))</f>
        <v>Alta</v>
      </c>
      <c r="N99" s="589">
        <f t="shared" si="41"/>
        <v>0.8</v>
      </c>
      <c r="O99" s="590" t="s">
        <v>452</v>
      </c>
      <c r="P99" s="589" t="str">
        <f>IF(NOT(ISERROR(MATCH(O99,'Tabla Impacto'!$B$222:$B$224,0))),'Tabla Impacto'!$F$224&amp;"Por favor no seleccionar los criterios de impacto(Afectación Económica o presupuestal y Pérdida Reputacional)",O99)</f>
        <v xml:space="preserve">     El riesgo afecta la imagen de la entidad a nivel nacional, con efecto publicitarios sostenible a nivel país</v>
      </c>
      <c r="Q99" s="591" t="str">
        <f>IF(OR(P99='[8]Tabla Impacto'!$C$12,P99='[8]Tabla Impacto'!$D$12),"Leve",IF(OR(P99='[8]Tabla Impacto'!$C$13,P99='[8]Tabla Impacto'!$D$13),"Menor",IF(OR(P99='[8]Tabla Impacto'!$C$14,P99='[8]Tabla Impacto'!$D$14),"Moderado",IF(OR(P99='[8]Tabla Impacto'!$C$15,P99='[8]Tabla Impacto'!$D$15),"Mayor",IF(OR(P99='[8]Tabla Impacto'!$C$16,P99='[8]Tabla Impacto'!$D$16),"Catastrófico","")))))</f>
        <v>Catastrófico</v>
      </c>
      <c r="R99" s="590">
        <f t="shared" si="44"/>
        <v>1</v>
      </c>
      <c r="S99" s="592" t="str">
        <f t="shared" si="45"/>
        <v>Extremo</v>
      </c>
      <c r="T99" s="595">
        <v>4</v>
      </c>
      <c r="U99" s="631" t="s">
        <v>792</v>
      </c>
      <c r="V99" s="595" t="str">
        <f t="shared" si="39"/>
        <v>Probabilidad</v>
      </c>
      <c r="W99" s="596" t="s">
        <v>197</v>
      </c>
      <c r="X99" s="596" t="s">
        <v>198</v>
      </c>
      <c r="Y99" s="597" t="str">
        <f t="shared" si="28"/>
        <v>40%</v>
      </c>
      <c r="Z99" s="596" t="s">
        <v>199</v>
      </c>
      <c r="AA99" s="596" t="s">
        <v>200</v>
      </c>
      <c r="AB99" s="596" t="s">
        <v>250</v>
      </c>
      <c r="AC99" s="598">
        <f>IFERROR(IF(AND(V98="Probabilidad",V99="Probabilidad"),(AE98-(+AE98*Y99)),IF(AND(V98="Impacto",V99="Probabilidad"),(AE97-(+AE97*Y99)),IF(V99="Impacto",AE98,""))),"")</f>
        <v>0.2016</v>
      </c>
      <c r="AD99" s="599" t="str">
        <f t="shared" si="29"/>
        <v>Baja</v>
      </c>
      <c r="AE99" s="600">
        <f t="shared" si="30"/>
        <v>0.2016</v>
      </c>
      <c r="AF99" s="599" t="str">
        <f t="shared" si="31"/>
        <v>Catastrófico</v>
      </c>
      <c r="AG99" s="600">
        <f>IFERROR(IF(AND(V98="Impacto",V99="Impacto"),(AG98-(+AG98*Y99)),IF(AND(V98="Probabilidad",V99="Impacto"),(AG97-(+AG97*Y99)),IF(V99="Probabilidad",AG98,""))),"")</f>
        <v>1</v>
      </c>
      <c r="AH99" s="601" t="str">
        <f t="shared" si="32"/>
        <v>Extremo</v>
      </c>
      <c r="AI99" s="602" t="s">
        <v>202</v>
      </c>
      <c r="AJ99" s="603"/>
      <c r="AK99" s="192"/>
      <c r="AL99" s="603"/>
      <c r="AM99" s="604"/>
      <c r="AN99" s="606"/>
      <c r="AO99" s="607"/>
      <c r="AP99" s="608">
        <v>45756</v>
      </c>
      <c r="AQ99" s="609" t="s">
        <v>576</v>
      </c>
      <c r="AR99" s="286" t="s">
        <v>780</v>
      </c>
      <c r="AS99" s="611" t="s">
        <v>205</v>
      </c>
      <c r="AT99" s="612" t="s">
        <v>206</v>
      </c>
      <c r="AU99" s="283" t="s">
        <v>206</v>
      </c>
      <c r="AV99" s="613"/>
      <c r="AW99" s="614">
        <v>45782</v>
      </c>
      <c r="AX99" s="615" t="s">
        <v>207</v>
      </c>
      <c r="AY99" s="635" t="s">
        <v>578</v>
      </c>
      <c r="BA99" s="617"/>
      <c r="BB99" s="617"/>
      <c r="BC99" s="618" t="s">
        <v>209</v>
      </c>
      <c r="BE99" s="682">
        <v>45856</v>
      </c>
      <c r="BF99" s="675" t="s">
        <v>627</v>
      </c>
      <c r="BG99" s="455" t="s">
        <v>781</v>
      </c>
      <c r="BH99" s="619" t="s">
        <v>205</v>
      </c>
      <c r="BI99" s="675" t="s">
        <v>206</v>
      </c>
      <c r="BJ99" s="675" t="s">
        <v>206</v>
      </c>
      <c r="BL99" s="450">
        <v>45861</v>
      </c>
      <c r="BM99" s="676" t="s">
        <v>215</v>
      </c>
      <c r="BN99" s="283" t="s">
        <v>623</v>
      </c>
      <c r="BP99" s="617"/>
      <c r="BQ99" s="617"/>
      <c r="BR99" s="618" t="s">
        <v>209</v>
      </c>
      <c r="BT99" s="621"/>
      <c r="BU99" s="615"/>
      <c r="BV99" s="618" t="s">
        <v>209</v>
      </c>
      <c r="BW99" s="617"/>
      <c r="BX99" s="617"/>
      <c r="BY99" s="617"/>
      <c r="CA99" s="680">
        <v>45992</v>
      </c>
      <c r="CB99" s="616" t="s">
        <v>218</v>
      </c>
      <c r="CC99" s="643" t="s">
        <v>747</v>
      </c>
      <c r="CE99" s="617"/>
      <c r="CF99" s="617"/>
      <c r="CG99" s="618" t="s">
        <v>209</v>
      </c>
      <c r="CH99" s="192"/>
      <c r="CI99" s="558"/>
      <c r="CJ99" s="558"/>
      <c r="CK99" s="559" t="s">
        <v>209</v>
      </c>
      <c r="CL99" s="558"/>
      <c r="CM99" s="558"/>
      <c r="CN99" s="558"/>
      <c r="CO99" s="553"/>
      <c r="CP99" s="558"/>
      <c r="CQ99" s="558"/>
      <c r="CR99" s="559" t="s">
        <v>209</v>
      </c>
      <c r="CS99" s="553"/>
      <c r="CT99" s="558"/>
      <c r="CU99" s="558"/>
      <c r="CV99" s="559" t="s">
        <v>209</v>
      </c>
    </row>
    <row r="100" spans="1:100" ht="151.5" customHeight="1" x14ac:dyDescent="0.3">
      <c r="A100" s="622">
        <v>42</v>
      </c>
      <c r="B100" s="622" t="s">
        <v>793</v>
      </c>
      <c r="C100" s="623" t="s">
        <v>714</v>
      </c>
      <c r="D100" s="585" t="str">
        <f>IFERROR(INDEX('Base de datos gestión'!$D$28:$D$50,MATCH(C100,'Base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00" s="585" t="str">
        <f>IFERROR(INDEX('Base de datos gestión'!$E$28:$E$50,MATCH(C100,'Base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00" s="628" t="s">
        <v>188</v>
      </c>
      <c r="G100" s="629" t="s">
        <v>794</v>
      </c>
      <c r="H100" s="628" t="s">
        <v>795</v>
      </c>
      <c r="I100" s="628" t="s">
        <v>796</v>
      </c>
      <c r="J100" s="630" t="s">
        <v>797</v>
      </c>
      <c r="K100" s="630" t="s">
        <v>311</v>
      </c>
      <c r="L100" s="630">
        <v>32</v>
      </c>
      <c r="M100" s="588" t="str">
        <f t="shared" si="46"/>
        <v>Media</v>
      </c>
      <c r="N100" s="589">
        <f t="shared" si="41"/>
        <v>0.6</v>
      </c>
      <c r="O100" s="590" t="s">
        <v>248</v>
      </c>
      <c r="P100" s="589" t="str">
        <f>IF(NOT(ISERROR(MATCH(O100,'Tabla Impacto'!$B$222:$B$224,0))),'Tabla Impacto'!$F$224&amp;"Por favor no seleccionar los criterios de impacto(Afectación Económica o presupuestal y Pérdida Reputacional)",O100)</f>
        <v xml:space="preserve">     El riesgo afecta la imagen de la entidad con algunos usuarios de relevancia frente al logro de los objetivos</v>
      </c>
      <c r="Q100" s="591" t="str">
        <f>IF(OR(P100='[8]Tabla Impacto'!$C$12,P100='[8]Tabla Impacto'!$D$12),"Leve",IF(OR(P100='[8]Tabla Impacto'!$C$13,P100='[8]Tabla Impacto'!$D$13),"Menor",IF(OR(P100='[8]Tabla Impacto'!$C$14,P100='[8]Tabla Impacto'!$D$14),"Moderado",IF(OR(P100='[8]Tabla Impacto'!$C$15,P100='[8]Tabla Impacto'!$D$15),"Mayor",IF(OR(P100='[8]Tabla Impacto'!$C$16,P100='[8]Tabla Impacto'!$D$16),"Catastrófico","")))))</f>
        <v>Moderado</v>
      </c>
      <c r="R100" s="590">
        <f t="shared" si="44"/>
        <v>0.6</v>
      </c>
      <c r="S100" s="592" t="str">
        <f t="shared" si="45"/>
        <v>Moderado</v>
      </c>
      <c r="T100" s="595">
        <v>1</v>
      </c>
      <c r="U100" s="631" t="s">
        <v>798</v>
      </c>
      <c r="V100" s="595" t="str">
        <f t="shared" si="39"/>
        <v>Probabilidad</v>
      </c>
      <c r="W100" s="596" t="s">
        <v>197</v>
      </c>
      <c r="X100" s="596" t="s">
        <v>198</v>
      </c>
      <c r="Y100" s="597" t="str">
        <f t="shared" si="28"/>
        <v>40%</v>
      </c>
      <c r="Z100" s="596" t="s">
        <v>199</v>
      </c>
      <c r="AA100" s="596" t="s">
        <v>200</v>
      </c>
      <c r="AB100" s="596" t="s">
        <v>201</v>
      </c>
      <c r="AC100" s="598">
        <f>IFERROR(IF(AND(V99="Probabilidad",V100="Probabilidad"),(AE99-(+AE99*Y100)),IF(AND(V99="Impacto",V100="Probabilidad"),(AE98-(+AE98*Y100)),IF(V100="Impacto",AE99,""))),"")</f>
        <v>0.12096</v>
      </c>
      <c r="AD100" s="599" t="str">
        <f t="shared" si="29"/>
        <v>Muy Baja</v>
      </c>
      <c r="AE100" s="600">
        <f t="shared" si="30"/>
        <v>0.12096</v>
      </c>
      <c r="AF100" s="599" t="str">
        <f t="shared" si="31"/>
        <v>Catastrófico</v>
      </c>
      <c r="AG100" s="600">
        <f>IFERROR(IF(AND(V99="Impacto",V100="Impacto"),(AG99-(+AG99*Y100)),IF(AND(V99="Probabilidad",V100="Impacto"),(AG98-(+AG98*Y100)),IF(V100="Probabilidad",AG99,""))),"")</f>
        <v>1</v>
      </c>
      <c r="AH100" s="601" t="str">
        <f t="shared" si="32"/>
        <v>Extremo</v>
      </c>
      <c r="AI100" s="602" t="s">
        <v>202</v>
      </c>
      <c r="AJ100" s="603"/>
      <c r="AK100" s="192"/>
      <c r="AL100" s="603"/>
      <c r="AM100" s="604"/>
      <c r="AN100" s="606"/>
      <c r="AO100" s="607"/>
      <c r="AP100" s="608">
        <v>45756</v>
      </c>
      <c r="AQ100" s="609" t="s">
        <v>576</v>
      </c>
      <c r="AR100" s="286" t="s">
        <v>799</v>
      </c>
      <c r="AS100" s="611" t="s">
        <v>205</v>
      </c>
      <c r="AT100" s="612" t="s">
        <v>206</v>
      </c>
      <c r="AU100" s="283" t="s">
        <v>206</v>
      </c>
      <c r="AV100" s="613"/>
      <c r="AW100" s="614">
        <v>45782</v>
      </c>
      <c r="AX100" s="615" t="s">
        <v>207</v>
      </c>
      <c r="AY100" s="635" t="s">
        <v>578</v>
      </c>
      <c r="BA100" s="617"/>
      <c r="BB100" s="617"/>
      <c r="BC100" s="618" t="s">
        <v>209</v>
      </c>
      <c r="BE100" s="682">
        <v>45856</v>
      </c>
      <c r="BF100" s="675" t="s">
        <v>627</v>
      </c>
      <c r="BG100" s="455" t="s">
        <v>800</v>
      </c>
      <c r="BH100" s="619" t="s">
        <v>205</v>
      </c>
      <c r="BI100" s="675" t="s">
        <v>206</v>
      </c>
      <c r="BJ100" s="675" t="s">
        <v>206</v>
      </c>
      <c r="BL100" s="450">
        <v>45861</v>
      </c>
      <c r="BM100" s="676" t="s">
        <v>215</v>
      </c>
      <c r="BN100" s="283" t="s">
        <v>623</v>
      </c>
      <c r="BP100" s="617"/>
      <c r="BQ100" s="617"/>
      <c r="BR100" s="618" t="s">
        <v>209</v>
      </c>
      <c r="BT100" s="621">
        <v>45944</v>
      </c>
      <c r="BU100" s="616" t="s">
        <v>771</v>
      </c>
      <c r="BV100" s="286" t="s">
        <v>801</v>
      </c>
      <c r="BW100" s="620" t="s">
        <v>205</v>
      </c>
      <c r="BX100" s="615" t="s">
        <v>206</v>
      </c>
      <c r="BY100" s="615" t="s">
        <v>206</v>
      </c>
      <c r="CA100" s="669">
        <v>45992</v>
      </c>
      <c r="CB100" s="620" t="s">
        <v>218</v>
      </c>
      <c r="CC100" s="643" t="s">
        <v>233</v>
      </c>
      <c r="CE100" s="617"/>
      <c r="CF100" s="617"/>
      <c r="CG100" s="618" t="s">
        <v>209</v>
      </c>
      <c r="CH100" s="192"/>
      <c r="CI100" s="558"/>
      <c r="CJ100" s="558"/>
      <c r="CK100" s="559" t="s">
        <v>209</v>
      </c>
      <c r="CL100" s="558"/>
      <c r="CM100" s="558"/>
      <c r="CN100" s="558"/>
      <c r="CO100" s="553"/>
      <c r="CP100" s="558"/>
      <c r="CQ100" s="558"/>
      <c r="CR100" s="559" t="s">
        <v>209</v>
      </c>
      <c r="CS100" s="553"/>
      <c r="CT100" s="558"/>
      <c r="CU100" s="558"/>
      <c r="CV100" s="559" t="s">
        <v>209</v>
      </c>
    </row>
    <row r="101" spans="1:100" ht="151.5" customHeight="1" x14ac:dyDescent="0.3">
      <c r="A101" s="622">
        <v>42</v>
      </c>
      <c r="B101" s="622" t="s">
        <v>793</v>
      </c>
      <c r="C101" s="623" t="s">
        <v>714</v>
      </c>
      <c r="D101" s="585" t="str">
        <f>IFERROR(INDEX('Base de datos gestión'!$D$28:$D$50,MATCH(C101,'Base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01" s="585" t="str">
        <f>IFERROR(INDEX('Base de datos gestión'!$E$28:$E$50,MATCH(C101,'Base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01" s="628" t="s">
        <v>188</v>
      </c>
      <c r="G101" s="629" t="s">
        <v>794</v>
      </c>
      <c r="H101" s="628" t="s">
        <v>795</v>
      </c>
      <c r="I101" s="628" t="s">
        <v>796</v>
      </c>
      <c r="J101" s="630" t="s">
        <v>797</v>
      </c>
      <c r="K101" s="630" t="s">
        <v>311</v>
      </c>
      <c r="L101" s="630">
        <v>32</v>
      </c>
      <c r="M101" s="588" t="str">
        <f t="shared" si="46"/>
        <v>Media</v>
      </c>
      <c r="N101" s="589">
        <f t="shared" si="41"/>
        <v>0.6</v>
      </c>
      <c r="O101" s="590" t="s">
        <v>248</v>
      </c>
      <c r="P101" s="589" t="str">
        <f>IF(NOT(ISERROR(MATCH(O101,'Tabla Impacto'!$B$222:$B$224,0))),'Tabla Impacto'!$F$224&amp;"Por favor no seleccionar los criterios de impacto(Afectación Económica o presupuestal y Pérdida Reputacional)",O101)</f>
        <v xml:space="preserve">     El riesgo afecta la imagen de la entidad con algunos usuarios de relevancia frente al logro de los objetivos</v>
      </c>
      <c r="Q101" s="591" t="str">
        <f>IF(OR(P101='[8]Tabla Impacto'!$C$12,P101='[8]Tabla Impacto'!$D$12),"Leve",IF(OR(P101='[8]Tabla Impacto'!$C$13,P101='[8]Tabla Impacto'!$D$13),"Menor",IF(OR(P101='[8]Tabla Impacto'!$C$14,P101='[8]Tabla Impacto'!$D$14),"Moderado",IF(OR(P101='[8]Tabla Impacto'!$C$15,P101='[8]Tabla Impacto'!$D$15),"Mayor",IF(OR(P101='[8]Tabla Impacto'!$C$16,P101='[8]Tabla Impacto'!$D$16),"Catastrófico","")))))</f>
        <v>Moderado</v>
      </c>
      <c r="R101" s="590">
        <f t="shared" si="44"/>
        <v>0.6</v>
      </c>
      <c r="S101" s="592" t="str">
        <f t="shared" si="45"/>
        <v>Moderado</v>
      </c>
      <c r="T101" s="595">
        <v>2</v>
      </c>
      <c r="U101" s="631" t="s">
        <v>802</v>
      </c>
      <c r="V101" s="595" t="str">
        <f t="shared" si="39"/>
        <v>Probabilidad</v>
      </c>
      <c r="W101" s="596" t="s">
        <v>197</v>
      </c>
      <c r="X101" s="596" t="s">
        <v>198</v>
      </c>
      <c r="Y101" s="597" t="str">
        <f t="shared" si="28"/>
        <v>40%</v>
      </c>
      <c r="Z101" s="596" t="s">
        <v>199</v>
      </c>
      <c r="AA101" s="596" t="s">
        <v>200</v>
      </c>
      <c r="AB101" s="596" t="s">
        <v>250</v>
      </c>
      <c r="AC101" s="598">
        <f>IFERROR(IF(AND(V100="Probabilidad",V101="Probabilidad"),(AE100-(+AE100*Y101)),IF(AND(V100="Impacto",V101="Probabilidad"),(AE99-(+AE99*Y101)),IF(V101="Impacto",AE100,""))),"")</f>
        <v>7.2576000000000002E-2</v>
      </c>
      <c r="AD101" s="599" t="str">
        <f t="shared" si="29"/>
        <v>Muy Baja</v>
      </c>
      <c r="AE101" s="600">
        <f t="shared" si="30"/>
        <v>7.2576000000000002E-2</v>
      </c>
      <c r="AF101" s="599" t="str">
        <f t="shared" si="31"/>
        <v>Catastrófico</v>
      </c>
      <c r="AG101" s="600">
        <f>IFERROR(IF(AND(V100="Impacto",V101="Impacto"),(AG100-(+AG100*Y101)),IF(AND(V100="Probabilidad",V101="Impacto"),(AG99-(+AG99*Y101)),IF(V101="Probabilidad",AG100,""))),"")</f>
        <v>1</v>
      </c>
      <c r="AH101" s="601" t="str">
        <f t="shared" si="32"/>
        <v>Extremo</v>
      </c>
      <c r="AI101" s="602" t="s">
        <v>202</v>
      </c>
      <c r="AJ101" s="631"/>
      <c r="AK101" s="192"/>
      <c r="AL101" s="631"/>
      <c r="AM101" s="605"/>
      <c r="AN101" s="606"/>
      <c r="AO101" s="607"/>
      <c r="AP101" s="608">
        <v>45756</v>
      </c>
      <c r="AQ101" s="609" t="s">
        <v>576</v>
      </c>
      <c r="AR101" s="286" t="s">
        <v>799</v>
      </c>
      <c r="AS101" s="611" t="s">
        <v>205</v>
      </c>
      <c r="AT101" s="612" t="s">
        <v>206</v>
      </c>
      <c r="AU101" s="283" t="s">
        <v>206</v>
      </c>
      <c r="AV101" s="613"/>
      <c r="AW101" s="614">
        <v>45782</v>
      </c>
      <c r="AX101" s="615" t="s">
        <v>207</v>
      </c>
      <c r="AY101" s="635" t="s">
        <v>578</v>
      </c>
      <c r="BA101" s="617"/>
      <c r="BB101" s="617"/>
      <c r="BC101" s="618" t="s">
        <v>209</v>
      </c>
      <c r="BE101" s="682">
        <v>45856</v>
      </c>
      <c r="BF101" s="675" t="s">
        <v>627</v>
      </c>
      <c r="BG101" s="455" t="s">
        <v>800</v>
      </c>
      <c r="BH101" s="619" t="s">
        <v>205</v>
      </c>
      <c r="BI101" s="675" t="s">
        <v>206</v>
      </c>
      <c r="BJ101" s="675" t="s">
        <v>206</v>
      </c>
      <c r="BL101" s="450">
        <v>45861</v>
      </c>
      <c r="BM101" s="676" t="s">
        <v>215</v>
      </c>
      <c r="BN101" s="283" t="s">
        <v>623</v>
      </c>
      <c r="BP101" s="617"/>
      <c r="BQ101" s="617"/>
      <c r="BR101" s="618" t="s">
        <v>209</v>
      </c>
      <c r="BT101" s="621">
        <v>45944</v>
      </c>
      <c r="BU101" s="616" t="s">
        <v>771</v>
      </c>
      <c r="BV101" s="286" t="s">
        <v>801</v>
      </c>
      <c r="BW101" s="620" t="s">
        <v>205</v>
      </c>
      <c r="BX101" s="615" t="s">
        <v>206</v>
      </c>
      <c r="BY101" s="615" t="s">
        <v>206</v>
      </c>
      <c r="CA101" s="669">
        <v>45992</v>
      </c>
      <c r="CB101" s="620" t="s">
        <v>218</v>
      </c>
      <c r="CC101" s="643" t="s">
        <v>233</v>
      </c>
      <c r="CE101" s="617"/>
      <c r="CF101" s="617"/>
      <c r="CG101" s="618" t="s">
        <v>209</v>
      </c>
      <c r="CH101" s="192"/>
      <c r="CI101" s="558"/>
      <c r="CJ101" s="558"/>
      <c r="CK101" s="559" t="s">
        <v>209</v>
      </c>
      <c r="CL101" s="558"/>
      <c r="CM101" s="558"/>
      <c r="CN101" s="558"/>
      <c r="CO101" s="553"/>
      <c r="CP101" s="558"/>
      <c r="CQ101" s="558"/>
      <c r="CR101" s="559" t="s">
        <v>209</v>
      </c>
      <c r="CS101" s="553"/>
      <c r="CT101" s="558"/>
      <c r="CU101" s="558"/>
      <c r="CV101" s="559" t="s">
        <v>209</v>
      </c>
    </row>
    <row r="102" spans="1:100" ht="151.5" customHeight="1" x14ac:dyDescent="0.3">
      <c r="A102" s="632">
        <v>43</v>
      </c>
      <c r="B102" s="632" t="s">
        <v>803</v>
      </c>
      <c r="C102" s="633" t="s">
        <v>804</v>
      </c>
      <c r="D102" s="585" t="str">
        <f>IFERROR(INDEX('Base de datos gestión'!$D$28:$D$50,MATCH(C102,'Base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E102" s="585" t="str">
        <f>IFERROR(INDEX('Base de datos gestión'!$E$28:$E$50,MATCH(C102,'Base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F102" s="630" t="s">
        <v>276</v>
      </c>
      <c r="G102" s="629" t="s">
        <v>805</v>
      </c>
      <c r="H102" s="630" t="s">
        <v>806</v>
      </c>
      <c r="I102" s="630" t="s">
        <v>807</v>
      </c>
      <c r="J102" s="630" t="s">
        <v>192</v>
      </c>
      <c r="K102" s="630" t="s">
        <v>311</v>
      </c>
      <c r="L102" s="630">
        <v>10</v>
      </c>
      <c r="M102" s="588" t="str">
        <f t="shared" si="46"/>
        <v>Baja</v>
      </c>
      <c r="N102" s="589">
        <f t="shared" si="41"/>
        <v>0.4</v>
      </c>
      <c r="O102" s="590" t="s">
        <v>248</v>
      </c>
      <c r="P102" s="589" t="str">
        <f>IF(NOT(ISERROR(MATCH(O102,'Tabla Impacto'!$B$222:$B$224,0))),'Tabla Impacto'!$F$224&amp;"Por favor no seleccionar los criterios de impacto(Afectación Económica o presupuestal y Pérdida Reputacional)",O102)</f>
        <v xml:space="preserve">     El riesgo afecta la imagen de la entidad con algunos usuarios de relevancia frente al logro de los objetivos</v>
      </c>
      <c r="Q102" s="591" t="str">
        <f>IF(OR(P102='[8]Tabla Impacto'!$C$12,P102='[8]Tabla Impacto'!$D$12),"Leve",IF(OR(P102='[8]Tabla Impacto'!$C$13,P102='[8]Tabla Impacto'!$D$13),"Menor",IF(OR(P102='[8]Tabla Impacto'!$C$14,P102='[8]Tabla Impacto'!$D$14),"Moderado",IF(OR(P102='[8]Tabla Impacto'!$C$15,P102='[8]Tabla Impacto'!$D$15),"Mayor",IF(OR(P102='[8]Tabla Impacto'!$C$16,P102='[8]Tabla Impacto'!$D$16),"Catastrófico","")))))</f>
        <v>Moderado</v>
      </c>
      <c r="R102" s="590">
        <f t="shared" si="44"/>
        <v>0.6</v>
      </c>
      <c r="S102" s="592" t="str">
        <f t="shared" si="45"/>
        <v>Moderado</v>
      </c>
      <c r="T102" s="595">
        <v>1</v>
      </c>
      <c r="U102" s="631" t="s">
        <v>808</v>
      </c>
      <c r="V102" s="595" t="str">
        <f t="shared" si="39"/>
        <v>Probabilidad</v>
      </c>
      <c r="W102" s="596" t="s">
        <v>197</v>
      </c>
      <c r="X102" s="596" t="s">
        <v>198</v>
      </c>
      <c r="Y102" s="597" t="str">
        <f t="shared" si="28"/>
        <v>40%</v>
      </c>
      <c r="Z102" s="596" t="s">
        <v>259</v>
      </c>
      <c r="AA102" s="596" t="s">
        <v>200</v>
      </c>
      <c r="AB102" s="596" t="s">
        <v>201</v>
      </c>
      <c r="AC102" s="598">
        <f>IFERROR(IF(AND(V101="Probabilidad",V102="Probabilidad"),(AE101-(+AE101*Y102)),IF(AND(V101="Impacto",V102="Probabilidad"),(AE100-(+AE100*Y102)),IF(V102="Impacto",AE101,""))),"")</f>
        <v>4.3545600000000004E-2</v>
      </c>
      <c r="AD102" s="599" t="str">
        <f t="shared" si="29"/>
        <v>Muy Baja</v>
      </c>
      <c r="AE102" s="600">
        <f t="shared" si="30"/>
        <v>4.3545600000000004E-2</v>
      </c>
      <c r="AF102" s="599" t="str">
        <f t="shared" si="31"/>
        <v>Catastrófico</v>
      </c>
      <c r="AG102" s="600">
        <f>IFERROR(IF(AND(V101="Impacto",V102="Impacto"),(AG101-(+AG101*Y102)),IF(AND(V101="Probabilidad",V102="Impacto"),(AG100-(+AG100*Y102)),IF(V102="Probabilidad",AG101,""))),"")</f>
        <v>1</v>
      </c>
      <c r="AH102" s="601" t="str">
        <f t="shared" si="32"/>
        <v>Extremo</v>
      </c>
      <c r="AI102" s="602" t="s">
        <v>202</v>
      </c>
      <c r="AJ102" s="603"/>
      <c r="AK102" s="192"/>
      <c r="AL102" s="603"/>
      <c r="AM102" s="604"/>
      <c r="AN102" s="606"/>
      <c r="AO102" s="607"/>
      <c r="AP102" s="608">
        <v>45934</v>
      </c>
      <c r="AQ102" s="609" t="s">
        <v>809</v>
      </c>
      <c r="AR102" s="286" t="s">
        <v>810</v>
      </c>
      <c r="AS102" s="611" t="s">
        <v>205</v>
      </c>
      <c r="AT102" s="612" t="s">
        <v>206</v>
      </c>
      <c r="AU102" s="283" t="s">
        <v>811</v>
      </c>
      <c r="AV102" s="613"/>
      <c r="AW102" s="614">
        <v>45782</v>
      </c>
      <c r="AX102" s="615" t="s">
        <v>207</v>
      </c>
      <c r="AY102" s="635" t="s">
        <v>578</v>
      </c>
      <c r="BA102" s="617"/>
      <c r="BB102" s="617"/>
      <c r="BC102" s="618" t="s">
        <v>209</v>
      </c>
      <c r="BE102" s="608">
        <v>45848</v>
      </c>
      <c r="BF102" s="609" t="s">
        <v>812</v>
      </c>
      <c r="BG102" s="286" t="s">
        <v>813</v>
      </c>
      <c r="BH102" s="641" t="s">
        <v>205</v>
      </c>
      <c r="BI102" s="612" t="s">
        <v>206</v>
      </c>
      <c r="BJ102" s="283" t="s">
        <v>811</v>
      </c>
      <c r="BL102" s="450">
        <v>45855</v>
      </c>
      <c r="BM102" s="449" t="s">
        <v>215</v>
      </c>
      <c r="BN102" s="283" t="s">
        <v>231</v>
      </c>
      <c r="BP102" s="617"/>
      <c r="BQ102" s="617"/>
      <c r="BR102" s="618" t="s">
        <v>209</v>
      </c>
      <c r="BT102" s="683">
        <v>45944</v>
      </c>
      <c r="BU102" s="684" t="s">
        <v>814</v>
      </c>
      <c r="BV102" s="685" t="s">
        <v>815</v>
      </c>
      <c r="BW102" s="686" t="s">
        <v>206</v>
      </c>
      <c r="BX102" s="686" t="s">
        <v>206</v>
      </c>
      <c r="BY102" s="686" t="s">
        <v>206</v>
      </c>
      <c r="CA102" s="680">
        <v>45992</v>
      </c>
      <c r="CB102" s="616" t="s">
        <v>218</v>
      </c>
      <c r="CC102" s="616" t="s">
        <v>233</v>
      </c>
      <c r="CE102" s="617"/>
      <c r="CF102" s="617"/>
      <c r="CG102" s="618" t="s">
        <v>209</v>
      </c>
      <c r="CH102" s="192"/>
      <c r="CI102" s="558"/>
      <c r="CJ102" s="558"/>
      <c r="CK102" s="559" t="s">
        <v>209</v>
      </c>
      <c r="CL102" s="558"/>
      <c r="CM102" s="558"/>
      <c r="CN102" s="558"/>
      <c r="CO102" s="553"/>
      <c r="CP102" s="558"/>
      <c r="CQ102" s="558"/>
      <c r="CR102" s="559" t="s">
        <v>209</v>
      </c>
      <c r="CS102" s="553"/>
      <c r="CT102" s="558"/>
      <c r="CU102" s="558"/>
      <c r="CV102" s="559" t="s">
        <v>209</v>
      </c>
    </row>
    <row r="103" spans="1:100" ht="151.5" customHeight="1" x14ac:dyDescent="0.3">
      <c r="A103" s="584">
        <v>43</v>
      </c>
      <c r="B103" s="584" t="s">
        <v>803</v>
      </c>
      <c r="C103" s="585" t="s">
        <v>804</v>
      </c>
      <c r="D103" s="585" t="str">
        <f>IFERROR(INDEX('Base de datos gestión'!$D$28:$D$50,MATCH(C103,'Base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E103" s="585" t="str">
        <f>IFERROR(INDEX('Base de datos gestión'!$E$28:$E$50,MATCH(C103,'Base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F103" s="630" t="s">
        <v>276</v>
      </c>
      <c r="G103" s="629" t="s">
        <v>805</v>
      </c>
      <c r="H103" s="630" t="s">
        <v>806</v>
      </c>
      <c r="I103" s="630" t="s">
        <v>807</v>
      </c>
      <c r="J103" s="630" t="s">
        <v>192</v>
      </c>
      <c r="K103" s="630" t="s">
        <v>311</v>
      </c>
      <c r="L103" s="630">
        <v>10</v>
      </c>
      <c r="M103" s="588" t="str">
        <f t="shared" si="46"/>
        <v>Baja</v>
      </c>
      <c r="N103" s="589">
        <f t="shared" si="41"/>
        <v>0.4</v>
      </c>
      <c r="O103" s="590" t="s">
        <v>248</v>
      </c>
      <c r="P103" s="589" t="str">
        <f>IF(NOT(ISERROR(MATCH(O103,'Tabla Impacto'!$B$222:$B$224,0))),'Tabla Impacto'!$F$224&amp;"Por favor no seleccionar los criterios de impacto(Afectación Económica o presupuestal y Pérdida Reputacional)",O103)</f>
        <v xml:space="preserve">     El riesgo afecta la imagen de la entidad con algunos usuarios de relevancia frente al logro de los objetivos</v>
      </c>
      <c r="Q103" s="591" t="str">
        <f>IF(OR(P103='[8]Tabla Impacto'!$C$12,P103='[8]Tabla Impacto'!$D$12),"Leve",IF(OR(P103='[8]Tabla Impacto'!$C$13,P103='[8]Tabla Impacto'!$D$13),"Menor",IF(OR(P103='[8]Tabla Impacto'!$C$14,P103='[8]Tabla Impacto'!$D$14),"Moderado",IF(OR(P103='[8]Tabla Impacto'!$C$15,P103='[8]Tabla Impacto'!$D$15),"Mayor",IF(OR(P103='[8]Tabla Impacto'!$C$16,P103='[8]Tabla Impacto'!$D$16),"Catastrófico","")))))</f>
        <v>Moderado</v>
      </c>
      <c r="R103" s="590">
        <f t="shared" si="44"/>
        <v>0.6</v>
      </c>
      <c r="S103" s="592" t="str">
        <f t="shared" si="45"/>
        <v>Moderado</v>
      </c>
      <c r="T103" s="595">
        <v>2</v>
      </c>
      <c r="U103" s="631" t="s">
        <v>816</v>
      </c>
      <c r="V103" s="595" t="str">
        <f t="shared" si="39"/>
        <v>Probabilidad</v>
      </c>
      <c r="W103" s="596" t="s">
        <v>197</v>
      </c>
      <c r="X103" s="596" t="s">
        <v>454</v>
      </c>
      <c r="Y103" s="597" t="str">
        <f t="shared" si="28"/>
        <v>50%</v>
      </c>
      <c r="Z103" s="596" t="s">
        <v>259</v>
      </c>
      <c r="AA103" s="596" t="s">
        <v>200</v>
      </c>
      <c r="AB103" s="596" t="s">
        <v>201</v>
      </c>
      <c r="AC103" s="598">
        <f>IFERROR(IF(V103="Probabilidad",(N103-(+N103*Y103)),IF(V103="Impacto",N103,"")),"")</f>
        <v>0.2</v>
      </c>
      <c r="AD103" s="599" t="str">
        <f t="shared" si="29"/>
        <v>Muy Baja</v>
      </c>
      <c r="AE103" s="600">
        <f t="shared" si="30"/>
        <v>0.2</v>
      </c>
      <c r="AF103" s="599" t="str">
        <f t="shared" si="31"/>
        <v>Moderado</v>
      </c>
      <c r="AG103" s="600">
        <f>IFERROR(IF(V103="Impacto",(R103-(+R103*Y103)),IF(V103="Probabilidad",R103,"")),"")</f>
        <v>0.6</v>
      </c>
      <c r="AH103" s="601" t="str">
        <f t="shared" si="32"/>
        <v>Moderado</v>
      </c>
      <c r="AI103" s="602" t="s">
        <v>202</v>
      </c>
      <c r="AJ103" s="603"/>
      <c r="AK103" s="192"/>
      <c r="AL103" s="603"/>
      <c r="AM103" s="604"/>
      <c r="AN103" s="606"/>
      <c r="AO103" s="607"/>
      <c r="AP103" s="608">
        <v>45757</v>
      </c>
      <c r="AQ103" s="609" t="s">
        <v>809</v>
      </c>
      <c r="AR103" s="286" t="s">
        <v>817</v>
      </c>
      <c r="AS103" s="611" t="s">
        <v>205</v>
      </c>
      <c r="AT103" s="612" t="s">
        <v>206</v>
      </c>
      <c r="AU103" s="283" t="s">
        <v>811</v>
      </c>
      <c r="AV103" s="613"/>
      <c r="AW103" s="614">
        <v>45782</v>
      </c>
      <c r="AX103" s="615" t="s">
        <v>207</v>
      </c>
      <c r="AY103" s="635" t="s">
        <v>578</v>
      </c>
      <c r="BA103" s="617"/>
      <c r="BB103" s="617"/>
      <c r="BC103" s="618" t="s">
        <v>209</v>
      </c>
      <c r="BE103" s="608">
        <v>45848</v>
      </c>
      <c r="BF103" s="609" t="s">
        <v>812</v>
      </c>
      <c r="BG103" s="286" t="s">
        <v>813</v>
      </c>
      <c r="BH103" s="641" t="s">
        <v>205</v>
      </c>
      <c r="BI103" s="612" t="s">
        <v>206</v>
      </c>
      <c r="BJ103" s="283" t="s">
        <v>811</v>
      </c>
      <c r="BL103" s="450">
        <v>45855</v>
      </c>
      <c r="BM103" s="449" t="s">
        <v>215</v>
      </c>
      <c r="BN103" s="283" t="s">
        <v>231</v>
      </c>
      <c r="BP103" s="617"/>
      <c r="BQ103" s="617"/>
      <c r="BR103" s="618" t="s">
        <v>209</v>
      </c>
      <c r="BT103" s="683">
        <v>45944</v>
      </c>
      <c r="BU103" s="684" t="s">
        <v>814</v>
      </c>
      <c r="BV103" s="685" t="s">
        <v>818</v>
      </c>
      <c r="BW103" s="686" t="s">
        <v>206</v>
      </c>
      <c r="BX103" s="686" t="s">
        <v>206</v>
      </c>
      <c r="BY103" s="686" t="s">
        <v>206</v>
      </c>
      <c r="CA103" s="680">
        <v>45992</v>
      </c>
      <c r="CB103" s="616" t="s">
        <v>218</v>
      </c>
      <c r="CC103" s="616" t="s">
        <v>233</v>
      </c>
      <c r="CE103" s="617"/>
      <c r="CF103" s="617"/>
      <c r="CG103" s="618" t="s">
        <v>209</v>
      </c>
      <c r="CH103" s="192"/>
      <c r="CI103" s="558"/>
      <c r="CJ103" s="558"/>
      <c r="CK103" s="559" t="s">
        <v>209</v>
      </c>
      <c r="CL103" s="558"/>
      <c r="CM103" s="558"/>
      <c r="CN103" s="558"/>
      <c r="CO103" s="553"/>
      <c r="CP103" s="558"/>
      <c r="CQ103" s="558"/>
      <c r="CR103" s="559" t="s">
        <v>209</v>
      </c>
      <c r="CS103" s="553"/>
      <c r="CT103" s="558"/>
      <c r="CU103" s="558"/>
      <c r="CV103" s="559" t="s">
        <v>209</v>
      </c>
    </row>
    <row r="104" spans="1:100" ht="151.5" customHeight="1" x14ac:dyDescent="0.3">
      <c r="A104" s="622">
        <v>44</v>
      </c>
      <c r="B104" s="622" t="s">
        <v>819</v>
      </c>
      <c r="C104" s="623" t="s">
        <v>804</v>
      </c>
      <c r="D104" s="585" t="str">
        <f>IFERROR(INDEX('Base de datos gestión'!$D$28:$D$50,MATCH(C104,'Base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E104" s="585" t="str">
        <f>IFERROR(INDEX('Base de datos gestión'!$E$28:$E$50,MATCH(C104,'Base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F104" s="628" t="s">
        <v>188</v>
      </c>
      <c r="G104" s="629" t="s">
        <v>820</v>
      </c>
      <c r="H104" s="628" t="s">
        <v>821</v>
      </c>
      <c r="I104" s="628" t="s">
        <v>822</v>
      </c>
      <c r="J104" s="630" t="s">
        <v>192</v>
      </c>
      <c r="K104" s="630" t="s">
        <v>420</v>
      </c>
      <c r="L104" s="630">
        <v>10</v>
      </c>
      <c r="M104" s="588" t="str">
        <f t="shared" si="46"/>
        <v>Baja</v>
      </c>
      <c r="N104" s="589">
        <f t="shared" si="41"/>
        <v>0.4</v>
      </c>
      <c r="O104" s="590" t="s">
        <v>238</v>
      </c>
      <c r="P104" s="589" t="str">
        <f>IF(NOT(ISERROR(MATCH(O104,'Tabla Impacto'!$B$222:$B$224,0))),'Tabla Impacto'!$F$224&amp;"Por favor no seleccionar los criterios de impacto(Afectación Económica o presupuestal y Pérdida Reputacional)",O104)</f>
        <v xml:space="preserve">     El riesgo afecta la imagen de la entidad internamente, de conocimiento general, nivel interno, de junta directiva y accionistas y/o de proveedores</v>
      </c>
      <c r="Q104" s="591" t="s">
        <v>8</v>
      </c>
      <c r="R104" s="590">
        <v>0.6</v>
      </c>
      <c r="S104" s="592" t="s">
        <v>8</v>
      </c>
      <c r="T104" s="595">
        <v>1</v>
      </c>
      <c r="U104" s="687" t="s">
        <v>823</v>
      </c>
      <c r="V104" s="595" t="str">
        <f t="shared" si="39"/>
        <v>Probabilidad</v>
      </c>
      <c r="W104" s="596" t="s">
        <v>197</v>
      </c>
      <c r="X104" s="596" t="s">
        <v>198</v>
      </c>
      <c r="Y104" s="597" t="str">
        <f t="shared" si="28"/>
        <v>40%</v>
      </c>
      <c r="Z104" s="596" t="s">
        <v>259</v>
      </c>
      <c r="AA104" s="596" t="s">
        <v>225</v>
      </c>
      <c r="AB104" s="596" t="s">
        <v>201</v>
      </c>
      <c r="AC104" s="598">
        <f>IFERROR(IF(AND(V103="Probabilidad",V104="Probabilidad"),(AE103-(+AE103*Y104)),IF(V104="Probabilidad",(N103-(+N103*Y104)),IF(V104="Impacto",AE103,""))),"")</f>
        <v>0.12</v>
      </c>
      <c r="AD104" s="599" t="str">
        <f t="shared" si="29"/>
        <v>Muy Baja</v>
      </c>
      <c r="AE104" s="600">
        <f t="shared" si="30"/>
        <v>0.12</v>
      </c>
      <c r="AF104" s="599" t="str">
        <f t="shared" si="31"/>
        <v>Catastrófico</v>
      </c>
      <c r="AG104" s="600">
        <f>IFERROR(IF(AND(V103="Impacto",V104="Impacto"),(AG97-(+AG97*Y104)),IF(V104="Impacto",($R$55-(+$R$55*Y104)),IF(V104="Probabilidad",AG97,""))),"")</f>
        <v>1</v>
      </c>
      <c r="AH104" s="601" t="str">
        <f t="shared" si="32"/>
        <v>Extremo</v>
      </c>
      <c r="AI104" s="602" t="s">
        <v>202</v>
      </c>
      <c r="AJ104" s="603"/>
      <c r="AK104" s="192"/>
      <c r="AL104" s="603"/>
      <c r="AM104" s="604"/>
      <c r="AN104" s="606"/>
      <c r="AO104" s="607"/>
      <c r="AP104" s="608">
        <v>45757</v>
      </c>
      <c r="AQ104" s="609" t="s">
        <v>809</v>
      </c>
      <c r="AR104" s="286" t="s">
        <v>824</v>
      </c>
      <c r="AS104" s="611" t="s">
        <v>205</v>
      </c>
      <c r="AT104" s="612" t="s">
        <v>206</v>
      </c>
      <c r="AU104" s="283" t="s">
        <v>811</v>
      </c>
      <c r="AV104" s="613"/>
      <c r="AW104" s="614">
        <v>45782</v>
      </c>
      <c r="AX104" s="615" t="s">
        <v>207</v>
      </c>
      <c r="AY104" s="635" t="s">
        <v>578</v>
      </c>
      <c r="BA104" s="617"/>
      <c r="BB104" s="617"/>
      <c r="BC104" s="618" t="s">
        <v>209</v>
      </c>
      <c r="BE104" s="608">
        <v>45848</v>
      </c>
      <c r="BF104" s="609" t="s">
        <v>812</v>
      </c>
      <c r="BG104" s="286" t="s">
        <v>825</v>
      </c>
      <c r="BH104" s="641" t="s">
        <v>205</v>
      </c>
      <c r="BI104" s="612" t="s">
        <v>206</v>
      </c>
      <c r="BJ104" s="283" t="s">
        <v>811</v>
      </c>
      <c r="BL104" s="450">
        <v>45855</v>
      </c>
      <c r="BM104" s="449" t="s">
        <v>215</v>
      </c>
      <c r="BN104" s="283" t="s">
        <v>231</v>
      </c>
      <c r="BP104" s="617"/>
      <c r="BQ104" s="617"/>
      <c r="BR104" s="618" t="s">
        <v>209</v>
      </c>
      <c r="BT104" s="683">
        <v>45944</v>
      </c>
      <c r="BU104" s="684" t="s">
        <v>814</v>
      </c>
      <c r="BV104" s="685" t="s">
        <v>826</v>
      </c>
      <c r="BW104" s="686" t="s">
        <v>206</v>
      </c>
      <c r="BX104" s="686" t="s">
        <v>206</v>
      </c>
      <c r="BY104" s="686" t="s">
        <v>206</v>
      </c>
      <c r="CA104" s="680">
        <v>45992</v>
      </c>
      <c r="CB104" s="616" t="s">
        <v>218</v>
      </c>
      <c r="CC104" s="616" t="s">
        <v>233</v>
      </c>
      <c r="CE104" s="617"/>
      <c r="CF104" s="617"/>
      <c r="CG104" s="618" t="s">
        <v>209</v>
      </c>
      <c r="CH104" s="192"/>
      <c r="CI104" s="558"/>
      <c r="CJ104" s="558"/>
      <c r="CK104" s="559" t="s">
        <v>209</v>
      </c>
      <c r="CL104" s="558"/>
      <c r="CM104" s="558"/>
      <c r="CN104" s="558"/>
      <c r="CO104" s="553"/>
      <c r="CP104" s="558"/>
      <c r="CQ104" s="558"/>
      <c r="CR104" s="559" t="s">
        <v>209</v>
      </c>
      <c r="CS104" s="553"/>
      <c r="CT104" s="558"/>
      <c r="CU104" s="558"/>
      <c r="CV104" s="559" t="s">
        <v>209</v>
      </c>
    </row>
    <row r="105" spans="1:100" ht="151.5" customHeight="1" x14ac:dyDescent="0.3">
      <c r="A105" s="622">
        <v>45</v>
      </c>
      <c r="B105" s="622" t="s">
        <v>827</v>
      </c>
      <c r="C105" s="623" t="s">
        <v>804</v>
      </c>
      <c r="D105" s="585" t="str">
        <f>IFERROR(INDEX('Base de datos gestión'!$D$28:$D$50,MATCH(C105,'Base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E105" s="585" t="str">
        <f>IFERROR(INDEX('Base de datos gestión'!$E$28:$E$50,MATCH(C105,'Base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F105" s="628" t="s">
        <v>276</v>
      </c>
      <c r="G105" s="629" t="s">
        <v>828</v>
      </c>
      <c r="H105" s="628" t="s">
        <v>829</v>
      </c>
      <c r="I105" s="628" t="s">
        <v>830</v>
      </c>
      <c r="J105" s="630" t="s">
        <v>280</v>
      </c>
      <c r="K105" s="630" t="s">
        <v>311</v>
      </c>
      <c r="L105" s="630">
        <v>10</v>
      </c>
      <c r="M105" s="588" t="str">
        <f t="shared" si="46"/>
        <v>Baja</v>
      </c>
      <c r="N105" s="589">
        <f t="shared" si="41"/>
        <v>0.4</v>
      </c>
      <c r="O105" s="590" t="s">
        <v>238</v>
      </c>
      <c r="P105" s="589" t="str">
        <f>IF(NOT(ISERROR(MATCH(O105,'Tabla Impacto'!$B$222:$B$224,0))),'Tabla Impacto'!$F$224&amp;"Por favor no seleccionar los criterios de impacto(Afectación Económica o presupuestal y Pérdida Reputacional)",O105)</f>
        <v xml:space="preserve">     El riesgo afecta la imagen de la entidad internamente, de conocimiento general, nivel interno, de junta directiva y accionistas y/o de proveedores</v>
      </c>
      <c r="Q105" s="591" t="s">
        <v>8</v>
      </c>
      <c r="R105" s="590">
        <v>0.6</v>
      </c>
      <c r="S105" s="592" t="s">
        <v>8</v>
      </c>
      <c r="T105" s="595">
        <v>1</v>
      </c>
      <c r="U105" s="631" t="s">
        <v>831</v>
      </c>
      <c r="V105" s="595" t="str">
        <f t="shared" si="39"/>
        <v>Probabilidad</v>
      </c>
      <c r="W105" s="596" t="s">
        <v>197</v>
      </c>
      <c r="X105" s="596" t="s">
        <v>198</v>
      </c>
      <c r="Y105" s="597" t="str">
        <f t="shared" si="28"/>
        <v>40%</v>
      </c>
      <c r="Z105" s="596" t="s">
        <v>259</v>
      </c>
      <c r="AA105" s="596" t="s">
        <v>200</v>
      </c>
      <c r="AB105" s="596" t="s">
        <v>201</v>
      </c>
      <c r="AC105" s="598">
        <f>IFERROR(IF(AND(V104="Probabilidad",V105="Probabilidad"),(AE104-(+AE104*Y105)),IF(AND(V104="Impacto",V105="Probabilidad"),(AE103-(+AE103*Y105)),IF(V105="Impacto",AE104,""))),"")</f>
        <v>7.1999999999999995E-2</v>
      </c>
      <c r="AD105" s="599" t="str">
        <f t="shared" si="29"/>
        <v>Muy Baja</v>
      </c>
      <c r="AE105" s="600">
        <f t="shared" si="30"/>
        <v>7.1999999999999995E-2</v>
      </c>
      <c r="AF105" s="599" t="str">
        <f t="shared" si="31"/>
        <v>Catastrófico</v>
      </c>
      <c r="AG105" s="600">
        <f>IFERROR(IF(AND(V104="Impacto",V105="Impacto"),(AG104-(+AG104*Y105)),IF(AND(V104="Probabilidad",V105="Impacto"),(AG103-(+AG103*Y105)),IF(V105="Probabilidad",AG104,""))),"")</f>
        <v>1</v>
      </c>
      <c r="AH105" s="601" t="str">
        <f t="shared" si="32"/>
        <v>Extremo</v>
      </c>
      <c r="AI105" s="602" t="s">
        <v>202</v>
      </c>
      <c r="AJ105" s="603"/>
      <c r="AK105" s="192"/>
      <c r="AL105" s="603"/>
      <c r="AM105" s="604"/>
      <c r="AN105" s="606"/>
      <c r="AO105" s="607"/>
      <c r="AP105" s="608">
        <v>45757</v>
      </c>
      <c r="AQ105" s="609" t="s">
        <v>809</v>
      </c>
      <c r="AR105" s="286" t="s">
        <v>832</v>
      </c>
      <c r="AS105" s="611" t="s">
        <v>205</v>
      </c>
      <c r="AT105" s="612" t="s">
        <v>206</v>
      </c>
      <c r="AU105" s="283" t="s">
        <v>811</v>
      </c>
      <c r="AV105" s="613"/>
      <c r="AW105" s="614">
        <v>45782</v>
      </c>
      <c r="AX105" s="615" t="s">
        <v>207</v>
      </c>
      <c r="AY105" s="635" t="s">
        <v>578</v>
      </c>
      <c r="BA105" s="617"/>
      <c r="BB105" s="617"/>
      <c r="BC105" s="618" t="s">
        <v>209</v>
      </c>
      <c r="BE105" s="608">
        <v>45848</v>
      </c>
      <c r="BF105" s="609" t="s">
        <v>812</v>
      </c>
      <c r="BG105" s="286" t="s">
        <v>833</v>
      </c>
      <c r="BH105" s="641" t="s">
        <v>205</v>
      </c>
      <c r="BI105" s="612" t="s">
        <v>206</v>
      </c>
      <c r="BJ105" s="283" t="s">
        <v>811</v>
      </c>
      <c r="BL105" s="450">
        <v>45855</v>
      </c>
      <c r="BM105" s="449" t="s">
        <v>215</v>
      </c>
      <c r="BN105" s="283" t="s">
        <v>231</v>
      </c>
      <c r="BP105" s="617"/>
      <c r="BQ105" s="617"/>
      <c r="BR105" s="618" t="s">
        <v>209</v>
      </c>
      <c r="BT105" s="683">
        <v>45944</v>
      </c>
      <c r="BU105" s="684" t="s">
        <v>814</v>
      </c>
      <c r="BV105" s="685" t="s">
        <v>834</v>
      </c>
      <c r="BW105" s="686" t="s">
        <v>206</v>
      </c>
      <c r="BX105" s="686" t="s">
        <v>206</v>
      </c>
      <c r="BY105" s="686" t="s">
        <v>206</v>
      </c>
      <c r="CA105" s="680">
        <v>45992</v>
      </c>
      <c r="CB105" s="616" t="s">
        <v>218</v>
      </c>
      <c r="CC105" s="616" t="s">
        <v>233</v>
      </c>
      <c r="CE105" s="617"/>
      <c r="CF105" s="617"/>
      <c r="CG105" s="618" t="s">
        <v>209</v>
      </c>
      <c r="CH105" s="192"/>
      <c r="CI105" s="558"/>
      <c r="CJ105" s="558"/>
      <c r="CK105" s="559" t="s">
        <v>209</v>
      </c>
      <c r="CL105" s="558"/>
      <c r="CM105" s="558"/>
      <c r="CN105" s="558"/>
      <c r="CO105" s="553"/>
      <c r="CP105" s="558"/>
      <c r="CQ105" s="558"/>
      <c r="CR105" s="559" t="s">
        <v>209</v>
      </c>
      <c r="CS105" s="553"/>
      <c r="CT105" s="558"/>
      <c r="CU105" s="558"/>
      <c r="CV105" s="559" t="s">
        <v>209</v>
      </c>
    </row>
    <row r="106" spans="1:100" ht="151.5" customHeight="1" x14ac:dyDescent="0.3">
      <c r="A106" s="622">
        <v>45</v>
      </c>
      <c r="B106" s="622" t="s">
        <v>827</v>
      </c>
      <c r="C106" s="623" t="s">
        <v>804</v>
      </c>
      <c r="D106" s="585" t="str">
        <f>IFERROR(INDEX('Base de datos gestión'!$D$28:$D$50,MATCH(C106,'Base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E106" s="585" t="str">
        <f>IFERROR(INDEX('Base de datos gestión'!$E$28:$E$50,MATCH(C106,'Base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F106" s="628" t="s">
        <v>276</v>
      </c>
      <c r="G106" s="629" t="s">
        <v>828</v>
      </c>
      <c r="H106" s="628" t="s">
        <v>829</v>
      </c>
      <c r="I106" s="628" t="s">
        <v>830</v>
      </c>
      <c r="J106" s="630" t="s">
        <v>280</v>
      </c>
      <c r="K106" s="630" t="s">
        <v>311</v>
      </c>
      <c r="L106" s="630">
        <v>10</v>
      </c>
      <c r="M106" s="588" t="str">
        <f t="shared" si="46"/>
        <v>Baja</v>
      </c>
      <c r="N106" s="589">
        <f t="shared" si="41"/>
        <v>0.4</v>
      </c>
      <c r="O106" s="590" t="s">
        <v>238</v>
      </c>
      <c r="P106" s="589" t="str">
        <f>IF(NOT(ISERROR(MATCH(O106,'Tabla Impacto'!$B$222:$B$224,0))),'Tabla Impacto'!$F$224&amp;"Por favor no seleccionar los criterios de impacto(Afectación Económica o presupuestal y Pérdida Reputacional)",O106)</f>
        <v xml:space="preserve">     El riesgo afecta la imagen de la entidad internamente, de conocimiento general, nivel interno, de junta directiva y accionistas y/o de proveedores</v>
      </c>
      <c r="Q106" s="591" t="s">
        <v>8</v>
      </c>
      <c r="R106" s="590">
        <v>0.6</v>
      </c>
      <c r="S106" s="592" t="s">
        <v>8</v>
      </c>
      <c r="T106" s="595">
        <v>2</v>
      </c>
      <c r="U106" s="687" t="s">
        <v>835</v>
      </c>
      <c r="V106" s="595" t="str">
        <f t="shared" si="39"/>
        <v>Probabilidad</v>
      </c>
      <c r="W106" s="596" t="s">
        <v>197</v>
      </c>
      <c r="X106" s="596" t="s">
        <v>454</v>
      </c>
      <c r="Y106" s="597" t="str">
        <f t="shared" si="28"/>
        <v>50%</v>
      </c>
      <c r="Z106" s="596" t="s">
        <v>259</v>
      </c>
      <c r="AA106" s="596" t="s">
        <v>200</v>
      </c>
      <c r="AB106" s="596" t="s">
        <v>201</v>
      </c>
      <c r="AC106" s="598">
        <f>IFERROR(IF(AND(V105="Probabilidad",V106="Probabilidad"),(AE105-(+AE105*Y106)),IF(AND(V105="Impacto",V106="Probabilidad"),(AE104-(+AE104*Y106)),IF(V106="Impacto",AE105,""))),"")</f>
        <v>3.5999999999999997E-2</v>
      </c>
      <c r="AD106" s="599" t="str">
        <f t="shared" si="29"/>
        <v>Muy Baja</v>
      </c>
      <c r="AE106" s="600">
        <f t="shared" si="30"/>
        <v>3.5999999999999997E-2</v>
      </c>
      <c r="AF106" s="599" t="str">
        <f t="shared" si="31"/>
        <v>Catastrófico</v>
      </c>
      <c r="AG106" s="600">
        <f>IFERROR(IF(AND(V105="Impacto",V106="Impacto"),(AG105-(+AG105*Y106)),IF(AND(V105="Probabilidad",V106="Impacto"),(AG104-(+AG104*Y106)),IF(V106="Probabilidad",AG105,""))),"")</f>
        <v>1</v>
      </c>
      <c r="AH106" s="601" t="str">
        <f t="shared" si="32"/>
        <v>Extremo</v>
      </c>
      <c r="AI106" s="602" t="s">
        <v>202</v>
      </c>
      <c r="AJ106" s="603"/>
      <c r="AK106" s="192"/>
      <c r="AL106" s="603"/>
      <c r="AM106" s="604"/>
      <c r="AN106" s="606"/>
      <c r="AO106" s="607"/>
      <c r="AP106" s="608">
        <v>45757</v>
      </c>
      <c r="AQ106" s="609" t="s">
        <v>809</v>
      </c>
      <c r="AR106" s="286" t="s">
        <v>836</v>
      </c>
      <c r="AS106" s="611" t="s">
        <v>205</v>
      </c>
      <c r="AT106" s="612" t="s">
        <v>206</v>
      </c>
      <c r="AU106" s="283" t="s">
        <v>811</v>
      </c>
      <c r="AV106" s="613"/>
      <c r="AW106" s="614">
        <v>45782</v>
      </c>
      <c r="AX106" s="615" t="s">
        <v>207</v>
      </c>
      <c r="AY106" s="635" t="s">
        <v>578</v>
      </c>
      <c r="BA106" s="617"/>
      <c r="BB106" s="617"/>
      <c r="BC106" s="618" t="s">
        <v>209</v>
      </c>
      <c r="BE106" s="608">
        <v>45848</v>
      </c>
      <c r="BF106" s="609" t="s">
        <v>812</v>
      </c>
      <c r="BG106" s="286" t="s">
        <v>837</v>
      </c>
      <c r="BH106" s="641" t="s">
        <v>205</v>
      </c>
      <c r="BI106" s="612" t="s">
        <v>206</v>
      </c>
      <c r="BJ106" s="283" t="s">
        <v>811</v>
      </c>
      <c r="BL106" s="450">
        <v>45855</v>
      </c>
      <c r="BM106" s="449" t="s">
        <v>215</v>
      </c>
      <c r="BN106" s="283" t="s">
        <v>231</v>
      </c>
      <c r="BP106" s="617"/>
      <c r="BQ106" s="617"/>
      <c r="BR106" s="618" t="s">
        <v>209</v>
      </c>
      <c r="BT106" s="683">
        <v>45944</v>
      </c>
      <c r="BU106" s="684" t="s">
        <v>814</v>
      </c>
      <c r="BV106" s="685" t="s">
        <v>838</v>
      </c>
      <c r="BW106" s="686" t="s">
        <v>206</v>
      </c>
      <c r="BX106" s="686" t="s">
        <v>206</v>
      </c>
      <c r="BY106" s="686" t="s">
        <v>206</v>
      </c>
      <c r="CA106" s="680">
        <v>45992</v>
      </c>
      <c r="CB106" s="616" t="s">
        <v>218</v>
      </c>
      <c r="CC106" s="616" t="s">
        <v>233</v>
      </c>
      <c r="CE106" s="617"/>
      <c r="CF106" s="617"/>
      <c r="CG106" s="618" t="s">
        <v>209</v>
      </c>
      <c r="CH106" s="192"/>
      <c r="CI106" s="558"/>
      <c r="CJ106" s="558"/>
      <c r="CK106" s="559" t="s">
        <v>209</v>
      </c>
      <c r="CL106" s="558"/>
      <c r="CM106" s="558"/>
      <c r="CN106" s="558"/>
      <c r="CO106" s="553"/>
      <c r="CP106" s="558"/>
      <c r="CQ106" s="558"/>
      <c r="CR106" s="559" t="s">
        <v>209</v>
      </c>
      <c r="CS106" s="553"/>
      <c r="CT106" s="558"/>
      <c r="CU106" s="558"/>
      <c r="CV106" s="559" t="s">
        <v>209</v>
      </c>
    </row>
    <row r="107" spans="1:100" ht="151.5" customHeight="1" x14ac:dyDescent="0.3">
      <c r="A107" s="622">
        <v>46</v>
      </c>
      <c r="B107" s="622" t="s">
        <v>839</v>
      </c>
      <c r="C107" s="623" t="s">
        <v>840</v>
      </c>
      <c r="D107" s="585" t="str">
        <f>IFERROR(INDEX('Base de datos gestión'!$D$28:$D$50,MATCH(C107,'Base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07" s="585" t="str">
        <f>IFERROR(INDEX('Base de datos gestión'!$E$28:$E$50,MATCH(C107,'Base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07" s="628" t="s">
        <v>188</v>
      </c>
      <c r="G107" s="629" t="s">
        <v>841</v>
      </c>
      <c r="H107" s="630" t="s">
        <v>842</v>
      </c>
      <c r="I107" s="628" t="s">
        <v>843</v>
      </c>
      <c r="J107" s="630" t="s">
        <v>192</v>
      </c>
      <c r="K107" s="630" t="s">
        <v>193</v>
      </c>
      <c r="L107" s="630">
        <v>4</v>
      </c>
      <c r="M107" s="588" t="str">
        <f t="shared" si="46"/>
        <v>Baja</v>
      </c>
      <c r="N107" s="589">
        <f t="shared" si="41"/>
        <v>0.4</v>
      </c>
      <c r="O107" s="590" t="s">
        <v>248</v>
      </c>
      <c r="P107" s="589" t="str">
        <f>IF(NOT(ISERROR(MATCH(O107,'Tabla Impacto'!$B$222:$B$224,0))),'Tabla Impacto'!$F$224&amp;"Por favor no seleccionar los criterios de impacto(Afectación Económica o presupuestal y Pérdida Reputacional)",O107)</f>
        <v xml:space="preserve">     El riesgo afecta la imagen de la entidad con algunos usuarios de relevancia frente al logro de los objetivos</v>
      </c>
      <c r="Q107" s="591" t="str">
        <f>IF(OR(P107='[8]Tabla Impacto'!$C$12,P107='[8]Tabla Impacto'!$D$12),"Leve",IF(OR(P107='[8]Tabla Impacto'!$C$13,P107='[8]Tabla Impacto'!$D$13),"Menor",IF(OR(P107='[8]Tabla Impacto'!$C$14,P107='[8]Tabla Impacto'!$D$14),"Moderado",IF(OR(P107='[8]Tabla Impacto'!$C$15,P107='[8]Tabla Impacto'!$D$15),"Mayor",IF(OR(P107='[8]Tabla Impacto'!$C$16,P107='[8]Tabla Impacto'!$D$16),"Catastrófico","")))))</f>
        <v>Moderado</v>
      </c>
      <c r="R107" s="590">
        <f t="shared" si="44"/>
        <v>0.6</v>
      </c>
      <c r="S107" s="592" t="str">
        <f t="shared" si="45"/>
        <v>Moderado</v>
      </c>
      <c r="T107" s="595">
        <v>1</v>
      </c>
      <c r="U107" s="631" t="s">
        <v>844</v>
      </c>
      <c r="V107" s="595" t="str">
        <f t="shared" si="39"/>
        <v>Probabilidad</v>
      </c>
      <c r="W107" s="596" t="s">
        <v>197</v>
      </c>
      <c r="X107" s="596" t="s">
        <v>198</v>
      </c>
      <c r="Y107" s="597" t="str">
        <f t="shared" si="28"/>
        <v>40%</v>
      </c>
      <c r="Z107" s="596" t="s">
        <v>259</v>
      </c>
      <c r="AA107" s="596" t="s">
        <v>200</v>
      </c>
      <c r="AB107" s="688" t="s">
        <v>201</v>
      </c>
      <c r="AC107" s="598">
        <f>IFERROR(IF(AND(V106="Probabilidad",V107="Probabilidad"),(AE106-(+AE106*Y107)),IF(AND(V106="Impacto",V107="Probabilidad"),(AE105-(+AE105*Y107)),IF(V107="Impacto",AE106,""))),"")</f>
        <v>2.1599999999999998E-2</v>
      </c>
      <c r="AD107" s="599" t="str">
        <f t="shared" si="29"/>
        <v>Muy Baja</v>
      </c>
      <c r="AE107" s="600">
        <f t="shared" si="30"/>
        <v>2.1599999999999998E-2</v>
      </c>
      <c r="AF107" s="599" t="str">
        <f t="shared" si="31"/>
        <v>Catastrófico</v>
      </c>
      <c r="AG107" s="600">
        <f>IFERROR(IF(AND(V106="Impacto",V107="Impacto"),(AG106-(+AG106*Y107)),IF(AND(V106="Probabilidad",V107="Impacto"),(AG105-(+AG105*Y107)),IF(V107="Probabilidad",AG106,""))),"")</f>
        <v>1</v>
      </c>
      <c r="AH107" s="601" t="str">
        <f t="shared" si="32"/>
        <v>Extremo</v>
      </c>
      <c r="AI107" s="603" t="s">
        <v>202</v>
      </c>
      <c r="AJ107" s="603"/>
      <c r="AK107" s="192"/>
      <c r="AL107" s="603"/>
      <c r="AM107" s="604"/>
      <c r="AN107" s="606"/>
      <c r="AO107" s="607"/>
      <c r="AP107" s="608">
        <v>45757</v>
      </c>
      <c r="AQ107" s="609" t="s">
        <v>809</v>
      </c>
      <c r="AR107" s="286" t="s">
        <v>845</v>
      </c>
      <c r="AS107" s="611" t="s">
        <v>205</v>
      </c>
      <c r="AT107" s="612" t="s">
        <v>206</v>
      </c>
      <c r="AU107" s="283" t="s">
        <v>811</v>
      </c>
      <c r="AV107" s="613"/>
      <c r="AW107" s="614">
        <v>45782</v>
      </c>
      <c r="AX107" s="615" t="s">
        <v>207</v>
      </c>
      <c r="AY107" s="635" t="s">
        <v>578</v>
      </c>
      <c r="BA107" s="617"/>
      <c r="BB107" s="617"/>
      <c r="BC107" s="618" t="s">
        <v>209</v>
      </c>
      <c r="BE107" s="608">
        <v>45848</v>
      </c>
      <c r="BF107" s="609" t="s">
        <v>812</v>
      </c>
      <c r="BG107" s="286" t="s">
        <v>846</v>
      </c>
      <c r="BH107" s="641" t="s">
        <v>205</v>
      </c>
      <c r="BI107" s="612" t="s">
        <v>206</v>
      </c>
      <c r="BJ107" s="283" t="s">
        <v>811</v>
      </c>
      <c r="BL107" s="450">
        <v>45855</v>
      </c>
      <c r="BM107" s="449" t="s">
        <v>215</v>
      </c>
      <c r="BN107" s="283" t="s">
        <v>231</v>
      </c>
      <c r="BP107" s="617"/>
      <c r="BQ107" s="617"/>
      <c r="BR107" s="618" t="s">
        <v>209</v>
      </c>
      <c r="BT107" s="608">
        <v>45944</v>
      </c>
      <c r="BU107" s="609" t="s">
        <v>814</v>
      </c>
      <c r="BV107" s="286" t="s">
        <v>847</v>
      </c>
      <c r="BW107" s="641" t="s">
        <v>206</v>
      </c>
      <c r="BX107" s="612" t="s">
        <v>206</v>
      </c>
      <c r="BY107" s="283" t="s">
        <v>206</v>
      </c>
      <c r="CA107" s="659">
        <v>45992</v>
      </c>
      <c r="CB107" s="286" t="s">
        <v>218</v>
      </c>
      <c r="CC107" s="643" t="s">
        <v>233</v>
      </c>
      <c r="CE107" s="617"/>
      <c r="CF107" s="617"/>
      <c r="CG107" s="618" t="s">
        <v>209</v>
      </c>
      <c r="CH107" s="192"/>
      <c r="CI107" s="558"/>
      <c r="CJ107" s="558"/>
      <c r="CK107" s="559" t="s">
        <v>209</v>
      </c>
      <c r="CL107" s="558"/>
      <c r="CM107" s="558"/>
      <c r="CN107" s="558"/>
      <c r="CO107" s="553"/>
      <c r="CP107" s="558"/>
      <c r="CQ107" s="558"/>
      <c r="CR107" s="559" t="s">
        <v>209</v>
      </c>
      <c r="CS107" s="553"/>
      <c r="CT107" s="558"/>
      <c r="CU107" s="558"/>
      <c r="CV107" s="559" t="s">
        <v>209</v>
      </c>
    </row>
    <row r="108" spans="1:100" ht="151.5" customHeight="1" x14ac:dyDescent="0.3">
      <c r="A108" s="632">
        <v>46</v>
      </c>
      <c r="B108" s="632" t="s">
        <v>839</v>
      </c>
      <c r="C108" s="633" t="s">
        <v>840</v>
      </c>
      <c r="D108" s="585" t="str">
        <f>IFERROR(INDEX('Base de datos gestión'!$D$28:$D$50,MATCH(C108,'Base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08" s="585" t="str">
        <f>IFERROR(INDEX('Base de datos gestión'!$E$28:$E$50,MATCH(C108,'Base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08" s="628" t="s">
        <v>188</v>
      </c>
      <c r="G108" s="629" t="s">
        <v>841</v>
      </c>
      <c r="H108" s="630" t="s">
        <v>848</v>
      </c>
      <c r="I108" s="628" t="s">
        <v>843</v>
      </c>
      <c r="J108" s="630" t="s">
        <v>192</v>
      </c>
      <c r="K108" s="630" t="s">
        <v>193</v>
      </c>
      <c r="L108" s="630">
        <v>4</v>
      </c>
      <c r="M108" s="588" t="str">
        <f t="shared" si="46"/>
        <v>Baja</v>
      </c>
      <c r="N108" s="589">
        <f t="shared" si="41"/>
        <v>0.4</v>
      </c>
      <c r="O108" s="590" t="s">
        <v>248</v>
      </c>
      <c r="P108" s="589" t="str">
        <f>IF(NOT(ISERROR(MATCH(O108,'Tabla Impacto'!$B$222:$B$224,0))),'Tabla Impacto'!$F$224&amp;"Por favor no seleccionar los criterios de impacto(Afectación Económica o presupuestal y Pérdida Reputacional)",O108)</f>
        <v xml:space="preserve">     El riesgo afecta la imagen de la entidad con algunos usuarios de relevancia frente al logro de los objetivos</v>
      </c>
      <c r="Q108" s="591" t="str">
        <f>IF(OR(P108='[8]Tabla Impacto'!$C$12,P108='[8]Tabla Impacto'!$D$12),"Leve",IF(OR(P108='[8]Tabla Impacto'!$C$13,P108='[8]Tabla Impacto'!$D$13),"Menor",IF(OR(P108='[8]Tabla Impacto'!$C$14,P108='[8]Tabla Impacto'!$D$14),"Moderado",IF(OR(P108='[8]Tabla Impacto'!$C$15,P108='[8]Tabla Impacto'!$D$15),"Mayor",IF(OR(P108='[8]Tabla Impacto'!$C$16,P108='[8]Tabla Impacto'!$D$16),"Catastrófico","")))))</f>
        <v>Moderado</v>
      </c>
      <c r="R108" s="590">
        <f t="shared" si="44"/>
        <v>0.6</v>
      </c>
      <c r="S108" s="592" t="str">
        <f t="shared" si="45"/>
        <v>Moderado</v>
      </c>
      <c r="T108" s="595">
        <v>2</v>
      </c>
      <c r="U108" s="631" t="s">
        <v>849</v>
      </c>
      <c r="V108" s="595" t="str">
        <f t="shared" si="39"/>
        <v>Probabilidad</v>
      </c>
      <c r="W108" s="596" t="s">
        <v>197</v>
      </c>
      <c r="X108" s="596" t="s">
        <v>198</v>
      </c>
      <c r="Y108" s="597" t="str">
        <f t="shared" si="28"/>
        <v>40%</v>
      </c>
      <c r="Z108" s="596" t="s">
        <v>259</v>
      </c>
      <c r="AA108" s="596" t="s">
        <v>200</v>
      </c>
      <c r="AB108" s="688" t="s">
        <v>201</v>
      </c>
      <c r="AC108" s="598">
        <f>IFERROR(IF(AND(V107="Probabilidad",V108="Probabilidad"),(AE107-(+AE107*Y108)),IF(AND(V107="Impacto",V108="Probabilidad"),(AE106-(+AE106*Y108)),IF(V108="Impacto",AE107,""))),"")</f>
        <v>1.2959999999999998E-2</v>
      </c>
      <c r="AD108" s="599" t="str">
        <f t="shared" si="29"/>
        <v>Muy Baja</v>
      </c>
      <c r="AE108" s="600">
        <f t="shared" si="30"/>
        <v>1.2959999999999998E-2</v>
      </c>
      <c r="AF108" s="599" t="str">
        <f t="shared" si="31"/>
        <v>Catastrófico</v>
      </c>
      <c r="AG108" s="600">
        <f>IFERROR(IF(AND(V107="Impacto",V108="Impacto"),(AG107-(+AG107*Y108)),IF(AND(V107="Probabilidad",V108="Impacto"),(AG106-(+AG106*Y108)),IF(V108="Probabilidad",AG107,""))),"")</f>
        <v>1</v>
      </c>
      <c r="AH108" s="601" t="str">
        <f t="shared" si="32"/>
        <v>Extremo</v>
      </c>
      <c r="AI108" s="603" t="s">
        <v>202</v>
      </c>
      <c r="AJ108" s="603"/>
      <c r="AK108" s="192"/>
      <c r="AL108" s="603"/>
      <c r="AM108" s="604"/>
      <c r="AN108" s="606"/>
      <c r="AO108" s="607"/>
      <c r="AP108" s="608">
        <v>45757</v>
      </c>
      <c r="AQ108" s="609" t="s">
        <v>809</v>
      </c>
      <c r="AR108" s="286" t="s">
        <v>850</v>
      </c>
      <c r="AS108" s="611" t="s">
        <v>205</v>
      </c>
      <c r="AT108" s="612" t="s">
        <v>206</v>
      </c>
      <c r="AU108" s="283" t="s">
        <v>811</v>
      </c>
      <c r="AV108" s="613"/>
      <c r="AW108" s="614">
        <v>45782</v>
      </c>
      <c r="AX108" s="615" t="s">
        <v>207</v>
      </c>
      <c r="AY108" s="635" t="s">
        <v>578</v>
      </c>
      <c r="BA108" s="617"/>
      <c r="BB108" s="617"/>
      <c r="BC108" s="618" t="s">
        <v>209</v>
      </c>
      <c r="BE108" s="608">
        <v>45848</v>
      </c>
      <c r="BF108" s="609" t="s">
        <v>812</v>
      </c>
      <c r="BG108" s="286" t="s">
        <v>850</v>
      </c>
      <c r="BH108" s="641" t="s">
        <v>205</v>
      </c>
      <c r="BI108" s="612" t="s">
        <v>206</v>
      </c>
      <c r="BJ108" s="283" t="s">
        <v>811</v>
      </c>
      <c r="BL108" s="450">
        <v>45855</v>
      </c>
      <c r="BM108" s="449" t="s">
        <v>215</v>
      </c>
      <c r="BN108" s="283" t="s">
        <v>231</v>
      </c>
      <c r="BP108" s="617"/>
      <c r="BQ108" s="617"/>
      <c r="BR108" s="618" t="s">
        <v>209</v>
      </c>
      <c r="BT108" s="608">
        <v>45944</v>
      </c>
      <c r="BU108" s="609" t="s">
        <v>814</v>
      </c>
      <c r="BV108" s="286" t="s">
        <v>850</v>
      </c>
      <c r="BW108" s="641" t="s">
        <v>206</v>
      </c>
      <c r="BX108" s="612" t="s">
        <v>206</v>
      </c>
      <c r="BY108" s="283" t="s">
        <v>206</v>
      </c>
      <c r="CA108" s="659">
        <v>45992</v>
      </c>
      <c r="CB108" s="286" t="s">
        <v>218</v>
      </c>
      <c r="CC108" s="643" t="s">
        <v>233</v>
      </c>
      <c r="CE108" s="617"/>
      <c r="CF108" s="617"/>
      <c r="CG108" s="618" t="s">
        <v>209</v>
      </c>
      <c r="CH108" s="192"/>
      <c r="CI108" s="558"/>
      <c r="CJ108" s="558"/>
      <c r="CK108" s="559" t="s">
        <v>209</v>
      </c>
      <c r="CL108" s="558"/>
      <c r="CM108" s="558"/>
      <c r="CN108" s="558"/>
      <c r="CO108" s="553"/>
      <c r="CP108" s="558"/>
      <c r="CQ108" s="558"/>
      <c r="CR108" s="559" t="s">
        <v>209</v>
      </c>
      <c r="CS108" s="553"/>
      <c r="CT108" s="558"/>
      <c r="CU108" s="558"/>
      <c r="CV108" s="559" t="s">
        <v>209</v>
      </c>
    </row>
    <row r="109" spans="1:100" ht="151.5" customHeight="1" x14ac:dyDescent="0.3">
      <c r="A109" s="584">
        <v>46</v>
      </c>
      <c r="B109" s="584" t="s">
        <v>839</v>
      </c>
      <c r="C109" s="585" t="s">
        <v>840</v>
      </c>
      <c r="D109" s="585" t="str">
        <f>IFERROR(INDEX('Base de datos gestión'!$D$28:$D$50,MATCH(C109,'Base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09" s="585" t="str">
        <f>IFERROR(INDEX('Base de datos gestión'!$E$28:$E$50,MATCH(C109,'Base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09" s="628" t="s">
        <v>188</v>
      </c>
      <c r="G109" s="629" t="s">
        <v>841</v>
      </c>
      <c r="H109" s="630" t="s">
        <v>851</v>
      </c>
      <c r="I109" s="628" t="s">
        <v>843</v>
      </c>
      <c r="J109" s="630" t="s">
        <v>192</v>
      </c>
      <c r="K109" s="630" t="s">
        <v>193</v>
      </c>
      <c r="L109" s="630">
        <v>4</v>
      </c>
      <c r="M109" s="588" t="str">
        <f t="shared" si="46"/>
        <v>Baja</v>
      </c>
      <c r="N109" s="589">
        <f t="shared" si="41"/>
        <v>0.4</v>
      </c>
      <c r="O109" s="590" t="s">
        <v>248</v>
      </c>
      <c r="P109" s="589" t="str">
        <f>IF(NOT(ISERROR(MATCH(O109,'Tabla Impacto'!$B$222:$B$224,0))),'Tabla Impacto'!$F$224&amp;"Por favor no seleccionar los criterios de impacto(Afectación Económica o presupuestal y Pérdida Reputacional)",O109)</f>
        <v xml:space="preserve">     El riesgo afecta la imagen de la entidad con algunos usuarios de relevancia frente al logro de los objetivos</v>
      </c>
      <c r="Q109" s="591" t="str">
        <f>IF(OR(P109='[8]Tabla Impacto'!$C$12,P109='[8]Tabla Impacto'!$D$12),"Leve",IF(OR(P109='[8]Tabla Impacto'!$C$13,P109='[8]Tabla Impacto'!$D$13),"Menor",IF(OR(P109='[8]Tabla Impacto'!$C$14,P109='[8]Tabla Impacto'!$D$14),"Moderado",IF(OR(P109='[8]Tabla Impacto'!$C$15,P109='[8]Tabla Impacto'!$D$15),"Mayor",IF(OR(P109='[8]Tabla Impacto'!$C$16,P109='[8]Tabla Impacto'!$D$16),"Catastrófico","")))))</f>
        <v>Moderado</v>
      </c>
      <c r="R109" s="590">
        <f t="shared" si="44"/>
        <v>0.6</v>
      </c>
      <c r="S109" s="592" t="str">
        <f t="shared" si="45"/>
        <v>Moderado</v>
      </c>
      <c r="T109" s="595">
        <v>3</v>
      </c>
      <c r="U109" s="631" t="s">
        <v>852</v>
      </c>
      <c r="V109" s="595" t="str">
        <f t="shared" si="39"/>
        <v>Probabilidad</v>
      </c>
      <c r="W109" s="596" t="s">
        <v>197</v>
      </c>
      <c r="X109" s="596" t="s">
        <v>198</v>
      </c>
      <c r="Y109" s="597" t="str">
        <f t="shared" si="28"/>
        <v>40%</v>
      </c>
      <c r="Z109" s="596" t="s">
        <v>199</v>
      </c>
      <c r="AA109" s="596" t="s">
        <v>200</v>
      </c>
      <c r="AB109" s="688" t="s">
        <v>201</v>
      </c>
      <c r="AC109" s="598">
        <f>IFERROR(IF(V109="Probabilidad",(N109-(+N109*Y109)),IF(V109="Impacto",N109,"")),"")</f>
        <v>0.24</v>
      </c>
      <c r="AD109" s="599" t="str">
        <f t="shared" si="29"/>
        <v>Baja</v>
      </c>
      <c r="AE109" s="600">
        <f t="shared" si="30"/>
        <v>0.24</v>
      </c>
      <c r="AF109" s="599" t="str">
        <f t="shared" si="31"/>
        <v>Moderado</v>
      </c>
      <c r="AG109" s="600">
        <f>IFERROR(IF(V109="Impacto",(R109-(+R109*Y109)),IF(V109="Probabilidad",R109,"")),"")</f>
        <v>0.6</v>
      </c>
      <c r="AH109" s="601" t="str">
        <f t="shared" si="32"/>
        <v>Moderado</v>
      </c>
      <c r="AI109" s="603" t="s">
        <v>202</v>
      </c>
      <c r="AJ109" s="603"/>
      <c r="AK109" s="192"/>
      <c r="AL109" s="603"/>
      <c r="AM109" s="604"/>
      <c r="AN109" s="606"/>
      <c r="AO109" s="607"/>
      <c r="AP109" s="608">
        <v>45757</v>
      </c>
      <c r="AQ109" s="609" t="s">
        <v>809</v>
      </c>
      <c r="AR109" s="286" t="s">
        <v>853</v>
      </c>
      <c r="AS109" s="611" t="s">
        <v>205</v>
      </c>
      <c r="AT109" s="612" t="s">
        <v>206</v>
      </c>
      <c r="AU109" s="283" t="s">
        <v>811</v>
      </c>
      <c r="AV109" s="613"/>
      <c r="AW109" s="614">
        <v>45782</v>
      </c>
      <c r="AX109" s="615" t="s">
        <v>207</v>
      </c>
      <c r="AY109" s="635" t="s">
        <v>578</v>
      </c>
      <c r="BA109" s="617"/>
      <c r="BB109" s="617"/>
      <c r="BC109" s="618" t="s">
        <v>209</v>
      </c>
      <c r="BE109" s="608">
        <v>45848</v>
      </c>
      <c r="BF109" s="609" t="s">
        <v>812</v>
      </c>
      <c r="BG109" s="286" t="s">
        <v>854</v>
      </c>
      <c r="BH109" s="641" t="s">
        <v>205</v>
      </c>
      <c r="BI109" s="612" t="s">
        <v>206</v>
      </c>
      <c r="BJ109" s="283" t="s">
        <v>811</v>
      </c>
      <c r="BL109" s="450">
        <v>45855</v>
      </c>
      <c r="BM109" s="449" t="s">
        <v>215</v>
      </c>
      <c r="BN109" s="283" t="s">
        <v>231</v>
      </c>
      <c r="BP109" s="617"/>
      <c r="BQ109" s="617"/>
      <c r="BR109" s="618" t="s">
        <v>209</v>
      </c>
      <c r="BT109" s="608">
        <v>45944</v>
      </c>
      <c r="BU109" s="609" t="s">
        <v>814</v>
      </c>
      <c r="BV109" s="286" t="s">
        <v>855</v>
      </c>
      <c r="BW109" s="641" t="s">
        <v>206</v>
      </c>
      <c r="BX109" s="612" t="s">
        <v>206</v>
      </c>
      <c r="BY109" s="283" t="s">
        <v>206</v>
      </c>
      <c r="CA109" s="659">
        <v>45992</v>
      </c>
      <c r="CB109" s="286" t="s">
        <v>218</v>
      </c>
      <c r="CC109" s="643" t="s">
        <v>233</v>
      </c>
      <c r="CE109" s="617"/>
      <c r="CF109" s="617"/>
      <c r="CG109" s="618" t="s">
        <v>209</v>
      </c>
      <c r="CH109" s="192"/>
      <c r="CI109" s="558"/>
      <c r="CJ109" s="558"/>
      <c r="CK109" s="559" t="s">
        <v>209</v>
      </c>
      <c r="CL109" s="558"/>
      <c r="CM109" s="558"/>
      <c r="CN109" s="558"/>
      <c r="CO109" s="553"/>
      <c r="CP109" s="558"/>
      <c r="CQ109" s="558"/>
      <c r="CR109" s="559" t="s">
        <v>209</v>
      </c>
      <c r="CS109" s="553"/>
      <c r="CT109" s="558"/>
      <c r="CU109" s="558"/>
      <c r="CV109" s="559" t="s">
        <v>209</v>
      </c>
    </row>
    <row r="110" spans="1:100" ht="151.5" customHeight="1" x14ac:dyDescent="0.3">
      <c r="A110" s="622">
        <v>47</v>
      </c>
      <c r="B110" s="622" t="s">
        <v>856</v>
      </c>
      <c r="C110" s="623" t="s">
        <v>840</v>
      </c>
      <c r="D110" s="585" t="str">
        <f>IFERROR(INDEX('Base de datos gestión'!$D$28:$D$50,MATCH(C110,'Base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10" s="585" t="str">
        <f>IFERROR(INDEX('Base de datos gestión'!$E$28:$E$50,MATCH(C110,'Base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10" s="628" t="s">
        <v>188</v>
      </c>
      <c r="G110" s="629" t="s">
        <v>857</v>
      </c>
      <c r="H110" s="630" t="s">
        <v>858</v>
      </c>
      <c r="I110" s="630" t="s">
        <v>859</v>
      </c>
      <c r="J110" s="630" t="s">
        <v>192</v>
      </c>
      <c r="K110" s="630" t="s">
        <v>193</v>
      </c>
      <c r="L110" s="630">
        <v>1</v>
      </c>
      <c r="M110" s="588" t="str">
        <f t="shared" si="46"/>
        <v>Muy Baja</v>
      </c>
      <c r="N110" s="589">
        <f t="shared" si="41"/>
        <v>0.2</v>
      </c>
      <c r="O110" s="590" t="s">
        <v>281</v>
      </c>
      <c r="P110" s="589" t="str">
        <f>IF(NOT(ISERROR(MATCH(O110,'Tabla Impacto'!$B$222:$B$224,0))),'Tabla Impacto'!$F$224&amp;"Por favor no seleccionar los criterios de impacto(Afectación Económica o presupuestal y Pérdida Reputacional)",O110)</f>
        <v xml:space="preserve">     El riesgo afecta la imagen de de la entidad con efecto publicitario sostenido a nivel de sector administrativo, nivel departamental o municipal</v>
      </c>
      <c r="Q110" s="591" t="str">
        <f>IF(OR(P110='[8]Tabla Impacto'!$C$12,P110='[8]Tabla Impacto'!$D$12),"Leve",IF(OR(P110='[8]Tabla Impacto'!$C$13,P110='[8]Tabla Impacto'!$D$13),"Menor",IF(OR(P110='[8]Tabla Impacto'!$C$14,P110='[8]Tabla Impacto'!$D$14),"Moderado",IF(OR(P110='[8]Tabla Impacto'!$C$15,P110='[8]Tabla Impacto'!$D$15),"Mayor",IF(OR(P110='[8]Tabla Impacto'!$C$16,P110='[8]Tabla Impacto'!$D$16),"Catastrófico","")))))</f>
        <v>Mayor</v>
      </c>
      <c r="R110" s="590">
        <f t="shared" si="44"/>
        <v>0.8</v>
      </c>
      <c r="S110" s="592" t="str">
        <f t="shared" si="45"/>
        <v>Alto</v>
      </c>
      <c r="T110" s="595">
        <v>1</v>
      </c>
      <c r="U110" s="631" t="s">
        <v>860</v>
      </c>
      <c r="V110" s="595" t="str">
        <f t="shared" si="39"/>
        <v>Probabilidad</v>
      </c>
      <c r="W110" s="596" t="s">
        <v>197</v>
      </c>
      <c r="X110" s="596" t="s">
        <v>198</v>
      </c>
      <c r="Y110" s="597" t="str">
        <f t="shared" si="28"/>
        <v>40%</v>
      </c>
      <c r="Z110" s="596" t="s">
        <v>259</v>
      </c>
      <c r="AA110" s="596" t="s">
        <v>200</v>
      </c>
      <c r="AB110" s="596" t="s">
        <v>201</v>
      </c>
      <c r="AC110" s="598">
        <f>IFERROR(IF(AND(V109="Probabilidad",V110="Probabilidad"),(AE109-(+AE109*Y110)),IF(V110="Probabilidad",(N109-(+N109*Y110)),IF(V110="Impacto",AE109,""))),"")</f>
        <v>0.14399999999999999</v>
      </c>
      <c r="AD110" s="599" t="str">
        <f t="shared" si="29"/>
        <v>Muy Baja</v>
      </c>
      <c r="AE110" s="600">
        <f t="shared" si="30"/>
        <v>0.14399999999999999</v>
      </c>
      <c r="AF110" s="599" t="str">
        <f t="shared" si="31"/>
        <v>Moderado</v>
      </c>
      <c r="AG110" s="600">
        <f>IFERROR(IF(AND(V109="Impacto",V110="Impacto"),(AG103-(+AG103*Y110)),IF(V110="Impacto",($R$49-(+$R$49*Y110)),IF(V110="Probabilidad",AG103,""))),"")</f>
        <v>0.6</v>
      </c>
      <c r="AH110" s="601" t="str">
        <f t="shared" si="32"/>
        <v>Moderado</v>
      </c>
      <c r="AI110" s="603" t="s">
        <v>202</v>
      </c>
      <c r="AJ110" s="603"/>
      <c r="AK110" s="192"/>
      <c r="AL110" s="603"/>
      <c r="AM110" s="604"/>
      <c r="AN110" s="606"/>
      <c r="AO110" s="607"/>
      <c r="AP110" s="608">
        <v>45757</v>
      </c>
      <c r="AQ110" s="609" t="s">
        <v>809</v>
      </c>
      <c r="AR110" s="286" t="s">
        <v>861</v>
      </c>
      <c r="AS110" s="611" t="s">
        <v>205</v>
      </c>
      <c r="AT110" s="612" t="s">
        <v>206</v>
      </c>
      <c r="AU110" s="283" t="s">
        <v>811</v>
      </c>
      <c r="AV110" s="613"/>
      <c r="AW110" s="614">
        <v>45782</v>
      </c>
      <c r="AX110" s="615" t="s">
        <v>207</v>
      </c>
      <c r="AY110" s="635" t="s">
        <v>578</v>
      </c>
      <c r="BA110" s="617"/>
      <c r="BB110" s="617"/>
      <c r="BC110" s="618" t="s">
        <v>209</v>
      </c>
      <c r="BE110" s="608">
        <v>45848</v>
      </c>
      <c r="BF110" s="609" t="s">
        <v>812</v>
      </c>
      <c r="BG110" s="286" t="s">
        <v>862</v>
      </c>
      <c r="BH110" s="641" t="s">
        <v>205</v>
      </c>
      <c r="BI110" s="612" t="s">
        <v>206</v>
      </c>
      <c r="BJ110" s="283" t="s">
        <v>811</v>
      </c>
      <c r="BL110" s="450">
        <v>45855</v>
      </c>
      <c r="BM110" s="449" t="s">
        <v>215</v>
      </c>
      <c r="BN110" s="283" t="s">
        <v>231</v>
      </c>
      <c r="BP110" s="617"/>
      <c r="BQ110" s="617"/>
      <c r="BR110" s="618" t="s">
        <v>209</v>
      </c>
      <c r="BT110" s="608">
        <v>45944</v>
      </c>
      <c r="BU110" s="609" t="s">
        <v>814</v>
      </c>
      <c r="BV110" s="286" t="s">
        <v>863</v>
      </c>
      <c r="BW110" s="641" t="s">
        <v>206</v>
      </c>
      <c r="BX110" s="612" t="s">
        <v>206</v>
      </c>
      <c r="BY110" s="283" t="s">
        <v>206</v>
      </c>
      <c r="CA110" s="659">
        <v>45992</v>
      </c>
      <c r="CB110" s="286" t="s">
        <v>218</v>
      </c>
      <c r="CC110" s="643" t="s">
        <v>233</v>
      </c>
      <c r="CE110" s="617"/>
      <c r="CF110" s="617"/>
      <c r="CG110" s="618" t="s">
        <v>209</v>
      </c>
      <c r="CH110" s="192"/>
      <c r="CI110" s="558"/>
      <c r="CJ110" s="558"/>
      <c r="CK110" s="559" t="s">
        <v>209</v>
      </c>
      <c r="CL110" s="558"/>
      <c r="CM110" s="558"/>
      <c r="CN110" s="558"/>
      <c r="CO110" s="553"/>
      <c r="CP110" s="558"/>
      <c r="CQ110" s="558"/>
      <c r="CR110" s="559" t="s">
        <v>209</v>
      </c>
      <c r="CS110" s="553"/>
      <c r="CT110" s="558"/>
      <c r="CU110" s="558"/>
      <c r="CV110" s="559" t="s">
        <v>209</v>
      </c>
    </row>
    <row r="111" spans="1:100" ht="151.5" customHeight="1" x14ac:dyDescent="0.3">
      <c r="A111" s="622">
        <v>47</v>
      </c>
      <c r="B111" s="622" t="s">
        <v>856</v>
      </c>
      <c r="C111" s="623" t="s">
        <v>840</v>
      </c>
      <c r="D111" s="585" t="str">
        <f>IFERROR(INDEX('Base de datos gestión'!$D$28:$D$50,MATCH(C111,'Base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11" s="585" t="str">
        <f>IFERROR(INDEX('Base de datos gestión'!$E$28:$E$50,MATCH(C111,'Base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11" s="628" t="s">
        <v>188</v>
      </c>
      <c r="G111" s="629" t="s">
        <v>857</v>
      </c>
      <c r="H111" s="630" t="s">
        <v>858</v>
      </c>
      <c r="I111" s="630" t="s">
        <v>859</v>
      </c>
      <c r="J111" s="630" t="s">
        <v>192</v>
      </c>
      <c r="K111" s="630" t="s">
        <v>193</v>
      </c>
      <c r="L111" s="630">
        <v>1</v>
      </c>
      <c r="M111" s="588" t="str">
        <f t="shared" si="46"/>
        <v>Muy Baja</v>
      </c>
      <c r="N111" s="589">
        <f t="shared" si="41"/>
        <v>0.2</v>
      </c>
      <c r="O111" s="590" t="s">
        <v>281</v>
      </c>
      <c r="P111" s="589" t="str">
        <f>IF(NOT(ISERROR(MATCH(O111,'Tabla Impacto'!$B$222:$B$224,0))),'Tabla Impacto'!$F$224&amp;"Por favor no seleccionar los criterios de impacto(Afectación Económica o presupuestal y Pérdida Reputacional)",O111)</f>
        <v xml:space="preserve">     El riesgo afecta la imagen de de la entidad con efecto publicitario sostenido a nivel de sector administrativo, nivel departamental o municipal</v>
      </c>
      <c r="Q111" s="591" t="str">
        <f>IF(OR(P111='[8]Tabla Impacto'!$C$12,P111='[8]Tabla Impacto'!$D$12),"Leve",IF(OR(P111='[8]Tabla Impacto'!$C$13,P111='[8]Tabla Impacto'!$D$13),"Menor",IF(OR(P111='[8]Tabla Impacto'!$C$14,P111='[8]Tabla Impacto'!$D$14),"Moderado",IF(OR(P111='[8]Tabla Impacto'!$C$15,P111='[8]Tabla Impacto'!$D$15),"Mayor",IF(OR(P111='[8]Tabla Impacto'!$C$16,P111='[8]Tabla Impacto'!$D$16),"Catastrófico","")))))</f>
        <v>Mayor</v>
      </c>
      <c r="R111" s="590">
        <f t="shared" si="44"/>
        <v>0.8</v>
      </c>
      <c r="S111" s="592" t="str">
        <f t="shared" si="45"/>
        <v>Alto</v>
      </c>
      <c r="T111" s="595">
        <v>2</v>
      </c>
      <c r="U111" s="631" t="s">
        <v>864</v>
      </c>
      <c r="V111" s="595" t="str">
        <f t="shared" si="39"/>
        <v>Probabilidad</v>
      </c>
      <c r="W111" s="596" t="s">
        <v>197</v>
      </c>
      <c r="X111" s="596" t="s">
        <v>198</v>
      </c>
      <c r="Y111" s="597" t="str">
        <f t="shared" si="28"/>
        <v>40%</v>
      </c>
      <c r="Z111" s="596" t="s">
        <v>259</v>
      </c>
      <c r="AA111" s="596" t="s">
        <v>200</v>
      </c>
      <c r="AB111" s="596" t="s">
        <v>201</v>
      </c>
      <c r="AC111" s="598">
        <f>IFERROR(IF(AND(V110="Probabilidad",V111="Probabilidad"),(AE110-(+AE110*Y111)),IF(AND(V110="Impacto",V111="Probabilidad"),(AE109-(+AE109*Y111)),IF(V111="Impacto",AE110,""))),"")</f>
        <v>8.6399999999999991E-2</v>
      </c>
      <c r="AD111" s="599" t="str">
        <f t="shared" si="29"/>
        <v>Muy Baja</v>
      </c>
      <c r="AE111" s="600">
        <f t="shared" si="30"/>
        <v>8.6399999999999991E-2</v>
      </c>
      <c r="AF111" s="599" t="str">
        <f t="shared" si="31"/>
        <v>Moderado</v>
      </c>
      <c r="AG111" s="600">
        <f>IFERROR(IF(AND(V110="Impacto",V111="Impacto"),(AG110-(+AG110*Y111)),IF(AND(V110="Probabilidad",V111="Impacto"),(AG109-(+AG109*Y111)),IF(V111="Probabilidad",AG110,""))),"")</f>
        <v>0.6</v>
      </c>
      <c r="AH111" s="601" t="str">
        <f t="shared" si="32"/>
        <v>Moderado</v>
      </c>
      <c r="AI111" s="603" t="s">
        <v>202</v>
      </c>
      <c r="AJ111" s="603"/>
      <c r="AK111" s="192"/>
      <c r="AL111" s="603"/>
      <c r="AM111" s="604"/>
      <c r="AN111" s="606"/>
      <c r="AO111" s="607"/>
      <c r="AP111" s="608">
        <v>45757</v>
      </c>
      <c r="AQ111" s="609" t="s">
        <v>809</v>
      </c>
      <c r="AR111" s="286" t="s">
        <v>865</v>
      </c>
      <c r="AS111" s="611" t="s">
        <v>205</v>
      </c>
      <c r="AT111" s="612" t="s">
        <v>206</v>
      </c>
      <c r="AU111" s="283" t="s">
        <v>811</v>
      </c>
      <c r="AV111" s="613"/>
      <c r="AW111" s="614">
        <v>45782</v>
      </c>
      <c r="AX111" s="615" t="s">
        <v>207</v>
      </c>
      <c r="AY111" s="635" t="s">
        <v>578</v>
      </c>
      <c r="BA111" s="617"/>
      <c r="BB111" s="617"/>
      <c r="BC111" s="618" t="s">
        <v>209</v>
      </c>
      <c r="BE111" s="608">
        <v>45848</v>
      </c>
      <c r="BF111" s="609" t="s">
        <v>812</v>
      </c>
      <c r="BG111" s="689" t="s">
        <v>866</v>
      </c>
      <c r="BH111" s="641" t="s">
        <v>205</v>
      </c>
      <c r="BI111" s="612" t="s">
        <v>206</v>
      </c>
      <c r="BJ111" s="283" t="s">
        <v>811</v>
      </c>
      <c r="BL111" s="450">
        <v>45855</v>
      </c>
      <c r="BM111" s="449" t="s">
        <v>215</v>
      </c>
      <c r="BN111" s="283" t="s">
        <v>231</v>
      </c>
      <c r="BP111" s="617"/>
      <c r="BQ111" s="617"/>
      <c r="BR111" s="618" t="s">
        <v>209</v>
      </c>
      <c r="BT111" s="608">
        <v>45944</v>
      </c>
      <c r="BU111" s="609" t="s">
        <v>814</v>
      </c>
      <c r="BV111" s="286" t="s">
        <v>867</v>
      </c>
      <c r="BW111" s="641" t="s">
        <v>206</v>
      </c>
      <c r="BX111" s="612" t="s">
        <v>206</v>
      </c>
      <c r="BY111" s="283" t="s">
        <v>206</v>
      </c>
      <c r="CA111" s="659">
        <v>45992</v>
      </c>
      <c r="CB111" s="286" t="s">
        <v>218</v>
      </c>
      <c r="CC111" s="643" t="s">
        <v>233</v>
      </c>
      <c r="CE111" s="617"/>
      <c r="CF111" s="617"/>
      <c r="CG111" s="618" t="s">
        <v>209</v>
      </c>
      <c r="CH111" s="192"/>
      <c r="CI111" s="558"/>
      <c r="CJ111" s="558"/>
      <c r="CK111" s="559" t="s">
        <v>209</v>
      </c>
      <c r="CL111" s="558"/>
      <c r="CM111" s="558"/>
      <c r="CN111" s="558"/>
      <c r="CO111" s="553"/>
      <c r="CP111" s="558"/>
      <c r="CQ111" s="558"/>
      <c r="CR111" s="559" t="s">
        <v>209</v>
      </c>
      <c r="CS111" s="553"/>
      <c r="CT111" s="558"/>
      <c r="CU111" s="558"/>
      <c r="CV111" s="559" t="s">
        <v>209</v>
      </c>
    </row>
    <row r="112" spans="1:100" ht="151.5" customHeight="1" x14ac:dyDescent="0.3">
      <c r="A112" s="622">
        <v>47</v>
      </c>
      <c r="B112" s="622" t="s">
        <v>856</v>
      </c>
      <c r="C112" s="623" t="s">
        <v>840</v>
      </c>
      <c r="D112" s="585" t="str">
        <f>IFERROR(INDEX('Base de datos gestión'!$D$28:$D$50,MATCH(C112,'Base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12" s="585" t="str">
        <f>IFERROR(INDEX('Base de datos gestión'!$E$28:$E$50,MATCH(C112,'Base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12" s="628" t="s">
        <v>188</v>
      </c>
      <c r="G112" s="629" t="s">
        <v>857</v>
      </c>
      <c r="H112" s="630" t="s">
        <v>858</v>
      </c>
      <c r="I112" s="630" t="s">
        <v>859</v>
      </c>
      <c r="J112" s="630" t="s">
        <v>192</v>
      </c>
      <c r="K112" s="630" t="s">
        <v>193</v>
      </c>
      <c r="L112" s="630">
        <v>1</v>
      </c>
      <c r="M112" s="588" t="str">
        <f t="shared" si="46"/>
        <v>Muy Baja</v>
      </c>
      <c r="N112" s="589">
        <f t="shared" si="41"/>
        <v>0.2</v>
      </c>
      <c r="O112" s="590" t="s">
        <v>281</v>
      </c>
      <c r="P112" s="589" t="str">
        <f>IF(NOT(ISERROR(MATCH(O112,'Tabla Impacto'!$B$222:$B$224,0))),'Tabla Impacto'!$F$224&amp;"Por favor no seleccionar los criterios de impacto(Afectación Económica o presupuestal y Pérdida Reputacional)",O112)</f>
        <v xml:space="preserve">     El riesgo afecta la imagen de de la entidad con efecto publicitario sostenido a nivel de sector administrativo, nivel departamental o municipal</v>
      </c>
      <c r="Q112" s="591" t="str">
        <f>IF(OR(P112='[8]Tabla Impacto'!$C$12,P112='[8]Tabla Impacto'!$D$12),"Leve",IF(OR(P112='[8]Tabla Impacto'!$C$13,P112='[8]Tabla Impacto'!$D$13),"Menor",IF(OR(P112='[8]Tabla Impacto'!$C$14,P112='[8]Tabla Impacto'!$D$14),"Moderado",IF(OR(P112='[8]Tabla Impacto'!$C$15,P112='[8]Tabla Impacto'!$D$15),"Mayor",IF(OR(P112='[8]Tabla Impacto'!$C$16,P112='[8]Tabla Impacto'!$D$16),"Catastrófico","")))))</f>
        <v>Mayor</v>
      </c>
      <c r="R112" s="590">
        <f t="shared" si="44"/>
        <v>0.8</v>
      </c>
      <c r="S112" s="592" t="str">
        <f t="shared" si="45"/>
        <v>Alto</v>
      </c>
      <c r="T112" s="595">
        <v>3</v>
      </c>
      <c r="U112" s="631" t="s">
        <v>868</v>
      </c>
      <c r="V112" s="595" t="str">
        <f t="shared" si="39"/>
        <v>Probabilidad</v>
      </c>
      <c r="W112" s="596" t="s">
        <v>197</v>
      </c>
      <c r="X112" s="596" t="s">
        <v>198</v>
      </c>
      <c r="Y112" s="597" t="str">
        <f t="shared" si="28"/>
        <v>40%</v>
      </c>
      <c r="Z112" s="596" t="s">
        <v>259</v>
      </c>
      <c r="AA112" s="596" t="s">
        <v>200</v>
      </c>
      <c r="AB112" s="596" t="s">
        <v>201</v>
      </c>
      <c r="AC112" s="598">
        <f>IFERROR(IF(AND(V111="Probabilidad",V112="Probabilidad"),(AE111-(+AE111*Y112)),IF(AND(V111="Impacto",V112="Probabilidad"),(AE110-(+AE110*Y112)),IF(V112="Impacto",AE111,""))),"")</f>
        <v>5.183999999999999E-2</v>
      </c>
      <c r="AD112" s="599" t="str">
        <f t="shared" si="29"/>
        <v>Muy Baja</v>
      </c>
      <c r="AE112" s="600">
        <f t="shared" si="30"/>
        <v>5.183999999999999E-2</v>
      </c>
      <c r="AF112" s="599" t="str">
        <f t="shared" si="31"/>
        <v>Moderado</v>
      </c>
      <c r="AG112" s="600">
        <f>IFERROR(IF(AND(V111="Impacto",V112="Impacto"),(AG111-(+AG111*Y112)),IF(AND(V111="Probabilidad",V112="Impacto"),(AG110-(+AG110*Y112)),IF(V112="Probabilidad",AG111,""))),"")</f>
        <v>0.6</v>
      </c>
      <c r="AH112" s="601" t="str">
        <f t="shared" si="32"/>
        <v>Moderado</v>
      </c>
      <c r="AI112" s="603" t="s">
        <v>202</v>
      </c>
      <c r="AJ112" s="603"/>
      <c r="AK112" s="192"/>
      <c r="AL112" s="603"/>
      <c r="AM112" s="604"/>
      <c r="AN112" s="606"/>
      <c r="AO112" s="607"/>
      <c r="AP112" s="608">
        <v>45757</v>
      </c>
      <c r="AQ112" s="609" t="s">
        <v>809</v>
      </c>
      <c r="AR112" s="286" t="s">
        <v>869</v>
      </c>
      <c r="AS112" s="611" t="s">
        <v>205</v>
      </c>
      <c r="AT112" s="612" t="s">
        <v>206</v>
      </c>
      <c r="AU112" s="283" t="s">
        <v>811</v>
      </c>
      <c r="AV112" s="613"/>
      <c r="AW112" s="614">
        <v>45782</v>
      </c>
      <c r="AX112" s="615" t="s">
        <v>207</v>
      </c>
      <c r="AY112" s="635" t="s">
        <v>578</v>
      </c>
      <c r="BA112" s="617"/>
      <c r="BB112" s="617"/>
      <c r="BC112" s="618" t="s">
        <v>209</v>
      </c>
      <c r="BE112" s="608">
        <v>45848</v>
      </c>
      <c r="BF112" s="609" t="s">
        <v>812</v>
      </c>
      <c r="BG112" s="286" t="s">
        <v>870</v>
      </c>
      <c r="BH112" s="641" t="s">
        <v>205</v>
      </c>
      <c r="BI112" s="612" t="s">
        <v>206</v>
      </c>
      <c r="BJ112" s="283" t="s">
        <v>811</v>
      </c>
      <c r="BL112" s="450">
        <v>45855</v>
      </c>
      <c r="BM112" s="449" t="s">
        <v>215</v>
      </c>
      <c r="BN112" s="283" t="s">
        <v>231</v>
      </c>
      <c r="BP112" s="617"/>
      <c r="BQ112" s="617"/>
      <c r="BR112" s="618" t="s">
        <v>209</v>
      </c>
      <c r="BT112" s="608">
        <v>45944</v>
      </c>
      <c r="BU112" s="609" t="s">
        <v>814</v>
      </c>
      <c r="BV112" s="286" t="s">
        <v>871</v>
      </c>
      <c r="BW112" s="641" t="s">
        <v>206</v>
      </c>
      <c r="BX112" s="612" t="s">
        <v>206</v>
      </c>
      <c r="BY112" s="283" t="s">
        <v>206</v>
      </c>
      <c r="CA112" s="659">
        <v>45992</v>
      </c>
      <c r="CB112" s="286" t="s">
        <v>218</v>
      </c>
      <c r="CC112" s="643" t="s">
        <v>233</v>
      </c>
      <c r="CE112" s="617"/>
      <c r="CF112" s="617"/>
      <c r="CG112" s="618" t="s">
        <v>209</v>
      </c>
      <c r="CH112" s="192"/>
      <c r="CI112" s="558"/>
      <c r="CJ112" s="558"/>
      <c r="CK112" s="559" t="s">
        <v>209</v>
      </c>
      <c r="CL112" s="558"/>
      <c r="CM112" s="558"/>
      <c r="CN112" s="558"/>
      <c r="CO112" s="553"/>
      <c r="CP112" s="558"/>
      <c r="CQ112" s="558"/>
      <c r="CR112" s="559" t="s">
        <v>209</v>
      </c>
      <c r="CS112" s="553"/>
      <c r="CT112" s="558"/>
      <c r="CU112" s="558"/>
      <c r="CV112" s="559" t="s">
        <v>209</v>
      </c>
    </row>
    <row r="113" spans="1:100" ht="151.5" customHeight="1" x14ac:dyDescent="0.3">
      <c r="A113" s="622">
        <v>48</v>
      </c>
      <c r="B113" s="622" t="s">
        <v>872</v>
      </c>
      <c r="C113" s="623" t="s">
        <v>840</v>
      </c>
      <c r="D113" s="585" t="str">
        <f>IFERROR(INDEX('Base de datos gestión'!$D$28:$D$50,MATCH(C113,'Base de datos gestión'!$C$28:$C$50,0)), 0)</f>
        <v>Gestionar proyectos de Investigación, Desarrollo Tecnológico e Innovación propuestos por la entidad, mediante la formulación de ideas, el diseño y desarrollo de herramientas para la estructuración, ejecución y seguimiento de actividades de proyectos de I+D+i, de acuerdo con los planes de trabajo de los grupos de investigación y demás áreas involucradas en el I+D+i, para facilitar la transferencia de conocimiento en temas relacionados con metrología científica e industrial.
El proceso se relaciona con el objetivo estratégico: D.1. Posicionar las actividades de ciencia, tecnología e innovación en metrología que contribuyan a la competitividad, productividad y el bienestar de la población.</v>
      </c>
      <c r="E113" s="585" t="str">
        <f>IFERROR(INDEX('Base de datos gestión'!$E$28:$E$50,MATCH(C113,'Base de datos gestión'!$C$28:$C$50,0)), 0)</f>
        <v>Desde la definición de lineamientos, criterios, procedimientos y formatos para la formulación de ideas y la estructuración de los proyectos de I+D+i en el INM, hasta difundir los resultados y productos de los Proyectos de Investigación Desarrollo tecnológico e Innovación del INM.</v>
      </c>
      <c r="F113" s="630" t="s">
        <v>188</v>
      </c>
      <c r="G113" s="629" t="s">
        <v>873</v>
      </c>
      <c r="H113" s="630" t="s">
        <v>874</v>
      </c>
      <c r="I113" s="630" t="s">
        <v>875</v>
      </c>
      <c r="J113" s="630" t="s">
        <v>192</v>
      </c>
      <c r="K113" s="630" t="s">
        <v>193</v>
      </c>
      <c r="L113" s="630">
        <v>4</v>
      </c>
      <c r="M113" s="588" t="str">
        <f t="shared" si="46"/>
        <v>Baja</v>
      </c>
      <c r="N113" s="589">
        <f t="shared" si="41"/>
        <v>0.4</v>
      </c>
      <c r="O113" s="590" t="s">
        <v>248</v>
      </c>
      <c r="P113" s="589" t="str">
        <f>IF(NOT(ISERROR(MATCH(O113,'Tabla Impacto'!$B$222:$B$224,0))),'Tabla Impacto'!$F$224&amp;"Por favor no seleccionar los criterios de impacto(Afectación Económica o presupuestal y Pérdida Reputacional)",O113)</f>
        <v xml:space="preserve">     El riesgo afecta la imagen de la entidad con algunos usuarios de relevancia frente al logro de los objetivos</v>
      </c>
      <c r="Q113" s="591" t="str">
        <f>IF(OR(P113='[8]Tabla Impacto'!$C$12,P113='[8]Tabla Impacto'!$D$12),"Leve",IF(OR(P113='[8]Tabla Impacto'!$C$13,P113='[8]Tabla Impacto'!$D$13),"Menor",IF(OR(P113='[8]Tabla Impacto'!$C$14,P113='[8]Tabla Impacto'!$D$14),"Moderado",IF(OR(P113='[8]Tabla Impacto'!$C$15,P113='[8]Tabla Impacto'!$D$15),"Mayor",IF(OR(P113='[8]Tabla Impacto'!$C$16,P113='[8]Tabla Impacto'!$D$16),"Catastrófico","")))))</f>
        <v>Moderado</v>
      </c>
      <c r="R113" s="590">
        <f t="shared" si="44"/>
        <v>0.6</v>
      </c>
      <c r="S113" s="592" t="str">
        <f t="shared" si="45"/>
        <v>Moderado</v>
      </c>
      <c r="T113" s="595">
        <v>1</v>
      </c>
      <c r="U113" s="631" t="s">
        <v>876</v>
      </c>
      <c r="V113" s="595" t="str">
        <f t="shared" si="39"/>
        <v>Probabilidad</v>
      </c>
      <c r="W113" s="596" t="s">
        <v>197</v>
      </c>
      <c r="X113" s="596" t="s">
        <v>198</v>
      </c>
      <c r="Y113" s="597" t="str">
        <f t="shared" si="28"/>
        <v>40%</v>
      </c>
      <c r="Z113" s="596" t="s">
        <v>259</v>
      </c>
      <c r="AA113" s="596" t="s">
        <v>200</v>
      </c>
      <c r="AB113" s="596" t="s">
        <v>201</v>
      </c>
      <c r="AC113" s="598">
        <f>IFERROR(IF(AND(V112="Probabilidad",V113="Probabilidad"),(AE112-(+AE112*Y113)),IF(AND(V112="Impacto",V113="Probabilidad"),(AE111-(+AE111*Y113)),IF(V113="Impacto",AE112,""))),"")</f>
        <v>3.1103999999999993E-2</v>
      </c>
      <c r="AD113" s="599" t="str">
        <f t="shared" si="29"/>
        <v>Muy Baja</v>
      </c>
      <c r="AE113" s="600">
        <f t="shared" si="30"/>
        <v>3.1103999999999993E-2</v>
      </c>
      <c r="AF113" s="599" t="str">
        <f t="shared" si="31"/>
        <v>Moderado</v>
      </c>
      <c r="AG113" s="600">
        <f>IFERROR(IF(AND(V112="Impacto",V113="Impacto"),(AG112-(+AG112*Y113)),IF(AND(V112="Probabilidad",V113="Impacto"),(AG111-(+AG111*Y113)),IF(V113="Probabilidad",AG112,""))),"")</f>
        <v>0.6</v>
      </c>
      <c r="AH113" s="601" t="str">
        <f t="shared" si="32"/>
        <v>Moderado</v>
      </c>
      <c r="AI113" s="602" t="s">
        <v>202</v>
      </c>
      <c r="AJ113" s="603"/>
      <c r="AK113" s="192"/>
      <c r="AL113" s="603"/>
      <c r="AM113" s="604"/>
      <c r="AN113" s="606"/>
      <c r="AO113" s="607"/>
      <c r="AP113" s="608">
        <v>45757</v>
      </c>
      <c r="AQ113" s="609" t="s">
        <v>809</v>
      </c>
      <c r="AR113" s="286" t="s">
        <v>877</v>
      </c>
      <c r="AS113" s="611" t="s">
        <v>205</v>
      </c>
      <c r="AT113" s="612" t="s">
        <v>206</v>
      </c>
      <c r="AU113" s="283" t="s">
        <v>811</v>
      </c>
      <c r="AV113" s="613"/>
      <c r="AW113" s="614">
        <v>45782</v>
      </c>
      <c r="AX113" s="615" t="s">
        <v>207</v>
      </c>
      <c r="AY113" s="635" t="s">
        <v>578</v>
      </c>
      <c r="BA113" s="617"/>
      <c r="BB113" s="617"/>
      <c r="BC113" s="618" t="s">
        <v>209</v>
      </c>
      <c r="BE113" s="608">
        <v>45848</v>
      </c>
      <c r="BF113" s="609" t="s">
        <v>812</v>
      </c>
      <c r="BG113" s="689" t="s">
        <v>877</v>
      </c>
      <c r="BH113" s="641" t="s">
        <v>205</v>
      </c>
      <c r="BI113" s="612" t="s">
        <v>206</v>
      </c>
      <c r="BJ113" s="283" t="s">
        <v>811</v>
      </c>
      <c r="BL113" s="450">
        <v>45855</v>
      </c>
      <c r="BM113" s="449" t="s">
        <v>215</v>
      </c>
      <c r="BN113" s="283" t="s">
        <v>231</v>
      </c>
      <c r="BP113" s="617"/>
      <c r="BQ113" s="617"/>
      <c r="BR113" s="618" t="s">
        <v>209</v>
      </c>
      <c r="BT113" s="608">
        <v>45944</v>
      </c>
      <c r="BU113" s="609" t="s">
        <v>814</v>
      </c>
      <c r="BV113" s="286" t="s">
        <v>878</v>
      </c>
      <c r="BW113" s="641" t="s">
        <v>206</v>
      </c>
      <c r="BX113" s="612" t="s">
        <v>206</v>
      </c>
      <c r="BY113" s="283" t="s">
        <v>206</v>
      </c>
      <c r="CA113" s="659">
        <v>45992</v>
      </c>
      <c r="CB113" s="286" t="s">
        <v>218</v>
      </c>
      <c r="CC113" s="643" t="s">
        <v>233</v>
      </c>
      <c r="CE113" s="617"/>
      <c r="CF113" s="617"/>
      <c r="CG113" s="618" t="s">
        <v>209</v>
      </c>
      <c r="CH113" s="192"/>
      <c r="CI113" s="558"/>
      <c r="CJ113" s="558"/>
      <c r="CK113" s="559" t="s">
        <v>209</v>
      </c>
      <c r="CL113" s="558"/>
      <c r="CM113" s="558"/>
      <c r="CN113" s="558"/>
      <c r="CO113" s="553"/>
      <c r="CP113" s="558"/>
      <c r="CQ113" s="558"/>
      <c r="CR113" s="559" t="s">
        <v>209</v>
      </c>
      <c r="CS113" s="553"/>
      <c r="CT113" s="558"/>
      <c r="CU113" s="558"/>
      <c r="CV113" s="559" t="s">
        <v>209</v>
      </c>
    </row>
    <row r="114" spans="1:100" ht="151.5" customHeight="1" x14ac:dyDescent="0.3">
      <c r="A114" s="632">
        <v>49</v>
      </c>
      <c r="B114" s="632" t="s">
        <v>879</v>
      </c>
      <c r="C114" s="633" t="s">
        <v>880</v>
      </c>
      <c r="D114" s="585" t="str">
        <f>IFERROR(INDEX('Base de datos gestión'!$D$28:$D$50,MATCH(C114,'Base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4" s="585" t="str">
        <f>IFERROR(INDEX('Base de datos gestión'!$E$28:$E$50,MATCH(C114,'Base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4" s="628" t="s">
        <v>276</v>
      </c>
      <c r="G114" s="629" t="s">
        <v>881</v>
      </c>
      <c r="H114" s="628" t="s">
        <v>882</v>
      </c>
      <c r="I114" s="628" t="s">
        <v>883</v>
      </c>
      <c r="J114" s="630" t="s">
        <v>884</v>
      </c>
      <c r="K114" s="630" t="s">
        <v>193</v>
      </c>
      <c r="L114" s="630">
        <v>20</v>
      </c>
      <c r="M114" s="588" t="str">
        <f t="shared" si="46"/>
        <v>Baja</v>
      </c>
      <c r="N114" s="589">
        <f t="shared" si="41"/>
        <v>0.4</v>
      </c>
      <c r="O114" s="590" t="s">
        <v>238</v>
      </c>
      <c r="P114" s="589" t="str">
        <f>IF(NOT(ISERROR(MATCH(O114,'Tabla Impacto'!$B$222:$B$224,0))),'Tabla Impacto'!$F$224&amp;"Por favor no seleccionar los criterios de impacto(Afectación Económica o presupuestal y Pérdida Reputacional)",O114)</f>
        <v xml:space="preserve">     El riesgo afecta la imagen de la entidad internamente, de conocimiento general, nivel interno, de junta directiva y accionistas y/o de proveedores</v>
      </c>
      <c r="Q114" s="591" t="s">
        <v>8</v>
      </c>
      <c r="R114" s="590">
        <v>0.6</v>
      </c>
      <c r="S114" s="592" t="s">
        <v>8</v>
      </c>
      <c r="T114" s="595">
        <v>1</v>
      </c>
      <c r="U114" s="631" t="s">
        <v>885</v>
      </c>
      <c r="V114" s="595" t="str">
        <f t="shared" si="39"/>
        <v>Probabilidad</v>
      </c>
      <c r="W114" s="596" t="s">
        <v>269</v>
      </c>
      <c r="X114" s="596" t="s">
        <v>198</v>
      </c>
      <c r="Y114" s="597" t="str">
        <f t="shared" si="28"/>
        <v>30%</v>
      </c>
      <c r="Z114" s="596" t="s">
        <v>259</v>
      </c>
      <c r="AA114" s="596" t="s">
        <v>200</v>
      </c>
      <c r="AB114" s="596" t="s">
        <v>201</v>
      </c>
      <c r="AC114" s="598">
        <f>IFERROR(IF(AND(V113="Probabilidad",V114="Probabilidad"),(AE113-(+AE113*Y114)),IF(AND(V113="Impacto",V114="Probabilidad"),(AE112-(+AE112*Y114)),IF(V114="Impacto",AE113,""))),"")</f>
        <v>2.1772799999999995E-2</v>
      </c>
      <c r="AD114" s="599" t="str">
        <f t="shared" si="29"/>
        <v>Muy Baja</v>
      </c>
      <c r="AE114" s="600">
        <f t="shared" si="30"/>
        <v>2.1772799999999995E-2</v>
      </c>
      <c r="AF114" s="599" t="str">
        <f t="shared" si="31"/>
        <v>Moderado</v>
      </c>
      <c r="AG114" s="600">
        <f>IFERROR(IF(AND(V113="Impacto",V114="Impacto"),(AG113-(+AG113*Y114)),IF(AND(V113="Probabilidad",V114="Impacto"),(AG112-(+AG112*Y114)),IF(V114="Probabilidad",AG113,""))),"")</f>
        <v>0.6</v>
      </c>
      <c r="AH114" s="601" t="str">
        <f t="shared" si="32"/>
        <v>Moderado</v>
      </c>
      <c r="AI114" s="602" t="s">
        <v>202</v>
      </c>
      <c r="AJ114" s="603"/>
      <c r="AK114" s="192"/>
      <c r="AL114" s="603"/>
      <c r="AM114" s="604"/>
      <c r="AN114" s="606"/>
      <c r="AO114" s="607"/>
      <c r="AP114" s="608">
        <v>45757</v>
      </c>
      <c r="AQ114" s="609" t="s">
        <v>886</v>
      </c>
      <c r="AR114" s="286" t="s">
        <v>887</v>
      </c>
      <c r="AS114" s="611" t="s">
        <v>205</v>
      </c>
      <c r="AT114" s="612" t="s">
        <v>206</v>
      </c>
      <c r="AU114" s="283" t="s">
        <v>206</v>
      </c>
      <c r="AV114" s="613"/>
      <c r="AW114" s="614">
        <v>45782</v>
      </c>
      <c r="AX114" s="615" t="s">
        <v>207</v>
      </c>
      <c r="AY114" s="635" t="s">
        <v>578</v>
      </c>
      <c r="BA114" s="617"/>
      <c r="BB114" s="617"/>
      <c r="BC114" s="618" t="s">
        <v>209</v>
      </c>
      <c r="BE114" s="621">
        <v>45852</v>
      </c>
      <c r="BF114" s="616" t="s">
        <v>886</v>
      </c>
      <c r="BG114" s="286" t="s">
        <v>888</v>
      </c>
      <c r="BH114" s="449" t="s">
        <v>205</v>
      </c>
      <c r="BI114" s="619" t="s">
        <v>206</v>
      </c>
      <c r="BJ114" s="619" t="s">
        <v>206</v>
      </c>
      <c r="BL114" s="450">
        <v>45855</v>
      </c>
      <c r="BM114" s="449" t="s">
        <v>215</v>
      </c>
      <c r="BN114" s="283" t="s">
        <v>231</v>
      </c>
      <c r="BP114" s="617"/>
      <c r="BQ114" s="617"/>
      <c r="BR114" s="618" t="s">
        <v>209</v>
      </c>
      <c r="BT114" s="614">
        <v>45937</v>
      </c>
      <c r="BU114" s="616" t="s">
        <v>889</v>
      </c>
      <c r="BV114" s="283" t="s">
        <v>890</v>
      </c>
      <c r="BW114" s="616" t="s">
        <v>205</v>
      </c>
      <c r="BX114" s="615" t="s">
        <v>206</v>
      </c>
      <c r="BY114" s="615" t="s">
        <v>206</v>
      </c>
      <c r="CA114" s="614">
        <v>45992</v>
      </c>
      <c r="CB114" s="616" t="s">
        <v>218</v>
      </c>
      <c r="CC114" s="286" t="s">
        <v>233</v>
      </c>
      <c r="CE114" s="617"/>
      <c r="CF114" s="617"/>
      <c r="CG114" s="618" t="s">
        <v>209</v>
      </c>
      <c r="CH114" s="192"/>
      <c r="CI114" s="558"/>
      <c r="CJ114" s="558"/>
      <c r="CK114" s="559" t="s">
        <v>209</v>
      </c>
      <c r="CL114" s="558"/>
      <c r="CM114" s="558"/>
      <c r="CN114" s="558"/>
      <c r="CO114" s="553"/>
      <c r="CP114" s="558"/>
      <c r="CQ114" s="558"/>
      <c r="CR114" s="559" t="s">
        <v>209</v>
      </c>
      <c r="CS114" s="553"/>
      <c r="CT114" s="558"/>
      <c r="CU114" s="558"/>
      <c r="CV114" s="559" t="s">
        <v>209</v>
      </c>
    </row>
    <row r="115" spans="1:100" ht="151.5" customHeight="1" x14ac:dyDescent="0.3">
      <c r="A115" s="584">
        <v>49</v>
      </c>
      <c r="B115" s="584" t="s">
        <v>879</v>
      </c>
      <c r="C115" s="585" t="s">
        <v>880</v>
      </c>
      <c r="D115" s="585" t="str">
        <f>IFERROR(INDEX('Base de datos gestión'!$D$28:$D$50,MATCH(C115,'Base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5" s="585" t="str">
        <f>IFERROR(INDEX('Base de datos gestión'!$E$28:$E$50,MATCH(C115,'Base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5" s="628" t="s">
        <v>276</v>
      </c>
      <c r="G115" s="629" t="s">
        <v>881</v>
      </c>
      <c r="H115" s="628" t="s">
        <v>882</v>
      </c>
      <c r="I115" s="628" t="s">
        <v>883</v>
      </c>
      <c r="J115" s="630" t="s">
        <v>280</v>
      </c>
      <c r="K115" s="630" t="s">
        <v>193</v>
      </c>
      <c r="L115" s="630">
        <v>20</v>
      </c>
      <c r="M115" s="588" t="str">
        <f t="shared" si="46"/>
        <v>Baja</v>
      </c>
      <c r="N115" s="589">
        <f t="shared" si="41"/>
        <v>0.4</v>
      </c>
      <c r="O115" s="590" t="s">
        <v>238</v>
      </c>
      <c r="P115" s="589" t="str">
        <f>IF(NOT(ISERROR(MATCH(O115,'Tabla Impacto'!$B$222:$B$224,0))),'Tabla Impacto'!$F$224&amp;"Por favor no seleccionar los criterios de impacto(Afectación Económica o presupuestal y Pérdida Reputacional)",O115)</f>
        <v xml:space="preserve">     El riesgo afecta la imagen de la entidad internamente, de conocimiento general, nivel interno, de junta directiva y accionistas y/o de proveedores</v>
      </c>
      <c r="Q115" s="591" t="s">
        <v>8</v>
      </c>
      <c r="R115" s="590">
        <v>0.6</v>
      </c>
      <c r="S115" s="592" t="s">
        <v>8</v>
      </c>
      <c r="T115" s="595">
        <v>2</v>
      </c>
      <c r="U115" s="631" t="s">
        <v>891</v>
      </c>
      <c r="V115" s="595" t="str">
        <f t="shared" si="39"/>
        <v>Probabilidad</v>
      </c>
      <c r="W115" s="596" t="s">
        <v>269</v>
      </c>
      <c r="X115" s="596" t="s">
        <v>198</v>
      </c>
      <c r="Y115" s="597" t="str">
        <f t="shared" si="28"/>
        <v>30%</v>
      </c>
      <c r="Z115" s="596" t="s">
        <v>259</v>
      </c>
      <c r="AA115" s="596" t="s">
        <v>200</v>
      </c>
      <c r="AB115" s="596" t="s">
        <v>201</v>
      </c>
      <c r="AC115" s="598">
        <f>IFERROR(IF(V115="Probabilidad",(N115-(+N115*Y115)),IF(V115="Impacto",N115,"")),"")</f>
        <v>0.28000000000000003</v>
      </c>
      <c r="AD115" s="599" t="str">
        <f t="shared" si="29"/>
        <v>Baja</v>
      </c>
      <c r="AE115" s="600">
        <f t="shared" si="30"/>
        <v>0.28000000000000003</v>
      </c>
      <c r="AF115" s="599" t="str">
        <f t="shared" si="31"/>
        <v>Moderado</v>
      </c>
      <c r="AG115" s="600">
        <f>IFERROR(IF(V115="Impacto",(R115-(+R115*Y115)),IF(V115="Probabilidad",R115,"")),"")</f>
        <v>0.6</v>
      </c>
      <c r="AH115" s="601" t="str">
        <f t="shared" si="32"/>
        <v>Moderado</v>
      </c>
      <c r="AI115" s="602" t="s">
        <v>202</v>
      </c>
      <c r="AJ115" s="603"/>
      <c r="AK115" s="192"/>
      <c r="AL115" s="603"/>
      <c r="AM115" s="604"/>
      <c r="AN115" s="606"/>
      <c r="AO115" s="607"/>
      <c r="AP115" s="608">
        <v>45757</v>
      </c>
      <c r="AQ115" s="609" t="s">
        <v>886</v>
      </c>
      <c r="AR115" s="286" t="s">
        <v>892</v>
      </c>
      <c r="AS115" s="611" t="s">
        <v>205</v>
      </c>
      <c r="AT115" s="612" t="s">
        <v>206</v>
      </c>
      <c r="AU115" s="283" t="s">
        <v>206</v>
      </c>
      <c r="AV115" s="613"/>
      <c r="AW115" s="614">
        <v>45782</v>
      </c>
      <c r="AX115" s="615" t="s">
        <v>207</v>
      </c>
      <c r="AY115" s="635" t="s">
        <v>578</v>
      </c>
      <c r="BA115" s="617"/>
      <c r="BB115" s="617"/>
      <c r="BC115" s="618" t="s">
        <v>209</v>
      </c>
      <c r="BE115" s="621">
        <v>45852</v>
      </c>
      <c r="BF115" s="616" t="s">
        <v>886</v>
      </c>
      <c r="BG115" s="286" t="s">
        <v>893</v>
      </c>
      <c r="BH115" s="449" t="s">
        <v>205</v>
      </c>
      <c r="BI115" s="619" t="s">
        <v>206</v>
      </c>
      <c r="BJ115" s="619" t="s">
        <v>206</v>
      </c>
      <c r="BL115" s="450">
        <v>45855</v>
      </c>
      <c r="BM115" s="449" t="s">
        <v>215</v>
      </c>
      <c r="BN115" s="283" t="s">
        <v>231</v>
      </c>
      <c r="BP115" s="617"/>
      <c r="BQ115" s="617"/>
      <c r="BR115" s="618" t="s">
        <v>209</v>
      </c>
      <c r="BT115" s="614">
        <v>45937</v>
      </c>
      <c r="BU115" s="616" t="s">
        <v>889</v>
      </c>
      <c r="BV115" s="665" t="s">
        <v>894</v>
      </c>
      <c r="BW115" s="616" t="s">
        <v>205</v>
      </c>
      <c r="BX115" s="615" t="s">
        <v>206</v>
      </c>
      <c r="BY115" s="615" t="s">
        <v>206</v>
      </c>
      <c r="CA115" s="614">
        <v>45992</v>
      </c>
      <c r="CB115" s="616" t="s">
        <v>218</v>
      </c>
      <c r="CC115" s="286" t="s">
        <v>233</v>
      </c>
      <c r="CE115" s="617"/>
      <c r="CF115" s="617"/>
      <c r="CG115" s="618" t="s">
        <v>209</v>
      </c>
      <c r="CH115" s="192"/>
      <c r="CI115" s="558"/>
      <c r="CJ115" s="558"/>
      <c r="CK115" s="559" t="s">
        <v>209</v>
      </c>
      <c r="CL115" s="558"/>
      <c r="CM115" s="558"/>
      <c r="CN115" s="558"/>
      <c r="CO115" s="553"/>
      <c r="CP115" s="558"/>
      <c r="CQ115" s="558"/>
      <c r="CR115" s="559" t="s">
        <v>209</v>
      </c>
      <c r="CS115" s="553"/>
      <c r="CT115" s="558"/>
      <c r="CU115" s="558"/>
      <c r="CV115" s="559" t="s">
        <v>209</v>
      </c>
    </row>
    <row r="116" spans="1:100" ht="151.5" customHeight="1" x14ac:dyDescent="0.3">
      <c r="A116" s="622">
        <v>49</v>
      </c>
      <c r="B116" s="622" t="s">
        <v>879</v>
      </c>
      <c r="C116" s="623" t="s">
        <v>880</v>
      </c>
      <c r="D116" s="585" t="str">
        <f>IFERROR(INDEX('Base de datos gestión'!$D$28:$D$50,MATCH(C116,'Base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6" s="585" t="str">
        <f>IFERROR(INDEX('Base de datos gestión'!$E$28:$E$50,MATCH(C116,'Base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6" s="628" t="s">
        <v>276</v>
      </c>
      <c r="G116" s="629" t="s">
        <v>881</v>
      </c>
      <c r="H116" s="628" t="s">
        <v>882</v>
      </c>
      <c r="I116" s="628" t="s">
        <v>883</v>
      </c>
      <c r="J116" s="630" t="s">
        <v>280</v>
      </c>
      <c r="K116" s="630" t="s">
        <v>193</v>
      </c>
      <c r="L116" s="630">
        <v>20</v>
      </c>
      <c r="M116" s="588" t="str">
        <f t="shared" si="46"/>
        <v>Baja</v>
      </c>
      <c r="N116" s="589">
        <f t="shared" si="41"/>
        <v>0.4</v>
      </c>
      <c r="O116" s="590" t="s">
        <v>238</v>
      </c>
      <c r="P116" s="589" t="str">
        <f>IF(NOT(ISERROR(MATCH(O116,'Tabla Impacto'!$B$222:$B$224,0))),'Tabla Impacto'!$F$224&amp;"Por favor no seleccionar los criterios de impacto(Afectación Económica o presupuestal y Pérdida Reputacional)",O116)</f>
        <v xml:space="preserve">     El riesgo afecta la imagen de la entidad internamente, de conocimiento general, nivel interno, de junta directiva y accionistas y/o de proveedores</v>
      </c>
      <c r="Q116" s="591" t="s">
        <v>8</v>
      </c>
      <c r="R116" s="590">
        <v>0.6</v>
      </c>
      <c r="S116" s="592" t="s">
        <v>8</v>
      </c>
      <c r="T116" s="595">
        <v>3</v>
      </c>
      <c r="U116" s="631" t="s">
        <v>895</v>
      </c>
      <c r="V116" s="595" t="str">
        <f t="shared" si="39"/>
        <v>Probabilidad</v>
      </c>
      <c r="W116" s="596" t="s">
        <v>197</v>
      </c>
      <c r="X116" s="596" t="s">
        <v>198</v>
      </c>
      <c r="Y116" s="597" t="str">
        <f t="shared" si="28"/>
        <v>40%</v>
      </c>
      <c r="Z116" s="596" t="s">
        <v>259</v>
      </c>
      <c r="AA116" s="596" t="s">
        <v>200</v>
      </c>
      <c r="AB116" s="596" t="s">
        <v>201</v>
      </c>
      <c r="AC116" s="598">
        <f>IFERROR(IF(AND(V115="Probabilidad",V116="Probabilidad"),(AE115-(+AE115*Y116)),IF(V116="Probabilidad",(N115-(+N115*Y116)),IF(V116="Impacto",AE115,""))),"")</f>
        <v>0.16800000000000001</v>
      </c>
      <c r="AD116" s="599" t="str">
        <f t="shared" si="29"/>
        <v>Muy Baja</v>
      </c>
      <c r="AE116" s="600">
        <f t="shared" si="30"/>
        <v>0.16800000000000001</v>
      </c>
      <c r="AF116" s="599" t="str">
        <f t="shared" si="31"/>
        <v>Moderado</v>
      </c>
      <c r="AG116" s="600">
        <f>IFERROR(IF(AND(V115="Impacto",V116="Impacto"),(AG109-(+AG109*Y116)),IF(V116="Impacto",($R$55-(+$R$55*Y116)),IF(V116="Probabilidad",AG109,""))),"")</f>
        <v>0.6</v>
      </c>
      <c r="AH116" s="601" t="str">
        <f t="shared" si="32"/>
        <v>Moderado</v>
      </c>
      <c r="AI116" s="602" t="s">
        <v>202</v>
      </c>
      <c r="AJ116" s="603"/>
      <c r="AK116" s="192"/>
      <c r="AL116" s="603"/>
      <c r="AM116" s="604"/>
      <c r="AN116" s="606"/>
      <c r="AO116" s="607"/>
      <c r="AP116" s="608">
        <v>45757</v>
      </c>
      <c r="AQ116" s="609" t="s">
        <v>886</v>
      </c>
      <c r="AR116" s="286" t="s">
        <v>896</v>
      </c>
      <c r="AS116" s="611" t="s">
        <v>205</v>
      </c>
      <c r="AT116" s="612" t="s">
        <v>206</v>
      </c>
      <c r="AU116" s="283" t="s">
        <v>206</v>
      </c>
      <c r="AV116" s="613"/>
      <c r="AW116" s="614">
        <v>45782</v>
      </c>
      <c r="AX116" s="615" t="s">
        <v>207</v>
      </c>
      <c r="AY116" s="635" t="s">
        <v>578</v>
      </c>
      <c r="BA116" s="617"/>
      <c r="BB116" s="617"/>
      <c r="BC116" s="618" t="s">
        <v>209</v>
      </c>
      <c r="BE116" s="621">
        <v>45852</v>
      </c>
      <c r="BF116" s="616" t="s">
        <v>886</v>
      </c>
      <c r="BG116" s="286" t="s">
        <v>897</v>
      </c>
      <c r="BH116" s="449" t="s">
        <v>205</v>
      </c>
      <c r="BI116" s="619" t="s">
        <v>206</v>
      </c>
      <c r="BJ116" s="619" t="s">
        <v>206</v>
      </c>
      <c r="BL116" s="450">
        <v>45855</v>
      </c>
      <c r="BM116" s="449" t="s">
        <v>215</v>
      </c>
      <c r="BN116" s="283" t="s">
        <v>231</v>
      </c>
      <c r="BP116" s="617"/>
      <c r="BQ116" s="617"/>
      <c r="BR116" s="618" t="s">
        <v>209</v>
      </c>
      <c r="BT116" s="614">
        <v>45937</v>
      </c>
      <c r="BU116" s="616" t="s">
        <v>889</v>
      </c>
      <c r="BV116" s="283" t="s">
        <v>898</v>
      </c>
      <c r="BW116" s="616" t="s">
        <v>205</v>
      </c>
      <c r="BX116" s="615" t="s">
        <v>206</v>
      </c>
      <c r="BY116" s="615" t="s">
        <v>206</v>
      </c>
      <c r="CA116" s="614">
        <v>45992</v>
      </c>
      <c r="CB116" s="616" t="s">
        <v>218</v>
      </c>
      <c r="CC116" s="286" t="s">
        <v>233</v>
      </c>
      <c r="CE116" s="617"/>
      <c r="CF116" s="617"/>
      <c r="CG116" s="618" t="s">
        <v>209</v>
      </c>
      <c r="CH116" s="192"/>
      <c r="CI116" s="558"/>
      <c r="CJ116" s="558"/>
      <c r="CK116" s="559" t="s">
        <v>209</v>
      </c>
      <c r="CL116" s="558"/>
      <c r="CM116" s="558"/>
      <c r="CN116" s="558"/>
      <c r="CO116" s="553"/>
      <c r="CP116" s="558"/>
      <c r="CQ116" s="558"/>
      <c r="CR116" s="559" t="s">
        <v>209</v>
      </c>
      <c r="CS116" s="553"/>
      <c r="CT116" s="558"/>
      <c r="CU116" s="558"/>
      <c r="CV116" s="559" t="s">
        <v>209</v>
      </c>
    </row>
    <row r="117" spans="1:100" ht="151.5" customHeight="1" x14ac:dyDescent="0.3">
      <c r="A117" s="622">
        <v>50</v>
      </c>
      <c r="B117" s="622" t="s">
        <v>899</v>
      </c>
      <c r="C117" s="623" t="s">
        <v>880</v>
      </c>
      <c r="D117" s="585" t="str">
        <f>IFERROR(INDEX('Base de datos gestión'!$D$28:$D$50,MATCH(C117,'Base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7" s="585" t="str">
        <f>IFERROR(INDEX('Base de datos gestión'!$E$28:$E$50,MATCH(C117,'Base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7" s="628" t="s">
        <v>188</v>
      </c>
      <c r="G117" s="629" t="s">
        <v>900</v>
      </c>
      <c r="H117" s="628" t="s">
        <v>901</v>
      </c>
      <c r="I117" s="628" t="s">
        <v>902</v>
      </c>
      <c r="J117" s="630" t="s">
        <v>280</v>
      </c>
      <c r="K117" s="630" t="s">
        <v>311</v>
      </c>
      <c r="L117" s="630">
        <v>20</v>
      </c>
      <c r="M117" s="588" t="str">
        <f t="shared" si="46"/>
        <v>Baja</v>
      </c>
      <c r="N117" s="589">
        <f t="shared" si="41"/>
        <v>0.4</v>
      </c>
      <c r="O117" s="590" t="s">
        <v>248</v>
      </c>
      <c r="P117" s="589" t="str">
        <f>IF(NOT(ISERROR(MATCH(O117,'Tabla Impacto'!$B$222:$B$224,0))),'Tabla Impacto'!$F$224&amp;"Por favor no seleccionar los criterios de impacto(Afectación Económica o presupuestal y Pérdida Reputacional)",O117)</f>
        <v xml:space="preserve">     El riesgo afecta la imagen de la entidad con algunos usuarios de relevancia frente al logro de los objetivos</v>
      </c>
      <c r="Q117" s="591" t="str">
        <f>IF(OR(P117='[8]Tabla Impacto'!$C$12,P117='[8]Tabla Impacto'!$D$12),"Leve",IF(OR(P117='[8]Tabla Impacto'!$C$13,P117='[8]Tabla Impacto'!$D$13),"Menor",IF(OR(P117='[8]Tabla Impacto'!$C$14,P117='[8]Tabla Impacto'!$D$14),"Moderado",IF(OR(P117='[8]Tabla Impacto'!$C$15,P117='[8]Tabla Impacto'!$D$15),"Mayor",IF(OR(P117='[8]Tabla Impacto'!$C$16,P117='[8]Tabla Impacto'!$D$16),"Catastrófico","")))))</f>
        <v>Moderado</v>
      </c>
      <c r="R117" s="590">
        <f t="shared" si="44"/>
        <v>0.6</v>
      </c>
      <c r="S117" s="592" t="str">
        <f t="shared" si="45"/>
        <v>Moderado</v>
      </c>
      <c r="T117" s="595">
        <v>1</v>
      </c>
      <c r="U117" s="631" t="s">
        <v>903</v>
      </c>
      <c r="V117" s="595" t="str">
        <f t="shared" si="39"/>
        <v>Probabilidad</v>
      </c>
      <c r="W117" s="596" t="s">
        <v>197</v>
      </c>
      <c r="X117" s="596" t="s">
        <v>198</v>
      </c>
      <c r="Y117" s="597" t="str">
        <f t="shared" si="28"/>
        <v>40%</v>
      </c>
      <c r="Z117" s="596" t="s">
        <v>259</v>
      </c>
      <c r="AA117" s="596" t="s">
        <v>200</v>
      </c>
      <c r="AB117" s="596" t="s">
        <v>201</v>
      </c>
      <c r="AC117" s="598">
        <f>IFERROR(IF(AND(V116="Probabilidad",V117="Probabilidad"),(AE116-(+AE116*Y117)),IF(AND(V116="Impacto",V117="Probabilidad"),(AE115-(+AE115*Y117)),IF(V117="Impacto",AE116,""))),"")</f>
        <v>0.1008</v>
      </c>
      <c r="AD117" s="599" t="str">
        <f t="shared" si="29"/>
        <v>Muy Baja</v>
      </c>
      <c r="AE117" s="600">
        <f t="shared" si="30"/>
        <v>0.1008</v>
      </c>
      <c r="AF117" s="599" t="str">
        <f t="shared" si="31"/>
        <v>Moderado</v>
      </c>
      <c r="AG117" s="600">
        <f>IFERROR(IF(AND(V116="Impacto",V117="Impacto"),(AG116-(+AG116*Y117)),IF(AND(V116="Probabilidad",V117="Impacto"),(AG115-(+AG115*Y117)),IF(V117="Probabilidad",AG116,""))),"")</f>
        <v>0.6</v>
      </c>
      <c r="AH117" s="601" t="str">
        <f t="shared" si="32"/>
        <v>Moderado</v>
      </c>
      <c r="AI117" s="602" t="s">
        <v>202</v>
      </c>
      <c r="AJ117" s="603"/>
      <c r="AK117" s="192"/>
      <c r="AL117" s="603"/>
      <c r="AM117" s="604"/>
      <c r="AN117" s="606"/>
      <c r="AO117" s="607"/>
      <c r="AP117" s="608">
        <v>45757</v>
      </c>
      <c r="AQ117" s="609" t="s">
        <v>886</v>
      </c>
      <c r="AR117" s="283" t="s">
        <v>904</v>
      </c>
      <c r="AS117" s="611" t="s">
        <v>205</v>
      </c>
      <c r="AT117" s="612" t="s">
        <v>206</v>
      </c>
      <c r="AU117" s="283" t="s">
        <v>206</v>
      </c>
      <c r="AV117" s="613"/>
      <c r="AW117" s="614">
        <v>45782</v>
      </c>
      <c r="AX117" s="615" t="s">
        <v>207</v>
      </c>
      <c r="AY117" s="635" t="s">
        <v>578</v>
      </c>
      <c r="BA117" s="617"/>
      <c r="BB117" s="617"/>
      <c r="BC117" s="618" t="s">
        <v>209</v>
      </c>
      <c r="BE117" s="621">
        <v>45852</v>
      </c>
      <c r="BF117" s="616" t="s">
        <v>886</v>
      </c>
      <c r="BG117" s="283" t="s">
        <v>905</v>
      </c>
      <c r="BH117" s="449" t="s">
        <v>205</v>
      </c>
      <c r="BI117" s="619" t="s">
        <v>206</v>
      </c>
      <c r="BJ117" s="619" t="s">
        <v>206</v>
      </c>
      <c r="BL117" s="450">
        <v>45855</v>
      </c>
      <c r="BM117" s="449" t="s">
        <v>215</v>
      </c>
      <c r="BN117" s="283" t="s">
        <v>231</v>
      </c>
      <c r="BP117" s="617"/>
      <c r="BQ117" s="617"/>
      <c r="BR117" s="618" t="s">
        <v>209</v>
      </c>
      <c r="BT117" s="614">
        <v>45937</v>
      </c>
      <c r="BU117" s="616" t="s">
        <v>889</v>
      </c>
      <c r="BV117" s="283" t="s">
        <v>906</v>
      </c>
      <c r="BW117" s="616" t="s">
        <v>205</v>
      </c>
      <c r="BX117" s="615" t="s">
        <v>206</v>
      </c>
      <c r="BY117" s="615" t="s">
        <v>206</v>
      </c>
      <c r="CA117" s="614">
        <v>45992</v>
      </c>
      <c r="CB117" s="616" t="s">
        <v>218</v>
      </c>
      <c r="CC117" s="286" t="s">
        <v>233</v>
      </c>
      <c r="CE117" s="617"/>
      <c r="CF117" s="617"/>
      <c r="CG117" s="618" t="s">
        <v>209</v>
      </c>
      <c r="CH117" s="192"/>
      <c r="CI117" s="558"/>
      <c r="CJ117" s="558"/>
      <c r="CK117" s="559" t="s">
        <v>209</v>
      </c>
      <c r="CL117" s="558"/>
      <c r="CM117" s="558"/>
      <c r="CN117" s="558"/>
      <c r="CO117" s="553"/>
      <c r="CP117" s="558"/>
      <c r="CQ117" s="558"/>
      <c r="CR117" s="559" t="s">
        <v>209</v>
      </c>
      <c r="CS117" s="553"/>
      <c r="CT117" s="558"/>
      <c r="CU117" s="558"/>
      <c r="CV117" s="559" t="s">
        <v>209</v>
      </c>
    </row>
    <row r="118" spans="1:100" ht="151.5" customHeight="1" x14ac:dyDescent="0.3">
      <c r="A118" s="622">
        <v>50</v>
      </c>
      <c r="B118" s="622" t="s">
        <v>899</v>
      </c>
      <c r="C118" s="623" t="s">
        <v>880</v>
      </c>
      <c r="D118" s="585" t="str">
        <f>IFERROR(INDEX('Base de datos gestión'!$D$28:$D$50,MATCH(C118,'Base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8" s="585" t="str">
        <f>IFERROR(INDEX('Base de datos gestión'!$E$28:$E$50,MATCH(C118,'Base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8" s="628" t="s">
        <v>188</v>
      </c>
      <c r="G118" s="629" t="s">
        <v>900</v>
      </c>
      <c r="H118" s="628" t="s">
        <v>901</v>
      </c>
      <c r="I118" s="628" t="s">
        <v>902</v>
      </c>
      <c r="J118" s="630" t="s">
        <v>280</v>
      </c>
      <c r="K118" s="630" t="s">
        <v>311</v>
      </c>
      <c r="L118" s="630">
        <v>20</v>
      </c>
      <c r="M118" s="588" t="str">
        <f t="shared" si="46"/>
        <v>Baja</v>
      </c>
      <c r="N118" s="589">
        <f t="shared" si="41"/>
        <v>0.4</v>
      </c>
      <c r="O118" s="590" t="s">
        <v>248</v>
      </c>
      <c r="P118" s="589" t="str">
        <f>IF(NOT(ISERROR(MATCH(O118,'Tabla Impacto'!$B$222:$B$224,0))),'Tabla Impacto'!$F$224&amp;"Por favor no seleccionar los criterios de impacto(Afectación Económica o presupuestal y Pérdida Reputacional)",O118)</f>
        <v xml:space="preserve">     El riesgo afecta la imagen de la entidad con algunos usuarios de relevancia frente al logro de los objetivos</v>
      </c>
      <c r="Q118" s="591" t="str">
        <f>IF(OR(P118='[8]Tabla Impacto'!$C$12,P118='[8]Tabla Impacto'!$D$12),"Leve",IF(OR(P118='[8]Tabla Impacto'!$C$13,P118='[8]Tabla Impacto'!$D$13),"Menor",IF(OR(P118='[8]Tabla Impacto'!$C$14,P118='[8]Tabla Impacto'!$D$14),"Moderado",IF(OR(P118='[8]Tabla Impacto'!$C$15,P118='[8]Tabla Impacto'!$D$15),"Mayor",IF(OR(P118='[8]Tabla Impacto'!$C$16,P118='[8]Tabla Impacto'!$D$16),"Catastrófico","")))))</f>
        <v>Moderado</v>
      </c>
      <c r="R118" s="590">
        <f t="shared" si="44"/>
        <v>0.6</v>
      </c>
      <c r="S118" s="592" t="str">
        <f t="shared" si="45"/>
        <v>Moderado</v>
      </c>
      <c r="T118" s="595">
        <v>2</v>
      </c>
      <c r="U118" s="631" t="s">
        <v>907</v>
      </c>
      <c r="V118" s="595" t="str">
        <f t="shared" si="39"/>
        <v>Probabilidad</v>
      </c>
      <c r="W118" s="596" t="s">
        <v>197</v>
      </c>
      <c r="X118" s="596" t="s">
        <v>198</v>
      </c>
      <c r="Y118" s="597" t="str">
        <f t="shared" si="28"/>
        <v>40%</v>
      </c>
      <c r="Z118" s="596" t="s">
        <v>259</v>
      </c>
      <c r="AA118" s="596" t="s">
        <v>225</v>
      </c>
      <c r="AB118" s="596" t="s">
        <v>201</v>
      </c>
      <c r="AC118" s="598">
        <f>IFERROR(IF(AND(V117="Probabilidad",V118="Probabilidad"),(AE117-(+AE117*Y118)),IF(AND(V117="Impacto",V118="Probabilidad"),(AE116-(+AE116*Y118)),IF(V118="Impacto",AE117,""))),"")</f>
        <v>6.0479999999999999E-2</v>
      </c>
      <c r="AD118" s="599" t="str">
        <f t="shared" si="29"/>
        <v>Muy Baja</v>
      </c>
      <c r="AE118" s="600">
        <f t="shared" si="30"/>
        <v>6.0479999999999999E-2</v>
      </c>
      <c r="AF118" s="599" t="str">
        <f t="shared" si="31"/>
        <v>Moderado</v>
      </c>
      <c r="AG118" s="600">
        <f>IFERROR(IF(AND(V117="Impacto",V118="Impacto"),(AG117-(+AG117*Y118)),IF(AND(V117="Probabilidad",V118="Impacto"),(AG116-(+AG116*Y118)),IF(V118="Probabilidad",AG117,""))),"")</f>
        <v>0.6</v>
      </c>
      <c r="AH118" s="601" t="str">
        <f t="shared" si="32"/>
        <v>Moderado</v>
      </c>
      <c r="AI118" s="602" t="s">
        <v>202</v>
      </c>
      <c r="AJ118" s="603"/>
      <c r="AK118" s="192"/>
      <c r="AL118" s="603"/>
      <c r="AM118" s="604"/>
      <c r="AN118" s="606"/>
      <c r="AO118" s="607"/>
      <c r="AP118" s="608">
        <v>45757</v>
      </c>
      <c r="AQ118" s="609" t="s">
        <v>886</v>
      </c>
      <c r="AR118" s="283" t="s">
        <v>904</v>
      </c>
      <c r="AS118" s="611" t="s">
        <v>205</v>
      </c>
      <c r="AT118" s="612" t="s">
        <v>206</v>
      </c>
      <c r="AU118" s="283" t="s">
        <v>206</v>
      </c>
      <c r="AV118" s="613"/>
      <c r="AW118" s="614">
        <v>45782</v>
      </c>
      <c r="AX118" s="615" t="s">
        <v>207</v>
      </c>
      <c r="AY118" s="635" t="s">
        <v>578</v>
      </c>
      <c r="BA118" s="617"/>
      <c r="BB118" s="617"/>
      <c r="BC118" s="618" t="s">
        <v>209</v>
      </c>
      <c r="BE118" s="621">
        <v>45852</v>
      </c>
      <c r="BF118" s="616" t="s">
        <v>886</v>
      </c>
      <c r="BG118" s="283" t="s">
        <v>908</v>
      </c>
      <c r="BH118" s="449" t="s">
        <v>205</v>
      </c>
      <c r="BI118" s="619" t="s">
        <v>206</v>
      </c>
      <c r="BJ118" s="619" t="s">
        <v>206</v>
      </c>
      <c r="BL118" s="450">
        <v>45855</v>
      </c>
      <c r="BM118" s="449" t="s">
        <v>215</v>
      </c>
      <c r="BN118" s="283" t="s">
        <v>231</v>
      </c>
      <c r="BP118" s="617"/>
      <c r="BQ118" s="617"/>
      <c r="BR118" s="618" t="s">
        <v>209</v>
      </c>
      <c r="BT118" s="614">
        <v>45937</v>
      </c>
      <c r="BU118" s="616" t="s">
        <v>889</v>
      </c>
      <c r="BV118" s="283" t="s">
        <v>909</v>
      </c>
      <c r="BW118" s="616" t="s">
        <v>205</v>
      </c>
      <c r="BX118" s="615" t="s">
        <v>206</v>
      </c>
      <c r="BY118" s="615" t="s">
        <v>206</v>
      </c>
      <c r="CA118" s="614">
        <v>45992</v>
      </c>
      <c r="CB118" s="616" t="s">
        <v>218</v>
      </c>
      <c r="CC118" s="286" t="s">
        <v>233</v>
      </c>
      <c r="CE118" s="617"/>
      <c r="CF118" s="617"/>
      <c r="CG118" s="618" t="s">
        <v>209</v>
      </c>
      <c r="CH118" s="192"/>
      <c r="CI118" s="558"/>
      <c r="CJ118" s="558"/>
      <c r="CK118" s="559" t="s">
        <v>209</v>
      </c>
      <c r="CL118" s="558"/>
      <c r="CM118" s="558"/>
      <c r="CN118" s="558"/>
      <c r="CO118" s="553"/>
      <c r="CP118" s="558"/>
      <c r="CQ118" s="558"/>
      <c r="CR118" s="559" t="s">
        <v>209</v>
      </c>
      <c r="CS118" s="553"/>
      <c r="CT118" s="558"/>
      <c r="CU118" s="558"/>
      <c r="CV118" s="559" t="s">
        <v>209</v>
      </c>
    </row>
    <row r="119" spans="1:100" ht="151.5" customHeight="1" x14ac:dyDescent="0.3">
      <c r="A119" s="622">
        <v>51</v>
      </c>
      <c r="B119" s="622" t="s">
        <v>910</v>
      </c>
      <c r="C119" s="623" t="s">
        <v>880</v>
      </c>
      <c r="D119" s="585" t="str">
        <f>IFERROR(INDEX('Base de datos gestión'!$D$28:$D$50,MATCH(C119,'Base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19" s="585" t="str">
        <f>IFERROR(INDEX('Base de datos gestión'!$E$28:$E$50,MATCH(C119,'Base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19" s="628" t="s">
        <v>188</v>
      </c>
      <c r="G119" s="690" t="s">
        <v>911</v>
      </c>
      <c r="H119" s="628" t="s">
        <v>912</v>
      </c>
      <c r="I119" s="628" t="s">
        <v>913</v>
      </c>
      <c r="J119" s="630" t="s">
        <v>280</v>
      </c>
      <c r="K119" s="630" t="s">
        <v>522</v>
      </c>
      <c r="L119" s="630">
        <v>8000</v>
      </c>
      <c r="M119" s="588" t="str">
        <f t="shared" si="46"/>
        <v>Muy Alta</v>
      </c>
      <c r="N119" s="589">
        <f t="shared" si="41"/>
        <v>1</v>
      </c>
      <c r="O119" s="590" t="s">
        <v>238</v>
      </c>
      <c r="P119" s="589" t="str">
        <f>IF(NOT(ISERROR(MATCH(O119,'Tabla Impacto'!$B$222:$B$224,0))),'Tabla Impacto'!$F$224&amp;"Por favor no seleccionar los criterios de impacto(Afectación Económica o presupuestal y Pérdida Reputacional)",O119)</f>
        <v xml:space="preserve">     El riesgo afecta la imagen de la entidad internamente, de conocimiento general, nivel interno, de junta directiva y accionistas y/o de proveedores</v>
      </c>
      <c r="Q119" s="591" t="s">
        <v>8</v>
      </c>
      <c r="R119" s="590">
        <v>0.6</v>
      </c>
      <c r="S119" s="592" t="s">
        <v>8</v>
      </c>
      <c r="T119" s="595">
        <v>1</v>
      </c>
      <c r="U119" s="631" t="s">
        <v>914</v>
      </c>
      <c r="V119" s="595" t="str">
        <f t="shared" si="39"/>
        <v>Probabilidad</v>
      </c>
      <c r="W119" s="596" t="s">
        <v>197</v>
      </c>
      <c r="X119" s="596" t="s">
        <v>198</v>
      </c>
      <c r="Y119" s="597" t="str">
        <f t="shared" si="28"/>
        <v>40%</v>
      </c>
      <c r="Z119" s="596" t="s">
        <v>259</v>
      </c>
      <c r="AA119" s="596" t="s">
        <v>200</v>
      </c>
      <c r="AB119" s="596" t="s">
        <v>201</v>
      </c>
      <c r="AC119" s="598">
        <f>IFERROR(IF(AND(V118="Probabilidad",V119="Probabilidad"),(AE118-(+AE118*Y119)),IF(AND(V118="Impacto",V119="Probabilidad"),(AE117-(+AE117*Y119)),IF(V119="Impacto",AE118,""))),"")</f>
        <v>3.6288000000000001E-2</v>
      </c>
      <c r="AD119" s="599" t="str">
        <f t="shared" si="29"/>
        <v>Muy Baja</v>
      </c>
      <c r="AE119" s="600">
        <f t="shared" si="30"/>
        <v>3.6288000000000001E-2</v>
      </c>
      <c r="AF119" s="599" t="str">
        <f t="shared" si="31"/>
        <v>Moderado</v>
      </c>
      <c r="AG119" s="600">
        <f>IFERROR(IF(AND(V118="Impacto",V119="Impacto"),(AG118-(+AG118*Y119)),IF(AND(V118="Probabilidad",V119="Impacto"),(AG117-(+AG117*Y119)),IF(V119="Probabilidad",AG118,""))),"")</f>
        <v>0.6</v>
      </c>
      <c r="AH119" s="601" t="str">
        <f t="shared" si="32"/>
        <v>Moderado</v>
      </c>
      <c r="AI119" s="602" t="s">
        <v>202</v>
      </c>
      <c r="AJ119" s="603"/>
      <c r="AK119" s="192"/>
      <c r="AL119" s="603"/>
      <c r="AM119" s="604"/>
      <c r="AN119" s="606"/>
      <c r="AO119" s="607"/>
      <c r="AP119" s="608">
        <v>45757</v>
      </c>
      <c r="AQ119" s="609" t="s">
        <v>886</v>
      </c>
      <c r="AR119" s="283" t="s">
        <v>915</v>
      </c>
      <c r="AS119" s="611" t="s">
        <v>205</v>
      </c>
      <c r="AT119" s="612" t="s">
        <v>206</v>
      </c>
      <c r="AU119" s="283" t="s">
        <v>206</v>
      </c>
      <c r="AV119" s="613"/>
      <c r="AW119" s="614">
        <v>45782</v>
      </c>
      <c r="AX119" s="615" t="s">
        <v>207</v>
      </c>
      <c r="AY119" s="635" t="s">
        <v>578</v>
      </c>
      <c r="BA119" s="617"/>
      <c r="BB119" s="617"/>
      <c r="BC119" s="618" t="s">
        <v>209</v>
      </c>
      <c r="BE119" s="621">
        <v>45852</v>
      </c>
      <c r="BF119" s="616" t="s">
        <v>886</v>
      </c>
      <c r="BG119" s="283" t="s">
        <v>916</v>
      </c>
      <c r="BH119" s="449" t="s">
        <v>205</v>
      </c>
      <c r="BI119" s="619" t="s">
        <v>206</v>
      </c>
      <c r="BJ119" s="619" t="s">
        <v>206</v>
      </c>
      <c r="BL119" s="450">
        <v>45855</v>
      </c>
      <c r="BM119" s="449" t="s">
        <v>215</v>
      </c>
      <c r="BN119" s="283" t="s">
        <v>231</v>
      </c>
      <c r="BP119" s="617"/>
      <c r="BQ119" s="617"/>
      <c r="BR119" s="618" t="s">
        <v>209</v>
      </c>
      <c r="BT119" s="614">
        <v>45937</v>
      </c>
      <c r="BU119" s="616" t="s">
        <v>889</v>
      </c>
      <c r="BV119" s="283" t="s">
        <v>917</v>
      </c>
      <c r="BW119" s="616" t="s">
        <v>205</v>
      </c>
      <c r="BX119" s="615" t="s">
        <v>206</v>
      </c>
      <c r="BY119" s="615" t="s">
        <v>206</v>
      </c>
      <c r="CA119" s="614">
        <v>45992</v>
      </c>
      <c r="CB119" s="616" t="s">
        <v>218</v>
      </c>
      <c r="CC119" s="286" t="s">
        <v>233</v>
      </c>
      <c r="CE119" s="617"/>
      <c r="CF119" s="617"/>
      <c r="CG119" s="618" t="s">
        <v>209</v>
      </c>
      <c r="CH119" s="192"/>
      <c r="CI119" s="558"/>
      <c r="CJ119" s="558"/>
      <c r="CK119" s="559" t="s">
        <v>209</v>
      </c>
      <c r="CL119" s="558"/>
      <c r="CM119" s="558"/>
      <c r="CN119" s="558"/>
      <c r="CO119" s="553"/>
      <c r="CP119" s="558"/>
      <c r="CQ119" s="558"/>
      <c r="CR119" s="559" t="s">
        <v>209</v>
      </c>
      <c r="CS119" s="553"/>
      <c r="CT119" s="558"/>
      <c r="CU119" s="558"/>
      <c r="CV119" s="559" t="s">
        <v>209</v>
      </c>
    </row>
    <row r="120" spans="1:100" ht="151.5" customHeight="1" x14ac:dyDescent="0.3">
      <c r="A120" s="632">
        <v>51</v>
      </c>
      <c r="B120" s="632" t="s">
        <v>910</v>
      </c>
      <c r="C120" s="633" t="s">
        <v>880</v>
      </c>
      <c r="D120" s="585" t="str">
        <f>IFERROR(INDEX('Base de datos gestión'!$D$28:$D$50,MATCH(C120,'Base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0" s="585" t="str">
        <f>IFERROR(INDEX('Base de datos gestión'!$E$28:$E$50,MATCH(C120,'Base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0" s="628" t="s">
        <v>188</v>
      </c>
      <c r="G120" s="629" t="s">
        <v>911</v>
      </c>
      <c r="H120" s="628" t="s">
        <v>912</v>
      </c>
      <c r="I120" s="628" t="s">
        <v>913</v>
      </c>
      <c r="J120" s="630" t="s">
        <v>280</v>
      </c>
      <c r="K120" s="630" t="s">
        <v>522</v>
      </c>
      <c r="L120" s="630">
        <v>8000</v>
      </c>
      <c r="M120" s="588" t="str">
        <f t="shared" si="46"/>
        <v>Muy Alta</v>
      </c>
      <c r="N120" s="589">
        <f t="shared" si="41"/>
        <v>1</v>
      </c>
      <c r="O120" s="590" t="s">
        <v>238</v>
      </c>
      <c r="P120" s="589" t="str">
        <f>IF(NOT(ISERROR(MATCH(O120,'Tabla Impacto'!$B$222:$B$224,0))),'Tabla Impacto'!$F$224&amp;"Por favor no seleccionar los criterios de impacto(Afectación Económica o presupuestal y Pérdida Reputacional)",O120)</f>
        <v xml:space="preserve">     El riesgo afecta la imagen de la entidad internamente, de conocimiento general, nivel interno, de junta directiva y accionistas y/o de proveedores</v>
      </c>
      <c r="Q120" s="591" t="s">
        <v>8</v>
      </c>
      <c r="R120" s="590">
        <v>0.6</v>
      </c>
      <c r="S120" s="592" t="s">
        <v>8</v>
      </c>
      <c r="T120" s="595">
        <v>2</v>
      </c>
      <c r="U120" s="631" t="s">
        <v>918</v>
      </c>
      <c r="V120" s="595" t="str">
        <f t="shared" si="39"/>
        <v>Probabilidad</v>
      </c>
      <c r="W120" s="596" t="s">
        <v>269</v>
      </c>
      <c r="X120" s="596" t="s">
        <v>198</v>
      </c>
      <c r="Y120" s="597" t="str">
        <f t="shared" si="28"/>
        <v>30%</v>
      </c>
      <c r="Z120" s="596" t="s">
        <v>259</v>
      </c>
      <c r="AA120" s="596" t="s">
        <v>200</v>
      </c>
      <c r="AB120" s="596" t="s">
        <v>201</v>
      </c>
      <c r="AC120" s="598">
        <f>IFERROR(IF(AND(V119="Probabilidad",V120="Probabilidad"),(AE119-(+AE119*Y120)),IF(AND(V119="Impacto",V120="Probabilidad"),(AE118-(+AE118*Y120)),IF(V120="Impacto",AE119,""))),"")</f>
        <v>2.5401600000000003E-2</v>
      </c>
      <c r="AD120" s="599" t="str">
        <f t="shared" si="29"/>
        <v>Muy Baja</v>
      </c>
      <c r="AE120" s="600">
        <f t="shared" si="30"/>
        <v>2.5401600000000003E-2</v>
      </c>
      <c r="AF120" s="599" t="str">
        <f t="shared" si="31"/>
        <v>Moderado</v>
      </c>
      <c r="AG120" s="600">
        <f>IFERROR(IF(AND(V119="Impacto",V120="Impacto"),(AG119-(+AG119*Y120)),IF(AND(V119="Probabilidad",V120="Impacto"),(AG118-(+AG118*Y120)),IF(V120="Probabilidad",AG119,""))),"")</f>
        <v>0.6</v>
      </c>
      <c r="AH120" s="601" t="str">
        <f t="shared" si="32"/>
        <v>Moderado</v>
      </c>
      <c r="AI120" s="602" t="s">
        <v>202</v>
      </c>
      <c r="AJ120" s="603"/>
      <c r="AK120" s="192"/>
      <c r="AL120" s="603"/>
      <c r="AM120" s="604"/>
      <c r="AN120" s="606"/>
      <c r="AO120" s="607"/>
      <c r="AP120" s="608">
        <v>45757</v>
      </c>
      <c r="AQ120" s="609" t="s">
        <v>886</v>
      </c>
      <c r="AR120" s="283" t="s">
        <v>919</v>
      </c>
      <c r="AS120" s="611" t="s">
        <v>205</v>
      </c>
      <c r="AT120" s="612" t="s">
        <v>206</v>
      </c>
      <c r="AU120" s="283" t="s">
        <v>206</v>
      </c>
      <c r="AV120" s="613"/>
      <c r="AW120" s="614">
        <v>45782</v>
      </c>
      <c r="AX120" s="615" t="s">
        <v>207</v>
      </c>
      <c r="AY120" s="635" t="s">
        <v>578</v>
      </c>
      <c r="BA120" s="617"/>
      <c r="BB120" s="617"/>
      <c r="BC120" s="618" t="s">
        <v>209</v>
      </c>
      <c r="BE120" s="621">
        <v>45853</v>
      </c>
      <c r="BF120" s="616" t="s">
        <v>886</v>
      </c>
      <c r="BG120" s="283" t="s">
        <v>920</v>
      </c>
      <c r="BH120" s="449" t="s">
        <v>205</v>
      </c>
      <c r="BI120" s="619" t="s">
        <v>206</v>
      </c>
      <c r="BJ120" s="619" t="s">
        <v>206</v>
      </c>
      <c r="BL120" s="450">
        <v>45855</v>
      </c>
      <c r="BM120" s="449" t="s">
        <v>215</v>
      </c>
      <c r="BN120" s="283" t="s">
        <v>231</v>
      </c>
      <c r="BP120" s="617"/>
      <c r="BQ120" s="617"/>
      <c r="BR120" s="618" t="s">
        <v>209</v>
      </c>
      <c r="BT120" s="614">
        <v>45937</v>
      </c>
      <c r="BU120" s="616" t="s">
        <v>889</v>
      </c>
      <c r="BV120" s="283" t="s">
        <v>921</v>
      </c>
      <c r="BW120" s="616" t="s">
        <v>205</v>
      </c>
      <c r="BX120" s="615" t="s">
        <v>206</v>
      </c>
      <c r="BY120" s="615" t="s">
        <v>206</v>
      </c>
      <c r="CA120" s="614">
        <v>45992</v>
      </c>
      <c r="CB120" s="616" t="s">
        <v>218</v>
      </c>
      <c r="CC120" s="286" t="s">
        <v>233</v>
      </c>
      <c r="CE120" s="617"/>
      <c r="CF120" s="617"/>
      <c r="CG120" s="618" t="s">
        <v>209</v>
      </c>
      <c r="CH120" s="192"/>
      <c r="CI120" s="558"/>
      <c r="CJ120" s="558"/>
      <c r="CK120" s="559" t="s">
        <v>209</v>
      </c>
      <c r="CL120" s="558"/>
      <c r="CM120" s="558"/>
      <c r="CN120" s="558"/>
      <c r="CO120" s="553"/>
      <c r="CP120" s="558"/>
      <c r="CQ120" s="558"/>
      <c r="CR120" s="559" t="s">
        <v>209</v>
      </c>
      <c r="CS120" s="553"/>
      <c r="CT120" s="558"/>
      <c r="CU120" s="558"/>
      <c r="CV120" s="559" t="s">
        <v>209</v>
      </c>
    </row>
    <row r="121" spans="1:100" ht="151.5" customHeight="1" x14ac:dyDescent="0.3">
      <c r="A121" s="584">
        <v>52</v>
      </c>
      <c r="B121" s="584" t="s">
        <v>922</v>
      </c>
      <c r="C121" s="585" t="s">
        <v>880</v>
      </c>
      <c r="D121" s="585" t="str">
        <f>IFERROR(INDEX('Base de datos gestión'!$D$28:$D$50,MATCH(C121,'Base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1" s="585" t="str">
        <f>IFERROR(INDEX('Base de datos gestión'!$E$28:$E$50,MATCH(C121,'Base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1" s="630" t="s">
        <v>276</v>
      </c>
      <c r="G121" s="629" t="s">
        <v>923</v>
      </c>
      <c r="H121" s="630" t="s">
        <v>924</v>
      </c>
      <c r="I121" s="630" t="s">
        <v>925</v>
      </c>
      <c r="J121" s="630" t="s">
        <v>280</v>
      </c>
      <c r="K121" s="630" t="s">
        <v>311</v>
      </c>
      <c r="L121" s="630">
        <v>20</v>
      </c>
      <c r="M121" s="588" t="str">
        <f t="shared" si="46"/>
        <v>Baja</v>
      </c>
      <c r="N121" s="589">
        <f t="shared" si="41"/>
        <v>0.4</v>
      </c>
      <c r="O121" s="590" t="s">
        <v>281</v>
      </c>
      <c r="P121" s="589" t="str">
        <f>IF(NOT(ISERROR(MATCH(O121,'Tabla Impacto'!$B$222:$B$224,0))),'Tabla Impacto'!$F$224&amp;"Por favor no seleccionar los criterios de impacto(Afectación Económica o presupuestal y Pérdida Reputacional)",O121)</f>
        <v xml:space="preserve">     El riesgo afecta la imagen de de la entidad con efecto publicitario sostenido a nivel de sector administrativo, nivel departamental o municipal</v>
      </c>
      <c r="Q121" s="591" t="str">
        <f>IF(OR(P121='[8]Tabla Impacto'!$C$12,P121='[8]Tabla Impacto'!$D$12),"Leve",IF(OR(P121='[8]Tabla Impacto'!$C$13,P121='[8]Tabla Impacto'!$D$13),"Menor",IF(OR(P121='[8]Tabla Impacto'!$C$14,P121='[8]Tabla Impacto'!$D$14),"Moderado",IF(OR(P121='[8]Tabla Impacto'!$C$15,P121='[8]Tabla Impacto'!$D$15),"Mayor",IF(OR(P121='[8]Tabla Impacto'!$C$16,P121='[8]Tabla Impacto'!$D$16),"Catastrófico","")))))</f>
        <v>Mayor</v>
      </c>
      <c r="R121" s="590">
        <f t="shared" si="44"/>
        <v>0.8</v>
      </c>
      <c r="S121" s="592" t="str">
        <f t="shared" si="45"/>
        <v>Alto</v>
      </c>
      <c r="T121" s="595">
        <v>1</v>
      </c>
      <c r="U121" s="631" t="s">
        <v>926</v>
      </c>
      <c r="V121" s="595" t="str">
        <f t="shared" si="39"/>
        <v>Probabilidad</v>
      </c>
      <c r="W121" s="596" t="s">
        <v>197</v>
      </c>
      <c r="X121" s="596" t="s">
        <v>198</v>
      </c>
      <c r="Y121" s="597" t="str">
        <f t="shared" si="28"/>
        <v>40%</v>
      </c>
      <c r="Z121" s="596" t="s">
        <v>259</v>
      </c>
      <c r="AA121" s="596" t="s">
        <v>200</v>
      </c>
      <c r="AB121" s="596" t="s">
        <v>201</v>
      </c>
      <c r="AC121" s="598">
        <f>IFERROR(IF(V121="Probabilidad",(N121-(+N121*Y121)),IF(V121="Impacto",N121,"")),"")</f>
        <v>0.24</v>
      </c>
      <c r="AD121" s="599" t="str">
        <f t="shared" si="29"/>
        <v>Baja</v>
      </c>
      <c r="AE121" s="600">
        <f t="shared" si="30"/>
        <v>0.24</v>
      </c>
      <c r="AF121" s="599" t="str">
        <f t="shared" si="31"/>
        <v>Mayor</v>
      </c>
      <c r="AG121" s="600">
        <f>IFERROR(IF(V121="Impacto",(R121-(+R121*Y121)),IF(V121="Probabilidad",R121,"")),"")</f>
        <v>0.8</v>
      </c>
      <c r="AH121" s="601" t="str">
        <f t="shared" si="32"/>
        <v>Alto</v>
      </c>
      <c r="AI121" s="602" t="s">
        <v>202</v>
      </c>
      <c r="AJ121" s="603"/>
      <c r="AK121" s="192"/>
      <c r="AL121" s="603"/>
      <c r="AM121" s="604"/>
      <c r="AN121" s="606"/>
      <c r="AO121" s="607"/>
      <c r="AP121" s="608">
        <v>45757</v>
      </c>
      <c r="AQ121" s="609" t="s">
        <v>886</v>
      </c>
      <c r="AR121" s="283" t="s">
        <v>927</v>
      </c>
      <c r="AS121" s="611" t="s">
        <v>205</v>
      </c>
      <c r="AT121" s="612" t="s">
        <v>206</v>
      </c>
      <c r="AU121" s="283" t="s">
        <v>206</v>
      </c>
      <c r="AV121" s="613"/>
      <c r="AW121" s="614">
        <v>45782</v>
      </c>
      <c r="AX121" s="615" t="s">
        <v>207</v>
      </c>
      <c r="AY121" s="635" t="s">
        <v>578</v>
      </c>
      <c r="BA121" s="617"/>
      <c r="BB121" s="617"/>
      <c r="BC121" s="618" t="s">
        <v>209</v>
      </c>
      <c r="BE121" s="621">
        <v>45853</v>
      </c>
      <c r="BF121" s="616" t="s">
        <v>886</v>
      </c>
      <c r="BG121" s="691" t="s">
        <v>928</v>
      </c>
      <c r="BH121" s="449" t="s">
        <v>205</v>
      </c>
      <c r="BI121" s="619" t="s">
        <v>206</v>
      </c>
      <c r="BJ121" s="619" t="s">
        <v>206</v>
      </c>
      <c r="BL121" s="450">
        <v>45855</v>
      </c>
      <c r="BM121" s="449" t="s">
        <v>215</v>
      </c>
      <c r="BN121" s="283" t="s">
        <v>231</v>
      </c>
      <c r="BP121" s="617"/>
      <c r="BQ121" s="617"/>
      <c r="BR121" s="618" t="s">
        <v>209</v>
      </c>
      <c r="BT121" s="614">
        <v>45937</v>
      </c>
      <c r="BU121" s="616" t="s">
        <v>889</v>
      </c>
      <c r="BV121" s="283" t="s">
        <v>929</v>
      </c>
      <c r="BW121" s="616" t="s">
        <v>205</v>
      </c>
      <c r="BX121" s="615" t="s">
        <v>206</v>
      </c>
      <c r="BY121" s="615" t="s">
        <v>206</v>
      </c>
      <c r="CA121" s="614">
        <v>45992</v>
      </c>
      <c r="CB121" s="616" t="s">
        <v>218</v>
      </c>
      <c r="CC121" s="286" t="s">
        <v>233</v>
      </c>
      <c r="CE121" s="617"/>
      <c r="CF121" s="617"/>
      <c r="CG121" s="618" t="s">
        <v>209</v>
      </c>
      <c r="CH121" s="192"/>
      <c r="CI121" s="558"/>
      <c r="CJ121" s="558"/>
      <c r="CK121" s="559" t="s">
        <v>209</v>
      </c>
      <c r="CL121" s="558"/>
      <c r="CM121" s="558"/>
      <c r="CN121" s="558"/>
      <c r="CO121" s="553"/>
      <c r="CP121" s="558"/>
      <c r="CQ121" s="558"/>
      <c r="CR121" s="559" t="s">
        <v>209</v>
      </c>
      <c r="CS121" s="553"/>
      <c r="CT121" s="558"/>
      <c r="CU121" s="558"/>
      <c r="CV121" s="559" t="s">
        <v>209</v>
      </c>
    </row>
    <row r="122" spans="1:100" ht="151.5" customHeight="1" x14ac:dyDescent="0.3">
      <c r="A122" s="622">
        <v>53</v>
      </c>
      <c r="B122" s="622" t="s">
        <v>930</v>
      </c>
      <c r="C122" s="623" t="s">
        <v>880</v>
      </c>
      <c r="D122" s="585" t="str">
        <f>IFERROR(INDEX('Base de datos gestión'!$D$28:$D$50,MATCH(C122,'Base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2" s="585" t="str">
        <f>IFERROR(INDEX('Base de datos gestión'!$E$28:$E$50,MATCH(C122,'Base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2" s="628" t="s">
        <v>188</v>
      </c>
      <c r="G122" s="629" t="s">
        <v>931</v>
      </c>
      <c r="H122" s="628" t="s">
        <v>932</v>
      </c>
      <c r="I122" s="628" t="s">
        <v>933</v>
      </c>
      <c r="J122" s="630" t="s">
        <v>280</v>
      </c>
      <c r="K122" s="630" t="s">
        <v>311</v>
      </c>
      <c r="L122" s="630">
        <v>20</v>
      </c>
      <c r="M122" s="588" t="str">
        <f t="shared" si="46"/>
        <v>Baja</v>
      </c>
      <c r="N122" s="589">
        <f t="shared" si="41"/>
        <v>0.4</v>
      </c>
      <c r="O122" s="590" t="s">
        <v>248</v>
      </c>
      <c r="P122" s="589" t="str">
        <f>IF(NOT(ISERROR(MATCH(O122,'Tabla Impacto'!$B$222:$B$224,0))),'Tabla Impacto'!$F$224&amp;"Por favor no seleccionar los criterios de impacto(Afectación Económica o presupuestal y Pérdida Reputacional)",O122)</f>
        <v xml:space="preserve">     El riesgo afecta la imagen de la entidad con algunos usuarios de relevancia frente al logro de los objetivos</v>
      </c>
      <c r="Q122" s="591" t="str">
        <f>IF(OR(P122='[8]Tabla Impacto'!$C$12,P122='[8]Tabla Impacto'!$D$12),"Leve",IF(OR(P122='[8]Tabla Impacto'!$C$13,P122='[8]Tabla Impacto'!$D$13),"Menor",IF(OR(P122='[8]Tabla Impacto'!$C$14,P122='[8]Tabla Impacto'!$D$14),"Moderado",IF(OR(P122='[8]Tabla Impacto'!$C$15,P122='[8]Tabla Impacto'!$D$15),"Mayor",IF(OR(P122='[8]Tabla Impacto'!$C$16,P122='[8]Tabla Impacto'!$D$16),"Catastrófico","")))))</f>
        <v>Moderado</v>
      </c>
      <c r="R122" s="590">
        <f t="shared" si="44"/>
        <v>0.6</v>
      </c>
      <c r="S122" s="592" t="str">
        <f t="shared" si="45"/>
        <v>Moderado</v>
      </c>
      <c r="T122" s="595">
        <v>1</v>
      </c>
      <c r="U122" s="631" t="s">
        <v>934</v>
      </c>
      <c r="V122" s="595" t="str">
        <f t="shared" si="39"/>
        <v>Probabilidad</v>
      </c>
      <c r="W122" s="596" t="s">
        <v>269</v>
      </c>
      <c r="X122" s="596" t="s">
        <v>198</v>
      </c>
      <c r="Y122" s="597" t="str">
        <f t="shared" si="28"/>
        <v>30%</v>
      </c>
      <c r="Z122" s="596" t="s">
        <v>259</v>
      </c>
      <c r="AA122" s="596" t="s">
        <v>200</v>
      </c>
      <c r="AB122" s="596" t="s">
        <v>201</v>
      </c>
      <c r="AC122" s="598">
        <f>IFERROR(IF(AND(V121="Probabilidad",V122="Probabilidad"),(AE121-(+AE121*Y122)),IF(V122="Probabilidad",(N121-(+N121*Y122)),IF(V122="Impacto",AE121,""))),"")</f>
        <v>0.16799999999999998</v>
      </c>
      <c r="AD122" s="599" t="str">
        <f t="shared" si="29"/>
        <v>Muy Baja</v>
      </c>
      <c r="AE122" s="600">
        <f t="shared" si="30"/>
        <v>0.16799999999999998</v>
      </c>
      <c r="AF122" s="599" t="str">
        <f t="shared" si="31"/>
        <v>Moderado</v>
      </c>
      <c r="AG122" s="600">
        <f>IFERROR(IF(AND(V121="Impacto",V122="Impacto"),(AG115-(+AG115*Y122)),IF(V122="Impacto",($R$49-(+$R$49*Y122)),IF(V122="Probabilidad",AG115,""))),"")</f>
        <v>0.6</v>
      </c>
      <c r="AH122" s="601" t="str">
        <f t="shared" si="32"/>
        <v>Moderado</v>
      </c>
      <c r="AI122" s="602" t="s">
        <v>202</v>
      </c>
      <c r="AJ122" s="603"/>
      <c r="AK122" s="192"/>
      <c r="AL122" s="603"/>
      <c r="AM122" s="604"/>
      <c r="AN122" s="606"/>
      <c r="AO122" s="607"/>
      <c r="AP122" s="608">
        <v>45757</v>
      </c>
      <c r="AQ122" s="609" t="s">
        <v>886</v>
      </c>
      <c r="AR122" s="283" t="s">
        <v>935</v>
      </c>
      <c r="AS122" s="611" t="s">
        <v>205</v>
      </c>
      <c r="AT122" s="612" t="s">
        <v>206</v>
      </c>
      <c r="AU122" s="283" t="s">
        <v>206</v>
      </c>
      <c r="AV122" s="613"/>
      <c r="AW122" s="614">
        <v>45782</v>
      </c>
      <c r="AX122" s="615" t="s">
        <v>207</v>
      </c>
      <c r="AY122" s="635" t="s">
        <v>578</v>
      </c>
      <c r="BA122" s="617"/>
      <c r="BB122" s="617"/>
      <c r="BC122" s="618" t="s">
        <v>209</v>
      </c>
      <c r="BE122" s="621">
        <v>45853</v>
      </c>
      <c r="BF122" s="616" t="s">
        <v>886</v>
      </c>
      <c r="BG122" s="283" t="s">
        <v>936</v>
      </c>
      <c r="BH122" s="449" t="s">
        <v>205</v>
      </c>
      <c r="BI122" s="619" t="s">
        <v>206</v>
      </c>
      <c r="BJ122" s="619" t="s">
        <v>206</v>
      </c>
      <c r="BL122" s="450">
        <v>45855</v>
      </c>
      <c r="BM122" s="449" t="s">
        <v>215</v>
      </c>
      <c r="BN122" s="283" t="s">
        <v>231</v>
      </c>
      <c r="BP122" s="617"/>
      <c r="BQ122" s="617"/>
      <c r="BR122" s="618" t="s">
        <v>209</v>
      </c>
      <c r="BT122" s="614">
        <v>45937</v>
      </c>
      <c r="BU122" s="616" t="s">
        <v>889</v>
      </c>
      <c r="BV122" s="283" t="s">
        <v>937</v>
      </c>
      <c r="BW122" s="616" t="s">
        <v>205</v>
      </c>
      <c r="BX122" s="615" t="s">
        <v>206</v>
      </c>
      <c r="BY122" s="615" t="s">
        <v>206</v>
      </c>
      <c r="CA122" s="614">
        <v>45992</v>
      </c>
      <c r="CB122" s="616" t="s">
        <v>218</v>
      </c>
      <c r="CC122" s="286" t="s">
        <v>233</v>
      </c>
      <c r="CE122" s="617"/>
      <c r="CF122" s="617"/>
      <c r="CG122" s="618" t="s">
        <v>209</v>
      </c>
      <c r="CH122" s="192"/>
      <c r="CI122" s="558"/>
      <c r="CJ122" s="558"/>
      <c r="CK122" s="559" t="s">
        <v>209</v>
      </c>
      <c r="CL122" s="558"/>
      <c r="CM122" s="558"/>
      <c r="CN122" s="558"/>
      <c r="CO122" s="553"/>
      <c r="CP122" s="558"/>
      <c r="CQ122" s="558"/>
      <c r="CR122" s="559" t="s">
        <v>209</v>
      </c>
      <c r="CS122" s="553"/>
      <c r="CT122" s="558"/>
      <c r="CU122" s="558"/>
      <c r="CV122" s="559" t="s">
        <v>209</v>
      </c>
    </row>
    <row r="123" spans="1:100" ht="151.5" customHeight="1" x14ac:dyDescent="0.3">
      <c r="A123" s="622">
        <v>53</v>
      </c>
      <c r="B123" s="622" t="s">
        <v>930</v>
      </c>
      <c r="C123" s="623" t="s">
        <v>880</v>
      </c>
      <c r="D123" s="585" t="str">
        <f>IFERROR(INDEX('Base de datos gestión'!$D$28:$D$50,MATCH(C123,'Base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3" s="585" t="str">
        <f>IFERROR(INDEX('Base de datos gestión'!$E$28:$E$50,MATCH(C123,'Base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3" s="628" t="s">
        <v>188</v>
      </c>
      <c r="G123" s="629" t="s">
        <v>931</v>
      </c>
      <c r="H123" s="628" t="s">
        <v>932</v>
      </c>
      <c r="I123" s="628" t="s">
        <v>933</v>
      </c>
      <c r="J123" s="630" t="s">
        <v>280</v>
      </c>
      <c r="K123" s="630" t="s">
        <v>311</v>
      </c>
      <c r="L123" s="630">
        <v>20</v>
      </c>
      <c r="M123" s="588" t="str">
        <f t="shared" si="46"/>
        <v>Baja</v>
      </c>
      <c r="N123" s="589">
        <f t="shared" si="41"/>
        <v>0.4</v>
      </c>
      <c r="O123" s="590" t="s">
        <v>248</v>
      </c>
      <c r="P123" s="589" t="str">
        <f>IF(NOT(ISERROR(MATCH(O123,'Tabla Impacto'!$B$222:$B$224,0))),'Tabla Impacto'!$F$224&amp;"Por favor no seleccionar los criterios de impacto(Afectación Económica o presupuestal y Pérdida Reputacional)",O123)</f>
        <v xml:space="preserve">     El riesgo afecta la imagen de la entidad con algunos usuarios de relevancia frente al logro de los objetivos</v>
      </c>
      <c r="Q123" s="591" t="str">
        <f>IF(OR(P123='[8]Tabla Impacto'!$C$12,P123='[8]Tabla Impacto'!$D$12),"Leve",IF(OR(P123='[8]Tabla Impacto'!$C$13,P123='[8]Tabla Impacto'!$D$13),"Menor",IF(OR(P123='[8]Tabla Impacto'!$C$14,P123='[8]Tabla Impacto'!$D$14),"Moderado",IF(OR(P123='[8]Tabla Impacto'!$C$15,P123='[8]Tabla Impacto'!$D$15),"Mayor",IF(OR(P123='[8]Tabla Impacto'!$C$16,P123='[8]Tabla Impacto'!$D$16),"Catastrófico","")))))</f>
        <v>Moderado</v>
      </c>
      <c r="R123" s="590">
        <f>IF(Q123="","",IF(Q123="Leve",0.2,IF(Q123="Menor",0.4,IF(Q123="Moderado",0.6,IF(Q123="Mayor",0.8,IF(Q123="Catastrófico",1,))))))</f>
        <v>0.6</v>
      </c>
      <c r="S123" s="592" t="str">
        <f>IF(OR(AND(M123="Muy Baja",Q123="Leve"),AND(M123="Muy Baja",Q123="Menor"),AND(M123="Baja",Q123="Leve")),"Bajo",IF(OR(AND(M123="Muy baja",Q123="Moderado"),AND(M123="Baja",Q123="Menor"),AND(M123="Baja",Q123="Moderado"),AND(M123="Media",Q123="Leve"),AND(M123="Media",Q123="Menor"),AND(M123="Media",Q123="Moderado"),AND(M123="Alta",Q123="Leve"),AND(M123="Alta",Q123="Menor")),"Moderado",IF(OR(AND(M123="Muy Baja",Q123="Mayor"),AND(M123="Baja",Q123="Mayor"),AND(M123="Media",Q123="Mayor"),AND(M123="Alta",Q123="Moderado"),AND(M123="Alta",Q123="Mayor"),AND(M123="Muy Alta",Q123="Leve"),AND(M123="Muy Alta",Q123="Menor"),AND(M123="Muy Alta",Q123="Moderado"),AND(M123="Muy Alta",Q123="Mayor")),"Alto",IF(OR(AND(M123="Muy Baja",Q123="Catastrófico"),AND(M123="Baja",Q123="Catastrófico"),AND(M123="Media",Q123="Catastrófico"),AND(M123="Alta",Q123="Catastrófico"),AND(M123="Muy Alta",Q123="Catastrófico")),"Extremo",""))))</f>
        <v>Moderado</v>
      </c>
      <c r="T123" s="595">
        <v>2</v>
      </c>
      <c r="U123" s="631" t="s">
        <v>938</v>
      </c>
      <c r="V123" s="595" t="str">
        <f t="shared" si="39"/>
        <v>Probabilidad</v>
      </c>
      <c r="W123" s="596" t="s">
        <v>269</v>
      </c>
      <c r="X123" s="596" t="s">
        <v>198</v>
      </c>
      <c r="Y123" s="597" t="str">
        <f t="shared" si="28"/>
        <v>30%</v>
      </c>
      <c r="Z123" s="596" t="s">
        <v>259</v>
      </c>
      <c r="AA123" s="596" t="s">
        <v>200</v>
      </c>
      <c r="AB123" s="596" t="s">
        <v>201</v>
      </c>
      <c r="AC123" s="598">
        <f>IFERROR(IF(AND(V122="Probabilidad",V123="Probabilidad"),(AE122-(+AE122*Y123)),IF(AND(V122="Impacto",V123="Probabilidad"),(AE121-(+AE121*Y123)),IF(V123="Impacto",AE122,""))),"")</f>
        <v>0.11759999999999998</v>
      </c>
      <c r="AD123" s="599" t="str">
        <f t="shared" si="29"/>
        <v>Muy Baja</v>
      </c>
      <c r="AE123" s="600">
        <f t="shared" si="30"/>
        <v>0.11759999999999998</v>
      </c>
      <c r="AF123" s="599" t="str">
        <f t="shared" si="31"/>
        <v>Moderado</v>
      </c>
      <c r="AG123" s="600">
        <f>IFERROR(IF(AND(V122="Impacto",V123="Impacto"),(AG122-(+AG122*Y123)),IF(AND(V122="Probabilidad",V123="Impacto"),(AG121-(+AG121*Y123)),IF(V123="Probabilidad",AG122,""))),"")</f>
        <v>0.6</v>
      </c>
      <c r="AH123" s="601" t="str">
        <f t="shared" si="32"/>
        <v>Moderado</v>
      </c>
      <c r="AI123" s="602" t="s">
        <v>202</v>
      </c>
      <c r="AJ123" s="603"/>
      <c r="AK123" s="192"/>
      <c r="AL123" s="603"/>
      <c r="AM123" s="604"/>
      <c r="AN123" s="606"/>
      <c r="AO123" s="607"/>
      <c r="AP123" s="608">
        <v>45757</v>
      </c>
      <c r="AQ123" s="609" t="s">
        <v>886</v>
      </c>
      <c r="AR123" s="283" t="s">
        <v>939</v>
      </c>
      <c r="AS123" s="611" t="s">
        <v>205</v>
      </c>
      <c r="AT123" s="612" t="s">
        <v>206</v>
      </c>
      <c r="AU123" s="283" t="s">
        <v>206</v>
      </c>
      <c r="AV123" s="613"/>
      <c r="AW123" s="614">
        <v>45782</v>
      </c>
      <c r="AX123" s="615" t="s">
        <v>207</v>
      </c>
      <c r="AY123" s="635" t="s">
        <v>578</v>
      </c>
      <c r="BA123" s="617"/>
      <c r="BB123" s="617"/>
      <c r="BC123" s="618" t="s">
        <v>209</v>
      </c>
      <c r="BE123" s="621">
        <v>45853</v>
      </c>
      <c r="BF123" s="616" t="s">
        <v>886</v>
      </c>
      <c r="BG123" s="283" t="s">
        <v>940</v>
      </c>
      <c r="BH123" s="449" t="s">
        <v>205</v>
      </c>
      <c r="BI123" s="619" t="s">
        <v>206</v>
      </c>
      <c r="BJ123" s="619" t="s">
        <v>206</v>
      </c>
      <c r="BL123" s="450">
        <v>45855</v>
      </c>
      <c r="BM123" s="449" t="s">
        <v>215</v>
      </c>
      <c r="BN123" s="283" t="s">
        <v>231</v>
      </c>
      <c r="BP123" s="617"/>
      <c r="BQ123" s="617"/>
      <c r="BR123" s="618" t="s">
        <v>209</v>
      </c>
      <c r="BT123" s="614">
        <v>45937</v>
      </c>
      <c r="BU123" s="616" t="s">
        <v>889</v>
      </c>
      <c r="BV123" s="692" t="s">
        <v>941</v>
      </c>
      <c r="BW123" s="616" t="s">
        <v>205</v>
      </c>
      <c r="BX123" s="615" t="s">
        <v>206</v>
      </c>
      <c r="BY123" s="615" t="s">
        <v>206</v>
      </c>
      <c r="CA123" s="614">
        <v>45992</v>
      </c>
      <c r="CB123" s="616" t="s">
        <v>218</v>
      </c>
      <c r="CC123" s="286" t="s">
        <v>233</v>
      </c>
      <c r="CE123" s="617"/>
      <c r="CF123" s="617"/>
      <c r="CG123" s="618" t="s">
        <v>209</v>
      </c>
      <c r="CH123" s="192"/>
      <c r="CI123" s="558"/>
      <c r="CJ123" s="558"/>
      <c r="CK123" s="559" t="s">
        <v>209</v>
      </c>
      <c r="CL123" s="558"/>
      <c r="CM123" s="558"/>
      <c r="CN123" s="558"/>
      <c r="CO123" s="553"/>
      <c r="CP123" s="558"/>
      <c r="CQ123" s="558"/>
      <c r="CR123" s="559" t="s">
        <v>209</v>
      </c>
      <c r="CS123" s="553"/>
      <c r="CT123" s="558"/>
      <c r="CU123" s="558"/>
      <c r="CV123" s="559" t="s">
        <v>209</v>
      </c>
    </row>
    <row r="124" spans="1:100" ht="151.5" customHeight="1" x14ac:dyDescent="0.3">
      <c r="A124" s="622">
        <v>53</v>
      </c>
      <c r="B124" s="622" t="s">
        <v>930</v>
      </c>
      <c r="C124" s="623" t="s">
        <v>880</v>
      </c>
      <c r="D124" s="585" t="str">
        <f>IFERROR(INDEX('Base de datos gestión'!$D$28:$D$50,MATCH(C124,'Base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4" s="585" t="str">
        <f>IFERROR(INDEX('Base de datos gestión'!$E$28:$E$50,MATCH(C124,'Base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4" s="628" t="s">
        <v>188</v>
      </c>
      <c r="G124" s="629" t="s">
        <v>931</v>
      </c>
      <c r="H124" s="628" t="s">
        <v>932</v>
      </c>
      <c r="I124" s="628" t="s">
        <v>933</v>
      </c>
      <c r="J124" s="630" t="s">
        <v>280</v>
      </c>
      <c r="K124" s="630" t="s">
        <v>311</v>
      </c>
      <c r="L124" s="630">
        <v>20</v>
      </c>
      <c r="M124" s="588" t="str">
        <f t="shared" si="46"/>
        <v>Baja</v>
      </c>
      <c r="N124" s="589">
        <f t="shared" si="41"/>
        <v>0.4</v>
      </c>
      <c r="O124" s="590" t="s">
        <v>248</v>
      </c>
      <c r="P124" s="589" t="str">
        <f>IF(NOT(ISERROR(MATCH(O124,'Tabla Impacto'!$B$222:$B$224,0))),'Tabla Impacto'!$F$224&amp;"Por favor no seleccionar los criterios de impacto(Afectación Económica o presupuestal y Pérdida Reputacional)",O124)</f>
        <v xml:space="preserve">     El riesgo afecta la imagen de la entidad con algunos usuarios de relevancia frente al logro de los objetivos</v>
      </c>
      <c r="Q124" s="591" t="str">
        <f>IF(OR(P124='[8]Tabla Impacto'!$C$12,P124='[8]Tabla Impacto'!$D$12),"Leve",IF(OR(P124='[8]Tabla Impacto'!$C$13,P124='[8]Tabla Impacto'!$D$13),"Menor",IF(OR(P124='[8]Tabla Impacto'!$C$14,P124='[8]Tabla Impacto'!$D$14),"Moderado",IF(OR(P124='[8]Tabla Impacto'!$C$15,P124='[8]Tabla Impacto'!$D$15),"Mayor",IF(OR(P124='[8]Tabla Impacto'!$C$16,P124='[8]Tabla Impacto'!$D$16),"Catastrófico","")))))</f>
        <v>Moderado</v>
      </c>
      <c r="R124" s="590">
        <f>IF(Q124="","",IF(Q124="Leve",0.2,IF(Q124="Menor",0.4,IF(Q124="Moderado",0.6,IF(Q124="Mayor",0.8,IF(Q124="Catastrófico",1,))))))</f>
        <v>0.6</v>
      </c>
      <c r="S124" s="592" t="str">
        <f>IF(OR(AND(M124="Muy Baja",Q124="Leve"),AND(M124="Muy Baja",Q124="Menor"),AND(M124="Baja",Q124="Leve")),"Bajo",IF(OR(AND(M124="Muy baja",Q124="Moderado"),AND(M124="Baja",Q124="Menor"),AND(M124="Baja",Q124="Moderado"),AND(M124="Media",Q124="Leve"),AND(M124="Media",Q124="Menor"),AND(M124="Media",Q124="Moderado"),AND(M124="Alta",Q124="Leve"),AND(M124="Alta",Q124="Menor")),"Moderado",IF(OR(AND(M124="Muy Baja",Q124="Mayor"),AND(M124="Baja",Q124="Mayor"),AND(M124="Media",Q124="Mayor"),AND(M124="Alta",Q124="Moderado"),AND(M124="Alta",Q124="Mayor"),AND(M124="Muy Alta",Q124="Leve"),AND(M124="Muy Alta",Q124="Menor"),AND(M124="Muy Alta",Q124="Moderado"),AND(M124="Muy Alta",Q124="Mayor")),"Alto",IF(OR(AND(M124="Muy Baja",Q124="Catastrófico"),AND(M124="Baja",Q124="Catastrófico"),AND(M124="Media",Q124="Catastrófico"),AND(M124="Alta",Q124="Catastrófico"),AND(M124="Muy Alta",Q124="Catastrófico")),"Extremo",""))))</f>
        <v>Moderado</v>
      </c>
      <c r="T124" s="595">
        <v>3</v>
      </c>
      <c r="U124" s="631" t="s">
        <v>942</v>
      </c>
      <c r="V124" s="595" t="str">
        <f t="shared" si="39"/>
        <v>Probabilidad</v>
      </c>
      <c r="W124" s="596" t="s">
        <v>197</v>
      </c>
      <c r="X124" s="596" t="s">
        <v>198</v>
      </c>
      <c r="Y124" s="597" t="str">
        <f t="shared" si="28"/>
        <v>40%</v>
      </c>
      <c r="Z124" s="596" t="s">
        <v>259</v>
      </c>
      <c r="AA124" s="596" t="s">
        <v>200</v>
      </c>
      <c r="AB124" s="596" t="s">
        <v>201</v>
      </c>
      <c r="AC124" s="598">
        <f>IFERROR(IF(AND(V123="Probabilidad",V124="Probabilidad"),(AE123-(+AE123*Y124)),IF(AND(V123="Impacto",V124="Probabilidad"),(AE122-(+AE122*Y124)),IF(V124="Impacto",AE123,""))),"")</f>
        <v>7.0559999999999984E-2</v>
      </c>
      <c r="AD124" s="599" t="str">
        <f t="shared" si="29"/>
        <v>Muy Baja</v>
      </c>
      <c r="AE124" s="600">
        <f t="shared" si="30"/>
        <v>7.0559999999999984E-2</v>
      </c>
      <c r="AF124" s="599" t="str">
        <f t="shared" si="31"/>
        <v>Moderado</v>
      </c>
      <c r="AG124" s="600">
        <f>IFERROR(IF(AND(V123="Impacto",V124="Impacto"),(AG123-(+AG123*Y124)),IF(AND(V123="Probabilidad",V124="Impacto"),(AG122-(+AG122*Y124)),IF(V124="Probabilidad",AG123,""))),"")</f>
        <v>0.6</v>
      </c>
      <c r="AH124" s="601" t="str">
        <f t="shared" si="32"/>
        <v>Moderado</v>
      </c>
      <c r="AI124" s="602" t="s">
        <v>202</v>
      </c>
      <c r="AJ124" s="603"/>
      <c r="AK124" s="192"/>
      <c r="AL124" s="603"/>
      <c r="AM124" s="604"/>
      <c r="AN124" s="606"/>
      <c r="AO124" s="607"/>
      <c r="AP124" s="608">
        <v>45757</v>
      </c>
      <c r="AQ124" s="609" t="s">
        <v>886</v>
      </c>
      <c r="AR124" s="283" t="s">
        <v>943</v>
      </c>
      <c r="AS124" s="611" t="s">
        <v>205</v>
      </c>
      <c r="AT124" s="612" t="s">
        <v>206</v>
      </c>
      <c r="AU124" s="283" t="s">
        <v>206</v>
      </c>
      <c r="AV124" s="613"/>
      <c r="AW124" s="614">
        <v>45782</v>
      </c>
      <c r="AX124" s="615" t="s">
        <v>207</v>
      </c>
      <c r="AY124" s="635" t="s">
        <v>578</v>
      </c>
      <c r="BA124" s="617"/>
      <c r="BB124" s="617"/>
      <c r="BC124" s="618" t="s">
        <v>209</v>
      </c>
      <c r="BE124" s="621">
        <v>45853</v>
      </c>
      <c r="BF124" s="616" t="s">
        <v>886</v>
      </c>
      <c r="BG124" s="283" t="s">
        <v>944</v>
      </c>
      <c r="BH124" s="449" t="s">
        <v>205</v>
      </c>
      <c r="BI124" s="619" t="s">
        <v>206</v>
      </c>
      <c r="BJ124" s="619" t="s">
        <v>206</v>
      </c>
      <c r="BL124" s="450">
        <v>45855</v>
      </c>
      <c r="BM124" s="449" t="s">
        <v>215</v>
      </c>
      <c r="BN124" s="283" t="s">
        <v>231</v>
      </c>
      <c r="BP124" s="617"/>
      <c r="BQ124" s="617"/>
      <c r="BR124" s="618" t="s">
        <v>209</v>
      </c>
      <c r="BT124" s="614">
        <v>45937</v>
      </c>
      <c r="BU124" s="616" t="s">
        <v>889</v>
      </c>
      <c r="BV124" s="283" t="s">
        <v>945</v>
      </c>
      <c r="BW124" s="616" t="s">
        <v>205</v>
      </c>
      <c r="BX124" s="615" t="s">
        <v>206</v>
      </c>
      <c r="BY124" s="615" t="s">
        <v>206</v>
      </c>
      <c r="CA124" s="614">
        <v>45992</v>
      </c>
      <c r="CB124" s="616" t="s">
        <v>218</v>
      </c>
      <c r="CC124" s="286" t="s">
        <v>233</v>
      </c>
      <c r="CE124" s="617"/>
      <c r="CF124" s="617"/>
      <c r="CG124" s="618" t="s">
        <v>209</v>
      </c>
      <c r="CH124" s="192"/>
      <c r="CI124" s="558"/>
      <c r="CJ124" s="558"/>
      <c r="CK124" s="559" t="s">
        <v>209</v>
      </c>
      <c r="CL124" s="558"/>
      <c r="CM124" s="558"/>
      <c r="CN124" s="558"/>
      <c r="CO124" s="553"/>
      <c r="CP124" s="558"/>
      <c r="CQ124" s="558"/>
      <c r="CR124" s="559" t="s">
        <v>209</v>
      </c>
      <c r="CS124" s="553"/>
      <c r="CT124" s="558"/>
      <c r="CU124" s="558"/>
      <c r="CV124" s="559" t="s">
        <v>209</v>
      </c>
    </row>
    <row r="125" spans="1:100" ht="151.5" customHeight="1" x14ac:dyDescent="0.3">
      <c r="A125" s="622">
        <v>54</v>
      </c>
      <c r="B125" s="622" t="s">
        <v>946</v>
      </c>
      <c r="C125" s="623" t="s">
        <v>880</v>
      </c>
      <c r="D125" s="585" t="str">
        <f>IFERROR(INDEX('Base de datos gestión'!$D$28:$D$50,MATCH(C125,'Base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5" s="585" t="str">
        <f>IFERROR(INDEX('Base de datos gestión'!$E$28:$E$50,MATCH(C125,'Base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5" s="628" t="s">
        <v>652</v>
      </c>
      <c r="G125" s="629" t="s">
        <v>947</v>
      </c>
      <c r="H125" s="628" t="s">
        <v>948</v>
      </c>
      <c r="I125" s="628" t="s">
        <v>949</v>
      </c>
      <c r="J125" s="630" t="s">
        <v>280</v>
      </c>
      <c r="K125" s="630" t="s">
        <v>311</v>
      </c>
      <c r="L125" s="630">
        <v>20</v>
      </c>
      <c r="M125" s="588" t="str">
        <f t="shared" si="46"/>
        <v>Baja</v>
      </c>
      <c r="N125" s="589">
        <f t="shared" si="41"/>
        <v>0.4</v>
      </c>
      <c r="O125" s="590" t="s">
        <v>950</v>
      </c>
      <c r="P125" s="589" t="str">
        <f>IF(NOT(ISERROR(MATCH(O125,'Tabla Impacto'!$B$222:$B$224,0))),'Tabla Impacto'!$F$224&amp;"Por favor no seleccionar los criterios de impacto(Afectación Económica o presupuestal y Pérdida Reputacional)",O125)</f>
        <v xml:space="preserve">     Entre 10 y 50 SMLMV </v>
      </c>
      <c r="Q125" s="591" t="str">
        <f>IF(OR(P125='[8]Tabla Impacto'!$C$12,P125='[8]Tabla Impacto'!$D$12),"Leve",IF(OR(P125='[8]Tabla Impacto'!$C$13,P125='[8]Tabla Impacto'!$D$13),"Menor",IF(OR(P125='[8]Tabla Impacto'!$C$14,P125='[8]Tabla Impacto'!$D$14),"Moderado",IF(OR(P125='[8]Tabla Impacto'!$C$15,P125='[8]Tabla Impacto'!$D$15),"Mayor",IF(OR(P125='[8]Tabla Impacto'!$C$16,P125='[8]Tabla Impacto'!$D$16),"Catastrófico","")))))</f>
        <v>Menor</v>
      </c>
      <c r="R125" s="590">
        <f t="shared" ref="R125:R188" si="47">IF(Q125="","",IF(Q125="Leve",0.2,IF(Q125="Menor",0.4,IF(Q125="Moderado",0.6,IF(Q125="Mayor",0.8,IF(Q125="Catastrófico",1,))))))</f>
        <v>0.4</v>
      </c>
      <c r="S125" s="592" t="str">
        <f t="shared" ref="S125:S188" si="48">IF(OR(AND(M125="Muy Baja",Q125="Leve"),AND(M125="Muy Baja",Q125="Menor"),AND(M125="Baja",Q125="Leve")),"Bajo",IF(OR(AND(M125="Muy baja",Q125="Moderado"),AND(M125="Baja",Q125="Menor"),AND(M125="Baja",Q125="Moderado"),AND(M125="Media",Q125="Leve"),AND(M125="Media",Q125="Menor"),AND(M125="Media",Q125="Moderado"),AND(M125="Alta",Q125="Leve"),AND(M125="Alta",Q125="Menor")),"Moderado",IF(OR(AND(M125="Muy Baja",Q125="Mayor"),AND(M125="Baja",Q125="Mayor"),AND(M125="Media",Q125="Mayor"),AND(M125="Alta",Q125="Moderado"),AND(M125="Alta",Q125="Mayor"),AND(M125="Muy Alta",Q125="Leve"),AND(M125="Muy Alta",Q125="Menor"),AND(M125="Muy Alta",Q125="Moderado"),AND(M125="Muy Alta",Q125="Mayor")),"Alto",IF(OR(AND(M125="Muy Baja",Q125="Catastrófico"),AND(M125="Baja",Q125="Catastrófico"),AND(M125="Media",Q125="Catastrófico"),AND(M125="Alta",Q125="Catastrófico"),AND(M125="Muy Alta",Q125="Catastrófico")),"Extremo",""))))</f>
        <v>Moderado</v>
      </c>
      <c r="T125" s="595">
        <v>1</v>
      </c>
      <c r="U125" s="631" t="s">
        <v>951</v>
      </c>
      <c r="V125" s="595" t="str">
        <f t="shared" si="39"/>
        <v>Probabilidad</v>
      </c>
      <c r="W125" s="596" t="s">
        <v>197</v>
      </c>
      <c r="X125" s="596" t="s">
        <v>198</v>
      </c>
      <c r="Y125" s="597" t="str">
        <f t="shared" ref="Y125:Y188" si="49">IF(AND(W125="Preventivo",X125="Automático"),"50%",IF(AND(W125="Preventivo",X125="Manual"),"40%",IF(AND(W125="Detectivo",X125="Automático"),"40%",IF(AND(W125="Detectivo",X125="Manual"),"30%",IF(AND(W125="Correctivo",X125="Automático"),"35%",IF(AND(W125="Correctivo",X125="Manual"),"25%",""))))))</f>
        <v>40%</v>
      </c>
      <c r="Z125" s="596" t="s">
        <v>259</v>
      </c>
      <c r="AA125" s="596" t="s">
        <v>200</v>
      </c>
      <c r="AB125" s="596" t="s">
        <v>201</v>
      </c>
      <c r="AC125" s="598">
        <f>IFERROR(IF(AND(V124="Probabilidad",V125="Probabilidad"),(AE124-(+AE124*Y125)),IF(AND(V124="Impacto",V125="Probabilidad"),(AE123-(+AE123*Y125)),IF(V125="Impacto",AE124,""))),"")</f>
        <v>4.2335999999999985E-2</v>
      </c>
      <c r="AD125" s="599" t="str">
        <f t="shared" ref="AD125:AD188" si="50">IFERROR(IF(AC125="","",IF(AC125&lt;=0.2,"Muy Baja",IF(AC125&lt;=0.4,"Baja",IF(AC125&lt;=0.6,"Media",IF(AC125&lt;=0.8,"Alta","Muy Alta"))))),"")</f>
        <v>Muy Baja</v>
      </c>
      <c r="AE125" s="600">
        <f t="shared" ref="AE125:AE188" si="51">+AC125</f>
        <v>4.2335999999999985E-2</v>
      </c>
      <c r="AF125" s="599" t="str">
        <f t="shared" ref="AF125:AF188" si="52">IFERROR(IF(AG125="","",IF(AG125&lt;=0.2,"Leve",IF(AG125&lt;=0.4,"Menor",IF(AG125&lt;=0.6,"Moderado",IF(AG125&lt;=0.8,"Mayor","Catastrófico"))))),"")</f>
        <v>Moderado</v>
      </c>
      <c r="AG125" s="600">
        <f>IFERROR(IF(AND(V124="Impacto",V125="Impacto"),(AG124-(+AG124*Y125)),IF(AND(V124="Probabilidad",V125="Impacto"),(AG123-(+AG123*Y125)),IF(V125="Probabilidad",AG124,""))),"")</f>
        <v>0.6</v>
      </c>
      <c r="AH125" s="601" t="str">
        <f t="shared" ref="AH125:AH188" si="53">IFERROR(IF(OR(AND(AD125="Muy Baja",AF125="Leve"),AND(AD125="Muy Baja",AF125="Menor"),AND(AD125="Baja",AF125="Leve")),"Bajo",IF(OR(AND(AD125="Muy baja",AF125="Moderado"),AND(AD125="Baja",AF125="Menor"),AND(AD125="Baja",AF125="Moderado"),AND(AD125="Media",AF125="Leve"),AND(AD125="Media",AF125="Menor"),AND(AD125="Media",AF125="Moderado"),AND(AD125="Alta",AF125="Leve"),AND(AD125="Alta",AF125="Menor")),"Moderado",IF(OR(AND(AD125="Muy Baja",AF125="Mayor"),AND(AD125="Baja",AF125="Mayor"),AND(AD125="Media",AF125="Mayor"),AND(AD125="Alta",AF125="Moderado"),AND(AD125="Alta",AF125="Mayor"),AND(AD125="Muy Alta",AF125="Leve"),AND(AD125="Muy Alta",AF125="Menor"),AND(AD125="Muy Alta",AF125="Moderado"),AND(AD125="Muy Alta",AF125="Mayor")),"Alto",IF(OR(AND(AD125="Muy Baja",AF125="Catastrófico"),AND(AD125="Baja",AF125="Catastrófico"),AND(AD125="Media",AF125="Catastrófico"),AND(AD125="Alta",AF125="Catastrófico"),AND(AD125="Muy Alta",AF125="Catastrófico")),"Extremo","")))),"")</f>
        <v>Moderado</v>
      </c>
      <c r="AI125" s="602" t="s">
        <v>202</v>
      </c>
      <c r="AJ125" s="603"/>
      <c r="AK125" s="192"/>
      <c r="AL125" s="603"/>
      <c r="AM125" s="604"/>
      <c r="AN125" s="606"/>
      <c r="AO125" s="607"/>
      <c r="AP125" s="608">
        <v>45757</v>
      </c>
      <c r="AQ125" s="609" t="s">
        <v>886</v>
      </c>
      <c r="AR125" s="283" t="s">
        <v>952</v>
      </c>
      <c r="AS125" s="611" t="s">
        <v>205</v>
      </c>
      <c r="AT125" s="612" t="s">
        <v>206</v>
      </c>
      <c r="AU125" s="283" t="s">
        <v>206</v>
      </c>
      <c r="AV125" s="613"/>
      <c r="AW125" s="614">
        <v>45782</v>
      </c>
      <c r="AX125" s="615" t="s">
        <v>207</v>
      </c>
      <c r="AY125" s="635" t="s">
        <v>578</v>
      </c>
      <c r="BA125" s="617"/>
      <c r="BB125" s="617"/>
      <c r="BC125" s="618" t="s">
        <v>209</v>
      </c>
      <c r="BE125" s="621">
        <v>45853</v>
      </c>
      <c r="BF125" s="616" t="s">
        <v>886</v>
      </c>
      <c r="BG125" s="283" t="s">
        <v>953</v>
      </c>
      <c r="BH125" s="619" t="s">
        <v>212</v>
      </c>
      <c r="BI125" s="620" t="s">
        <v>629</v>
      </c>
      <c r="BJ125" s="616" t="s">
        <v>954</v>
      </c>
      <c r="BL125" s="450">
        <v>45855</v>
      </c>
      <c r="BM125" s="449" t="s">
        <v>215</v>
      </c>
      <c r="BN125" s="283" t="s">
        <v>955</v>
      </c>
      <c r="BP125" s="617"/>
      <c r="BQ125" s="617"/>
      <c r="BR125" s="618" t="s">
        <v>209</v>
      </c>
      <c r="BT125" s="614">
        <v>45937</v>
      </c>
      <c r="BU125" s="616" t="s">
        <v>889</v>
      </c>
      <c r="BV125" s="283" t="s">
        <v>956</v>
      </c>
      <c r="BW125" s="286" t="s">
        <v>205</v>
      </c>
      <c r="BX125" s="615" t="s">
        <v>206</v>
      </c>
      <c r="BY125" s="615" t="s">
        <v>206</v>
      </c>
      <c r="CA125" s="614">
        <v>45992</v>
      </c>
      <c r="CB125" s="616" t="s">
        <v>218</v>
      </c>
      <c r="CC125" s="286" t="s">
        <v>233</v>
      </c>
      <c r="CE125" s="617"/>
      <c r="CF125" s="617"/>
      <c r="CG125" s="618" t="s">
        <v>209</v>
      </c>
      <c r="CH125" s="192"/>
      <c r="CI125" s="558"/>
      <c r="CJ125" s="558"/>
      <c r="CK125" s="559" t="s">
        <v>209</v>
      </c>
      <c r="CL125" s="558"/>
      <c r="CM125" s="558"/>
      <c r="CN125" s="558"/>
      <c r="CO125" s="553"/>
      <c r="CP125" s="558"/>
      <c r="CQ125" s="558"/>
      <c r="CR125" s="559" t="s">
        <v>209</v>
      </c>
      <c r="CS125" s="553"/>
      <c r="CT125" s="558"/>
      <c r="CU125" s="558"/>
      <c r="CV125" s="559" t="s">
        <v>209</v>
      </c>
    </row>
    <row r="126" spans="1:100" ht="151.5" customHeight="1" x14ac:dyDescent="0.3">
      <c r="A126" s="632">
        <v>54</v>
      </c>
      <c r="B126" s="632" t="s">
        <v>946</v>
      </c>
      <c r="C126" s="633" t="s">
        <v>880</v>
      </c>
      <c r="D126" s="585" t="str">
        <f>IFERROR(INDEX('Base de datos gestión'!$D$28:$D$50,MATCH(C126,'Base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6" s="585" t="str">
        <f>IFERROR(INDEX('Base de datos gestión'!$E$28:$E$50,MATCH(C126,'Base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6" s="628" t="s">
        <v>652</v>
      </c>
      <c r="G126" s="693" t="s">
        <v>957</v>
      </c>
      <c r="H126" s="628" t="s">
        <v>948</v>
      </c>
      <c r="I126" s="628" t="s">
        <v>949</v>
      </c>
      <c r="J126" s="630" t="s">
        <v>280</v>
      </c>
      <c r="K126" s="630" t="s">
        <v>311</v>
      </c>
      <c r="L126" s="630">
        <v>20</v>
      </c>
      <c r="M126" s="588" t="str">
        <f t="shared" si="46"/>
        <v>Baja</v>
      </c>
      <c r="N126" s="589">
        <f t="shared" si="41"/>
        <v>0.4</v>
      </c>
      <c r="O126" s="590" t="s">
        <v>950</v>
      </c>
      <c r="P126" s="589" t="str">
        <f>IF(NOT(ISERROR(MATCH(O126,'Tabla Impacto'!$B$222:$B$224,0))),'Tabla Impacto'!$F$224&amp;"Por favor no seleccionar los criterios de impacto(Afectación Económica o presupuestal y Pérdida Reputacional)",O126)</f>
        <v xml:space="preserve">     Entre 10 y 50 SMLMV </v>
      </c>
      <c r="Q126" s="591" t="str">
        <f>IF(OR(P126='[8]Tabla Impacto'!$C$12,P126='[8]Tabla Impacto'!$D$12),"Leve",IF(OR(P126='[8]Tabla Impacto'!$C$13,P126='[8]Tabla Impacto'!$D$13),"Menor",IF(OR(P126='[8]Tabla Impacto'!$C$14,P126='[8]Tabla Impacto'!$D$14),"Moderado",IF(OR(P126='[8]Tabla Impacto'!$C$15,P126='[8]Tabla Impacto'!$D$15),"Mayor",IF(OR(P126='[8]Tabla Impacto'!$C$16,P126='[8]Tabla Impacto'!$D$16),"Catastrófico","")))))</f>
        <v>Menor</v>
      </c>
      <c r="R126" s="590">
        <f t="shared" si="47"/>
        <v>0.4</v>
      </c>
      <c r="S126" s="592" t="str">
        <f t="shared" si="48"/>
        <v>Moderado</v>
      </c>
      <c r="T126" s="595">
        <v>2</v>
      </c>
      <c r="U126" s="631" t="s">
        <v>958</v>
      </c>
      <c r="V126" s="595" t="str">
        <f t="shared" si="39"/>
        <v>Impacto</v>
      </c>
      <c r="W126" s="596" t="s">
        <v>240</v>
      </c>
      <c r="X126" s="596" t="s">
        <v>198</v>
      </c>
      <c r="Y126" s="597" t="str">
        <f t="shared" si="49"/>
        <v>25%</v>
      </c>
      <c r="Z126" s="596" t="s">
        <v>259</v>
      </c>
      <c r="AA126" s="596" t="s">
        <v>200</v>
      </c>
      <c r="AB126" s="596" t="s">
        <v>201</v>
      </c>
      <c r="AC126" s="598">
        <f>IFERROR(IF(AND(V125="Probabilidad",V126="Probabilidad"),(AE125-(+AE125*Y126)),IF(AND(V125="Impacto",V126="Probabilidad"),(AE124-(+AE124*Y126)),IF(V126="Impacto",AE125,""))),"")</f>
        <v>4.2335999999999985E-2</v>
      </c>
      <c r="AD126" s="599" t="str">
        <f t="shared" si="50"/>
        <v>Muy Baja</v>
      </c>
      <c r="AE126" s="600">
        <f t="shared" si="51"/>
        <v>4.2335999999999985E-2</v>
      </c>
      <c r="AF126" s="599" t="str">
        <f t="shared" si="52"/>
        <v>Moderado</v>
      </c>
      <c r="AG126" s="600">
        <f>IFERROR(IF(AND(V125="Impacto",V126="Impacto"),(AG125-(+AG125*Y126)),IF(AND(V125="Probabilidad",V126="Impacto"),(AG124-(+AG124*Y126)),IF(V126="Probabilidad",AG125,""))),"")</f>
        <v>0.44999999999999996</v>
      </c>
      <c r="AH126" s="601" t="str">
        <f t="shared" si="53"/>
        <v>Moderado</v>
      </c>
      <c r="AI126" s="602" t="s">
        <v>202</v>
      </c>
      <c r="AJ126" s="603"/>
      <c r="AK126" s="192"/>
      <c r="AL126" s="603"/>
      <c r="AM126" s="604"/>
      <c r="AN126" s="606"/>
      <c r="AO126" s="607"/>
      <c r="AP126" s="608">
        <v>45757</v>
      </c>
      <c r="AQ126" s="609" t="s">
        <v>886</v>
      </c>
      <c r="AR126" s="283" t="s">
        <v>959</v>
      </c>
      <c r="AS126" s="611" t="s">
        <v>205</v>
      </c>
      <c r="AT126" s="612" t="s">
        <v>206</v>
      </c>
      <c r="AU126" s="283" t="s">
        <v>206</v>
      </c>
      <c r="AV126" s="613"/>
      <c r="AW126" s="614">
        <v>45782</v>
      </c>
      <c r="AX126" s="615" t="s">
        <v>207</v>
      </c>
      <c r="AY126" s="635" t="s">
        <v>578</v>
      </c>
      <c r="BA126" s="617"/>
      <c r="BB126" s="617"/>
      <c r="BC126" s="618" t="s">
        <v>209</v>
      </c>
      <c r="BE126" s="621">
        <v>45853</v>
      </c>
      <c r="BF126" s="616" t="s">
        <v>886</v>
      </c>
      <c r="BG126" s="283" t="s">
        <v>960</v>
      </c>
      <c r="BH126" s="619" t="s">
        <v>212</v>
      </c>
      <c r="BI126" s="620" t="s">
        <v>629</v>
      </c>
      <c r="BJ126" s="616" t="s">
        <v>954</v>
      </c>
      <c r="BL126" s="450">
        <v>45856</v>
      </c>
      <c r="BM126" s="449" t="s">
        <v>215</v>
      </c>
      <c r="BN126" s="283" t="s">
        <v>961</v>
      </c>
      <c r="BP126" s="617"/>
      <c r="BQ126" s="617"/>
      <c r="BR126" s="618" t="s">
        <v>209</v>
      </c>
      <c r="BT126" s="614">
        <v>45937</v>
      </c>
      <c r="BU126" s="616" t="s">
        <v>889</v>
      </c>
      <c r="BV126" s="283" t="s">
        <v>962</v>
      </c>
      <c r="BW126" s="651" t="s">
        <v>205</v>
      </c>
      <c r="BX126" s="615" t="s">
        <v>206</v>
      </c>
      <c r="BY126" s="615" t="s">
        <v>206</v>
      </c>
      <c r="CA126" s="614">
        <v>45992</v>
      </c>
      <c r="CB126" s="616" t="s">
        <v>218</v>
      </c>
      <c r="CC126" s="286" t="s">
        <v>233</v>
      </c>
      <c r="CE126" s="617"/>
      <c r="CF126" s="617"/>
      <c r="CG126" s="618" t="s">
        <v>209</v>
      </c>
      <c r="CH126" s="192"/>
      <c r="CI126" s="558"/>
      <c r="CJ126" s="558"/>
      <c r="CK126" s="559" t="s">
        <v>209</v>
      </c>
      <c r="CL126" s="558"/>
      <c r="CM126" s="558"/>
      <c r="CN126" s="558"/>
      <c r="CO126" s="553"/>
      <c r="CP126" s="558"/>
      <c r="CQ126" s="558"/>
      <c r="CR126" s="559" t="s">
        <v>209</v>
      </c>
      <c r="CS126" s="553"/>
      <c r="CT126" s="558"/>
      <c r="CU126" s="558"/>
      <c r="CV126" s="559" t="s">
        <v>209</v>
      </c>
    </row>
    <row r="127" spans="1:100" ht="151.5" customHeight="1" x14ac:dyDescent="0.3">
      <c r="A127" s="584">
        <v>55</v>
      </c>
      <c r="B127" s="584" t="s">
        <v>963</v>
      </c>
      <c r="C127" s="585" t="s">
        <v>880</v>
      </c>
      <c r="D127" s="585" t="str">
        <f>IFERROR(INDEX('Base de datos gestión'!$D$28:$D$50,MATCH(C127,'Base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7" s="585" t="str">
        <f>IFERROR(INDEX('Base de datos gestión'!$E$28:$E$50,MATCH(C127,'Base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7" s="630" t="s">
        <v>188</v>
      </c>
      <c r="G127" s="629" t="s">
        <v>964</v>
      </c>
      <c r="H127" s="630" t="s">
        <v>965</v>
      </c>
      <c r="I127" s="630" t="s">
        <v>966</v>
      </c>
      <c r="J127" s="630" t="s">
        <v>280</v>
      </c>
      <c r="K127" s="630" t="s">
        <v>311</v>
      </c>
      <c r="L127" s="630">
        <v>20</v>
      </c>
      <c r="M127" s="588" t="str">
        <f t="shared" si="46"/>
        <v>Baja</v>
      </c>
      <c r="N127" s="589">
        <f t="shared" si="41"/>
        <v>0.4</v>
      </c>
      <c r="O127" s="590" t="s">
        <v>440</v>
      </c>
      <c r="P127" s="589" t="str">
        <f>IF(NOT(ISERROR(MATCH(O127,'Tabla Impacto'!$B$222:$B$224,0))),'Tabla Impacto'!$F$224&amp;"Por favor no seleccionar los criterios de impacto(Afectación Económica o presupuestal y Pérdida Reputacional)",O127)</f>
        <v xml:space="preserve">     El riesgo afecta la imagen de alguna área de la organización</v>
      </c>
      <c r="Q127" s="591" t="str">
        <f>IF(OR(P127='[8]Tabla Impacto'!$C$12,P127='[8]Tabla Impacto'!$D$12),"Leve",IF(OR(P127='[8]Tabla Impacto'!$C$13,P127='[8]Tabla Impacto'!$D$13),"Menor",IF(OR(P127='[8]Tabla Impacto'!$C$14,P127='[8]Tabla Impacto'!$D$14),"Moderado",IF(OR(P127='[8]Tabla Impacto'!$C$15,P127='[8]Tabla Impacto'!$D$15),"Mayor",IF(OR(P127='[8]Tabla Impacto'!$C$16,P127='[8]Tabla Impacto'!$D$16),"Catastrófico","")))))</f>
        <v>Leve</v>
      </c>
      <c r="R127" s="590">
        <f t="shared" si="47"/>
        <v>0.2</v>
      </c>
      <c r="S127" s="592" t="str">
        <f t="shared" si="48"/>
        <v>Bajo</v>
      </c>
      <c r="T127" s="595">
        <v>1</v>
      </c>
      <c r="U127" s="631" t="s">
        <v>967</v>
      </c>
      <c r="V127" s="595" t="str">
        <f t="shared" si="39"/>
        <v>Probabilidad</v>
      </c>
      <c r="W127" s="596" t="s">
        <v>197</v>
      </c>
      <c r="X127" s="596" t="s">
        <v>198</v>
      </c>
      <c r="Y127" s="597" t="str">
        <f t="shared" si="49"/>
        <v>40%</v>
      </c>
      <c r="Z127" s="596" t="s">
        <v>259</v>
      </c>
      <c r="AA127" s="596" t="s">
        <v>200</v>
      </c>
      <c r="AB127" s="596" t="s">
        <v>201</v>
      </c>
      <c r="AC127" s="598">
        <f>IFERROR(IF(V127="Probabilidad",(N127-(+N127*Y127)),IF(V127="Impacto",N127,"")),"")</f>
        <v>0.24</v>
      </c>
      <c r="AD127" s="599" t="str">
        <f t="shared" si="50"/>
        <v>Baja</v>
      </c>
      <c r="AE127" s="600">
        <f t="shared" si="51"/>
        <v>0.24</v>
      </c>
      <c r="AF127" s="599" t="str">
        <f t="shared" si="52"/>
        <v>Leve</v>
      </c>
      <c r="AG127" s="600">
        <f>IFERROR(IF(V127="Impacto",(R127-(+R127*Y127)),IF(V127="Probabilidad",R127,"")),"")</f>
        <v>0.2</v>
      </c>
      <c r="AH127" s="601" t="str">
        <f t="shared" si="53"/>
        <v>Bajo</v>
      </c>
      <c r="AI127" s="602" t="s">
        <v>202</v>
      </c>
      <c r="AJ127" s="603"/>
      <c r="AK127" s="192"/>
      <c r="AL127" s="603"/>
      <c r="AM127" s="604"/>
      <c r="AN127" s="606"/>
      <c r="AO127" s="607"/>
      <c r="AP127" s="608">
        <v>45757</v>
      </c>
      <c r="AQ127" s="609" t="s">
        <v>886</v>
      </c>
      <c r="AR127" s="283" t="s">
        <v>968</v>
      </c>
      <c r="AS127" s="611" t="s">
        <v>205</v>
      </c>
      <c r="AT127" s="612" t="s">
        <v>206</v>
      </c>
      <c r="AU127" s="283" t="s">
        <v>206</v>
      </c>
      <c r="AV127" s="613"/>
      <c r="AW127" s="614">
        <v>45782</v>
      </c>
      <c r="AX127" s="615" t="s">
        <v>207</v>
      </c>
      <c r="AY127" s="635" t="s">
        <v>578</v>
      </c>
      <c r="BA127" s="617"/>
      <c r="BB127" s="617"/>
      <c r="BC127" s="618" t="s">
        <v>209</v>
      </c>
      <c r="BE127" s="621">
        <v>45853</v>
      </c>
      <c r="BF127" s="616" t="s">
        <v>886</v>
      </c>
      <c r="BG127" s="283" t="s">
        <v>969</v>
      </c>
      <c r="BH127" s="619" t="s">
        <v>212</v>
      </c>
      <c r="BI127" s="620" t="s">
        <v>317</v>
      </c>
      <c r="BJ127" s="620" t="s">
        <v>970</v>
      </c>
      <c r="BL127" s="450">
        <v>45856</v>
      </c>
      <c r="BM127" s="449" t="s">
        <v>215</v>
      </c>
      <c r="BN127" s="283" t="s">
        <v>971</v>
      </c>
      <c r="BP127" s="617"/>
      <c r="BQ127" s="617"/>
      <c r="BR127" s="618" t="s">
        <v>209</v>
      </c>
      <c r="BT127" s="614">
        <v>45937</v>
      </c>
      <c r="BU127" s="616" t="s">
        <v>889</v>
      </c>
      <c r="BV127" s="283" t="s">
        <v>972</v>
      </c>
      <c r="BW127" s="286" t="s">
        <v>212</v>
      </c>
      <c r="BX127" s="286" t="s">
        <v>213</v>
      </c>
      <c r="BY127" s="616" t="s">
        <v>973</v>
      </c>
      <c r="CA127" s="614">
        <v>45992</v>
      </c>
      <c r="CB127" s="616" t="s">
        <v>218</v>
      </c>
      <c r="CC127" s="643" t="s">
        <v>974</v>
      </c>
      <c r="CE127" s="617"/>
      <c r="CF127" s="617"/>
      <c r="CG127" s="618" t="s">
        <v>209</v>
      </c>
      <c r="CH127" s="192"/>
      <c r="CI127" s="558"/>
      <c r="CJ127" s="558"/>
      <c r="CK127" s="559" t="s">
        <v>209</v>
      </c>
      <c r="CL127" s="558"/>
      <c r="CM127" s="558"/>
      <c r="CN127" s="558"/>
      <c r="CO127" s="553"/>
      <c r="CP127" s="558"/>
      <c r="CQ127" s="558"/>
      <c r="CR127" s="559" t="s">
        <v>209</v>
      </c>
      <c r="CS127" s="553"/>
      <c r="CT127" s="558"/>
      <c r="CU127" s="558"/>
      <c r="CV127" s="559" t="s">
        <v>209</v>
      </c>
    </row>
    <row r="128" spans="1:100" ht="151.5" customHeight="1" x14ac:dyDescent="0.3">
      <c r="A128" s="622">
        <v>56</v>
      </c>
      <c r="B128" s="622" t="s">
        <v>975</v>
      </c>
      <c r="C128" s="623" t="s">
        <v>880</v>
      </c>
      <c r="D128" s="585" t="str">
        <f>IFERROR(INDEX('Base de datos gestión'!$D$28:$D$50,MATCH(C128,'Base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8" s="585" t="str">
        <f>IFERROR(INDEX('Base de datos gestión'!$E$28:$E$50,MATCH(C128,'Base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8" s="628" t="s">
        <v>652</v>
      </c>
      <c r="G128" s="629" t="s">
        <v>976</v>
      </c>
      <c r="H128" s="628" t="s">
        <v>977</v>
      </c>
      <c r="I128" s="628" t="s">
        <v>978</v>
      </c>
      <c r="J128" s="630" t="s">
        <v>280</v>
      </c>
      <c r="K128" s="630" t="s">
        <v>311</v>
      </c>
      <c r="L128" s="630">
        <v>1600</v>
      </c>
      <c r="M128" s="588" t="str">
        <f t="shared" si="46"/>
        <v>Alta</v>
      </c>
      <c r="N128" s="589">
        <f t="shared" si="41"/>
        <v>0.8</v>
      </c>
      <c r="O128" s="590" t="s">
        <v>979</v>
      </c>
      <c r="P128" s="589" t="str">
        <f>IF(NOT(ISERROR(MATCH(O128,'Tabla Impacto'!$B$222:$B$224,0))),'Tabla Impacto'!$F$224&amp;"Por favor no seleccionar los criterios de impacto(Afectación Económica o presupuestal y Pérdida Reputacional)",O128)</f>
        <v xml:space="preserve">     Entre 50 y 100 SMLMV </v>
      </c>
      <c r="Q128" s="591" t="str">
        <f>IF(OR(P128='[8]Tabla Impacto'!$C$12,P128='[8]Tabla Impacto'!$D$12),"Leve",IF(OR(P128='[8]Tabla Impacto'!$C$13,P128='[8]Tabla Impacto'!$D$13),"Menor",IF(OR(P128='[8]Tabla Impacto'!$C$14,P128='[8]Tabla Impacto'!$D$14),"Moderado",IF(OR(P128='[8]Tabla Impacto'!$C$15,P128='[8]Tabla Impacto'!$D$15),"Mayor",IF(OR(P128='[8]Tabla Impacto'!$C$16,P128='[8]Tabla Impacto'!$D$16),"Catastrófico","")))))</f>
        <v>Moderado</v>
      </c>
      <c r="R128" s="590">
        <f t="shared" si="47"/>
        <v>0.6</v>
      </c>
      <c r="S128" s="592" t="str">
        <f t="shared" si="48"/>
        <v>Alto</v>
      </c>
      <c r="T128" s="595">
        <v>1</v>
      </c>
      <c r="U128" s="631" t="s">
        <v>980</v>
      </c>
      <c r="V128" s="595" t="str">
        <f t="shared" si="39"/>
        <v>Probabilidad</v>
      </c>
      <c r="W128" s="596" t="s">
        <v>197</v>
      </c>
      <c r="X128" s="596" t="s">
        <v>198</v>
      </c>
      <c r="Y128" s="597" t="str">
        <f t="shared" si="49"/>
        <v>40%</v>
      </c>
      <c r="Z128" s="596" t="s">
        <v>259</v>
      </c>
      <c r="AA128" s="596" t="s">
        <v>200</v>
      </c>
      <c r="AB128" s="596" t="s">
        <v>201</v>
      </c>
      <c r="AC128" s="598">
        <f>IFERROR(IF(AND(V127="Probabilidad",V128="Probabilidad"),(AE127-(+AE127*Y128)),IF(V128="Probabilidad",(N127-(+N127*Y128)),IF(V128="Impacto",AE127,""))),"")</f>
        <v>0.14399999999999999</v>
      </c>
      <c r="AD128" s="599" t="str">
        <f t="shared" si="50"/>
        <v>Muy Baja</v>
      </c>
      <c r="AE128" s="600">
        <f t="shared" si="51"/>
        <v>0.14399999999999999</v>
      </c>
      <c r="AF128" s="599" t="str">
        <f t="shared" si="52"/>
        <v>Mayor</v>
      </c>
      <c r="AG128" s="600">
        <f>IFERROR(IF(AND(V127="Impacto",V128="Impacto"),(AG121-(+AG121*Y128)),IF(V128="Impacto",($R$55-(+$R$55*Y128)),IF(V128="Probabilidad",AG121,""))),"")</f>
        <v>0.8</v>
      </c>
      <c r="AH128" s="601" t="str">
        <f t="shared" si="53"/>
        <v>Alto</v>
      </c>
      <c r="AI128" s="602" t="s">
        <v>202</v>
      </c>
      <c r="AJ128" s="603"/>
      <c r="AK128" s="192"/>
      <c r="AL128" s="603"/>
      <c r="AM128" s="604"/>
      <c r="AN128" s="606"/>
      <c r="AO128" s="607"/>
      <c r="AP128" s="608">
        <v>45757</v>
      </c>
      <c r="AQ128" s="609" t="s">
        <v>886</v>
      </c>
      <c r="AR128" s="283" t="s">
        <v>981</v>
      </c>
      <c r="AS128" s="611" t="s">
        <v>205</v>
      </c>
      <c r="AT128" s="612" t="s">
        <v>206</v>
      </c>
      <c r="AU128" s="283" t="s">
        <v>206</v>
      </c>
      <c r="AV128" s="613"/>
      <c r="AW128" s="614">
        <v>45782</v>
      </c>
      <c r="AX128" s="615" t="s">
        <v>207</v>
      </c>
      <c r="AY128" s="635" t="s">
        <v>578</v>
      </c>
      <c r="BA128" s="617"/>
      <c r="BB128" s="617"/>
      <c r="BC128" s="618" t="s">
        <v>209</v>
      </c>
      <c r="BE128" s="621">
        <v>45853</v>
      </c>
      <c r="BF128" s="616" t="s">
        <v>886</v>
      </c>
      <c r="BG128" s="691" t="s">
        <v>982</v>
      </c>
      <c r="BH128" s="619" t="s">
        <v>212</v>
      </c>
      <c r="BI128" s="620" t="s">
        <v>213</v>
      </c>
      <c r="BJ128" s="620" t="s">
        <v>983</v>
      </c>
      <c r="BL128" s="450">
        <v>45856</v>
      </c>
      <c r="BM128" s="449" t="s">
        <v>215</v>
      </c>
      <c r="BN128" s="283" t="s">
        <v>984</v>
      </c>
      <c r="BP128" s="617"/>
      <c r="BQ128" s="617"/>
      <c r="BR128" s="618" t="s">
        <v>209</v>
      </c>
      <c r="BT128" s="614">
        <v>45937</v>
      </c>
      <c r="BU128" s="616" t="s">
        <v>889</v>
      </c>
      <c r="BV128" s="283" t="s">
        <v>985</v>
      </c>
      <c r="BW128" s="286" t="s">
        <v>212</v>
      </c>
      <c r="BX128" s="286" t="s">
        <v>629</v>
      </c>
      <c r="BY128" s="616" t="s">
        <v>986</v>
      </c>
      <c r="CA128" s="614">
        <v>45992</v>
      </c>
      <c r="CB128" s="616" t="s">
        <v>218</v>
      </c>
      <c r="CC128" s="643" t="s">
        <v>987</v>
      </c>
      <c r="CE128" s="617"/>
      <c r="CF128" s="617"/>
      <c r="CG128" s="618" t="s">
        <v>209</v>
      </c>
      <c r="CH128" s="192"/>
      <c r="CI128" s="558"/>
      <c r="CJ128" s="558"/>
      <c r="CK128" s="559" t="s">
        <v>209</v>
      </c>
      <c r="CL128" s="558"/>
      <c r="CM128" s="558"/>
      <c r="CN128" s="558"/>
      <c r="CO128" s="553"/>
      <c r="CP128" s="558"/>
      <c r="CQ128" s="558"/>
      <c r="CR128" s="559" t="s">
        <v>209</v>
      </c>
      <c r="CS128" s="553"/>
      <c r="CT128" s="558"/>
      <c r="CU128" s="558"/>
      <c r="CV128" s="559" t="s">
        <v>209</v>
      </c>
    </row>
    <row r="129" spans="1:100" ht="151.5" customHeight="1" x14ac:dyDescent="0.3">
      <c r="A129" s="622">
        <v>56</v>
      </c>
      <c r="B129" s="622" t="s">
        <v>975</v>
      </c>
      <c r="C129" s="623" t="s">
        <v>880</v>
      </c>
      <c r="D129" s="585" t="str">
        <f>IFERROR(INDEX('Base de datos gestión'!$D$28:$D$50,MATCH(C129,'Base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29" s="585" t="str">
        <f>IFERROR(INDEX('Base de datos gestión'!$E$28:$E$50,MATCH(C129,'Base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29" s="628" t="s">
        <v>652</v>
      </c>
      <c r="G129" s="629" t="s">
        <v>976</v>
      </c>
      <c r="H129" s="628" t="s">
        <v>977</v>
      </c>
      <c r="I129" s="628" t="s">
        <v>978</v>
      </c>
      <c r="J129" s="630" t="s">
        <v>280</v>
      </c>
      <c r="K129" s="630" t="s">
        <v>311</v>
      </c>
      <c r="L129" s="630">
        <v>1600</v>
      </c>
      <c r="M129" s="588" t="str">
        <f t="shared" si="46"/>
        <v>Alta</v>
      </c>
      <c r="N129" s="589">
        <f t="shared" si="41"/>
        <v>0.8</v>
      </c>
      <c r="O129" s="590" t="s">
        <v>979</v>
      </c>
      <c r="P129" s="589" t="str">
        <f>IF(NOT(ISERROR(MATCH(O129,'Tabla Impacto'!$B$222:$B$224,0))),'Tabla Impacto'!$F$224&amp;"Por favor no seleccionar los criterios de impacto(Afectación Económica o presupuestal y Pérdida Reputacional)",O129)</f>
        <v xml:space="preserve">     Entre 50 y 100 SMLMV </v>
      </c>
      <c r="Q129" s="591" t="str">
        <f>IF(OR(P129='[8]Tabla Impacto'!$C$12,P129='[8]Tabla Impacto'!$D$12),"Leve",IF(OR(P129='[8]Tabla Impacto'!$C$13,P129='[8]Tabla Impacto'!$D$13),"Menor",IF(OR(P129='[8]Tabla Impacto'!$C$14,P129='[8]Tabla Impacto'!$D$14),"Moderado",IF(OR(P129='[8]Tabla Impacto'!$C$15,P129='[8]Tabla Impacto'!$D$15),"Mayor",IF(OR(P129='[8]Tabla Impacto'!$C$16,P129='[8]Tabla Impacto'!$D$16),"Catastrófico","")))))</f>
        <v>Moderado</v>
      </c>
      <c r="R129" s="590">
        <f t="shared" si="47"/>
        <v>0.6</v>
      </c>
      <c r="S129" s="592" t="str">
        <f t="shared" si="48"/>
        <v>Alto</v>
      </c>
      <c r="T129" s="595">
        <v>2</v>
      </c>
      <c r="U129" s="631" t="s">
        <v>988</v>
      </c>
      <c r="V129" s="595" t="str">
        <f t="shared" si="39"/>
        <v>Probabilidad</v>
      </c>
      <c r="W129" s="596" t="s">
        <v>197</v>
      </c>
      <c r="X129" s="596" t="s">
        <v>198</v>
      </c>
      <c r="Y129" s="597" t="str">
        <f t="shared" si="49"/>
        <v>40%</v>
      </c>
      <c r="Z129" s="596" t="s">
        <v>259</v>
      </c>
      <c r="AA129" s="596" t="s">
        <v>200</v>
      </c>
      <c r="AB129" s="596" t="s">
        <v>201</v>
      </c>
      <c r="AC129" s="598">
        <f>IFERROR(IF(AND(V128="Probabilidad",V129="Probabilidad"),(AE128-(+AE128*Y129)),IF(AND(V128="Impacto",V129="Probabilidad"),(AE127-(+AE127*Y129)),IF(V129="Impacto",AE128,""))),"")</f>
        <v>8.6399999999999991E-2</v>
      </c>
      <c r="AD129" s="599" t="str">
        <f t="shared" si="50"/>
        <v>Muy Baja</v>
      </c>
      <c r="AE129" s="600">
        <f t="shared" si="51"/>
        <v>8.6399999999999991E-2</v>
      </c>
      <c r="AF129" s="599" t="str">
        <f t="shared" si="52"/>
        <v>Mayor</v>
      </c>
      <c r="AG129" s="600">
        <f>IFERROR(IF(AND(V128="Impacto",V129="Impacto"),(AG128-(+AG128*Y129)),IF(AND(V128="Probabilidad",V129="Impacto"),(AG127-(+AG127*Y129)),IF(V129="Probabilidad",AG128,""))),"")</f>
        <v>0.8</v>
      </c>
      <c r="AH129" s="601" t="str">
        <f t="shared" si="53"/>
        <v>Alto</v>
      </c>
      <c r="AI129" s="602" t="s">
        <v>202</v>
      </c>
      <c r="AJ129" s="603"/>
      <c r="AK129" s="192"/>
      <c r="AL129" s="603"/>
      <c r="AM129" s="604"/>
      <c r="AN129" s="606"/>
      <c r="AO129" s="607"/>
      <c r="AP129" s="608">
        <v>45757</v>
      </c>
      <c r="AQ129" s="609" t="s">
        <v>886</v>
      </c>
      <c r="AR129" s="283" t="s">
        <v>989</v>
      </c>
      <c r="AS129" s="611" t="s">
        <v>205</v>
      </c>
      <c r="AT129" s="612" t="s">
        <v>206</v>
      </c>
      <c r="AU129" s="283" t="s">
        <v>206</v>
      </c>
      <c r="AV129" s="613"/>
      <c r="AW129" s="614">
        <v>45782</v>
      </c>
      <c r="AX129" s="615" t="s">
        <v>207</v>
      </c>
      <c r="AY129" s="635" t="s">
        <v>578</v>
      </c>
      <c r="BA129" s="617"/>
      <c r="BB129" s="617"/>
      <c r="BC129" s="618" t="s">
        <v>209</v>
      </c>
      <c r="BE129" s="621">
        <v>45853</v>
      </c>
      <c r="BF129" s="616" t="s">
        <v>886</v>
      </c>
      <c r="BG129" s="691" t="s">
        <v>990</v>
      </c>
      <c r="BH129" s="619" t="s">
        <v>212</v>
      </c>
      <c r="BI129" s="620" t="s">
        <v>213</v>
      </c>
      <c r="BJ129" s="620" t="s">
        <v>991</v>
      </c>
      <c r="BL129" s="450">
        <v>45856</v>
      </c>
      <c r="BM129" s="449" t="s">
        <v>215</v>
      </c>
      <c r="BN129" s="283" t="s">
        <v>984</v>
      </c>
      <c r="BP129" s="617"/>
      <c r="BQ129" s="617"/>
      <c r="BR129" s="618" t="s">
        <v>209</v>
      </c>
      <c r="BT129" s="614">
        <v>45937</v>
      </c>
      <c r="BU129" s="616" t="s">
        <v>889</v>
      </c>
      <c r="BV129" s="283" t="s">
        <v>992</v>
      </c>
      <c r="BW129" s="286" t="s">
        <v>212</v>
      </c>
      <c r="BX129" s="286" t="s">
        <v>629</v>
      </c>
      <c r="BY129" s="616" t="s">
        <v>986</v>
      </c>
      <c r="CA129" s="614">
        <v>45992</v>
      </c>
      <c r="CB129" s="616" t="s">
        <v>218</v>
      </c>
      <c r="CC129" s="643" t="s">
        <v>987</v>
      </c>
      <c r="CE129" s="617"/>
      <c r="CF129" s="617"/>
      <c r="CG129" s="618" t="s">
        <v>209</v>
      </c>
      <c r="CH129" s="192"/>
      <c r="CI129" s="558"/>
      <c r="CJ129" s="558"/>
      <c r="CK129" s="559" t="s">
        <v>209</v>
      </c>
      <c r="CL129" s="558"/>
      <c r="CM129" s="558"/>
      <c r="CN129" s="558"/>
      <c r="CO129" s="553"/>
      <c r="CP129" s="558"/>
      <c r="CQ129" s="558"/>
      <c r="CR129" s="559" t="s">
        <v>209</v>
      </c>
      <c r="CS129" s="553"/>
      <c r="CT129" s="558"/>
      <c r="CU129" s="558"/>
      <c r="CV129" s="559" t="s">
        <v>209</v>
      </c>
    </row>
    <row r="130" spans="1:100" ht="151.5" customHeight="1" x14ac:dyDescent="0.3">
      <c r="A130" s="622">
        <v>57</v>
      </c>
      <c r="B130" s="622" t="s">
        <v>993</v>
      </c>
      <c r="C130" s="623" t="s">
        <v>880</v>
      </c>
      <c r="D130" s="585" t="str">
        <f>IFERROR(INDEX('Base de datos gestión'!$D$28:$D$50,MATCH(C130,'Base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30" s="585" t="str">
        <f>IFERROR(INDEX('Base de datos gestión'!$E$28:$E$50,MATCH(C130,'Base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30" s="628" t="s">
        <v>276</v>
      </c>
      <c r="G130" s="629" t="s">
        <v>994</v>
      </c>
      <c r="H130" s="628" t="s">
        <v>995</v>
      </c>
      <c r="I130" s="628" t="s">
        <v>996</v>
      </c>
      <c r="J130" s="630" t="s">
        <v>280</v>
      </c>
      <c r="K130" s="630" t="s">
        <v>311</v>
      </c>
      <c r="L130" s="630">
        <v>2</v>
      </c>
      <c r="M130" s="588" t="str">
        <f t="shared" si="46"/>
        <v>Muy Baja</v>
      </c>
      <c r="N130" s="589">
        <f t="shared" si="41"/>
        <v>0.2</v>
      </c>
      <c r="O130" s="590" t="s">
        <v>248</v>
      </c>
      <c r="P130" s="589" t="str">
        <f>IF(NOT(ISERROR(MATCH(O130,'Tabla Impacto'!$B$222:$B$224,0))),'Tabla Impacto'!$F$224&amp;"Por favor no seleccionar los criterios de impacto(Afectación Económica o presupuestal y Pérdida Reputacional)",O130)</f>
        <v xml:space="preserve">     El riesgo afecta la imagen de la entidad con algunos usuarios de relevancia frente al logro de los objetivos</v>
      </c>
      <c r="Q130" s="591" t="str">
        <f>IF(OR(P130='[8]Tabla Impacto'!$C$12,P130='[8]Tabla Impacto'!$D$12),"Leve",IF(OR(P130='[8]Tabla Impacto'!$C$13,P130='[8]Tabla Impacto'!$D$13),"Menor",IF(OR(P130='[8]Tabla Impacto'!$C$14,P130='[8]Tabla Impacto'!$D$14),"Moderado",IF(OR(P130='[8]Tabla Impacto'!$C$15,P130='[8]Tabla Impacto'!$D$15),"Mayor",IF(OR(P130='[8]Tabla Impacto'!$C$16,P130='[8]Tabla Impacto'!$D$16),"Catastrófico","")))))</f>
        <v>Moderado</v>
      </c>
      <c r="R130" s="590">
        <f t="shared" si="47"/>
        <v>0.6</v>
      </c>
      <c r="S130" s="592" t="str">
        <f t="shared" si="48"/>
        <v>Moderado</v>
      </c>
      <c r="T130" s="595">
        <v>1</v>
      </c>
      <c r="U130" s="631" t="s">
        <v>997</v>
      </c>
      <c r="V130" s="595" t="str">
        <f t="shared" si="39"/>
        <v>Probabilidad</v>
      </c>
      <c r="W130" s="596" t="s">
        <v>197</v>
      </c>
      <c r="X130" s="596" t="s">
        <v>198</v>
      </c>
      <c r="Y130" s="597" t="str">
        <f t="shared" si="49"/>
        <v>40%</v>
      </c>
      <c r="Z130" s="596" t="s">
        <v>259</v>
      </c>
      <c r="AA130" s="596" t="s">
        <v>200</v>
      </c>
      <c r="AB130" s="596" t="s">
        <v>201</v>
      </c>
      <c r="AC130" s="598">
        <f>IFERROR(IF(AND(V129="Probabilidad",V130="Probabilidad"),(AE129-(+AE129*Y130)),IF(AND(V129="Impacto",V130="Probabilidad"),(AE128-(+AE128*Y130)),IF(V130="Impacto",AE129,""))),"")</f>
        <v>5.183999999999999E-2</v>
      </c>
      <c r="AD130" s="599" t="str">
        <f t="shared" si="50"/>
        <v>Muy Baja</v>
      </c>
      <c r="AE130" s="600">
        <f t="shared" si="51"/>
        <v>5.183999999999999E-2</v>
      </c>
      <c r="AF130" s="599" t="str">
        <f t="shared" si="52"/>
        <v>Mayor</v>
      </c>
      <c r="AG130" s="600">
        <f>IFERROR(IF(AND(V129="Impacto",V130="Impacto"),(AG129-(+AG129*Y130)),IF(AND(V129="Probabilidad",V130="Impacto"),(AG128-(+AG128*Y130)),IF(V130="Probabilidad",AG129,""))),"")</f>
        <v>0.8</v>
      </c>
      <c r="AH130" s="601" t="str">
        <f t="shared" si="53"/>
        <v>Alto</v>
      </c>
      <c r="AI130" s="602" t="s">
        <v>202</v>
      </c>
      <c r="AJ130" s="603"/>
      <c r="AK130" s="192"/>
      <c r="AL130" s="603"/>
      <c r="AM130" s="604"/>
      <c r="AN130" s="606"/>
      <c r="AO130" s="607"/>
      <c r="AP130" s="608">
        <v>45757</v>
      </c>
      <c r="AQ130" s="609" t="s">
        <v>886</v>
      </c>
      <c r="AR130" s="283" t="s">
        <v>998</v>
      </c>
      <c r="AS130" s="611" t="s">
        <v>205</v>
      </c>
      <c r="AT130" s="612" t="s">
        <v>206</v>
      </c>
      <c r="AU130" s="283" t="s">
        <v>206</v>
      </c>
      <c r="AV130" s="613"/>
      <c r="AW130" s="614">
        <v>45782</v>
      </c>
      <c r="AX130" s="615" t="s">
        <v>207</v>
      </c>
      <c r="AY130" s="635" t="s">
        <v>578</v>
      </c>
      <c r="BA130" s="617"/>
      <c r="BB130" s="617"/>
      <c r="BC130" s="618" t="s">
        <v>209</v>
      </c>
      <c r="BE130" s="621">
        <v>45853</v>
      </c>
      <c r="BF130" s="616" t="s">
        <v>886</v>
      </c>
      <c r="BG130" s="283" t="s">
        <v>999</v>
      </c>
      <c r="BH130" s="449" t="s">
        <v>205</v>
      </c>
      <c r="BI130" s="620" t="s">
        <v>206</v>
      </c>
      <c r="BJ130" s="620" t="s">
        <v>206</v>
      </c>
      <c r="BL130" s="450">
        <v>45856</v>
      </c>
      <c r="BM130" s="449" t="s">
        <v>215</v>
      </c>
      <c r="BN130" s="283" t="s">
        <v>231</v>
      </c>
      <c r="BP130" s="617"/>
      <c r="BQ130" s="617"/>
      <c r="BR130" s="618" t="s">
        <v>209</v>
      </c>
      <c r="BT130" s="614">
        <v>45937</v>
      </c>
      <c r="BU130" s="616" t="s">
        <v>889</v>
      </c>
      <c r="BV130" s="283" t="s">
        <v>1000</v>
      </c>
      <c r="BW130" s="651" t="s">
        <v>205</v>
      </c>
      <c r="BX130" s="615" t="s">
        <v>206</v>
      </c>
      <c r="BY130" s="615" t="s">
        <v>206</v>
      </c>
      <c r="CA130" s="614">
        <v>45992</v>
      </c>
      <c r="CB130" s="616" t="s">
        <v>218</v>
      </c>
      <c r="CC130" s="286" t="s">
        <v>233</v>
      </c>
      <c r="CE130" s="617"/>
      <c r="CF130" s="617"/>
      <c r="CG130" s="618" t="s">
        <v>209</v>
      </c>
      <c r="CH130" s="192"/>
      <c r="CI130" s="558"/>
      <c r="CJ130" s="558"/>
      <c r="CK130" s="559" t="s">
        <v>209</v>
      </c>
      <c r="CL130" s="558"/>
      <c r="CM130" s="558"/>
      <c r="CN130" s="558"/>
      <c r="CO130" s="553"/>
      <c r="CP130" s="558"/>
      <c r="CQ130" s="558"/>
      <c r="CR130" s="559" t="s">
        <v>209</v>
      </c>
      <c r="CS130" s="553"/>
      <c r="CT130" s="558"/>
      <c r="CU130" s="558"/>
      <c r="CV130" s="559" t="s">
        <v>209</v>
      </c>
    </row>
    <row r="131" spans="1:100" ht="151.5" customHeight="1" x14ac:dyDescent="0.3">
      <c r="A131" s="622">
        <v>57</v>
      </c>
      <c r="B131" s="622" t="s">
        <v>993</v>
      </c>
      <c r="C131" s="623" t="s">
        <v>880</v>
      </c>
      <c r="D131" s="585" t="str">
        <f>IFERROR(INDEX('Base de datos gestión'!$D$28:$D$50,MATCH(C131,'Base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31" s="585" t="str">
        <f>IFERROR(INDEX('Base de datos gestión'!$E$28:$E$50,MATCH(C131,'Base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31" s="628" t="s">
        <v>276</v>
      </c>
      <c r="G131" s="629" t="s">
        <v>994</v>
      </c>
      <c r="H131" s="628" t="s">
        <v>995</v>
      </c>
      <c r="I131" s="628" t="s">
        <v>996</v>
      </c>
      <c r="J131" s="630" t="s">
        <v>280</v>
      </c>
      <c r="K131" s="630" t="s">
        <v>311</v>
      </c>
      <c r="L131" s="630">
        <v>2</v>
      </c>
      <c r="M131" s="588" t="str">
        <f t="shared" si="46"/>
        <v>Muy Baja</v>
      </c>
      <c r="N131" s="589">
        <f t="shared" si="41"/>
        <v>0.2</v>
      </c>
      <c r="O131" s="590" t="s">
        <v>248</v>
      </c>
      <c r="P131" s="589" t="str">
        <f>IF(NOT(ISERROR(MATCH(O131,'Tabla Impacto'!$B$222:$B$224,0))),'Tabla Impacto'!$F$224&amp;"Por favor no seleccionar los criterios de impacto(Afectación Económica o presupuestal y Pérdida Reputacional)",O131)</f>
        <v xml:space="preserve">     El riesgo afecta la imagen de la entidad con algunos usuarios de relevancia frente al logro de los objetivos</v>
      </c>
      <c r="Q131" s="591" t="str">
        <f>IF(OR(P131='[8]Tabla Impacto'!$C$12,P131='[8]Tabla Impacto'!$D$12),"Leve",IF(OR(P131='[8]Tabla Impacto'!$C$13,P131='[8]Tabla Impacto'!$D$13),"Menor",IF(OR(P131='[8]Tabla Impacto'!$C$14,P131='[8]Tabla Impacto'!$D$14),"Moderado",IF(OR(P131='[8]Tabla Impacto'!$C$15,P131='[8]Tabla Impacto'!$D$15),"Mayor",IF(OR(P131='[8]Tabla Impacto'!$C$16,P131='[8]Tabla Impacto'!$D$16),"Catastrófico","")))))</f>
        <v>Moderado</v>
      </c>
      <c r="R131" s="590">
        <f t="shared" si="47"/>
        <v>0.6</v>
      </c>
      <c r="S131" s="592" t="str">
        <f t="shared" si="48"/>
        <v>Moderado</v>
      </c>
      <c r="T131" s="595">
        <v>2</v>
      </c>
      <c r="U131" s="631" t="s">
        <v>1001</v>
      </c>
      <c r="V131" s="595" t="str">
        <f t="shared" si="39"/>
        <v>Probabilidad</v>
      </c>
      <c r="W131" s="596" t="s">
        <v>269</v>
      </c>
      <c r="X131" s="596" t="s">
        <v>198</v>
      </c>
      <c r="Y131" s="597" t="str">
        <f t="shared" si="49"/>
        <v>30%</v>
      </c>
      <c r="Z131" s="596" t="s">
        <v>259</v>
      </c>
      <c r="AA131" s="596" t="s">
        <v>200</v>
      </c>
      <c r="AB131" s="596" t="s">
        <v>201</v>
      </c>
      <c r="AC131" s="598">
        <f>IFERROR(IF(AND(V130="Probabilidad",V131="Probabilidad"),(AE130-(+AE130*Y131)),IF(AND(V130="Impacto",V131="Probabilidad"),(AE129-(+AE129*Y131)),IF(V131="Impacto",AE130,""))),"")</f>
        <v>3.6287999999999994E-2</v>
      </c>
      <c r="AD131" s="599" t="str">
        <f t="shared" si="50"/>
        <v>Muy Baja</v>
      </c>
      <c r="AE131" s="600">
        <f t="shared" si="51"/>
        <v>3.6287999999999994E-2</v>
      </c>
      <c r="AF131" s="599" t="str">
        <f t="shared" si="52"/>
        <v>Mayor</v>
      </c>
      <c r="AG131" s="600">
        <f>IFERROR(IF(AND(V130="Impacto",V131="Impacto"),(AG130-(+AG130*Y131)),IF(AND(V130="Probabilidad",V131="Impacto"),(AG129-(+AG129*Y131)),IF(V131="Probabilidad",AG130,""))),"")</f>
        <v>0.8</v>
      </c>
      <c r="AH131" s="601" t="str">
        <f t="shared" si="53"/>
        <v>Alto</v>
      </c>
      <c r="AI131" s="602" t="s">
        <v>202</v>
      </c>
      <c r="AJ131" s="603"/>
      <c r="AK131" s="192"/>
      <c r="AL131" s="603"/>
      <c r="AM131" s="604"/>
      <c r="AN131" s="606"/>
      <c r="AO131" s="607"/>
      <c r="AP131" s="608">
        <v>45757</v>
      </c>
      <c r="AQ131" s="609" t="s">
        <v>886</v>
      </c>
      <c r="AR131" s="283" t="s">
        <v>1002</v>
      </c>
      <c r="AS131" s="611" t="s">
        <v>205</v>
      </c>
      <c r="AT131" s="612" t="s">
        <v>206</v>
      </c>
      <c r="AU131" s="283" t="s">
        <v>206</v>
      </c>
      <c r="AV131" s="613"/>
      <c r="AW131" s="614">
        <v>45782</v>
      </c>
      <c r="AX131" s="615" t="s">
        <v>207</v>
      </c>
      <c r="AY131" s="635" t="s">
        <v>578</v>
      </c>
      <c r="BA131" s="617"/>
      <c r="BB131" s="617"/>
      <c r="BC131" s="618" t="s">
        <v>209</v>
      </c>
      <c r="BE131" s="621">
        <v>45853</v>
      </c>
      <c r="BF131" s="616" t="s">
        <v>886</v>
      </c>
      <c r="BG131" s="283" t="s">
        <v>1003</v>
      </c>
      <c r="BH131" s="449" t="s">
        <v>205</v>
      </c>
      <c r="BI131" s="620" t="s">
        <v>206</v>
      </c>
      <c r="BJ131" s="620" t="s">
        <v>206</v>
      </c>
      <c r="BL131" s="450">
        <v>45856</v>
      </c>
      <c r="BM131" s="449" t="s">
        <v>215</v>
      </c>
      <c r="BN131" s="283" t="s">
        <v>231</v>
      </c>
      <c r="BP131" s="617"/>
      <c r="BQ131" s="617"/>
      <c r="BR131" s="618" t="s">
        <v>209</v>
      </c>
      <c r="BT131" s="614">
        <v>45937</v>
      </c>
      <c r="BU131" s="616" t="s">
        <v>889</v>
      </c>
      <c r="BV131" s="283" t="s">
        <v>1000</v>
      </c>
      <c r="BW131" s="651" t="s">
        <v>205</v>
      </c>
      <c r="BX131" s="615" t="s">
        <v>206</v>
      </c>
      <c r="BY131" s="615" t="s">
        <v>206</v>
      </c>
      <c r="CA131" s="614">
        <v>45992</v>
      </c>
      <c r="CB131" s="616" t="s">
        <v>218</v>
      </c>
      <c r="CC131" s="286" t="s">
        <v>233</v>
      </c>
      <c r="CE131" s="617"/>
      <c r="CF131" s="617"/>
      <c r="CG131" s="618" t="s">
        <v>209</v>
      </c>
      <c r="CH131" s="192"/>
      <c r="CI131" s="558"/>
      <c r="CJ131" s="558"/>
      <c r="CK131" s="559" t="s">
        <v>209</v>
      </c>
      <c r="CL131" s="558"/>
      <c r="CM131" s="558"/>
      <c r="CN131" s="558"/>
      <c r="CO131" s="553"/>
      <c r="CP131" s="558"/>
      <c r="CQ131" s="558"/>
      <c r="CR131" s="559" t="s">
        <v>209</v>
      </c>
      <c r="CS131" s="553"/>
      <c r="CT131" s="558"/>
      <c r="CU131" s="558"/>
      <c r="CV131" s="559" t="s">
        <v>209</v>
      </c>
    </row>
    <row r="132" spans="1:100" ht="151.5" customHeight="1" x14ac:dyDescent="0.3">
      <c r="A132" s="632">
        <v>58</v>
      </c>
      <c r="B132" s="632" t="s">
        <v>1004</v>
      </c>
      <c r="C132" s="633" t="s">
        <v>880</v>
      </c>
      <c r="D132" s="585" t="str">
        <f>IFERROR(INDEX('Base de datos gestión'!$D$28:$D$50,MATCH(C132,'Base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32" s="585" t="str">
        <f>IFERROR(INDEX('Base de datos gestión'!$E$28:$E$50,MATCH(C132,'Base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32" s="628" t="s">
        <v>276</v>
      </c>
      <c r="G132" s="629" t="s">
        <v>1005</v>
      </c>
      <c r="H132" s="628" t="s">
        <v>1006</v>
      </c>
      <c r="I132" s="628" t="s">
        <v>1007</v>
      </c>
      <c r="J132" s="630" t="s">
        <v>797</v>
      </c>
      <c r="K132" s="630" t="s">
        <v>496</v>
      </c>
      <c r="L132" s="630">
        <v>42000</v>
      </c>
      <c r="M132" s="588" t="str">
        <f t="shared" si="46"/>
        <v>Muy Alta</v>
      </c>
      <c r="N132" s="589">
        <f t="shared" si="41"/>
        <v>1</v>
      </c>
      <c r="O132" s="590" t="s">
        <v>248</v>
      </c>
      <c r="P132" s="589" t="str">
        <f>IF(NOT(ISERROR(MATCH(O132,'Tabla Impacto'!$B$222:$B$224,0))),'Tabla Impacto'!$F$224&amp;"Por favor no seleccionar los criterios de impacto(Afectación Económica o presupuestal y Pérdida Reputacional)",O132)</f>
        <v xml:space="preserve">     El riesgo afecta la imagen de la entidad con algunos usuarios de relevancia frente al logro de los objetivos</v>
      </c>
      <c r="Q132" s="591" t="str">
        <f>IF(OR(P132='[8]Tabla Impacto'!$C$12,P132='[8]Tabla Impacto'!$D$12),"Leve",IF(OR(P132='[8]Tabla Impacto'!$C$13,P132='[8]Tabla Impacto'!$D$13),"Menor",IF(OR(P132='[8]Tabla Impacto'!$C$14,P132='[8]Tabla Impacto'!$D$14),"Moderado",IF(OR(P132='[8]Tabla Impacto'!$C$15,P132='[8]Tabla Impacto'!$D$15),"Mayor",IF(OR(P132='[8]Tabla Impacto'!$C$16,P132='[8]Tabla Impacto'!$D$16),"Catastrófico","")))))</f>
        <v>Moderado</v>
      </c>
      <c r="R132" s="590">
        <f t="shared" si="47"/>
        <v>0.6</v>
      </c>
      <c r="S132" s="592" t="str">
        <f t="shared" si="48"/>
        <v>Alto</v>
      </c>
      <c r="T132" s="595">
        <v>1</v>
      </c>
      <c r="U132" s="631" t="s">
        <v>1008</v>
      </c>
      <c r="V132" s="595" t="str">
        <f t="shared" si="39"/>
        <v>Probabilidad</v>
      </c>
      <c r="W132" s="596" t="s">
        <v>197</v>
      </c>
      <c r="X132" s="596" t="s">
        <v>198</v>
      </c>
      <c r="Y132" s="597" t="str">
        <f t="shared" si="49"/>
        <v>40%</v>
      </c>
      <c r="Z132" s="596" t="s">
        <v>259</v>
      </c>
      <c r="AA132" s="596" t="s">
        <v>200</v>
      </c>
      <c r="AB132" s="596" t="s">
        <v>201</v>
      </c>
      <c r="AC132" s="598">
        <f>IFERROR(IF(AND(V131="Probabilidad",V132="Probabilidad"),(AE131-(+AE131*Y132)),IF(AND(V131="Impacto",V132="Probabilidad"),(AE130-(+AE130*Y132)),IF(V132="Impacto",AE131,""))),"")</f>
        <v>2.1772799999999995E-2</v>
      </c>
      <c r="AD132" s="599" t="str">
        <f t="shared" si="50"/>
        <v>Muy Baja</v>
      </c>
      <c r="AE132" s="600">
        <f t="shared" si="51"/>
        <v>2.1772799999999995E-2</v>
      </c>
      <c r="AF132" s="599" t="str">
        <f t="shared" si="52"/>
        <v>Mayor</v>
      </c>
      <c r="AG132" s="600">
        <f>IFERROR(IF(AND(V131="Impacto",V132="Impacto"),(AG131-(+AG131*Y132)),IF(AND(V131="Probabilidad",V132="Impacto"),(AG130-(+AG130*Y132)),IF(V132="Probabilidad",AG131,""))),"")</f>
        <v>0.8</v>
      </c>
      <c r="AH132" s="601" t="str">
        <f t="shared" si="53"/>
        <v>Alto</v>
      </c>
      <c r="AI132" s="602" t="s">
        <v>202</v>
      </c>
      <c r="AJ132" s="603"/>
      <c r="AK132" s="192"/>
      <c r="AL132" s="603"/>
      <c r="AM132" s="604"/>
      <c r="AN132" s="606"/>
      <c r="AO132" s="607"/>
      <c r="AP132" s="608">
        <v>45757</v>
      </c>
      <c r="AQ132" s="609" t="s">
        <v>886</v>
      </c>
      <c r="AR132" s="283" t="s">
        <v>1009</v>
      </c>
      <c r="AS132" s="611" t="s">
        <v>205</v>
      </c>
      <c r="AT132" s="612" t="s">
        <v>206</v>
      </c>
      <c r="AU132" s="283" t="s">
        <v>206</v>
      </c>
      <c r="AV132" s="613"/>
      <c r="AW132" s="614">
        <v>45782</v>
      </c>
      <c r="AX132" s="615" t="s">
        <v>207</v>
      </c>
      <c r="AY132" s="635" t="s">
        <v>578</v>
      </c>
      <c r="BA132" s="617"/>
      <c r="BB132" s="617"/>
      <c r="BC132" s="618" t="s">
        <v>209</v>
      </c>
      <c r="BE132" s="621">
        <v>45853</v>
      </c>
      <c r="BF132" s="616" t="s">
        <v>886</v>
      </c>
      <c r="BG132" s="283" t="s">
        <v>1010</v>
      </c>
      <c r="BH132" s="449" t="s">
        <v>205</v>
      </c>
      <c r="BI132" s="620" t="s">
        <v>206</v>
      </c>
      <c r="BJ132" s="620" t="s">
        <v>206</v>
      </c>
      <c r="BL132" s="450">
        <v>45856</v>
      </c>
      <c r="BM132" s="449" t="s">
        <v>215</v>
      </c>
      <c r="BN132" s="283" t="s">
        <v>231</v>
      </c>
      <c r="BP132" s="617"/>
      <c r="BQ132" s="617"/>
      <c r="BR132" s="618" t="s">
        <v>209</v>
      </c>
      <c r="BT132" s="614">
        <v>45937</v>
      </c>
      <c r="BU132" s="615" t="s">
        <v>1011</v>
      </c>
      <c r="BV132" s="283" t="s">
        <v>1012</v>
      </c>
      <c r="BW132" s="651" t="s">
        <v>205</v>
      </c>
      <c r="BX132" s="615" t="s">
        <v>206</v>
      </c>
      <c r="BY132" s="615" t="s">
        <v>206</v>
      </c>
      <c r="CA132" s="614">
        <v>45992</v>
      </c>
      <c r="CB132" s="616" t="s">
        <v>218</v>
      </c>
      <c r="CC132" s="286" t="s">
        <v>233</v>
      </c>
      <c r="CE132" s="617"/>
      <c r="CF132" s="617"/>
      <c r="CG132" s="618" t="s">
        <v>209</v>
      </c>
      <c r="CH132" s="192"/>
      <c r="CI132" s="558"/>
      <c r="CJ132" s="558"/>
      <c r="CK132" s="559" t="s">
        <v>209</v>
      </c>
      <c r="CL132" s="558"/>
      <c r="CM132" s="558"/>
      <c r="CN132" s="558"/>
      <c r="CO132" s="553"/>
      <c r="CP132" s="558"/>
      <c r="CQ132" s="558"/>
      <c r="CR132" s="559" t="s">
        <v>209</v>
      </c>
      <c r="CS132" s="553"/>
      <c r="CT132" s="558"/>
      <c r="CU132" s="558"/>
      <c r="CV132" s="559" t="s">
        <v>209</v>
      </c>
    </row>
    <row r="133" spans="1:100" ht="151.5" customHeight="1" x14ac:dyDescent="0.3">
      <c r="A133" s="584">
        <v>58</v>
      </c>
      <c r="B133" s="584" t="s">
        <v>1004</v>
      </c>
      <c r="C133" s="585" t="s">
        <v>880</v>
      </c>
      <c r="D133" s="585" t="str">
        <f>IFERROR(INDEX('Base de datos gestión'!$D$28:$D$50,MATCH(C133,'Base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33" s="585" t="str">
        <f>IFERROR(INDEX('Base de datos gestión'!$E$28:$E$50,MATCH(C133,'Base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33" s="628" t="s">
        <v>276</v>
      </c>
      <c r="G133" s="629" t="s">
        <v>1005</v>
      </c>
      <c r="H133" s="628" t="s">
        <v>1006</v>
      </c>
      <c r="I133" s="628" t="s">
        <v>1007</v>
      </c>
      <c r="J133" s="630" t="s">
        <v>797</v>
      </c>
      <c r="K133" s="630" t="s">
        <v>496</v>
      </c>
      <c r="L133" s="630">
        <v>42000</v>
      </c>
      <c r="M133" s="588" t="str">
        <f t="shared" si="46"/>
        <v>Muy Alta</v>
      </c>
      <c r="N133" s="589">
        <f t="shared" si="41"/>
        <v>1</v>
      </c>
      <c r="O133" s="590" t="s">
        <v>248</v>
      </c>
      <c r="P133" s="589" t="str">
        <f>IF(NOT(ISERROR(MATCH(O133,'Tabla Impacto'!$B$222:$B$224,0))),'Tabla Impacto'!$F$224&amp;"Por favor no seleccionar los criterios de impacto(Afectación Económica o presupuestal y Pérdida Reputacional)",O133)</f>
        <v xml:space="preserve">     El riesgo afecta la imagen de la entidad con algunos usuarios de relevancia frente al logro de los objetivos</v>
      </c>
      <c r="Q133" s="591" t="str">
        <f>IF(OR(P133='[8]Tabla Impacto'!$C$12,P133='[8]Tabla Impacto'!$D$12),"Leve",IF(OR(P133='[8]Tabla Impacto'!$C$13,P133='[8]Tabla Impacto'!$D$13),"Menor",IF(OR(P133='[8]Tabla Impacto'!$C$14,P133='[8]Tabla Impacto'!$D$14),"Moderado",IF(OR(P133='[8]Tabla Impacto'!$C$15,P133='[8]Tabla Impacto'!$D$15),"Mayor",IF(OR(P133='[8]Tabla Impacto'!$C$16,P133='[8]Tabla Impacto'!$D$16),"Catastrófico","")))))</f>
        <v>Moderado</v>
      </c>
      <c r="R133" s="590">
        <f t="shared" si="47"/>
        <v>0.6</v>
      </c>
      <c r="S133" s="592" t="str">
        <f t="shared" si="48"/>
        <v>Alto</v>
      </c>
      <c r="T133" s="595">
        <v>2</v>
      </c>
      <c r="U133" s="631" t="s">
        <v>1013</v>
      </c>
      <c r="V133" s="595" t="str">
        <f t="shared" si="39"/>
        <v>Probabilidad</v>
      </c>
      <c r="W133" s="596" t="s">
        <v>197</v>
      </c>
      <c r="X133" s="596" t="s">
        <v>198</v>
      </c>
      <c r="Y133" s="597" t="str">
        <f t="shared" si="49"/>
        <v>40%</v>
      </c>
      <c r="Z133" s="596" t="s">
        <v>259</v>
      </c>
      <c r="AA133" s="596" t="s">
        <v>200</v>
      </c>
      <c r="AB133" s="596" t="s">
        <v>201</v>
      </c>
      <c r="AC133" s="598">
        <f>IFERROR(IF(V133="Probabilidad",(N133-(+N133*Y133)),IF(V133="Impacto",N133,"")),"")</f>
        <v>0.6</v>
      </c>
      <c r="AD133" s="599" t="str">
        <f t="shared" si="50"/>
        <v>Media</v>
      </c>
      <c r="AE133" s="600">
        <f t="shared" si="51"/>
        <v>0.6</v>
      </c>
      <c r="AF133" s="599" t="str">
        <f t="shared" si="52"/>
        <v>Moderado</v>
      </c>
      <c r="AG133" s="600">
        <f>IFERROR(IF(V133="Impacto",(R133-(+R133*Y133)),IF(V133="Probabilidad",R133,"")),"")</f>
        <v>0.6</v>
      </c>
      <c r="AH133" s="601" t="str">
        <f t="shared" si="53"/>
        <v>Moderado</v>
      </c>
      <c r="AI133" s="602" t="s">
        <v>202</v>
      </c>
      <c r="AJ133" s="603"/>
      <c r="AK133" s="192"/>
      <c r="AL133" s="603"/>
      <c r="AM133" s="604"/>
      <c r="AN133" s="606"/>
      <c r="AO133" s="607"/>
      <c r="AP133" s="608">
        <v>45757</v>
      </c>
      <c r="AQ133" s="609" t="s">
        <v>886</v>
      </c>
      <c r="AR133" s="283" t="s">
        <v>1014</v>
      </c>
      <c r="AS133" s="611" t="s">
        <v>205</v>
      </c>
      <c r="AT133" s="612" t="s">
        <v>206</v>
      </c>
      <c r="AU133" s="283" t="s">
        <v>206</v>
      </c>
      <c r="AV133" s="613"/>
      <c r="AW133" s="614">
        <v>45782</v>
      </c>
      <c r="AX133" s="615" t="s">
        <v>207</v>
      </c>
      <c r="AY133" s="635" t="s">
        <v>578</v>
      </c>
      <c r="BA133" s="617"/>
      <c r="BB133" s="617"/>
      <c r="BC133" s="618" t="s">
        <v>209</v>
      </c>
      <c r="BE133" s="621">
        <v>45853</v>
      </c>
      <c r="BF133" s="616" t="s">
        <v>886</v>
      </c>
      <c r="BG133" s="283" t="s">
        <v>1015</v>
      </c>
      <c r="BH133" s="449" t="s">
        <v>205</v>
      </c>
      <c r="BI133" s="620" t="s">
        <v>206</v>
      </c>
      <c r="BJ133" s="620" t="s">
        <v>206</v>
      </c>
      <c r="BL133" s="450">
        <v>45856</v>
      </c>
      <c r="BM133" s="449" t="s">
        <v>215</v>
      </c>
      <c r="BN133" s="283" t="s">
        <v>231</v>
      </c>
      <c r="BP133" s="617"/>
      <c r="BQ133" s="617"/>
      <c r="BR133" s="618" t="s">
        <v>209</v>
      </c>
      <c r="BT133" s="614">
        <v>45937</v>
      </c>
      <c r="BU133" s="616" t="s">
        <v>889</v>
      </c>
      <c r="BV133" s="283" t="s">
        <v>1016</v>
      </c>
      <c r="BW133" s="651" t="s">
        <v>205</v>
      </c>
      <c r="BX133" s="615" t="s">
        <v>206</v>
      </c>
      <c r="BY133" s="615" t="s">
        <v>206</v>
      </c>
      <c r="CA133" s="614">
        <v>45992</v>
      </c>
      <c r="CB133" s="616" t="s">
        <v>218</v>
      </c>
      <c r="CC133" s="286" t="s">
        <v>233</v>
      </c>
      <c r="CE133" s="617"/>
      <c r="CF133" s="617"/>
      <c r="CG133" s="618" t="s">
        <v>209</v>
      </c>
      <c r="CH133" s="192"/>
      <c r="CI133" s="558"/>
      <c r="CJ133" s="558"/>
      <c r="CK133" s="559" t="s">
        <v>209</v>
      </c>
      <c r="CL133" s="558"/>
      <c r="CM133" s="558"/>
      <c r="CN133" s="558"/>
      <c r="CO133" s="553"/>
      <c r="CP133" s="558"/>
      <c r="CQ133" s="558"/>
      <c r="CR133" s="559" t="s">
        <v>209</v>
      </c>
      <c r="CS133" s="553"/>
      <c r="CT133" s="558"/>
      <c r="CU133" s="558"/>
      <c r="CV133" s="559" t="s">
        <v>209</v>
      </c>
    </row>
    <row r="134" spans="1:100" ht="176.25" customHeight="1" x14ac:dyDescent="0.3">
      <c r="A134" s="622">
        <v>59</v>
      </c>
      <c r="B134" s="622" t="s">
        <v>1017</v>
      </c>
      <c r="C134" s="623" t="s">
        <v>880</v>
      </c>
      <c r="D134" s="585" t="str">
        <f>IFERROR(INDEX('Base de datos gestión'!$D$28:$D$50,MATCH(C134,'Base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E134" s="585" t="str">
        <f>IFERROR(INDEX('Base de datos gestión'!$E$28:$E$50,MATCH(C134,'Base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F134" s="630" t="s">
        <v>276</v>
      </c>
      <c r="G134" s="629" t="s">
        <v>1018</v>
      </c>
      <c r="H134" s="630" t="s">
        <v>1019</v>
      </c>
      <c r="I134" s="630" t="s">
        <v>1020</v>
      </c>
      <c r="J134" s="630" t="s">
        <v>280</v>
      </c>
      <c r="K134" s="630" t="s">
        <v>311</v>
      </c>
      <c r="L134" s="630">
        <v>43</v>
      </c>
      <c r="M134" s="588" t="str">
        <f t="shared" si="46"/>
        <v>Media</v>
      </c>
      <c r="N134" s="589">
        <f t="shared" si="41"/>
        <v>0.6</v>
      </c>
      <c r="O134" s="590" t="s">
        <v>248</v>
      </c>
      <c r="P134" s="589" t="str">
        <f>IF(NOT(ISERROR(MATCH(O134,'Tabla Impacto'!$B$222:$B$224,0))),'Tabla Impacto'!$F$224&amp;"Por favor no seleccionar los criterios de impacto(Afectación Económica o presupuestal y Pérdida Reputacional)",O134)</f>
        <v xml:space="preserve">     El riesgo afecta la imagen de la entidad con algunos usuarios de relevancia frente al logro de los objetivos</v>
      </c>
      <c r="Q134" s="591" t="str">
        <f>IF(OR(P134='[8]Tabla Impacto'!$C$12,P134='[8]Tabla Impacto'!$D$12),"Leve",IF(OR(P134='[8]Tabla Impacto'!$C$13,P134='[8]Tabla Impacto'!$D$13),"Menor",IF(OR(P134='[8]Tabla Impacto'!$C$14,P134='[8]Tabla Impacto'!$D$14),"Moderado",IF(OR(P134='[8]Tabla Impacto'!$C$15,P134='[8]Tabla Impacto'!$D$15),"Mayor",IF(OR(P134='[8]Tabla Impacto'!$C$16,P134='[8]Tabla Impacto'!$D$16),"Catastrófico","")))))</f>
        <v>Moderado</v>
      </c>
      <c r="R134" s="590">
        <f t="shared" si="47"/>
        <v>0.6</v>
      </c>
      <c r="S134" s="592" t="str">
        <f t="shared" si="48"/>
        <v>Moderado</v>
      </c>
      <c r="T134" s="595">
        <v>1</v>
      </c>
      <c r="U134" s="631" t="s">
        <v>1021</v>
      </c>
      <c r="V134" s="595" t="str">
        <f t="shared" si="39"/>
        <v>Probabilidad</v>
      </c>
      <c r="W134" s="596" t="s">
        <v>197</v>
      </c>
      <c r="X134" s="596" t="s">
        <v>198</v>
      </c>
      <c r="Y134" s="597" t="str">
        <f t="shared" si="49"/>
        <v>40%</v>
      </c>
      <c r="Z134" s="596" t="s">
        <v>259</v>
      </c>
      <c r="AA134" s="596" t="s">
        <v>200</v>
      </c>
      <c r="AB134" s="596" t="s">
        <v>201</v>
      </c>
      <c r="AC134" s="598">
        <f>IFERROR(IF(AND(V133="Probabilidad",V134="Probabilidad"),(AE133-(+AE133*Y134)),IF(V134="Probabilidad",(N133-(+N133*Y134)),IF(V134="Impacto",AE133,""))),"")</f>
        <v>0.36</v>
      </c>
      <c r="AD134" s="599" t="str">
        <f t="shared" si="50"/>
        <v>Baja</v>
      </c>
      <c r="AE134" s="600">
        <f t="shared" si="51"/>
        <v>0.36</v>
      </c>
      <c r="AF134" s="599" t="str">
        <f t="shared" si="52"/>
        <v>Leve</v>
      </c>
      <c r="AG134" s="600">
        <f>IFERROR(IF(AND(V133="Impacto",V134="Impacto"),(AG127-(+AG127*Y134)),IF(V134="Impacto",($R$49-(+$R$49*Y134)),IF(V134="Probabilidad",AG127,""))),"")</f>
        <v>0.2</v>
      </c>
      <c r="AH134" s="601" t="str">
        <f t="shared" si="53"/>
        <v>Bajo</v>
      </c>
      <c r="AI134" s="602" t="s">
        <v>202</v>
      </c>
      <c r="AJ134" s="603"/>
      <c r="AK134" s="192"/>
      <c r="AL134" s="603"/>
      <c r="AM134" s="604"/>
      <c r="AN134" s="606"/>
      <c r="AO134" s="607"/>
      <c r="AP134" s="608">
        <v>45782</v>
      </c>
      <c r="AQ134" s="609" t="s">
        <v>1022</v>
      </c>
      <c r="AR134" s="283" t="s">
        <v>1023</v>
      </c>
      <c r="AS134" s="611" t="s">
        <v>205</v>
      </c>
      <c r="AT134" s="612" t="s">
        <v>206</v>
      </c>
      <c r="AU134" s="283" t="s">
        <v>206</v>
      </c>
      <c r="AV134" s="613"/>
      <c r="AW134" s="660">
        <v>45782</v>
      </c>
      <c r="AX134" s="694" t="s">
        <v>207</v>
      </c>
      <c r="AY134" s="695" t="s">
        <v>366</v>
      </c>
      <c r="BA134" s="617"/>
      <c r="BB134" s="617"/>
      <c r="BC134" s="618" t="s">
        <v>209</v>
      </c>
      <c r="BE134" s="621">
        <v>45869</v>
      </c>
      <c r="BF134" s="609" t="s">
        <v>1022</v>
      </c>
      <c r="BG134" s="283" t="s">
        <v>1024</v>
      </c>
      <c r="BH134" s="449" t="s">
        <v>205</v>
      </c>
      <c r="BI134" s="619" t="s">
        <v>206</v>
      </c>
      <c r="BJ134" s="619" t="s">
        <v>206</v>
      </c>
      <c r="BL134" s="450">
        <v>45869</v>
      </c>
      <c r="BM134" s="449" t="s">
        <v>215</v>
      </c>
      <c r="BN134" s="283" t="s">
        <v>231</v>
      </c>
      <c r="BP134" s="617"/>
      <c r="BQ134" s="617"/>
      <c r="BR134" s="618" t="s">
        <v>209</v>
      </c>
      <c r="BT134" s="668">
        <v>45952</v>
      </c>
      <c r="BU134" s="616" t="s">
        <v>1025</v>
      </c>
      <c r="BV134" s="286" t="s">
        <v>1026</v>
      </c>
      <c r="BW134" s="641" t="s">
        <v>205</v>
      </c>
      <c r="BX134" s="612" t="s">
        <v>206</v>
      </c>
      <c r="BY134" s="612" t="s">
        <v>206</v>
      </c>
      <c r="CA134" s="614">
        <v>45992</v>
      </c>
      <c r="CB134" s="616" t="s">
        <v>218</v>
      </c>
      <c r="CC134" s="286" t="s">
        <v>1027</v>
      </c>
      <c r="CE134" s="617"/>
      <c r="CF134" s="617"/>
      <c r="CG134" s="618" t="s">
        <v>209</v>
      </c>
      <c r="CH134" s="192"/>
      <c r="CI134" s="558"/>
      <c r="CJ134" s="558"/>
      <c r="CK134" s="559" t="s">
        <v>209</v>
      </c>
      <c r="CL134" s="558"/>
      <c r="CM134" s="558"/>
      <c r="CN134" s="558"/>
      <c r="CO134" s="553"/>
      <c r="CP134" s="558"/>
      <c r="CQ134" s="558"/>
      <c r="CR134" s="559" t="s">
        <v>209</v>
      </c>
      <c r="CS134" s="553"/>
      <c r="CT134" s="558"/>
      <c r="CU134" s="558"/>
      <c r="CV134" s="559" t="s">
        <v>209</v>
      </c>
    </row>
    <row r="135" spans="1:100" ht="151.5" customHeight="1" x14ac:dyDescent="0.3">
      <c r="A135" s="622">
        <v>60</v>
      </c>
      <c r="B135" s="622" t="s">
        <v>1028</v>
      </c>
      <c r="C135" s="623" t="s">
        <v>1029</v>
      </c>
      <c r="D135" s="585" t="str">
        <f>IFERROR(INDEX('Base de datos gestión'!$D$28:$D$50,MATCH(C135,'Base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35" s="585" t="str">
        <f>IFERROR(INDEX('Base de datos gestión'!$E$28:$E$50,MATCH(C135,'Base de datos gestión'!$C$28:$C$50,0)), 0)</f>
        <v>El proceso inicia con la planificación de los servicios de ensayos de aptitud y estudios colaborativos (comparaciones interlaboratorios) y finaliza con la aplicación de la evaluación de la satisfacción del servicio.</v>
      </c>
      <c r="F135" s="628" t="s">
        <v>652</v>
      </c>
      <c r="G135" s="629" t="s">
        <v>1030</v>
      </c>
      <c r="H135" s="628" t="s">
        <v>1031</v>
      </c>
      <c r="I135" s="630" t="s">
        <v>1032</v>
      </c>
      <c r="J135" s="630" t="s">
        <v>192</v>
      </c>
      <c r="K135" s="630" t="s">
        <v>311</v>
      </c>
      <c r="L135" s="630">
        <v>6</v>
      </c>
      <c r="M135" s="588" t="str">
        <f t="shared" si="46"/>
        <v>Baja</v>
      </c>
      <c r="N135" s="589">
        <f t="shared" si="41"/>
        <v>0.4</v>
      </c>
      <c r="O135" s="590" t="s">
        <v>950</v>
      </c>
      <c r="P135" s="589" t="str">
        <f>IF(NOT(ISERROR(MATCH(O135,'Tabla Impacto'!$B$222:$B$224,0))),'Tabla Impacto'!$F$224&amp;"Por favor no seleccionar los criterios de impacto(Afectación Económica o presupuestal y Pérdida Reputacional)",O135)</f>
        <v xml:space="preserve">     Entre 10 y 50 SMLMV </v>
      </c>
      <c r="Q135" s="591" t="str">
        <f>IF(OR(P135='[8]Tabla Impacto'!$C$12,P135='[8]Tabla Impacto'!$D$12),"Leve",IF(OR(P135='[8]Tabla Impacto'!$C$13,P135='[8]Tabla Impacto'!$D$13),"Menor",IF(OR(P135='[8]Tabla Impacto'!$C$14,P135='[8]Tabla Impacto'!$D$14),"Moderado",IF(OR(P135='[8]Tabla Impacto'!$C$15,P135='[8]Tabla Impacto'!$D$15),"Mayor",IF(OR(P135='[8]Tabla Impacto'!$C$16,P135='[8]Tabla Impacto'!$D$16),"Catastrófico","")))))</f>
        <v>Menor</v>
      </c>
      <c r="R135" s="590">
        <f t="shared" si="47"/>
        <v>0.4</v>
      </c>
      <c r="S135" s="592" t="str">
        <f t="shared" si="48"/>
        <v>Moderado</v>
      </c>
      <c r="T135" s="595">
        <v>1</v>
      </c>
      <c r="U135" s="631" t="s">
        <v>1033</v>
      </c>
      <c r="V135" s="595" t="str">
        <f t="shared" si="39"/>
        <v>Probabilidad</v>
      </c>
      <c r="W135" s="596" t="s">
        <v>197</v>
      </c>
      <c r="X135" s="596" t="s">
        <v>198</v>
      </c>
      <c r="Y135" s="597" t="str">
        <f t="shared" si="49"/>
        <v>40%</v>
      </c>
      <c r="Z135" s="596" t="s">
        <v>199</v>
      </c>
      <c r="AA135" s="596" t="s">
        <v>200</v>
      </c>
      <c r="AB135" s="596" t="s">
        <v>201</v>
      </c>
      <c r="AC135" s="598">
        <f>IFERROR(IF(AND(V134="Probabilidad",V135="Probabilidad"),(AE134-(+AE134*Y135)),IF(AND(V134="Impacto",V135="Probabilidad"),(AE133-(+AE133*Y135)),IF(V135="Impacto",AE134,""))),"")</f>
        <v>0.216</v>
      </c>
      <c r="AD135" s="599" t="str">
        <f t="shared" si="50"/>
        <v>Baja</v>
      </c>
      <c r="AE135" s="600">
        <f t="shared" si="51"/>
        <v>0.216</v>
      </c>
      <c r="AF135" s="599" t="str">
        <f t="shared" si="52"/>
        <v>Leve</v>
      </c>
      <c r="AG135" s="600">
        <f>IFERROR(IF(AND(V134="Impacto",V135="Impacto"),(AG134-(+AG134*Y135)),IF(AND(V134="Probabilidad",V135="Impacto"),(AG133-(+AG133*Y135)),IF(V135="Probabilidad",AG134,""))),"")</f>
        <v>0.2</v>
      </c>
      <c r="AH135" s="601" t="str">
        <f t="shared" si="53"/>
        <v>Bajo</v>
      </c>
      <c r="AI135" s="602" t="s">
        <v>202</v>
      </c>
      <c r="AJ135" s="603"/>
      <c r="AK135" s="192"/>
      <c r="AL135" s="603"/>
      <c r="AM135" s="604"/>
      <c r="AN135" s="606"/>
      <c r="AO135" s="607"/>
      <c r="AP135" s="608">
        <v>45757</v>
      </c>
      <c r="AQ135" s="609" t="s">
        <v>1034</v>
      </c>
      <c r="AR135" s="283" t="s">
        <v>1035</v>
      </c>
      <c r="AS135" s="611" t="s">
        <v>205</v>
      </c>
      <c r="AT135" s="612" t="s">
        <v>206</v>
      </c>
      <c r="AU135" s="612" t="s">
        <v>206</v>
      </c>
      <c r="AV135" s="613"/>
      <c r="AW135" s="614">
        <v>45782</v>
      </c>
      <c r="AX135" s="615" t="s">
        <v>207</v>
      </c>
      <c r="AY135" s="635" t="s">
        <v>578</v>
      </c>
      <c r="BA135" s="617"/>
      <c r="BB135" s="617"/>
      <c r="BC135" s="618" t="s">
        <v>209</v>
      </c>
      <c r="BE135" s="608">
        <v>45856</v>
      </c>
      <c r="BF135" s="609" t="s">
        <v>1034</v>
      </c>
      <c r="BG135" s="283" t="s">
        <v>1036</v>
      </c>
      <c r="BH135" s="641" t="s">
        <v>205</v>
      </c>
      <c r="BI135" s="612" t="s">
        <v>206</v>
      </c>
      <c r="BJ135" s="612" t="s">
        <v>206</v>
      </c>
      <c r="BL135" s="450">
        <v>45856</v>
      </c>
      <c r="BM135" s="449" t="s">
        <v>215</v>
      </c>
      <c r="BN135" s="283" t="s">
        <v>231</v>
      </c>
      <c r="BP135" s="617"/>
      <c r="BQ135" s="617"/>
      <c r="BR135" s="618" t="s">
        <v>209</v>
      </c>
      <c r="BT135" s="608">
        <v>45940</v>
      </c>
      <c r="BU135" s="609" t="s">
        <v>1034</v>
      </c>
      <c r="BV135" s="283" t="s">
        <v>1037</v>
      </c>
      <c r="BW135" s="641" t="s">
        <v>205</v>
      </c>
      <c r="BX135" s="612" t="s">
        <v>206</v>
      </c>
      <c r="BY135" s="612" t="s">
        <v>206</v>
      </c>
      <c r="CA135" s="659">
        <v>45992</v>
      </c>
      <c r="CB135" s="286" t="s">
        <v>218</v>
      </c>
      <c r="CC135" s="643" t="s">
        <v>233</v>
      </c>
      <c r="CE135" s="617"/>
      <c r="CF135" s="617"/>
      <c r="CG135" s="618" t="s">
        <v>209</v>
      </c>
      <c r="CH135" s="192"/>
      <c r="CI135" s="558"/>
      <c r="CJ135" s="558"/>
      <c r="CK135" s="559" t="s">
        <v>209</v>
      </c>
      <c r="CL135" s="558"/>
      <c r="CM135" s="558"/>
      <c r="CN135" s="558"/>
      <c r="CO135" s="553"/>
      <c r="CP135" s="558"/>
      <c r="CQ135" s="558"/>
      <c r="CR135" s="559" t="s">
        <v>209</v>
      </c>
      <c r="CS135" s="553"/>
      <c r="CT135" s="558"/>
      <c r="CU135" s="558"/>
      <c r="CV135" s="559" t="s">
        <v>209</v>
      </c>
    </row>
    <row r="136" spans="1:100" ht="151.5" customHeight="1" x14ac:dyDescent="0.3">
      <c r="A136" s="622">
        <v>60</v>
      </c>
      <c r="B136" s="622" t="s">
        <v>1028</v>
      </c>
      <c r="C136" s="623" t="s">
        <v>1029</v>
      </c>
      <c r="D136" s="585" t="str">
        <f>IFERROR(INDEX('Base de datos gestión'!$D$28:$D$50,MATCH(C136,'Base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36" s="585" t="str">
        <f>IFERROR(INDEX('Base de datos gestión'!$E$28:$E$50,MATCH(C136,'Base de datos gestión'!$C$28:$C$50,0)), 0)</f>
        <v>El proceso inicia con la planificación de los servicios de ensayos de aptitud y estudios colaborativos (comparaciones interlaboratorios) y finaliza con la aplicación de la evaluación de la satisfacción del servicio.</v>
      </c>
      <c r="F136" s="628" t="s">
        <v>652</v>
      </c>
      <c r="G136" s="629" t="s">
        <v>1030</v>
      </c>
      <c r="H136" s="628" t="s">
        <v>1031</v>
      </c>
      <c r="I136" s="630" t="s">
        <v>1032</v>
      </c>
      <c r="J136" s="630" t="s">
        <v>192</v>
      </c>
      <c r="K136" s="630" t="s">
        <v>311</v>
      </c>
      <c r="L136" s="630">
        <v>6</v>
      </c>
      <c r="M136" s="588" t="str">
        <f t="shared" si="46"/>
        <v>Baja</v>
      </c>
      <c r="N136" s="589">
        <f t="shared" si="41"/>
        <v>0.4</v>
      </c>
      <c r="O136" s="590" t="s">
        <v>950</v>
      </c>
      <c r="P136" s="589" t="str">
        <f>IF(NOT(ISERROR(MATCH(O136,'Tabla Impacto'!$B$222:$B$224,0))),'Tabla Impacto'!$F$224&amp;"Por favor no seleccionar los criterios de impacto(Afectación Económica o presupuestal y Pérdida Reputacional)",O136)</f>
        <v xml:space="preserve">     Entre 10 y 50 SMLMV </v>
      </c>
      <c r="Q136" s="591" t="str">
        <f>IF(OR(P136='[8]Tabla Impacto'!$C$12,P136='[8]Tabla Impacto'!$D$12),"Leve",IF(OR(P136='[8]Tabla Impacto'!$C$13,P136='[8]Tabla Impacto'!$D$13),"Menor",IF(OR(P136='[8]Tabla Impacto'!$C$14,P136='[8]Tabla Impacto'!$D$14),"Moderado",IF(OR(P136='[8]Tabla Impacto'!$C$15,P136='[8]Tabla Impacto'!$D$15),"Mayor",IF(OR(P136='[8]Tabla Impacto'!$C$16,P136='[8]Tabla Impacto'!$D$16),"Catastrófico","")))))</f>
        <v>Menor</v>
      </c>
      <c r="R136" s="590">
        <f t="shared" si="47"/>
        <v>0.4</v>
      </c>
      <c r="S136" s="592" t="str">
        <f t="shared" si="48"/>
        <v>Moderado</v>
      </c>
      <c r="T136" s="595">
        <v>2</v>
      </c>
      <c r="U136" s="631" t="s">
        <v>1038</v>
      </c>
      <c r="V136" s="595" t="str">
        <f t="shared" si="39"/>
        <v>Probabilidad</v>
      </c>
      <c r="W136" s="596" t="s">
        <v>197</v>
      </c>
      <c r="X136" s="596" t="s">
        <v>198</v>
      </c>
      <c r="Y136" s="597" t="str">
        <f t="shared" si="49"/>
        <v>40%</v>
      </c>
      <c r="Z136" s="596" t="s">
        <v>199</v>
      </c>
      <c r="AA136" s="596" t="s">
        <v>200</v>
      </c>
      <c r="AB136" s="596" t="s">
        <v>201</v>
      </c>
      <c r="AC136" s="598">
        <f>IFERROR(IF(AND(V135="Probabilidad",V136="Probabilidad"),(AE135-(+AE135*Y136)),IF(AND(V135="Impacto",V136="Probabilidad"),(AE134-(+AE134*Y136)),IF(V136="Impacto",AE135,""))),"")</f>
        <v>0.12959999999999999</v>
      </c>
      <c r="AD136" s="599" t="str">
        <f t="shared" si="50"/>
        <v>Muy Baja</v>
      </c>
      <c r="AE136" s="600">
        <f t="shared" si="51"/>
        <v>0.12959999999999999</v>
      </c>
      <c r="AF136" s="599" t="str">
        <f t="shared" si="52"/>
        <v>Leve</v>
      </c>
      <c r="AG136" s="600">
        <f>IFERROR(IF(AND(V135="Impacto",V136="Impacto"),(AG135-(+AG135*Y136)),IF(AND(V135="Probabilidad",V136="Impacto"),(AG134-(+AG134*Y136)),IF(V136="Probabilidad",AG135,""))),"")</f>
        <v>0.2</v>
      </c>
      <c r="AH136" s="601" t="str">
        <f t="shared" si="53"/>
        <v>Bajo</v>
      </c>
      <c r="AI136" s="602" t="s">
        <v>202</v>
      </c>
      <c r="AJ136" s="630"/>
      <c r="AK136" s="192"/>
      <c r="AL136" s="630"/>
      <c r="AM136" s="634"/>
      <c r="AN136" s="606"/>
      <c r="AO136" s="607"/>
      <c r="AP136" s="608">
        <v>45757</v>
      </c>
      <c r="AQ136" s="609" t="s">
        <v>1034</v>
      </c>
      <c r="AR136" s="283" t="s">
        <v>1039</v>
      </c>
      <c r="AS136" s="611" t="s">
        <v>205</v>
      </c>
      <c r="AT136" s="612" t="s">
        <v>206</v>
      </c>
      <c r="AU136" s="612" t="s">
        <v>206</v>
      </c>
      <c r="AV136" s="613"/>
      <c r="AW136" s="614">
        <v>45782</v>
      </c>
      <c r="AX136" s="615" t="s">
        <v>207</v>
      </c>
      <c r="AY136" s="635" t="s">
        <v>578</v>
      </c>
      <c r="BA136" s="617"/>
      <c r="BB136" s="617"/>
      <c r="BC136" s="618" t="s">
        <v>209</v>
      </c>
      <c r="BE136" s="608">
        <v>45856</v>
      </c>
      <c r="BF136" s="609" t="s">
        <v>1034</v>
      </c>
      <c r="BG136" s="283" t="s">
        <v>1040</v>
      </c>
      <c r="BH136" s="641" t="s">
        <v>205</v>
      </c>
      <c r="BI136" s="612" t="s">
        <v>206</v>
      </c>
      <c r="BJ136" s="612" t="s">
        <v>206</v>
      </c>
      <c r="BL136" s="450">
        <v>45856</v>
      </c>
      <c r="BM136" s="449" t="s">
        <v>215</v>
      </c>
      <c r="BN136" s="283" t="s">
        <v>231</v>
      </c>
      <c r="BP136" s="617"/>
      <c r="BQ136" s="617"/>
      <c r="BR136" s="618" t="s">
        <v>209</v>
      </c>
      <c r="BT136" s="608">
        <v>45940</v>
      </c>
      <c r="BU136" s="609" t="s">
        <v>1034</v>
      </c>
      <c r="BV136" s="283" t="s">
        <v>1041</v>
      </c>
      <c r="BW136" s="641" t="s">
        <v>205</v>
      </c>
      <c r="BX136" s="612" t="s">
        <v>206</v>
      </c>
      <c r="BY136" s="612" t="s">
        <v>206</v>
      </c>
      <c r="CA136" s="659">
        <v>45992</v>
      </c>
      <c r="CB136" s="286" t="s">
        <v>218</v>
      </c>
      <c r="CC136" s="643" t="s">
        <v>233</v>
      </c>
      <c r="CE136" s="617"/>
      <c r="CF136" s="617"/>
      <c r="CG136" s="618" t="s">
        <v>209</v>
      </c>
      <c r="CH136" s="192"/>
      <c r="CI136" s="558"/>
      <c r="CJ136" s="558"/>
      <c r="CK136" s="559" t="s">
        <v>209</v>
      </c>
      <c r="CL136" s="558"/>
      <c r="CM136" s="558"/>
      <c r="CN136" s="558"/>
      <c r="CO136" s="553"/>
      <c r="CP136" s="558"/>
      <c r="CQ136" s="558"/>
      <c r="CR136" s="559" t="s">
        <v>209</v>
      </c>
      <c r="CS136" s="553"/>
      <c r="CT136" s="558"/>
      <c r="CU136" s="558"/>
      <c r="CV136" s="559" t="s">
        <v>209</v>
      </c>
    </row>
    <row r="137" spans="1:100" ht="151.5" customHeight="1" x14ac:dyDescent="0.3">
      <c r="A137" s="622">
        <v>60</v>
      </c>
      <c r="B137" s="622" t="s">
        <v>1028</v>
      </c>
      <c r="C137" s="623" t="s">
        <v>1029</v>
      </c>
      <c r="D137" s="585" t="str">
        <f>IFERROR(INDEX('Base de datos gestión'!$D$28:$D$50,MATCH(C137,'Base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37" s="585" t="str">
        <f>IFERROR(INDEX('Base de datos gestión'!$E$28:$E$50,MATCH(C137,'Base de datos gestión'!$C$28:$C$50,0)), 0)</f>
        <v>El proceso inicia con la planificación de los servicios de ensayos de aptitud y estudios colaborativos (comparaciones interlaboratorios) y finaliza con la aplicación de la evaluación de la satisfacción del servicio.</v>
      </c>
      <c r="F137" s="628" t="s">
        <v>652</v>
      </c>
      <c r="G137" s="629" t="s">
        <v>1030</v>
      </c>
      <c r="H137" s="628" t="s">
        <v>1042</v>
      </c>
      <c r="I137" s="630" t="s">
        <v>1032</v>
      </c>
      <c r="J137" s="630" t="s">
        <v>192</v>
      </c>
      <c r="K137" s="630" t="s">
        <v>311</v>
      </c>
      <c r="L137" s="630">
        <v>6</v>
      </c>
      <c r="M137" s="588" t="str">
        <f t="shared" si="46"/>
        <v>Baja</v>
      </c>
      <c r="N137" s="589">
        <f t="shared" si="41"/>
        <v>0.4</v>
      </c>
      <c r="O137" s="590" t="s">
        <v>950</v>
      </c>
      <c r="P137" s="589" t="str">
        <f>IF(NOT(ISERROR(MATCH(O137,'Tabla Impacto'!$B$222:$B$224,0))),'Tabla Impacto'!$F$224&amp;"Por favor no seleccionar los criterios de impacto(Afectación Económica o presupuestal y Pérdida Reputacional)",O137)</f>
        <v xml:space="preserve">     Entre 10 y 50 SMLMV </v>
      </c>
      <c r="Q137" s="591" t="str">
        <f>IF(OR(P137='[8]Tabla Impacto'!$C$12,P137='[8]Tabla Impacto'!$D$12),"Leve",IF(OR(P137='[8]Tabla Impacto'!$C$13,P137='[8]Tabla Impacto'!$D$13),"Menor",IF(OR(P137='[8]Tabla Impacto'!$C$14,P137='[8]Tabla Impacto'!$D$14),"Moderado",IF(OR(P137='[8]Tabla Impacto'!$C$15,P137='[8]Tabla Impacto'!$D$15),"Mayor",IF(OR(P137='[8]Tabla Impacto'!$C$16,P137='[8]Tabla Impacto'!$D$16),"Catastrófico","")))))</f>
        <v>Menor</v>
      </c>
      <c r="R137" s="590">
        <f t="shared" si="47"/>
        <v>0.4</v>
      </c>
      <c r="S137" s="592" t="str">
        <f t="shared" si="48"/>
        <v>Moderado</v>
      </c>
      <c r="T137" s="595">
        <v>3</v>
      </c>
      <c r="U137" s="631" t="s">
        <v>1043</v>
      </c>
      <c r="V137" s="595" t="str">
        <f t="shared" si="39"/>
        <v>Probabilidad</v>
      </c>
      <c r="W137" s="596" t="s">
        <v>197</v>
      </c>
      <c r="X137" s="596" t="s">
        <v>198</v>
      </c>
      <c r="Y137" s="597" t="str">
        <f t="shared" si="49"/>
        <v>40%</v>
      </c>
      <c r="Z137" s="596" t="s">
        <v>259</v>
      </c>
      <c r="AA137" s="596" t="s">
        <v>200</v>
      </c>
      <c r="AB137" s="596" t="s">
        <v>201</v>
      </c>
      <c r="AC137" s="598">
        <f>IFERROR(IF(AND(V136="Probabilidad",V137="Probabilidad"),(AE136-(+AE136*Y137)),IF(AND(V136="Impacto",V137="Probabilidad"),(AE135-(+AE135*Y137)),IF(V137="Impacto",AE136,""))),"")</f>
        <v>7.7759999999999996E-2</v>
      </c>
      <c r="AD137" s="599" t="str">
        <f t="shared" si="50"/>
        <v>Muy Baja</v>
      </c>
      <c r="AE137" s="600">
        <f t="shared" si="51"/>
        <v>7.7759999999999996E-2</v>
      </c>
      <c r="AF137" s="599" t="str">
        <f t="shared" si="52"/>
        <v>Leve</v>
      </c>
      <c r="AG137" s="600">
        <f>IFERROR(IF(AND(V136="Impacto",V137="Impacto"),(AG136-(+AG136*Y137)),IF(AND(V136="Probabilidad",V137="Impacto"),(AG135-(+AG135*Y137)),IF(V137="Probabilidad",AG136,""))),"")</f>
        <v>0.2</v>
      </c>
      <c r="AH137" s="601" t="str">
        <f t="shared" si="53"/>
        <v>Bajo</v>
      </c>
      <c r="AI137" s="602" t="s">
        <v>202</v>
      </c>
      <c r="AJ137" s="603"/>
      <c r="AK137" s="192"/>
      <c r="AL137" s="603"/>
      <c r="AM137" s="604"/>
      <c r="AN137" s="606"/>
      <c r="AO137" s="607"/>
      <c r="AP137" s="608">
        <v>45757</v>
      </c>
      <c r="AQ137" s="609" t="s">
        <v>1034</v>
      </c>
      <c r="AR137" s="283" t="s">
        <v>1044</v>
      </c>
      <c r="AS137" s="611" t="s">
        <v>205</v>
      </c>
      <c r="AT137" s="612" t="s">
        <v>206</v>
      </c>
      <c r="AU137" s="612" t="s">
        <v>206</v>
      </c>
      <c r="AV137" s="613"/>
      <c r="AW137" s="614">
        <v>45782</v>
      </c>
      <c r="AX137" s="615" t="s">
        <v>207</v>
      </c>
      <c r="AY137" s="635" t="s">
        <v>578</v>
      </c>
      <c r="BA137" s="617"/>
      <c r="BB137" s="617"/>
      <c r="BC137" s="618" t="s">
        <v>209</v>
      </c>
      <c r="BE137" s="608">
        <v>45856</v>
      </c>
      <c r="BF137" s="609" t="s">
        <v>1034</v>
      </c>
      <c r="BG137" s="283" t="s">
        <v>1045</v>
      </c>
      <c r="BH137" s="641" t="s">
        <v>205</v>
      </c>
      <c r="BI137" s="612" t="s">
        <v>206</v>
      </c>
      <c r="BJ137" s="612" t="s">
        <v>206</v>
      </c>
      <c r="BL137" s="450">
        <v>45856</v>
      </c>
      <c r="BM137" s="449" t="s">
        <v>215</v>
      </c>
      <c r="BN137" s="283" t="s">
        <v>231</v>
      </c>
      <c r="BP137" s="617"/>
      <c r="BQ137" s="617"/>
      <c r="BR137" s="618" t="s">
        <v>209</v>
      </c>
      <c r="BT137" s="608">
        <v>45940</v>
      </c>
      <c r="BU137" s="609" t="s">
        <v>1034</v>
      </c>
      <c r="BV137" s="283" t="s">
        <v>1046</v>
      </c>
      <c r="BW137" s="641" t="s">
        <v>205</v>
      </c>
      <c r="BX137" s="612" t="s">
        <v>206</v>
      </c>
      <c r="BY137" s="612" t="s">
        <v>206</v>
      </c>
      <c r="CA137" s="659">
        <v>45992</v>
      </c>
      <c r="CB137" s="286" t="s">
        <v>218</v>
      </c>
      <c r="CC137" s="643" t="s">
        <v>233</v>
      </c>
      <c r="CE137" s="617"/>
      <c r="CF137" s="617"/>
      <c r="CG137" s="618" t="s">
        <v>209</v>
      </c>
      <c r="CH137" s="192"/>
      <c r="CI137" s="558"/>
      <c r="CJ137" s="558"/>
      <c r="CK137" s="559" t="s">
        <v>209</v>
      </c>
      <c r="CL137" s="558"/>
      <c r="CM137" s="558"/>
      <c r="CN137" s="558"/>
      <c r="CO137" s="553"/>
      <c r="CP137" s="558"/>
      <c r="CQ137" s="558"/>
      <c r="CR137" s="559" t="s">
        <v>209</v>
      </c>
      <c r="CS137" s="553"/>
      <c r="CT137" s="558"/>
      <c r="CU137" s="558"/>
      <c r="CV137" s="559" t="s">
        <v>209</v>
      </c>
    </row>
    <row r="138" spans="1:100" ht="151.5" customHeight="1" x14ac:dyDescent="0.3">
      <c r="A138" s="632">
        <v>61</v>
      </c>
      <c r="B138" s="632" t="s">
        <v>1047</v>
      </c>
      <c r="C138" s="633" t="s">
        <v>1029</v>
      </c>
      <c r="D138" s="585" t="str">
        <f>IFERROR(INDEX('Base de datos gestión'!$D$28:$D$50,MATCH(C138,'Base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38" s="585" t="str">
        <f>IFERROR(INDEX('Base de datos gestión'!$E$28:$E$50,MATCH(C138,'Base de datos gestión'!$C$28:$C$50,0)), 0)</f>
        <v>El proceso inicia con la planificación de los servicios de ensayos de aptitud y estudios colaborativos (comparaciones interlaboratorios) y finaliza con la aplicación de la evaluación de la satisfacción del servicio.</v>
      </c>
      <c r="F138" s="628" t="s">
        <v>188</v>
      </c>
      <c r="G138" s="629" t="s">
        <v>1048</v>
      </c>
      <c r="H138" s="628" t="s">
        <v>1049</v>
      </c>
      <c r="I138" s="628" t="s">
        <v>1050</v>
      </c>
      <c r="J138" s="630" t="s">
        <v>192</v>
      </c>
      <c r="K138" s="630" t="s">
        <v>311</v>
      </c>
      <c r="L138" s="630">
        <v>6</v>
      </c>
      <c r="M138" s="588" t="str">
        <f t="shared" si="46"/>
        <v>Baja</v>
      </c>
      <c r="N138" s="589">
        <f t="shared" si="41"/>
        <v>0.4</v>
      </c>
      <c r="O138" s="590" t="s">
        <v>248</v>
      </c>
      <c r="P138" s="589" t="str">
        <f>IF(NOT(ISERROR(MATCH(O138,'Tabla Impacto'!$B$222:$B$224,0))),'Tabla Impacto'!$F$224&amp;"Por favor no seleccionar los criterios de impacto(Afectación Económica o presupuestal y Pérdida Reputacional)",O138)</f>
        <v xml:space="preserve">     El riesgo afecta la imagen de la entidad con algunos usuarios de relevancia frente al logro de los objetivos</v>
      </c>
      <c r="Q138" s="591" t="str">
        <f>IF(OR(P138='[8]Tabla Impacto'!$C$12,P138='[8]Tabla Impacto'!$D$12),"Leve",IF(OR(P138='[8]Tabla Impacto'!$C$13,P138='[8]Tabla Impacto'!$D$13),"Menor",IF(OR(P138='[8]Tabla Impacto'!$C$14,P138='[8]Tabla Impacto'!$D$14),"Moderado",IF(OR(P138='[8]Tabla Impacto'!$C$15,P138='[8]Tabla Impacto'!$D$15),"Mayor",IF(OR(P138='[8]Tabla Impacto'!$C$16,P138='[8]Tabla Impacto'!$D$16),"Catastrófico","")))))</f>
        <v>Moderado</v>
      </c>
      <c r="R138" s="590">
        <f t="shared" si="47"/>
        <v>0.6</v>
      </c>
      <c r="S138" s="592" t="str">
        <f t="shared" si="48"/>
        <v>Moderado</v>
      </c>
      <c r="T138" s="595">
        <v>1</v>
      </c>
      <c r="U138" s="631" t="s">
        <v>1051</v>
      </c>
      <c r="V138" s="595" t="str">
        <f t="shared" si="39"/>
        <v>Probabilidad</v>
      </c>
      <c r="W138" s="596" t="s">
        <v>197</v>
      </c>
      <c r="X138" s="596" t="s">
        <v>198</v>
      </c>
      <c r="Y138" s="597" t="str">
        <f t="shared" si="49"/>
        <v>40%</v>
      </c>
      <c r="Z138" s="596" t="s">
        <v>259</v>
      </c>
      <c r="AA138" s="596" t="s">
        <v>200</v>
      </c>
      <c r="AB138" s="596" t="s">
        <v>201</v>
      </c>
      <c r="AC138" s="598">
        <f>IFERROR(IF(AND(V137="Probabilidad",V138="Probabilidad"),(AE137-(+AE137*Y138)),IF(AND(V137="Impacto",V138="Probabilidad"),(AE136-(+AE136*Y138)),IF(V138="Impacto",AE137,""))),"")</f>
        <v>4.6655999999999996E-2</v>
      </c>
      <c r="AD138" s="599" t="str">
        <f t="shared" si="50"/>
        <v>Muy Baja</v>
      </c>
      <c r="AE138" s="600">
        <f t="shared" si="51"/>
        <v>4.6655999999999996E-2</v>
      </c>
      <c r="AF138" s="599" t="str">
        <f t="shared" si="52"/>
        <v>Leve</v>
      </c>
      <c r="AG138" s="600">
        <f>IFERROR(IF(AND(V137="Impacto",V138="Impacto"),(AG137-(+AG137*Y138)),IF(AND(V137="Probabilidad",V138="Impacto"),(AG136-(+AG136*Y138)),IF(V138="Probabilidad",AG137,""))),"")</f>
        <v>0.2</v>
      </c>
      <c r="AH138" s="601" t="str">
        <f t="shared" si="53"/>
        <v>Bajo</v>
      </c>
      <c r="AI138" s="602" t="s">
        <v>202</v>
      </c>
      <c r="AJ138" s="603"/>
      <c r="AK138" s="192"/>
      <c r="AL138" s="603"/>
      <c r="AM138" s="604"/>
      <c r="AN138" s="606"/>
      <c r="AO138" s="607"/>
      <c r="AP138" s="608">
        <v>45757</v>
      </c>
      <c r="AQ138" s="609" t="s">
        <v>1034</v>
      </c>
      <c r="AR138" s="283" t="s">
        <v>1052</v>
      </c>
      <c r="AS138" s="611" t="s">
        <v>205</v>
      </c>
      <c r="AT138" s="612" t="s">
        <v>206</v>
      </c>
      <c r="AU138" s="612" t="s">
        <v>206</v>
      </c>
      <c r="AV138" s="613"/>
      <c r="AW138" s="614">
        <v>45782</v>
      </c>
      <c r="AX138" s="615" t="s">
        <v>207</v>
      </c>
      <c r="AY138" s="635" t="s">
        <v>578</v>
      </c>
      <c r="BA138" s="617"/>
      <c r="BB138" s="617"/>
      <c r="BC138" s="618" t="s">
        <v>209</v>
      </c>
      <c r="BE138" s="608">
        <v>45856</v>
      </c>
      <c r="BF138" s="609" t="s">
        <v>1034</v>
      </c>
      <c r="BG138" s="283" t="s">
        <v>1053</v>
      </c>
      <c r="BH138" s="641" t="s">
        <v>205</v>
      </c>
      <c r="BI138" s="612" t="s">
        <v>206</v>
      </c>
      <c r="BJ138" s="612" t="s">
        <v>206</v>
      </c>
      <c r="BL138" s="450">
        <v>45856</v>
      </c>
      <c r="BM138" s="449" t="s">
        <v>215</v>
      </c>
      <c r="BN138" s="283" t="s">
        <v>231</v>
      </c>
      <c r="BP138" s="617"/>
      <c r="BQ138" s="617"/>
      <c r="BR138" s="618" t="s">
        <v>209</v>
      </c>
      <c r="BT138" s="608">
        <v>45940</v>
      </c>
      <c r="BU138" s="609" t="s">
        <v>1034</v>
      </c>
      <c r="BV138" s="283" t="s">
        <v>1054</v>
      </c>
      <c r="BW138" s="641" t="s">
        <v>205</v>
      </c>
      <c r="BX138" s="612" t="s">
        <v>206</v>
      </c>
      <c r="BY138" s="612" t="s">
        <v>206</v>
      </c>
      <c r="CA138" s="659">
        <v>45992</v>
      </c>
      <c r="CB138" s="286" t="s">
        <v>218</v>
      </c>
      <c r="CC138" s="643" t="s">
        <v>233</v>
      </c>
      <c r="CE138" s="617"/>
      <c r="CF138" s="617"/>
      <c r="CG138" s="618" t="s">
        <v>209</v>
      </c>
      <c r="CH138" s="192"/>
      <c r="CI138" s="558"/>
      <c r="CJ138" s="558"/>
      <c r="CK138" s="559" t="s">
        <v>209</v>
      </c>
      <c r="CL138" s="558"/>
      <c r="CM138" s="558"/>
      <c r="CN138" s="558"/>
      <c r="CO138" s="553"/>
      <c r="CP138" s="558"/>
      <c r="CQ138" s="558"/>
      <c r="CR138" s="559" t="s">
        <v>209</v>
      </c>
      <c r="CS138" s="553"/>
      <c r="CT138" s="558"/>
      <c r="CU138" s="558"/>
      <c r="CV138" s="559" t="s">
        <v>209</v>
      </c>
    </row>
    <row r="139" spans="1:100" ht="151.5" customHeight="1" x14ac:dyDescent="0.3">
      <c r="A139" s="584">
        <v>61</v>
      </c>
      <c r="B139" s="584" t="s">
        <v>1047</v>
      </c>
      <c r="C139" s="585" t="s">
        <v>1029</v>
      </c>
      <c r="D139" s="585" t="str">
        <f>IFERROR(INDEX('Base de datos gestión'!$D$28:$D$50,MATCH(C139,'Base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39" s="585" t="str">
        <f>IFERROR(INDEX('Base de datos gestión'!$E$28:$E$50,MATCH(C139,'Base de datos gestión'!$C$28:$C$50,0)), 0)</f>
        <v>El proceso inicia con la planificación de los servicios de ensayos de aptitud y estudios colaborativos (comparaciones interlaboratorios) y finaliza con la aplicación de la evaluación de la satisfacción del servicio.</v>
      </c>
      <c r="F139" s="628" t="s">
        <v>188</v>
      </c>
      <c r="G139" s="629" t="s">
        <v>1048</v>
      </c>
      <c r="H139" s="628" t="s">
        <v>1055</v>
      </c>
      <c r="I139" s="628" t="s">
        <v>1050</v>
      </c>
      <c r="J139" s="630" t="s">
        <v>192</v>
      </c>
      <c r="K139" s="630" t="s">
        <v>311</v>
      </c>
      <c r="L139" s="630">
        <v>6</v>
      </c>
      <c r="M139" s="588" t="str">
        <f t="shared" si="46"/>
        <v>Baja</v>
      </c>
      <c r="N139" s="589">
        <f t="shared" si="41"/>
        <v>0.4</v>
      </c>
      <c r="O139" s="590" t="s">
        <v>248</v>
      </c>
      <c r="P139" s="589" t="str">
        <f>IF(NOT(ISERROR(MATCH(O139,'Tabla Impacto'!$B$222:$B$224,0))),'Tabla Impacto'!$F$224&amp;"Por favor no seleccionar los criterios de impacto(Afectación Económica o presupuestal y Pérdida Reputacional)",O139)</f>
        <v xml:space="preserve">     El riesgo afecta la imagen de la entidad con algunos usuarios de relevancia frente al logro de los objetivos</v>
      </c>
      <c r="Q139" s="591" t="str">
        <f>IF(OR(P139='[8]Tabla Impacto'!$C$12,P139='[8]Tabla Impacto'!$D$12),"Leve",IF(OR(P139='[8]Tabla Impacto'!$C$13,P139='[8]Tabla Impacto'!$D$13),"Menor",IF(OR(P139='[8]Tabla Impacto'!$C$14,P139='[8]Tabla Impacto'!$D$14),"Moderado",IF(OR(P139='[8]Tabla Impacto'!$C$15,P139='[8]Tabla Impacto'!$D$15),"Mayor",IF(OR(P139='[8]Tabla Impacto'!$C$16,P139='[8]Tabla Impacto'!$D$16),"Catastrófico","")))))</f>
        <v>Moderado</v>
      </c>
      <c r="R139" s="590">
        <f t="shared" si="47"/>
        <v>0.6</v>
      </c>
      <c r="S139" s="592" t="str">
        <f t="shared" si="48"/>
        <v>Moderado</v>
      </c>
      <c r="T139" s="595">
        <v>2</v>
      </c>
      <c r="U139" s="631" t="s">
        <v>1056</v>
      </c>
      <c r="V139" s="595" t="str">
        <f t="shared" si="39"/>
        <v>Probabilidad</v>
      </c>
      <c r="W139" s="596" t="s">
        <v>197</v>
      </c>
      <c r="X139" s="596" t="s">
        <v>198</v>
      </c>
      <c r="Y139" s="597" t="str">
        <f t="shared" si="49"/>
        <v>40%</v>
      </c>
      <c r="Z139" s="596" t="s">
        <v>259</v>
      </c>
      <c r="AA139" s="596" t="s">
        <v>200</v>
      </c>
      <c r="AB139" s="596" t="s">
        <v>201</v>
      </c>
      <c r="AC139" s="598">
        <f>IFERROR(IF(V139="Probabilidad",(N139-(+N139*Y139)),IF(V139="Impacto",N139,"")),"")</f>
        <v>0.24</v>
      </c>
      <c r="AD139" s="599" t="str">
        <f t="shared" si="50"/>
        <v>Baja</v>
      </c>
      <c r="AE139" s="600">
        <f t="shared" si="51"/>
        <v>0.24</v>
      </c>
      <c r="AF139" s="599" t="str">
        <f t="shared" si="52"/>
        <v>Moderado</v>
      </c>
      <c r="AG139" s="600">
        <f>IFERROR(IF(V139="Impacto",(R139-(+R139*Y139)),IF(V139="Probabilidad",R139,"")),"")</f>
        <v>0.6</v>
      </c>
      <c r="AH139" s="601" t="str">
        <f t="shared" si="53"/>
        <v>Moderado</v>
      </c>
      <c r="AI139" s="602" t="s">
        <v>202</v>
      </c>
      <c r="AJ139" s="603"/>
      <c r="AK139" s="192"/>
      <c r="AL139" s="603"/>
      <c r="AM139" s="604"/>
      <c r="AN139" s="606"/>
      <c r="AO139" s="607"/>
      <c r="AP139" s="608">
        <v>45757</v>
      </c>
      <c r="AQ139" s="609" t="s">
        <v>1034</v>
      </c>
      <c r="AR139" s="283" t="s">
        <v>1052</v>
      </c>
      <c r="AS139" s="611" t="s">
        <v>205</v>
      </c>
      <c r="AT139" s="612" t="s">
        <v>206</v>
      </c>
      <c r="AU139" s="612" t="s">
        <v>206</v>
      </c>
      <c r="AV139" s="613"/>
      <c r="AW139" s="614">
        <v>45782</v>
      </c>
      <c r="AX139" s="615" t="s">
        <v>207</v>
      </c>
      <c r="AY139" s="635" t="s">
        <v>578</v>
      </c>
      <c r="BA139" s="617"/>
      <c r="BB139" s="617"/>
      <c r="BC139" s="618" t="s">
        <v>209</v>
      </c>
      <c r="BE139" s="608">
        <v>45856</v>
      </c>
      <c r="BF139" s="609" t="s">
        <v>1034</v>
      </c>
      <c r="BG139" s="283" t="s">
        <v>1057</v>
      </c>
      <c r="BH139" s="641" t="s">
        <v>205</v>
      </c>
      <c r="BI139" s="612" t="s">
        <v>206</v>
      </c>
      <c r="BJ139" s="612" t="s">
        <v>206</v>
      </c>
      <c r="BL139" s="450">
        <v>45856</v>
      </c>
      <c r="BM139" s="449" t="s">
        <v>215</v>
      </c>
      <c r="BN139" s="283" t="s">
        <v>231</v>
      </c>
      <c r="BP139" s="617"/>
      <c r="BQ139" s="617"/>
      <c r="BR139" s="618" t="s">
        <v>209</v>
      </c>
      <c r="BT139" s="608">
        <v>45940</v>
      </c>
      <c r="BU139" s="609" t="s">
        <v>1034</v>
      </c>
      <c r="BV139" s="283" t="s">
        <v>1058</v>
      </c>
      <c r="BW139" s="641" t="s">
        <v>205</v>
      </c>
      <c r="BX139" s="612" t="s">
        <v>206</v>
      </c>
      <c r="BY139" s="612" t="s">
        <v>206</v>
      </c>
      <c r="CA139" s="659">
        <v>45992</v>
      </c>
      <c r="CB139" s="286" t="s">
        <v>218</v>
      </c>
      <c r="CC139" s="643" t="s">
        <v>233</v>
      </c>
      <c r="CE139" s="617"/>
      <c r="CF139" s="617"/>
      <c r="CG139" s="618" t="s">
        <v>209</v>
      </c>
      <c r="CH139" s="192"/>
      <c r="CI139" s="558"/>
      <c r="CJ139" s="558"/>
      <c r="CK139" s="559" t="s">
        <v>209</v>
      </c>
      <c r="CL139" s="558"/>
      <c r="CM139" s="558"/>
      <c r="CN139" s="558"/>
      <c r="CO139" s="553"/>
      <c r="CP139" s="558"/>
      <c r="CQ139" s="558"/>
      <c r="CR139" s="559" t="s">
        <v>209</v>
      </c>
      <c r="CS139" s="553"/>
      <c r="CT139" s="558"/>
      <c r="CU139" s="558"/>
      <c r="CV139" s="559" t="s">
        <v>209</v>
      </c>
    </row>
    <row r="140" spans="1:100" ht="151.5" customHeight="1" x14ac:dyDescent="0.3">
      <c r="A140" s="622">
        <v>62</v>
      </c>
      <c r="B140" s="622" t="s">
        <v>1059</v>
      </c>
      <c r="C140" s="623" t="s">
        <v>1029</v>
      </c>
      <c r="D140" s="585" t="str">
        <f>IFERROR(INDEX('Base de datos gestión'!$D$28:$D$50,MATCH(C140,'Base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0" s="585" t="str">
        <f>IFERROR(INDEX('Base de datos gestión'!$E$28:$E$50,MATCH(C140,'Base de datos gestión'!$C$28:$C$50,0)), 0)</f>
        <v>El proceso inicia con la planificación de los servicios de ensayos de aptitud y estudios colaborativos (comparaciones interlaboratorios) y finaliza con la aplicación de la evaluación de la satisfacción del servicio.</v>
      </c>
      <c r="F140" s="628" t="s">
        <v>188</v>
      </c>
      <c r="G140" s="629" t="s">
        <v>1060</v>
      </c>
      <c r="H140" s="630" t="s">
        <v>1061</v>
      </c>
      <c r="I140" s="628" t="s">
        <v>1062</v>
      </c>
      <c r="J140" s="630" t="s">
        <v>192</v>
      </c>
      <c r="K140" s="630" t="s">
        <v>193</v>
      </c>
      <c r="L140" s="630">
        <v>6</v>
      </c>
      <c r="M140" s="588" t="str">
        <f t="shared" si="46"/>
        <v>Baja</v>
      </c>
      <c r="N140" s="589">
        <f t="shared" si="41"/>
        <v>0.4</v>
      </c>
      <c r="O140" s="590" t="s">
        <v>248</v>
      </c>
      <c r="P140" s="589" t="str">
        <f>IF(NOT(ISERROR(MATCH(O140,'Tabla Impacto'!$B$222:$B$224,0))),'Tabla Impacto'!$F$224&amp;"Por favor no seleccionar los criterios de impacto(Afectación Económica o presupuestal y Pérdida Reputacional)",O140)</f>
        <v xml:space="preserve">     El riesgo afecta la imagen de la entidad con algunos usuarios de relevancia frente al logro de los objetivos</v>
      </c>
      <c r="Q140" s="591" t="str">
        <f>IF(OR(P140='[8]Tabla Impacto'!$C$12,P140='[8]Tabla Impacto'!$D$12),"Leve",IF(OR(P140='[8]Tabla Impacto'!$C$13,P140='[8]Tabla Impacto'!$D$13),"Menor",IF(OR(P140='[8]Tabla Impacto'!$C$14,P140='[8]Tabla Impacto'!$D$14),"Moderado",IF(OR(P140='[8]Tabla Impacto'!$C$15,P140='[8]Tabla Impacto'!$D$15),"Mayor",IF(OR(P140='[8]Tabla Impacto'!$C$16,P140='[8]Tabla Impacto'!$D$16),"Catastrófico","")))))</f>
        <v>Moderado</v>
      </c>
      <c r="R140" s="590">
        <f t="shared" si="47"/>
        <v>0.6</v>
      </c>
      <c r="S140" s="592" t="str">
        <f t="shared" si="48"/>
        <v>Moderado</v>
      </c>
      <c r="T140" s="595">
        <v>1</v>
      </c>
      <c r="U140" s="631" t="s">
        <v>1063</v>
      </c>
      <c r="V140" s="595" t="str">
        <f t="shared" si="39"/>
        <v>Probabilidad</v>
      </c>
      <c r="W140" s="596" t="s">
        <v>197</v>
      </c>
      <c r="X140" s="596" t="s">
        <v>198</v>
      </c>
      <c r="Y140" s="597" t="str">
        <f t="shared" si="49"/>
        <v>40%</v>
      </c>
      <c r="Z140" s="596" t="s">
        <v>259</v>
      </c>
      <c r="AA140" s="596" t="s">
        <v>200</v>
      </c>
      <c r="AB140" s="596" t="s">
        <v>201</v>
      </c>
      <c r="AC140" s="598">
        <f>IFERROR(IF(AND(V139="Probabilidad",V140="Probabilidad"),(AE139-(+AE139*Y140)),IF(V140="Probabilidad",(N139-(+N139*Y140)),IF(V140="Impacto",AE139,""))),"")</f>
        <v>0.14399999999999999</v>
      </c>
      <c r="AD140" s="599" t="str">
        <f t="shared" si="50"/>
        <v>Muy Baja</v>
      </c>
      <c r="AE140" s="600">
        <f t="shared" si="51"/>
        <v>0.14399999999999999</v>
      </c>
      <c r="AF140" s="599" t="str">
        <f t="shared" si="52"/>
        <v>Moderado</v>
      </c>
      <c r="AG140" s="600">
        <f>IFERROR(IF(AND(V139="Impacto",V140="Impacto"),(AG133-(+AG133*Y140)),IF(V140="Impacto",($R$55-(+$R$55*Y140)),IF(V140="Probabilidad",AG133,""))),"")</f>
        <v>0.6</v>
      </c>
      <c r="AH140" s="601" t="str">
        <f t="shared" si="53"/>
        <v>Moderado</v>
      </c>
      <c r="AI140" s="602" t="s">
        <v>202</v>
      </c>
      <c r="AJ140" s="603"/>
      <c r="AK140" s="192"/>
      <c r="AL140" s="603"/>
      <c r="AM140" s="604"/>
      <c r="AN140" s="606"/>
      <c r="AO140" s="607"/>
      <c r="AP140" s="608">
        <v>45757</v>
      </c>
      <c r="AQ140" s="609" t="s">
        <v>1034</v>
      </c>
      <c r="AR140" s="283" t="s">
        <v>1064</v>
      </c>
      <c r="AS140" s="611" t="s">
        <v>205</v>
      </c>
      <c r="AT140" s="612" t="s">
        <v>206</v>
      </c>
      <c r="AU140" s="612" t="s">
        <v>206</v>
      </c>
      <c r="AV140" s="613"/>
      <c r="AW140" s="614">
        <v>45782</v>
      </c>
      <c r="AX140" s="615" t="s">
        <v>207</v>
      </c>
      <c r="AY140" s="635" t="s">
        <v>578</v>
      </c>
      <c r="BA140" s="617"/>
      <c r="BB140" s="617"/>
      <c r="BC140" s="618" t="s">
        <v>209</v>
      </c>
      <c r="BE140" s="608">
        <v>45856</v>
      </c>
      <c r="BF140" s="609" t="s">
        <v>1034</v>
      </c>
      <c r="BG140" s="283" t="s">
        <v>1065</v>
      </c>
      <c r="BH140" s="641" t="s">
        <v>205</v>
      </c>
      <c r="BI140" s="612" t="s">
        <v>206</v>
      </c>
      <c r="BJ140" s="612" t="s">
        <v>206</v>
      </c>
      <c r="BL140" s="450">
        <v>45856</v>
      </c>
      <c r="BM140" s="449" t="s">
        <v>215</v>
      </c>
      <c r="BN140" s="283" t="s">
        <v>231</v>
      </c>
      <c r="BP140" s="617"/>
      <c r="BQ140" s="617"/>
      <c r="BR140" s="618" t="s">
        <v>209</v>
      </c>
      <c r="BT140" s="608">
        <v>45940</v>
      </c>
      <c r="BU140" s="609" t="s">
        <v>1034</v>
      </c>
      <c r="BV140" s="283" t="s">
        <v>1066</v>
      </c>
      <c r="BW140" s="641" t="s">
        <v>205</v>
      </c>
      <c r="BX140" s="612" t="s">
        <v>206</v>
      </c>
      <c r="BY140" s="612" t="s">
        <v>206</v>
      </c>
      <c r="CA140" s="659">
        <v>45992</v>
      </c>
      <c r="CB140" s="286" t="s">
        <v>218</v>
      </c>
      <c r="CC140" s="643" t="s">
        <v>233</v>
      </c>
      <c r="CE140" s="617"/>
      <c r="CF140" s="617"/>
      <c r="CG140" s="618" t="s">
        <v>209</v>
      </c>
      <c r="CH140" s="192"/>
      <c r="CI140" s="558"/>
      <c r="CJ140" s="558"/>
      <c r="CK140" s="559" t="s">
        <v>209</v>
      </c>
      <c r="CL140" s="558"/>
      <c r="CM140" s="558"/>
      <c r="CN140" s="558"/>
      <c r="CO140" s="553"/>
      <c r="CP140" s="558"/>
      <c r="CQ140" s="558"/>
      <c r="CR140" s="559" t="s">
        <v>209</v>
      </c>
      <c r="CS140" s="553"/>
      <c r="CT140" s="558"/>
      <c r="CU140" s="558"/>
      <c r="CV140" s="559" t="s">
        <v>209</v>
      </c>
    </row>
    <row r="141" spans="1:100" ht="151.5" customHeight="1" x14ac:dyDescent="0.3">
      <c r="A141" s="622">
        <v>62</v>
      </c>
      <c r="B141" s="622" t="s">
        <v>1059</v>
      </c>
      <c r="C141" s="623" t="s">
        <v>1029</v>
      </c>
      <c r="D141" s="585" t="str">
        <f>IFERROR(INDEX('Base de datos gestión'!$D$28:$D$50,MATCH(C141,'Base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1" s="585" t="str">
        <f>IFERROR(INDEX('Base de datos gestión'!$E$28:$E$50,MATCH(C141,'Base de datos gestión'!$C$28:$C$50,0)), 0)</f>
        <v>El proceso inicia con la planificación de los servicios de ensayos de aptitud y estudios colaborativos (comparaciones interlaboratorios) y finaliza con la aplicación de la evaluación de la satisfacción del servicio.</v>
      </c>
      <c r="F141" s="628" t="s">
        <v>188</v>
      </c>
      <c r="G141" s="629" t="s">
        <v>1060</v>
      </c>
      <c r="H141" s="630" t="s">
        <v>1067</v>
      </c>
      <c r="I141" s="628" t="s">
        <v>1062</v>
      </c>
      <c r="J141" s="630" t="s">
        <v>192</v>
      </c>
      <c r="K141" s="630" t="s">
        <v>193</v>
      </c>
      <c r="L141" s="630">
        <v>6</v>
      </c>
      <c r="M141" s="588" t="str">
        <f t="shared" si="46"/>
        <v>Baja</v>
      </c>
      <c r="N141" s="589">
        <f t="shared" si="41"/>
        <v>0.4</v>
      </c>
      <c r="O141" s="590" t="s">
        <v>248</v>
      </c>
      <c r="P141" s="589" t="str">
        <f>IF(NOT(ISERROR(MATCH(O141,'Tabla Impacto'!$B$222:$B$224,0))),'Tabla Impacto'!$F$224&amp;"Por favor no seleccionar los criterios de impacto(Afectación Económica o presupuestal y Pérdida Reputacional)",O141)</f>
        <v xml:space="preserve">     El riesgo afecta la imagen de la entidad con algunos usuarios de relevancia frente al logro de los objetivos</v>
      </c>
      <c r="Q141" s="591" t="str">
        <f>IF(OR(P141='[8]Tabla Impacto'!$C$12,P141='[8]Tabla Impacto'!$D$12),"Leve",IF(OR(P141='[8]Tabla Impacto'!$C$13,P141='[8]Tabla Impacto'!$D$13),"Menor",IF(OR(P141='[8]Tabla Impacto'!$C$14,P141='[8]Tabla Impacto'!$D$14),"Moderado",IF(OR(P141='[8]Tabla Impacto'!$C$15,P141='[8]Tabla Impacto'!$D$15),"Mayor",IF(OR(P141='[8]Tabla Impacto'!$C$16,P141='[8]Tabla Impacto'!$D$16),"Catastrófico","")))))</f>
        <v>Moderado</v>
      </c>
      <c r="R141" s="590">
        <f t="shared" si="47"/>
        <v>0.6</v>
      </c>
      <c r="S141" s="592" t="str">
        <f t="shared" si="48"/>
        <v>Moderado</v>
      </c>
      <c r="T141" s="595">
        <v>2</v>
      </c>
      <c r="U141" s="631" t="s">
        <v>1068</v>
      </c>
      <c r="V141" s="595" t="str">
        <f t="shared" ref="V141:V220" si="54">IF(OR(W141="Preventivo",W141="Detectivo"),"Probabilidad",IF(W141="Correctivo","Impacto",""))</f>
        <v>Probabilidad</v>
      </c>
      <c r="W141" s="596" t="s">
        <v>197</v>
      </c>
      <c r="X141" s="596" t="s">
        <v>198</v>
      </c>
      <c r="Y141" s="597" t="str">
        <f t="shared" si="49"/>
        <v>40%</v>
      </c>
      <c r="Z141" s="596" t="s">
        <v>259</v>
      </c>
      <c r="AA141" s="596" t="s">
        <v>200</v>
      </c>
      <c r="AB141" s="596" t="s">
        <v>201</v>
      </c>
      <c r="AC141" s="598">
        <f>IFERROR(IF(AND(V140="Probabilidad",V141="Probabilidad"),(AE140-(+AE140*Y141)),IF(AND(V140="Impacto",V141="Probabilidad"),(AE139-(+AE139*Y141)),IF(V141="Impacto",AE140,""))),"")</f>
        <v>8.6399999999999991E-2</v>
      </c>
      <c r="AD141" s="599" t="str">
        <f t="shared" si="50"/>
        <v>Muy Baja</v>
      </c>
      <c r="AE141" s="600">
        <f t="shared" si="51"/>
        <v>8.6399999999999991E-2</v>
      </c>
      <c r="AF141" s="599" t="str">
        <f t="shared" si="52"/>
        <v>Moderado</v>
      </c>
      <c r="AG141" s="600">
        <f>IFERROR(IF(AND(V140="Impacto",V141="Impacto"),(AG140-(+AG140*Y141)),IF(AND(V140="Probabilidad",V141="Impacto"),(AG139-(+AG139*Y141)),IF(V141="Probabilidad",AG140,""))),"")</f>
        <v>0.6</v>
      </c>
      <c r="AH141" s="601" t="str">
        <f t="shared" si="53"/>
        <v>Moderado</v>
      </c>
      <c r="AI141" s="602" t="s">
        <v>202</v>
      </c>
      <c r="AJ141" s="603"/>
      <c r="AK141" s="192"/>
      <c r="AL141" s="603"/>
      <c r="AM141" s="604"/>
      <c r="AN141" s="606"/>
      <c r="AO141" s="607"/>
      <c r="AP141" s="608">
        <v>45757</v>
      </c>
      <c r="AQ141" s="609" t="s">
        <v>1034</v>
      </c>
      <c r="AR141" s="283" t="s">
        <v>1069</v>
      </c>
      <c r="AS141" s="611" t="s">
        <v>205</v>
      </c>
      <c r="AT141" s="612" t="s">
        <v>206</v>
      </c>
      <c r="AU141" s="612" t="s">
        <v>206</v>
      </c>
      <c r="AV141" s="613"/>
      <c r="AW141" s="614">
        <v>45782</v>
      </c>
      <c r="AX141" s="615" t="s">
        <v>207</v>
      </c>
      <c r="AY141" s="635" t="s">
        <v>578</v>
      </c>
      <c r="BA141" s="617"/>
      <c r="BB141" s="617"/>
      <c r="BC141" s="618" t="s">
        <v>209</v>
      </c>
      <c r="BE141" s="608">
        <v>45856</v>
      </c>
      <c r="BF141" s="609" t="s">
        <v>1034</v>
      </c>
      <c r="BG141" s="283" t="s">
        <v>1070</v>
      </c>
      <c r="BH141" s="641" t="s">
        <v>205</v>
      </c>
      <c r="BI141" s="612" t="s">
        <v>206</v>
      </c>
      <c r="BJ141" s="612" t="s">
        <v>206</v>
      </c>
      <c r="BL141" s="450">
        <v>45856</v>
      </c>
      <c r="BM141" s="449" t="s">
        <v>215</v>
      </c>
      <c r="BN141" s="283" t="s">
        <v>231</v>
      </c>
      <c r="BP141" s="617"/>
      <c r="BQ141" s="617"/>
      <c r="BR141" s="618" t="s">
        <v>209</v>
      </c>
      <c r="BT141" s="608">
        <v>45940</v>
      </c>
      <c r="BU141" s="609" t="s">
        <v>1034</v>
      </c>
      <c r="BV141" s="283" t="s">
        <v>1071</v>
      </c>
      <c r="BW141" s="641" t="s">
        <v>205</v>
      </c>
      <c r="BX141" s="612" t="s">
        <v>206</v>
      </c>
      <c r="BY141" s="612" t="s">
        <v>206</v>
      </c>
      <c r="CA141" s="659">
        <v>45992</v>
      </c>
      <c r="CB141" s="286" t="s">
        <v>218</v>
      </c>
      <c r="CC141" s="643" t="s">
        <v>233</v>
      </c>
      <c r="CE141" s="617"/>
      <c r="CF141" s="617"/>
      <c r="CG141" s="618" t="s">
        <v>209</v>
      </c>
      <c r="CH141" s="192"/>
      <c r="CI141" s="558"/>
      <c r="CJ141" s="558"/>
      <c r="CK141" s="559" t="s">
        <v>209</v>
      </c>
      <c r="CL141" s="558"/>
      <c r="CM141" s="558"/>
      <c r="CN141" s="558"/>
      <c r="CO141" s="553"/>
      <c r="CP141" s="558"/>
      <c r="CQ141" s="558"/>
      <c r="CR141" s="559" t="s">
        <v>209</v>
      </c>
      <c r="CS141" s="553"/>
      <c r="CT141" s="558"/>
      <c r="CU141" s="558"/>
      <c r="CV141" s="559" t="s">
        <v>209</v>
      </c>
    </row>
    <row r="142" spans="1:100" ht="151.5" customHeight="1" x14ac:dyDescent="0.3">
      <c r="A142" s="622">
        <v>62</v>
      </c>
      <c r="B142" s="622" t="s">
        <v>1059</v>
      </c>
      <c r="C142" s="623" t="s">
        <v>1029</v>
      </c>
      <c r="D142" s="585" t="str">
        <f>IFERROR(INDEX('Base de datos gestión'!$D$28:$D$50,MATCH(C142,'Base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2" s="585" t="str">
        <f>IFERROR(INDEX('Base de datos gestión'!$E$28:$E$50,MATCH(C142,'Base de datos gestión'!$C$28:$C$50,0)), 0)</f>
        <v>El proceso inicia con la planificación de los servicios de ensayos de aptitud y estudios colaborativos (comparaciones interlaboratorios) y finaliza con la aplicación de la evaluación de la satisfacción del servicio.</v>
      </c>
      <c r="F142" s="628" t="s">
        <v>188</v>
      </c>
      <c r="G142" s="629" t="s">
        <v>1060</v>
      </c>
      <c r="H142" s="630" t="s">
        <v>1072</v>
      </c>
      <c r="I142" s="628" t="s">
        <v>1062</v>
      </c>
      <c r="J142" s="630" t="s">
        <v>192</v>
      </c>
      <c r="K142" s="630" t="s">
        <v>193</v>
      </c>
      <c r="L142" s="630">
        <v>6</v>
      </c>
      <c r="M142" s="588" t="str">
        <f t="shared" si="46"/>
        <v>Baja</v>
      </c>
      <c r="N142" s="589">
        <f t="shared" si="41"/>
        <v>0.4</v>
      </c>
      <c r="O142" s="590" t="s">
        <v>248</v>
      </c>
      <c r="P142" s="589" t="str">
        <f>IF(NOT(ISERROR(MATCH(O142,'Tabla Impacto'!$B$222:$B$224,0))),'Tabla Impacto'!$F$224&amp;"Por favor no seleccionar los criterios de impacto(Afectación Económica o presupuestal y Pérdida Reputacional)",O142)</f>
        <v xml:space="preserve">     El riesgo afecta la imagen de la entidad con algunos usuarios de relevancia frente al logro de los objetivos</v>
      </c>
      <c r="Q142" s="591" t="str">
        <f>IF(OR(P142='[8]Tabla Impacto'!$C$12,P142='[8]Tabla Impacto'!$D$12),"Leve",IF(OR(P142='[8]Tabla Impacto'!$C$13,P142='[8]Tabla Impacto'!$D$13),"Menor",IF(OR(P142='[8]Tabla Impacto'!$C$14,P142='[8]Tabla Impacto'!$D$14),"Moderado",IF(OR(P142='[8]Tabla Impacto'!$C$15,P142='[8]Tabla Impacto'!$D$15),"Mayor",IF(OR(P142='[8]Tabla Impacto'!$C$16,P142='[8]Tabla Impacto'!$D$16),"Catastrófico","")))))</f>
        <v>Moderado</v>
      </c>
      <c r="R142" s="590">
        <f t="shared" si="47"/>
        <v>0.6</v>
      </c>
      <c r="S142" s="592" t="str">
        <f t="shared" si="48"/>
        <v>Moderado</v>
      </c>
      <c r="T142" s="595">
        <v>3</v>
      </c>
      <c r="U142" s="631" t="s">
        <v>1073</v>
      </c>
      <c r="V142" s="595" t="str">
        <f t="shared" si="54"/>
        <v>Probabilidad</v>
      </c>
      <c r="W142" s="596" t="s">
        <v>197</v>
      </c>
      <c r="X142" s="596" t="s">
        <v>198</v>
      </c>
      <c r="Y142" s="597" t="str">
        <f t="shared" si="49"/>
        <v>40%</v>
      </c>
      <c r="Z142" s="596" t="s">
        <v>259</v>
      </c>
      <c r="AA142" s="596" t="s">
        <v>200</v>
      </c>
      <c r="AB142" s="596" t="s">
        <v>201</v>
      </c>
      <c r="AC142" s="598">
        <f>IFERROR(IF(AND(V141="Probabilidad",V142="Probabilidad"),(AE141-(+AE141*Y142)),IF(AND(V141="Impacto",V142="Probabilidad"),(AE140-(+AE140*Y142)),IF(V142="Impacto",AE141,""))),"")</f>
        <v>5.183999999999999E-2</v>
      </c>
      <c r="AD142" s="599" t="str">
        <f t="shared" si="50"/>
        <v>Muy Baja</v>
      </c>
      <c r="AE142" s="600">
        <f t="shared" si="51"/>
        <v>5.183999999999999E-2</v>
      </c>
      <c r="AF142" s="599" t="str">
        <f t="shared" si="52"/>
        <v>Moderado</v>
      </c>
      <c r="AG142" s="600">
        <f>IFERROR(IF(AND(V141="Impacto",V142="Impacto"),(AG141-(+AG141*Y142)),IF(AND(V141="Probabilidad",V142="Impacto"),(AG140-(+AG140*Y142)),IF(V142="Probabilidad",AG141,""))),"")</f>
        <v>0.6</v>
      </c>
      <c r="AH142" s="601" t="str">
        <f t="shared" si="53"/>
        <v>Moderado</v>
      </c>
      <c r="AI142" s="602" t="s">
        <v>202</v>
      </c>
      <c r="AJ142" s="603"/>
      <c r="AK142" s="192"/>
      <c r="AL142" s="603"/>
      <c r="AM142" s="604"/>
      <c r="AN142" s="606"/>
      <c r="AO142" s="607"/>
      <c r="AP142" s="608">
        <v>45757</v>
      </c>
      <c r="AQ142" s="609" t="s">
        <v>1034</v>
      </c>
      <c r="AR142" s="283" t="s">
        <v>1074</v>
      </c>
      <c r="AS142" s="611" t="s">
        <v>205</v>
      </c>
      <c r="AT142" s="612" t="s">
        <v>206</v>
      </c>
      <c r="AU142" s="612" t="s">
        <v>206</v>
      </c>
      <c r="AV142" s="613"/>
      <c r="AW142" s="614">
        <v>45782</v>
      </c>
      <c r="AX142" s="615" t="s">
        <v>207</v>
      </c>
      <c r="AY142" s="635" t="s">
        <v>578</v>
      </c>
      <c r="BA142" s="617"/>
      <c r="BB142" s="617"/>
      <c r="BC142" s="618" t="s">
        <v>209</v>
      </c>
      <c r="BE142" s="608">
        <v>45856</v>
      </c>
      <c r="BF142" s="609" t="s">
        <v>1034</v>
      </c>
      <c r="BG142" s="283" t="s">
        <v>1075</v>
      </c>
      <c r="BH142" s="641" t="s">
        <v>205</v>
      </c>
      <c r="BI142" s="612" t="s">
        <v>206</v>
      </c>
      <c r="BJ142" s="612" t="s">
        <v>206</v>
      </c>
      <c r="BL142" s="450">
        <v>45856</v>
      </c>
      <c r="BM142" s="449" t="s">
        <v>215</v>
      </c>
      <c r="BN142" s="283" t="s">
        <v>231</v>
      </c>
      <c r="BP142" s="617"/>
      <c r="BQ142" s="617"/>
      <c r="BR142" s="618" t="s">
        <v>209</v>
      </c>
      <c r="BT142" s="608">
        <v>45940</v>
      </c>
      <c r="BU142" s="609" t="s">
        <v>1034</v>
      </c>
      <c r="BV142" s="283" t="s">
        <v>1076</v>
      </c>
      <c r="BW142" s="641" t="s">
        <v>205</v>
      </c>
      <c r="BX142" s="612" t="s">
        <v>206</v>
      </c>
      <c r="BY142" s="612" t="s">
        <v>206</v>
      </c>
      <c r="CA142" s="659">
        <v>45992</v>
      </c>
      <c r="CB142" s="286" t="s">
        <v>218</v>
      </c>
      <c r="CC142" s="643" t="s">
        <v>233</v>
      </c>
      <c r="CE142" s="617"/>
      <c r="CF142" s="617"/>
      <c r="CG142" s="618" t="s">
        <v>209</v>
      </c>
      <c r="CH142" s="192"/>
      <c r="CI142" s="558"/>
      <c r="CJ142" s="558"/>
      <c r="CK142" s="559" t="s">
        <v>209</v>
      </c>
      <c r="CL142" s="558"/>
      <c r="CM142" s="558"/>
      <c r="CN142" s="558"/>
      <c r="CO142" s="553"/>
      <c r="CP142" s="558"/>
      <c r="CQ142" s="558"/>
      <c r="CR142" s="559" t="s">
        <v>209</v>
      </c>
      <c r="CS142" s="553"/>
      <c r="CT142" s="558"/>
      <c r="CU142" s="558"/>
      <c r="CV142" s="559" t="s">
        <v>209</v>
      </c>
    </row>
    <row r="143" spans="1:100" ht="151.5" customHeight="1" x14ac:dyDescent="0.3">
      <c r="A143" s="622">
        <v>63</v>
      </c>
      <c r="B143" s="622" t="s">
        <v>1077</v>
      </c>
      <c r="C143" s="623" t="s">
        <v>1029</v>
      </c>
      <c r="D143" s="585" t="str">
        <f>IFERROR(INDEX('Base de datos gestión'!$D$28:$D$50,MATCH(C143,'Base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3" s="585" t="str">
        <f>IFERROR(INDEX('Base de datos gestión'!$E$28:$E$50,MATCH(C143,'Base de datos gestión'!$C$28:$C$50,0)), 0)</f>
        <v>El proceso inicia con la planificación de los servicios de ensayos de aptitud y estudios colaborativos (comparaciones interlaboratorios) y finaliza con la aplicación de la evaluación de la satisfacción del servicio.</v>
      </c>
      <c r="F143" s="628" t="s">
        <v>188</v>
      </c>
      <c r="G143" s="696" t="s">
        <v>1078</v>
      </c>
      <c r="H143" s="630" t="s">
        <v>1079</v>
      </c>
      <c r="I143" s="628" t="s">
        <v>1080</v>
      </c>
      <c r="J143" s="630" t="s">
        <v>192</v>
      </c>
      <c r="K143" s="630" t="s">
        <v>193</v>
      </c>
      <c r="L143" s="630">
        <v>6</v>
      </c>
      <c r="M143" s="588" t="str">
        <f t="shared" si="46"/>
        <v>Baja</v>
      </c>
      <c r="N143" s="589">
        <f t="shared" si="41"/>
        <v>0.4</v>
      </c>
      <c r="O143" s="590" t="s">
        <v>248</v>
      </c>
      <c r="P143" s="589" t="str">
        <f>IF(NOT(ISERROR(MATCH(O143,'Tabla Impacto'!$B$222:$B$224,0))),'Tabla Impacto'!$F$224&amp;"Por favor no seleccionar los criterios de impacto(Afectación Económica o presupuestal y Pérdida Reputacional)",O143)</f>
        <v xml:space="preserve">     El riesgo afecta la imagen de la entidad con algunos usuarios de relevancia frente al logro de los objetivos</v>
      </c>
      <c r="Q143" s="591" t="str">
        <f>IF(OR(P143='[8]Tabla Impacto'!$C$12,P143='[8]Tabla Impacto'!$D$12),"Leve",IF(OR(P143='[8]Tabla Impacto'!$C$13,P143='[8]Tabla Impacto'!$D$13),"Menor",IF(OR(P143='[8]Tabla Impacto'!$C$14,P143='[8]Tabla Impacto'!$D$14),"Moderado",IF(OR(P143='[8]Tabla Impacto'!$C$15,P143='[8]Tabla Impacto'!$D$15),"Mayor",IF(OR(P143='[8]Tabla Impacto'!$C$16,P143='[8]Tabla Impacto'!$D$16),"Catastrófico","")))))</f>
        <v>Moderado</v>
      </c>
      <c r="R143" s="590">
        <f t="shared" si="47"/>
        <v>0.6</v>
      </c>
      <c r="S143" s="592" t="str">
        <f t="shared" si="48"/>
        <v>Moderado</v>
      </c>
      <c r="T143" s="595">
        <v>1</v>
      </c>
      <c r="U143" s="631" t="s">
        <v>1081</v>
      </c>
      <c r="V143" s="595" t="str">
        <f t="shared" si="54"/>
        <v>Probabilidad</v>
      </c>
      <c r="W143" s="596" t="s">
        <v>197</v>
      </c>
      <c r="X143" s="596" t="s">
        <v>198</v>
      </c>
      <c r="Y143" s="597" t="str">
        <f t="shared" si="49"/>
        <v>40%</v>
      </c>
      <c r="Z143" s="596" t="s">
        <v>259</v>
      </c>
      <c r="AA143" s="596" t="s">
        <v>200</v>
      </c>
      <c r="AB143" s="596" t="s">
        <v>201</v>
      </c>
      <c r="AC143" s="598">
        <f>IFERROR(IF(AND(V142="Probabilidad",V143="Probabilidad"),(AE142-(+AE142*Y143)),IF(AND(V142="Impacto",V143="Probabilidad"),(AE141-(+AE141*Y143)),IF(V143="Impacto",AE142,""))),"")</f>
        <v>3.1103999999999993E-2</v>
      </c>
      <c r="AD143" s="599" t="str">
        <f t="shared" si="50"/>
        <v>Muy Baja</v>
      </c>
      <c r="AE143" s="600">
        <f t="shared" si="51"/>
        <v>3.1103999999999993E-2</v>
      </c>
      <c r="AF143" s="599" t="str">
        <f t="shared" si="52"/>
        <v>Moderado</v>
      </c>
      <c r="AG143" s="600">
        <f>IFERROR(IF(AND(V142="Impacto",V143="Impacto"),(AG142-(+AG142*Y143)),IF(AND(V142="Probabilidad",V143="Impacto"),(AG141-(+AG141*Y143)),IF(V143="Probabilidad",AG142,""))),"")</f>
        <v>0.6</v>
      </c>
      <c r="AH143" s="601" t="str">
        <f t="shared" si="53"/>
        <v>Moderado</v>
      </c>
      <c r="AI143" s="602" t="s">
        <v>202</v>
      </c>
      <c r="AJ143" s="603"/>
      <c r="AK143" s="192"/>
      <c r="AL143" s="603"/>
      <c r="AM143" s="604"/>
      <c r="AN143" s="606"/>
      <c r="AO143" s="607"/>
      <c r="AP143" s="608">
        <v>45757</v>
      </c>
      <c r="AQ143" s="609" t="s">
        <v>1034</v>
      </c>
      <c r="AR143" s="283" t="s">
        <v>1082</v>
      </c>
      <c r="AS143" s="611" t="s">
        <v>205</v>
      </c>
      <c r="AT143" s="612" t="s">
        <v>206</v>
      </c>
      <c r="AU143" s="612" t="s">
        <v>206</v>
      </c>
      <c r="AV143" s="613"/>
      <c r="AW143" s="614">
        <v>45782</v>
      </c>
      <c r="AX143" s="615" t="s">
        <v>207</v>
      </c>
      <c r="AY143" s="635" t="s">
        <v>578</v>
      </c>
      <c r="BA143" s="617"/>
      <c r="BB143" s="617"/>
      <c r="BC143" s="618" t="s">
        <v>209</v>
      </c>
      <c r="BE143" s="608">
        <v>45856</v>
      </c>
      <c r="BF143" s="609" t="s">
        <v>1034</v>
      </c>
      <c r="BG143" s="283" t="s">
        <v>1083</v>
      </c>
      <c r="BH143" s="641" t="s">
        <v>205</v>
      </c>
      <c r="BI143" s="612" t="s">
        <v>206</v>
      </c>
      <c r="BJ143" s="612" t="s">
        <v>206</v>
      </c>
      <c r="BL143" s="450">
        <v>45856</v>
      </c>
      <c r="BM143" s="449" t="s">
        <v>215</v>
      </c>
      <c r="BN143" s="283" t="s">
        <v>231</v>
      </c>
      <c r="BP143" s="617"/>
      <c r="BQ143" s="617"/>
      <c r="BR143" s="618" t="s">
        <v>209</v>
      </c>
      <c r="BT143" s="608">
        <v>45940</v>
      </c>
      <c r="BU143" s="609" t="s">
        <v>1034</v>
      </c>
      <c r="BV143" s="283" t="s">
        <v>1084</v>
      </c>
      <c r="BW143" s="641" t="s">
        <v>205</v>
      </c>
      <c r="BX143" s="612" t="s">
        <v>206</v>
      </c>
      <c r="BY143" s="612" t="s">
        <v>206</v>
      </c>
      <c r="CA143" s="659">
        <v>45992</v>
      </c>
      <c r="CB143" s="286" t="s">
        <v>218</v>
      </c>
      <c r="CC143" s="643" t="s">
        <v>233</v>
      </c>
      <c r="CE143" s="617"/>
      <c r="CF143" s="617"/>
      <c r="CG143" s="618" t="s">
        <v>209</v>
      </c>
      <c r="CH143" s="192"/>
      <c r="CI143" s="558"/>
      <c r="CJ143" s="558"/>
      <c r="CK143" s="559" t="s">
        <v>209</v>
      </c>
      <c r="CL143" s="558"/>
      <c r="CM143" s="558"/>
      <c r="CN143" s="558"/>
      <c r="CO143" s="553"/>
      <c r="CP143" s="558"/>
      <c r="CQ143" s="558"/>
      <c r="CR143" s="559" t="s">
        <v>209</v>
      </c>
      <c r="CS143" s="553"/>
      <c r="CT143" s="558"/>
      <c r="CU143" s="558"/>
      <c r="CV143" s="559" t="s">
        <v>209</v>
      </c>
    </row>
    <row r="144" spans="1:100" ht="151.5" customHeight="1" x14ac:dyDescent="0.3">
      <c r="A144" s="632">
        <v>63</v>
      </c>
      <c r="B144" s="632" t="s">
        <v>1077</v>
      </c>
      <c r="C144" s="633" t="s">
        <v>1029</v>
      </c>
      <c r="D144" s="585" t="str">
        <f>IFERROR(INDEX('Base de datos gestión'!$D$28:$D$50,MATCH(C144,'Base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4" s="585" t="str">
        <f>IFERROR(INDEX('Base de datos gestión'!$E$28:$E$50,MATCH(C144,'Base de datos gestión'!$C$28:$C$50,0)), 0)</f>
        <v>El proceso inicia con la planificación de los servicios de ensayos de aptitud y estudios colaborativos (comparaciones interlaboratorios) y finaliza con la aplicación de la evaluación de la satisfacción del servicio.</v>
      </c>
      <c r="F144" s="628" t="s">
        <v>188</v>
      </c>
      <c r="G144" s="629" t="s">
        <v>1078</v>
      </c>
      <c r="H144" s="697" t="s">
        <v>1085</v>
      </c>
      <c r="I144" s="628" t="s">
        <v>1080</v>
      </c>
      <c r="J144" s="630" t="s">
        <v>192</v>
      </c>
      <c r="K144" s="630" t="s">
        <v>193</v>
      </c>
      <c r="L144" s="630">
        <v>6</v>
      </c>
      <c r="M144" s="588" t="str">
        <f t="shared" si="46"/>
        <v>Baja</v>
      </c>
      <c r="N144" s="589">
        <f t="shared" si="41"/>
        <v>0.4</v>
      </c>
      <c r="O144" s="590" t="s">
        <v>248</v>
      </c>
      <c r="P144" s="589" t="str">
        <f>IF(NOT(ISERROR(MATCH(O144,'Tabla Impacto'!$B$222:$B$224,0))),'Tabla Impacto'!$F$224&amp;"Por favor no seleccionar los criterios de impacto(Afectación Económica o presupuestal y Pérdida Reputacional)",O144)</f>
        <v xml:space="preserve">     El riesgo afecta la imagen de la entidad con algunos usuarios de relevancia frente al logro de los objetivos</v>
      </c>
      <c r="Q144" s="591" t="str">
        <f>IF(OR(P144='[8]Tabla Impacto'!$C$12,P144='[8]Tabla Impacto'!$D$12),"Leve",IF(OR(P144='[8]Tabla Impacto'!$C$13,P144='[8]Tabla Impacto'!$D$13),"Menor",IF(OR(P144='[8]Tabla Impacto'!$C$14,P144='[8]Tabla Impacto'!$D$14),"Moderado",IF(OR(P144='[8]Tabla Impacto'!$C$15,P144='[8]Tabla Impacto'!$D$15),"Mayor",IF(OR(P144='[8]Tabla Impacto'!$C$16,P144='[8]Tabla Impacto'!$D$16),"Catastrófico","")))))</f>
        <v>Moderado</v>
      </c>
      <c r="R144" s="590">
        <f t="shared" si="47"/>
        <v>0.6</v>
      </c>
      <c r="S144" s="592" t="str">
        <f t="shared" si="48"/>
        <v>Moderado</v>
      </c>
      <c r="T144" s="595">
        <v>2</v>
      </c>
      <c r="U144" s="631" t="s">
        <v>1086</v>
      </c>
      <c r="V144" s="595" t="str">
        <f t="shared" si="54"/>
        <v>Probabilidad</v>
      </c>
      <c r="W144" s="596" t="s">
        <v>197</v>
      </c>
      <c r="X144" s="596" t="s">
        <v>198</v>
      </c>
      <c r="Y144" s="597" t="str">
        <f t="shared" si="49"/>
        <v>40%</v>
      </c>
      <c r="Z144" s="596" t="s">
        <v>259</v>
      </c>
      <c r="AA144" s="596" t="s">
        <v>200</v>
      </c>
      <c r="AB144" s="596" t="s">
        <v>201</v>
      </c>
      <c r="AC144" s="598">
        <f>IFERROR(IF(AND(V143="Probabilidad",V144="Probabilidad"),(AE143-(+AE143*Y144)),IF(AND(V143="Impacto",V144="Probabilidad"),(AE142-(+AE142*Y144)),IF(V144="Impacto",AE143,""))),"")</f>
        <v>1.8662399999999996E-2</v>
      </c>
      <c r="AD144" s="599" t="str">
        <f t="shared" si="50"/>
        <v>Muy Baja</v>
      </c>
      <c r="AE144" s="600">
        <f t="shared" si="51"/>
        <v>1.8662399999999996E-2</v>
      </c>
      <c r="AF144" s="599" t="str">
        <f t="shared" si="52"/>
        <v>Moderado</v>
      </c>
      <c r="AG144" s="600">
        <f>IFERROR(IF(AND(V143="Impacto",V144="Impacto"),(AG143-(+AG143*Y144)),IF(AND(V143="Probabilidad",V144="Impacto"),(AG142-(+AG142*Y144)),IF(V144="Probabilidad",AG143,""))),"")</f>
        <v>0.6</v>
      </c>
      <c r="AH144" s="601" t="str">
        <f t="shared" si="53"/>
        <v>Moderado</v>
      </c>
      <c r="AI144" s="602" t="s">
        <v>202</v>
      </c>
      <c r="AJ144" s="603"/>
      <c r="AK144" s="192"/>
      <c r="AL144" s="603"/>
      <c r="AM144" s="604"/>
      <c r="AN144" s="606"/>
      <c r="AO144" s="607"/>
      <c r="AP144" s="608">
        <v>45757</v>
      </c>
      <c r="AQ144" s="609" t="s">
        <v>1034</v>
      </c>
      <c r="AR144" s="283" t="s">
        <v>1087</v>
      </c>
      <c r="AS144" s="611" t="s">
        <v>205</v>
      </c>
      <c r="AT144" s="612" t="s">
        <v>206</v>
      </c>
      <c r="AU144" s="612" t="s">
        <v>206</v>
      </c>
      <c r="AV144" s="613"/>
      <c r="AW144" s="614">
        <v>45782</v>
      </c>
      <c r="AX144" s="615" t="s">
        <v>207</v>
      </c>
      <c r="AY144" s="635" t="s">
        <v>578</v>
      </c>
      <c r="BA144" s="617"/>
      <c r="BB144" s="617"/>
      <c r="BC144" s="618" t="s">
        <v>209</v>
      </c>
      <c r="BE144" s="608">
        <v>45856</v>
      </c>
      <c r="BF144" s="609" t="s">
        <v>1034</v>
      </c>
      <c r="BG144" s="283" t="s">
        <v>1088</v>
      </c>
      <c r="BH144" s="641" t="s">
        <v>205</v>
      </c>
      <c r="BI144" s="612" t="s">
        <v>206</v>
      </c>
      <c r="BJ144" s="612" t="s">
        <v>206</v>
      </c>
      <c r="BL144" s="450">
        <v>45856</v>
      </c>
      <c r="BM144" s="449" t="s">
        <v>215</v>
      </c>
      <c r="BN144" s="283" t="s">
        <v>231</v>
      </c>
      <c r="BP144" s="617"/>
      <c r="BQ144" s="617"/>
      <c r="BR144" s="618" t="s">
        <v>209</v>
      </c>
      <c r="BT144" s="608">
        <v>45940</v>
      </c>
      <c r="BU144" s="609" t="s">
        <v>1034</v>
      </c>
      <c r="BV144" s="283" t="s">
        <v>1089</v>
      </c>
      <c r="BW144" s="641" t="s">
        <v>205</v>
      </c>
      <c r="BX144" s="612" t="s">
        <v>206</v>
      </c>
      <c r="BY144" s="612" t="s">
        <v>206</v>
      </c>
      <c r="CA144" s="659">
        <v>45992</v>
      </c>
      <c r="CB144" s="286" t="s">
        <v>218</v>
      </c>
      <c r="CC144" s="643" t="s">
        <v>233</v>
      </c>
      <c r="CE144" s="617"/>
      <c r="CF144" s="617"/>
      <c r="CG144" s="618" t="s">
        <v>209</v>
      </c>
      <c r="CH144" s="192"/>
      <c r="CI144" s="558"/>
      <c r="CJ144" s="558"/>
      <c r="CK144" s="559" t="s">
        <v>209</v>
      </c>
      <c r="CL144" s="558"/>
      <c r="CM144" s="558"/>
      <c r="CN144" s="558"/>
      <c r="CO144" s="553"/>
      <c r="CP144" s="558"/>
      <c r="CQ144" s="558"/>
      <c r="CR144" s="559" t="s">
        <v>209</v>
      </c>
      <c r="CS144" s="553"/>
      <c r="CT144" s="558"/>
      <c r="CU144" s="558"/>
      <c r="CV144" s="559" t="s">
        <v>209</v>
      </c>
    </row>
    <row r="145" spans="1:100" ht="151.5" customHeight="1" x14ac:dyDescent="0.3">
      <c r="A145" s="584">
        <v>63</v>
      </c>
      <c r="B145" s="584" t="s">
        <v>1077</v>
      </c>
      <c r="C145" s="585" t="s">
        <v>1029</v>
      </c>
      <c r="D145" s="585" t="str">
        <f>IFERROR(INDEX('Base de datos gestión'!$D$28:$D$50,MATCH(C145,'Base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5" s="585" t="str">
        <f>IFERROR(INDEX('Base de datos gestión'!$E$28:$E$50,MATCH(C145,'Base de datos gestión'!$C$28:$C$50,0)), 0)</f>
        <v>El proceso inicia con la planificación de los servicios de ensayos de aptitud y estudios colaborativos (comparaciones interlaboratorios) y finaliza con la aplicación de la evaluación de la satisfacción del servicio.</v>
      </c>
      <c r="F145" s="628" t="s">
        <v>188</v>
      </c>
      <c r="G145" s="629" t="s">
        <v>1078</v>
      </c>
      <c r="H145" s="697" t="s">
        <v>1090</v>
      </c>
      <c r="I145" s="628" t="s">
        <v>1080</v>
      </c>
      <c r="J145" s="630" t="s">
        <v>192</v>
      </c>
      <c r="K145" s="630" t="s">
        <v>193</v>
      </c>
      <c r="L145" s="630">
        <v>6</v>
      </c>
      <c r="M145" s="588" t="str">
        <f t="shared" si="46"/>
        <v>Baja</v>
      </c>
      <c r="N145" s="589">
        <f t="shared" si="41"/>
        <v>0.4</v>
      </c>
      <c r="O145" s="590" t="s">
        <v>248</v>
      </c>
      <c r="P145" s="589" t="str">
        <f>IF(NOT(ISERROR(MATCH(O145,'Tabla Impacto'!$B$222:$B$224,0))),'Tabla Impacto'!$F$224&amp;"Por favor no seleccionar los criterios de impacto(Afectación Económica o presupuestal y Pérdida Reputacional)",O145)</f>
        <v xml:space="preserve">     El riesgo afecta la imagen de la entidad con algunos usuarios de relevancia frente al logro de los objetivos</v>
      </c>
      <c r="Q145" s="591" t="str">
        <f>IF(OR(P145='[8]Tabla Impacto'!$C$12,P145='[8]Tabla Impacto'!$D$12),"Leve",IF(OR(P145='[8]Tabla Impacto'!$C$13,P145='[8]Tabla Impacto'!$D$13),"Menor",IF(OR(P145='[8]Tabla Impacto'!$C$14,P145='[8]Tabla Impacto'!$D$14),"Moderado",IF(OR(P145='[8]Tabla Impacto'!$C$15,P145='[8]Tabla Impacto'!$D$15),"Mayor",IF(OR(P145='[8]Tabla Impacto'!$C$16,P145='[8]Tabla Impacto'!$D$16),"Catastrófico","")))))</f>
        <v>Moderado</v>
      </c>
      <c r="R145" s="590">
        <f t="shared" si="47"/>
        <v>0.6</v>
      </c>
      <c r="S145" s="592" t="str">
        <f t="shared" si="48"/>
        <v>Moderado</v>
      </c>
      <c r="T145" s="595">
        <v>3</v>
      </c>
      <c r="U145" s="631" t="s">
        <v>1091</v>
      </c>
      <c r="V145" s="595" t="str">
        <f t="shared" si="54"/>
        <v>Probabilidad</v>
      </c>
      <c r="W145" s="596" t="s">
        <v>197</v>
      </c>
      <c r="X145" s="596" t="s">
        <v>198</v>
      </c>
      <c r="Y145" s="597" t="str">
        <f t="shared" si="49"/>
        <v>40%</v>
      </c>
      <c r="Z145" s="596" t="s">
        <v>259</v>
      </c>
      <c r="AA145" s="596" t="s">
        <v>200</v>
      </c>
      <c r="AB145" s="596" t="s">
        <v>201</v>
      </c>
      <c r="AC145" s="598">
        <f>IFERROR(IF(V145="Probabilidad",(N145-(+N145*Y145)),IF(V145="Impacto",N145,"")),"")</f>
        <v>0.24</v>
      </c>
      <c r="AD145" s="599" t="str">
        <f t="shared" si="50"/>
        <v>Baja</v>
      </c>
      <c r="AE145" s="600">
        <f t="shared" si="51"/>
        <v>0.24</v>
      </c>
      <c r="AF145" s="599" t="str">
        <f t="shared" si="52"/>
        <v>Moderado</v>
      </c>
      <c r="AG145" s="600">
        <f>IFERROR(IF(V145="Impacto",(R145-(+R145*Y145)),IF(V145="Probabilidad",R145,"")),"")</f>
        <v>0.6</v>
      </c>
      <c r="AH145" s="601" t="str">
        <f t="shared" si="53"/>
        <v>Moderado</v>
      </c>
      <c r="AI145" s="602" t="s">
        <v>202</v>
      </c>
      <c r="AJ145" s="603"/>
      <c r="AK145" s="192"/>
      <c r="AL145" s="603"/>
      <c r="AM145" s="604"/>
      <c r="AN145" s="606"/>
      <c r="AO145" s="607"/>
      <c r="AP145" s="608">
        <v>45757</v>
      </c>
      <c r="AQ145" s="609" t="s">
        <v>1034</v>
      </c>
      <c r="AR145" s="283" t="s">
        <v>1092</v>
      </c>
      <c r="AS145" s="611" t="s">
        <v>205</v>
      </c>
      <c r="AT145" s="612" t="s">
        <v>206</v>
      </c>
      <c r="AU145" s="612" t="s">
        <v>206</v>
      </c>
      <c r="AV145" s="613"/>
      <c r="AW145" s="614">
        <v>45782</v>
      </c>
      <c r="AX145" s="615" t="s">
        <v>207</v>
      </c>
      <c r="AY145" s="635" t="s">
        <v>578</v>
      </c>
      <c r="BA145" s="617"/>
      <c r="BB145" s="617"/>
      <c r="BC145" s="618" t="s">
        <v>209</v>
      </c>
      <c r="BE145" s="608">
        <v>45856</v>
      </c>
      <c r="BF145" s="609" t="s">
        <v>1034</v>
      </c>
      <c r="BG145" s="283" t="s">
        <v>1093</v>
      </c>
      <c r="BH145" s="641" t="s">
        <v>205</v>
      </c>
      <c r="BI145" s="612" t="s">
        <v>206</v>
      </c>
      <c r="BJ145" s="612" t="s">
        <v>206</v>
      </c>
      <c r="BL145" s="450">
        <v>45856</v>
      </c>
      <c r="BM145" s="449" t="s">
        <v>215</v>
      </c>
      <c r="BN145" s="283" t="s">
        <v>231</v>
      </c>
      <c r="BP145" s="617"/>
      <c r="BQ145" s="617"/>
      <c r="BR145" s="618" t="s">
        <v>209</v>
      </c>
      <c r="BT145" s="608">
        <v>45940</v>
      </c>
      <c r="BU145" s="609" t="s">
        <v>1034</v>
      </c>
      <c r="BV145" s="283" t="s">
        <v>1094</v>
      </c>
      <c r="BW145" s="641" t="s">
        <v>205</v>
      </c>
      <c r="BX145" s="612" t="s">
        <v>206</v>
      </c>
      <c r="BY145" s="612" t="s">
        <v>206</v>
      </c>
      <c r="CA145" s="659">
        <v>45992</v>
      </c>
      <c r="CB145" s="286" t="s">
        <v>218</v>
      </c>
      <c r="CC145" s="643" t="s">
        <v>233</v>
      </c>
      <c r="CE145" s="617"/>
      <c r="CF145" s="617"/>
      <c r="CG145" s="618" t="s">
        <v>209</v>
      </c>
      <c r="CH145" s="192"/>
      <c r="CI145" s="558"/>
      <c r="CJ145" s="558"/>
      <c r="CK145" s="559" t="s">
        <v>209</v>
      </c>
      <c r="CL145" s="558"/>
      <c r="CM145" s="558"/>
      <c r="CN145" s="558"/>
      <c r="CO145" s="553"/>
      <c r="CP145" s="558"/>
      <c r="CQ145" s="558"/>
      <c r="CR145" s="559" t="s">
        <v>209</v>
      </c>
      <c r="CS145" s="553"/>
      <c r="CT145" s="558"/>
      <c r="CU145" s="558"/>
      <c r="CV145" s="559" t="s">
        <v>209</v>
      </c>
    </row>
    <row r="146" spans="1:100" ht="151.5" customHeight="1" x14ac:dyDescent="0.3">
      <c r="A146" s="622">
        <v>63</v>
      </c>
      <c r="B146" s="622" t="s">
        <v>1077</v>
      </c>
      <c r="C146" s="623" t="s">
        <v>1029</v>
      </c>
      <c r="D146" s="585" t="str">
        <f>IFERROR(INDEX('Base de datos gestión'!$D$28:$D$50,MATCH(C146,'Base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6" s="585" t="str">
        <f>IFERROR(INDEX('Base de datos gestión'!$E$28:$E$50,MATCH(C146,'Base de datos gestión'!$C$28:$C$50,0)), 0)</f>
        <v>El proceso inicia con la planificación de los servicios de ensayos de aptitud y estudios colaborativos (comparaciones interlaboratorios) y finaliza con la aplicación de la evaluación de la satisfacción del servicio.</v>
      </c>
      <c r="F146" s="628" t="s">
        <v>188</v>
      </c>
      <c r="G146" s="629" t="s">
        <v>1078</v>
      </c>
      <c r="H146" s="697" t="s">
        <v>1090</v>
      </c>
      <c r="I146" s="628" t="s">
        <v>1080</v>
      </c>
      <c r="J146" s="630" t="s">
        <v>192</v>
      </c>
      <c r="K146" s="630" t="s">
        <v>193</v>
      </c>
      <c r="L146" s="630">
        <v>6</v>
      </c>
      <c r="M146" s="588" t="str">
        <f t="shared" si="46"/>
        <v>Baja</v>
      </c>
      <c r="N146" s="589">
        <f t="shared" si="41"/>
        <v>0.4</v>
      </c>
      <c r="O146" s="590" t="s">
        <v>248</v>
      </c>
      <c r="P146" s="589" t="str">
        <f>IF(NOT(ISERROR(MATCH(O146,'Tabla Impacto'!$B$222:$B$224,0))),'Tabla Impacto'!$F$224&amp;"Por favor no seleccionar los criterios de impacto(Afectación Económica o presupuestal y Pérdida Reputacional)",O146)</f>
        <v xml:space="preserve">     El riesgo afecta la imagen de la entidad con algunos usuarios de relevancia frente al logro de los objetivos</v>
      </c>
      <c r="Q146" s="591" t="str">
        <f>IF(OR(P146='[8]Tabla Impacto'!$C$12,P146='[8]Tabla Impacto'!$D$12),"Leve",IF(OR(P146='[8]Tabla Impacto'!$C$13,P146='[8]Tabla Impacto'!$D$13),"Menor",IF(OR(P146='[8]Tabla Impacto'!$C$14,P146='[8]Tabla Impacto'!$D$14),"Moderado",IF(OR(P146='[8]Tabla Impacto'!$C$15,P146='[8]Tabla Impacto'!$D$15),"Mayor",IF(OR(P146='[8]Tabla Impacto'!$C$16,P146='[8]Tabla Impacto'!$D$16),"Catastrófico","")))))</f>
        <v>Moderado</v>
      </c>
      <c r="R146" s="590">
        <f t="shared" si="47"/>
        <v>0.6</v>
      </c>
      <c r="S146" s="592" t="str">
        <f t="shared" si="48"/>
        <v>Moderado</v>
      </c>
      <c r="T146" s="595">
        <v>4</v>
      </c>
      <c r="U146" s="631" t="s">
        <v>1095</v>
      </c>
      <c r="V146" s="595" t="str">
        <f>IF(OR(W146="Preventivo",W146="Detectivo"),"Probabilidad",IF(W146="Correctivo","Impacto",""))</f>
        <v>Probabilidad</v>
      </c>
      <c r="W146" s="596" t="s">
        <v>197</v>
      </c>
      <c r="X146" s="596" t="s">
        <v>198</v>
      </c>
      <c r="Y146" s="597" t="str">
        <f t="shared" si="49"/>
        <v>40%</v>
      </c>
      <c r="Z146" s="596" t="s">
        <v>259</v>
      </c>
      <c r="AA146" s="596" t="s">
        <v>200</v>
      </c>
      <c r="AB146" s="596" t="s">
        <v>201</v>
      </c>
      <c r="AC146" s="598">
        <f>IFERROR(IF(AND(V145="Probabilidad",V146="Probabilidad"),(AE145-(+AE145*Y146)),IF(V146="Probabilidad",(N145-(+N145*Y146)),IF(V146="Impacto",AE145,""))),"")</f>
        <v>0.14399999999999999</v>
      </c>
      <c r="AD146" s="599" t="str">
        <f t="shared" si="50"/>
        <v>Muy Baja</v>
      </c>
      <c r="AE146" s="600">
        <f t="shared" si="51"/>
        <v>0.14399999999999999</v>
      </c>
      <c r="AF146" s="599" t="str">
        <f t="shared" si="52"/>
        <v>Moderado</v>
      </c>
      <c r="AG146" s="600">
        <f>IFERROR(IF(AND(V145="Impacto",V146="Impacto"),(AG139-(+AG139*Y146)),IF(V146="Impacto",($R$49-(+$R$49*Y146)),IF(V146="Probabilidad",AG139,""))),"")</f>
        <v>0.6</v>
      </c>
      <c r="AH146" s="601" t="str">
        <f t="shared" si="53"/>
        <v>Moderado</v>
      </c>
      <c r="AI146" s="602" t="s">
        <v>202</v>
      </c>
      <c r="AJ146" s="603"/>
      <c r="AK146" s="192"/>
      <c r="AL146" s="603"/>
      <c r="AM146" s="604"/>
      <c r="AN146" s="606"/>
      <c r="AO146" s="607"/>
      <c r="AP146" s="608">
        <v>45757</v>
      </c>
      <c r="AQ146" s="609" t="s">
        <v>1034</v>
      </c>
      <c r="AR146" s="283" t="s">
        <v>1096</v>
      </c>
      <c r="AS146" s="611" t="s">
        <v>205</v>
      </c>
      <c r="AT146" s="612" t="s">
        <v>206</v>
      </c>
      <c r="AU146" s="612" t="s">
        <v>206</v>
      </c>
      <c r="AV146" s="613"/>
      <c r="AW146" s="614">
        <v>45782</v>
      </c>
      <c r="AX146" s="615" t="s">
        <v>207</v>
      </c>
      <c r="AY146" s="635" t="s">
        <v>578</v>
      </c>
      <c r="BA146" s="617"/>
      <c r="BB146" s="617"/>
      <c r="BC146" s="618" t="s">
        <v>209</v>
      </c>
      <c r="BE146" s="608">
        <v>45856</v>
      </c>
      <c r="BF146" s="609" t="s">
        <v>1034</v>
      </c>
      <c r="BG146" s="283" t="s">
        <v>1097</v>
      </c>
      <c r="BH146" s="641" t="s">
        <v>205</v>
      </c>
      <c r="BI146" s="612" t="s">
        <v>206</v>
      </c>
      <c r="BJ146" s="612" t="s">
        <v>206</v>
      </c>
      <c r="BL146" s="450">
        <v>45856</v>
      </c>
      <c r="BM146" s="449" t="s">
        <v>215</v>
      </c>
      <c r="BN146" s="283" t="s">
        <v>231</v>
      </c>
      <c r="BP146" s="617"/>
      <c r="BQ146" s="617"/>
      <c r="BR146" s="618" t="s">
        <v>209</v>
      </c>
      <c r="BT146" s="608">
        <v>45940</v>
      </c>
      <c r="BU146" s="609" t="s">
        <v>1034</v>
      </c>
      <c r="BV146" s="283" t="s">
        <v>1098</v>
      </c>
      <c r="BW146" s="641" t="s">
        <v>205</v>
      </c>
      <c r="BX146" s="612" t="s">
        <v>206</v>
      </c>
      <c r="BY146" s="612" t="s">
        <v>206</v>
      </c>
      <c r="CA146" s="659">
        <v>45992</v>
      </c>
      <c r="CB146" s="286" t="s">
        <v>218</v>
      </c>
      <c r="CC146" s="643" t="s">
        <v>233</v>
      </c>
      <c r="CE146" s="617"/>
      <c r="CF146" s="617"/>
      <c r="CG146" s="618" t="s">
        <v>209</v>
      </c>
      <c r="CH146" s="192"/>
      <c r="CI146" s="558"/>
      <c r="CJ146" s="558"/>
      <c r="CK146" s="559" t="s">
        <v>209</v>
      </c>
      <c r="CL146" s="558"/>
      <c r="CM146" s="558"/>
      <c r="CN146" s="558"/>
      <c r="CO146" s="553"/>
      <c r="CP146" s="558"/>
      <c r="CQ146" s="558"/>
      <c r="CR146" s="559" t="s">
        <v>209</v>
      </c>
      <c r="CS146" s="553"/>
      <c r="CT146" s="558"/>
      <c r="CU146" s="558"/>
      <c r="CV146" s="559" t="s">
        <v>209</v>
      </c>
    </row>
    <row r="147" spans="1:100" ht="151.5" customHeight="1" x14ac:dyDescent="0.3">
      <c r="A147" s="622">
        <v>64</v>
      </c>
      <c r="B147" s="622" t="s">
        <v>1099</v>
      </c>
      <c r="C147" s="623" t="s">
        <v>1029</v>
      </c>
      <c r="D147" s="585" t="str">
        <f>IFERROR(INDEX('Base de datos gestión'!$D$28:$D$50,MATCH(C147,'Base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7" s="585" t="str">
        <f>IFERROR(INDEX('Base de datos gestión'!$E$28:$E$50,MATCH(C147,'Base de datos gestión'!$C$28:$C$50,0)), 0)</f>
        <v>El proceso inicia con la planificación de los servicios de ensayos de aptitud y estudios colaborativos (comparaciones interlaboratorios) y finaliza con la aplicación de la evaluación de la satisfacción del servicio.</v>
      </c>
      <c r="F147" s="628" t="s">
        <v>188</v>
      </c>
      <c r="G147" s="629" t="s">
        <v>1100</v>
      </c>
      <c r="H147" s="630" t="s">
        <v>1101</v>
      </c>
      <c r="I147" s="630" t="s">
        <v>1102</v>
      </c>
      <c r="J147" s="630" t="s">
        <v>192</v>
      </c>
      <c r="K147" s="630" t="s">
        <v>311</v>
      </c>
      <c r="L147" s="630">
        <v>6</v>
      </c>
      <c r="M147" s="588" t="str">
        <f t="shared" si="46"/>
        <v>Baja</v>
      </c>
      <c r="N147" s="589">
        <f t="shared" si="41"/>
        <v>0.4</v>
      </c>
      <c r="O147" s="590" t="s">
        <v>248</v>
      </c>
      <c r="P147" s="589" t="str">
        <f>IF(NOT(ISERROR(MATCH(O147,'Tabla Impacto'!$B$222:$B$224,0))),'Tabla Impacto'!$F$224&amp;"Por favor no seleccionar los criterios de impacto(Afectación Económica o presupuestal y Pérdida Reputacional)",O147)</f>
        <v xml:space="preserve">     El riesgo afecta la imagen de la entidad con algunos usuarios de relevancia frente al logro de los objetivos</v>
      </c>
      <c r="Q147" s="591" t="str">
        <f>IF(OR(P147='[8]Tabla Impacto'!$C$12,P147='[8]Tabla Impacto'!$D$12),"Leve",IF(OR(P147='[8]Tabla Impacto'!$C$13,P147='[8]Tabla Impacto'!$D$13),"Menor",IF(OR(P147='[8]Tabla Impacto'!$C$14,P147='[8]Tabla Impacto'!$D$14),"Moderado",IF(OR(P147='[8]Tabla Impacto'!$C$15,P147='[8]Tabla Impacto'!$D$15),"Mayor",IF(OR(P147='[8]Tabla Impacto'!$C$16,P147='[8]Tabla Impacto'!$D$16),"Catastrófico","")))))</f>
        <v>Moderado</v>
      </c>
      <c r="R147" s="590">
        <f t="shared" si="47"/>
        <v>0.6</v>
      </c>
      <c r="S147" s="592" t="str">
        <f t="shared" si="48"/>
        <v>Moderado</v>
      </c>
      <c r="T147" s="595">
        <v>1</v>
      </c>
      <c r="U147" s="631" t="s">
        <v>1103</v>
      </c>
      <c r="V147" s="595" t="str">
        <f t="shared" si="54"/>
        <v>Probabilidad</v>
      </c>
      <c r="W147" s="596" t="s">
        <v>197</v>
      </c>
      <c r="X147" s="596" t="s">
        <v>198</v>
      </c>
      <c r="Y147" s="597" t="str">
        <f t="shared" si="49"/>
        <v>40%</v>
      </c>
      <c r="Z147" s="596" t="s">
        <v>259</v>
      </c>
      <c r="AA147" s="596" t="s">
        <v>200</v>
      </c>
      <c r="AB147" s="596" t="s">
        <v>201</v>
      </c>
      <c r="AC147" s="598">
        <f>IFERROR(IF(AND(V146="Probabilidad",V147="Probabilidad"),(AE146-(+AE146*Y147)),IF(AND(V146="Impacto",V147="Probabilidad"),(AE145-(+AE145*Y147)),IF(V147="Impacto",AE146,""))),"")</f>
        <v>8.6399999999999991E-2</v>
      </c>
      <c r="AD147" s="599" t="str">
        <f t="shared" si="50"/>
        <v>Muy Baja</v>
      </c>
      <c r="AE147" s="600">
        <f t="shared" si="51"/>
        <v>8.6399999999999991E-2</v>
      </c>
      <c r="AF147" s="599" t="str">
        <f t="shared" si="52"/>
        <v>Moderado</v>
      </c>
      <c r="AG147" s="600">
        <f>IFERROR(IF(AND(V146="Impacto",V147="Impacto"),(AG146-(+AG146*Y147)),IF(AND(V146="Probabilidad",V147="Impacto"),(AG145-(+AG145*Y147)),IF(V147="Probabilidad",AG146,""))),"")</f>
        <v>0.6</v>
      </c>
      <c r="AH147" s="601" t="str">
        <f t="shared" si="53"/>
        <v>Moderado</v>
      </c>
      <c r="AI147" s="602" t="s">
        <v>202</v>
      </c>
      <c r="AJ147" s="603"/>
      <c r="AK147" s="192"/>
      <c r="AL147" s="603"/>
      <c r="AM147" s="604"/>
      <c r="AN147" s="606"/>
      <c r="AO147" s="607"/>
      <c r="AP147" s="608">
        <v>45757</v>
      </c>
      <c r="AQ147" s="609" t="s">
        <v>1034</v>
      </c>
      <c r="AR147" s="283" t="s">
        <v>1104</v>
      </c>
      <c r="AS147" s="611" t="s">
        <v>205</v>
      </c>
      <c r="AT147" s="612" t="s">
        <v>206</v>
      </c>
      <c r="AU147" s="612" t="s">
        <v>206</v>
      </c>
      <c r="AV147" s="613"/>
      <c r="AW147" s="614">
        <v>45782</v>
      </c>
      <c r="AX147" s="615" t="s">
        <v>207</v>
      </c>
      <c r="AY147" s="635" t="s">
        <v>578</v>
      </c>
      <c r="BA147" s="617"/>
      <c r="BB147" s="617"/>
      <c r="BC147" s="618" t="s">
        <v>209</v>
      </c>
      <c r="BE147" s="608">
        <v>45856</v>
      </c>
      <c r="BF147" s="609" t="s">
        <v>1034</v>
      </c>
      <c r="BG147" s="283" t="s">
        <v>1105</v>
      </c>
      <c r="BH147" s="641" t="s">
        <v>205</v>
      </c>
      <c r="BI147" s="612" t="s">
        <v>206</v>
      </c>
      <c r="BJ147" s="612" t="s">
        <v>206</v>
      </c>
      <c r="BL147" s="450">
        <v>45856</v>
      </c>
      <c r="BM147" s="449" t="s">
        <v>215</v>
      </c>
      <c r="BN147" s="283" t="s">
        <v>231</v>
      </c>
      <c r="BP147" s="617"/>
      <c r="BQ147" s="617"/>
      <c r="BR147" s="618" t="s">
        <v>209</v>
      </c>
      <c r="BT147" s="608">
        <v>45940</v>
      </c>
      <c r="BU147" s="609" t="s">
        <v>1034</v>
      </c>
      <c r="BV147" s="283" t="s">
        <v>1106</v>
      </c>
      <c r="BW147" s="641" t="s">
        <v>205</v>
      </c>
      <c r="BX147" s="612" t="s">
        <v>206</v>
      </c>
      <c r="BY147" s="612" t="s">
        <v>206</v>
      </c>
      <c r="CA147" s="659">
        <v>45992</v>
      </c>
      <c r="CB147" s="286" t="s">
        <v>218</v>
      </c>
      <c r="CC147" s="643" t="s">
        <v>233</v>
      </c>
      <c r="CE147" s="617"/>
      <c r="CF147" s="617"/>
      <c r="CG147" s="618" t="s">
        <v>209</v>
      </c>
      <c r="CH147" s="192"/>
      <c r="CI147" s="558"/>
      <c r="CJ147" s="558"/>
      <c r="CK147" s="559" t="s">
        <v>209</v>
      </c>
      <c r="CL147" s="558"/>
      <c r="CM147" s="558"/>
      <c r="CN147" s="558"/>
      <c r="CO147" s="553"/>
      <c r="CP147" s="558"/>
      <c r="CQ147" s="558"/>
      <c r="CR147" s="559" t="s">
        <v>209</v>
      </c>
      <c r="CS147" s="553"/>
      <c r="CT147" s="558"/>
      <c r="CU147" s="558"/>
      <c r="CV147" s="559" t="s">
        <v>209</v>
      </c>
    </row>
    <row r="148" spans="1:100" ht="151.5" customHeight="1" x14ac:dyDescent="0.3">
      <c r="A148" s="622">
        <v>64</v>
      </c>
      <c r="B148" s="622" t="s">
        <v>1099</v>
      </c>
      <c r="C148" s="623" t="s">
        <v>1029</v>
      </c>
      <c r="D148" s="585" t="str">
        <f>IFERROR(INDEX('Base de datos gestión'!$D$28:$D$50,MATCH(C148,'Base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8" s="585" t="str">
        <f>IFERROR(INDEX('Base de datos gestión'!$E$28:$E$50,MATCH(C148,'Base de datos gestión'!$C$28:$C$50,0)), 0)</f>
        <v>El proceso inicia con la planificación de los servicios de ensayos de aptitud y estudios colaborativos (comparaciones interlaboratorios) y finaliza con la aplicación de la evaluación de la satisfacción del servicio.</v>
      </c>
      <c r="F148" s="628" t="s">
        <v>188</v>
      </c>
      <c r="G148" s="629" t="s">
        <v>1100</v>
      </c>
      <c r="H148" s="697" t="s">
        <v>1107</v>
      </c>
      <c r="I148" s="630" t="s">
        <v>1102</v>
      </c>
      <c r="J148" s="630" t="s">
        <v>192</v>
      </c>
      <c r="K148" s="630" t="s">
        <v>311</v>
      </c>
      <c r="L148" s="630">
        <v>6</v>
      </c>
      <c r="M148" s="588" t="str">
        <f t="shared" si="46"/>
        <v>Baja</v>
      </c>
      <c r="N148" s="589">
        <f t="shared" ref="N148:N211" si="55">IF(M148="","",IF(M148="Muy Baja",0.2,IF(M148="Baja",0.4,IF(M148="Media",0.6,IF(M148="Alta",0.8,IF(M148="Muy Alta",1,))))))</f>
        <v>0.4</v>
      </c>
      <c r="O148" s="590" t="s">
        <v>248</v>
      </c>
      <c r="P148" s="589" t="str">
        <f>IF(NOT(ISERROR(MATCH(O148,'Tabla Impacto'!$B$222:$B$224,0))),'Tabla Impacto'!$F$224&amp;"Por favor no seleccionar los criterios de impacto(Afectación Económica o presupuestal y Pérdida Reputacional)",O148)</f>
        <v xml:space="preserve">     El riesgo afecta la imagen de la entidad con algunos usuarios de relevancia frente al logro de los objetivos</v>
      </c>
      <c r="Q148" s="591" t="str">
        <f>IF(OR(P148='[8]Tabla Impacto'!$C$12,P148='[8]Tabla Impacto'!$D$12),"Leve",IF(OR(P148='[8]Tabla Impacto'!$C$13,P148='[8]Tabla Impacto'!$D$13),"Menor",IF(OR(P148='[8]Tabla Impacto'!$C$14,P148='[8]Tabla Impacto'!$D$14),"Moderado",IF(OR(P148='[8]Tabla Impacto'!$C$15,P148='[8]Tabla Impacto'!$D$15),"Mayor",IF(OR(P148='[8]Tabla Impacto'!$C$16,P148='[8]Tabla Impacto'!$D$16),"Catastrófico","")))))</f>
        <v>Moderado</v>
      </c>
      <c r="R148" s="590">
        <f t="shared" si="47"/>
        <v>0.6</v>
      </c>
      <c r="S148" s="592" t="str">
        <f t="shared" si="48"/>
        <v>Moderado</v>
      </c>
      <c r="T148" s="595">
        <v>2</v>
      </c>
      <c r="U148" s="631" t="s">
        <v>1108</v>
      </c>
      <c r="V148" s="595" t="str">
        <f t="shared" si="54"/>
        <v>Probabilidad</v>
      </c>
      <c r="W148" s="596" t="s">
        <v>197</v>
      </c>
      <c r="X148" s="596" t="s">
        <v>198</v>
      </c>
      <c r="Y148" s="597" t="str">
        <f t="shared" si="49"/>
        <v>40%</v>
      </c>
      <c r="Z148" s="596" t="s">
        <v>259</v>
      </c>
      <c r="AA148" s="596" t="s">
        <v>200</v>
      </c>
      <c r="AB148" s="596" t="s">
        <v>201</v>
      </c>
      <c r="AC148" s="598">
        <f>IFERROR(IF(AND(V147="Probabilidad",V148="Probabilidad"),(AE147-(+AE147*Y148)),IF(AND(V147="Impacto",V148="Probabilidad"),(AE146-(+AE146*Y148)),IF(V148="Impacto",AE147,""))),"")</f>
        <v>5.183999999999999E-2</v>
      </c>
      <c r="AD148" s="599" t="str">
        <f t="shared" si="50"/>
        <v>Muy Baja</v>
      </c>
      <c r="AE148" s="600">
        <f t="shared" si="51"/>
        <v>5.183999999999999E-2</v>
      </c>
      <c r="AF148" s="599" t="str">
        <f t="shared" si="52"/>
        <v>Moderado</v>
      </c>
      <c r="AG148" s="600">
        <f>IFERROR(IF(AND(V147="Impacto",V148="Impacto"),(AG147-(+AG147*Y148)),IF(AND(V147="Probabilidad",V148="Impacto"),(AG146-(+AG146*Y148)),IF(V148="Probabilidad",AG147,""))),"")</f>
        <v>0.6</v>
      </c>
      <c r="AH148" s="601" t="str">
        <f t="shared" si="53"/>
        <v>Moderado</v>
      </c>
      <c r="AI148" s="602" t="s">
        <v>202</v>
      </c>
      <c r="AJ148" s="603"/>
      <c r="AK148" s="192"/>
      <c r="AL148" s="603"/>
      <c r="AM148" s="604"/>
      <c r="AN148" s="606"/>
      <c r="AO148" s="607"/>
      <c r="AP148" s="608">
        <v>45757</v>
      </c>
      <c r="AQ148" s="609" t="s">
        <v>1034</v>
      </c>
      <c r="AR148" s="283" t="s">
        <v>1109</v>
      </c>
      <c r="AS148" s="611" t="s">
        <v>205</v>
      </c>
      <c r="AT148" s="612" t="s">
        <v>206</v>
      </c>
      <c r="AU148" s="612" t="s">
        <v>206</v>
      </c>
      <c r="AV148" s="613"/>
      <c r="AW148" s="614">
        <v>45782</v>
      </c>
      <c r="AX148" s="615" t="s">
        <v>207</v>
      </c>
      <c r="AY148" s="635" t="s">
        <v>578</v>
      </c>
      <c r="BA148" s="617"/>
      <c r="BB148" s="617"/>
      <c r="BC148" s="618" t="s">
        <v>209</v>
      </c>
      <c r="BE148" s="608">
        <v>45856</v>
      </c>
      <c r="BF148" s="609" t="s">
        <v>1034</v>
      </c>
      <c r="BG148" s="283" t="s">
        <v>1110</v>
      </c>
      <c r="BH148" s="641" t="s">
        <v>205</v>
      </c>
      <c r="BI148" s="612" t="s">
        <v>206</v>
      </c>
      <c r="BJ148" s="612" t="s">
        <v>206</v>
      </c>
      <c r="BL148" s="450">
        <v>45856</v>
      </c>
      <c r="BM148" s="449" t="s">
        <v>215</v>
      </c>
      <c r="BN148" s="283" t="s">
        <v>231</v>
      </c>
      <c r="BP148" s="617"/>
      <c r="BQ148" s="617"/>
      <c r="BR148" s="618" t="s">
        <v>209</v>
      </c>
      <c r="BT148" s="608">
        <v>45940</v>
      </c>
      <c r="BU148" s="609" t="s">
        <v>1034</v>
      </c>
      <c r="BV148" s="691" t="s">
        <v>1111</v>
      </c>
      <c r="BW148" s="641" t="s">
        <v>205</v>
      </c>
      <c r="BX148" s="612" t="s">
        <v>206</v>
      </c>
      <c r="BY148" s="612" t="s">
        <v>206</v>
      </c>
      <c r="CA148" s="659">
        <v>45992</v>
      </c>
      <c r="CB148" s="286" t="s">
        <v>218</v>
      </c>
      <c r="CC148" s="643" t="s">
        <v>233</v>
      </c>
      <c r="CE148" s="617"/>
      <c r="CF148" s="617"/>
      <c r="CG148" s="618" t="s">
        <v>209</v>
      </c>
      <c r="CH148" s="192"/>
      <c r="CI148" s="558"/>
      <c r="CJ148" s="558"/>
      <c r="CK148" s="559" t="s">
        <v>209</v>
      </c>
      <c r="CL148" s="558"/>
      <c r="CM148" s="558"/>
      <c r="CN148" s="558"/>
      <c r="CO148" s="553"/>
      <c r="CP148" s="558"/>
      <c r="CQ148" s="558"/>
      <c r="CR148" s="559" t="s">
        <v>209</v>
      </c>
      <c r="CS148" s="553"/>
      <c r="CT148" s="558"/>
      <c r="CU148" s="558"/>
      <c r="CV148" s="559" t="s">
        <v>209</v>
      </c>
    </row>
    <row r="149" spans="1:100" ht="151.5" customHeight="1" x14ac:dyDescent="0.3">
      <c r="A149" s="622">
        <v>64</v>
      </c>
      <c r="B149" s="622" t="s">
        <v>1099</v>
      </c>
      <c r="C149" s="623" t="s">
        <v>1029</v>
      </c>
      <c r="D149" s="585" t="str">
        <f>IFERROR(INDEX('Base de datos gestión'!$D$28:$D$50,MATCH(C149,'Base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49" s="585" t="str">
        <f>IFERROR(INDEX('Base de datos gestión'!$E$28:$E$50,MATCH(C149,'Base de datos gestión'!$C$28:$C$50,0)), 0)</f>
        <v>El proceso inicia con la planificación de los servicios de ensayos de aptitud y estudios colaborativos (comparaciones interlaboratorios) y finaliza con la aplicación de la evaluación de la satisfacción del servicio.</v>
      </c>
      <c r="F149" s="628" t="s">
        <v>188</v>
      </c>
      <c r="G149" s="629" t="s">
        <v>1100</v>
      </c>
      <c r="H149" s="697" t="s">
        <v>1107</v>
      </c>
      <c r="I149" s="630" t="s">
        <v>1102</v>
      </c>
      <c r="J149" s="630" t="s">
        <v>192</v>
      </c>
      <c r="K149" s="630" t="s">
        <v>311</v>
      </c>
      <c r="L149" s="630">
        <v>6</v>
      </c>
      <c r="M149" s="588" t="str">
        <f t="shared" si="46"/>
        <v>Baja</v>
      </c>
      <c r="N149" s="589">
        <f t="shared" si="55"/>
        <v>0.4</v>
      </c>
      <c r="O149" s="590" t="s">
        <v>248</v>
      </c>
      <c r="P149" s="589" t="str">
        <f>IF(NOT(ISERROR(MATCH(O149,'Tabla Impacto'!$B$222:$B$224,0))),'Tabla Impacto'!$F$224&amp;"Por favor no seleccionar los criterios de impacto(Afectación Económica o presupuestal y Pérdida Reputacional)",O149)</f>
        <v xml:space="preserve">     El riesgo afecta la imagen de la entidad con algunos usuarios de relevancia frente al logro de los objetivos</v>
      </c>
      <c r="Q149" s="591" t="str">
        <f>IF(OR(P149='[8]Tabla Impacto'!$C$12,P149='[8]Tabla Impacto'!$D$12),"Leve",IF(OR(P149='[8]Tabla Impacto'!$C$13,P149='[8]Tabla Impacto'!$D$13),"Menor",IF(OR(P149='[8]Tabla Impacto'!$C$14,P149='[8]Tabla Impacto'!$D$14),"Moderado",IF(OR(P149='[8]Tabla Impacto'!$C$15,P149='[8]Tabla Impacto'!$D$15),"Mayor",IF(OR(P149='[8]Tabla Impacto'!$C$16,P149='[8]Tabla Impacto'!$D$16),"Catastrófico","")))))</f>
        <v>Moderado</v>
      </c>
      <c r="R149" s="590">
        <f t="shared" si="47"/>
        <v>0.6</v>
      </c>
      <c r="S149" s="592" t="str">
        <f t="shared" si="48"/>
        <v>Moderado</v>
      </c>
      <c r="T149" s="595">
        <v>3</v>
      </c>
      <c r="U149" s="631" t="s">
        <v>1112</v>
      </c>
      <c r="V149" s="595" t="str">
        <f>IF(OR(W149="Preventivo",W149="Detectivo"),"Probabilidad",IF(W149="Correctivo","Impacto",""))</f>
        <v>Impacto</v>
      </c>
      <c r="W149" s="596" t="s">
        <v>240</v>
      </c>
      <c r="X149" s="596" t="s">
        <v>198</v>
      </c>
      <c r="Y149" s="597" t="str">
        <f t="shared" si="49"/>
        <v>25%</v>
      </c>
      <c r="Z149" s="596" t="s">
        <v>259</v>
      </c>
      <c r="AA149" s="596" t="s">
        <v>200</v>
      </c>
      <c r="AB149" s="596" t="s">
        <v>201</v>
      </c>
      <c r="AC149" s="598">
        <f>IFERROR(IF(AND(V148="Probabilidad",V149="Probabilidad"),(AE148-(+AE148*Y149)),IF(AND(V148="Impacto",V149="Probabilidad"),(AE147-(+AE147*Y149)),IF(V149="Impacto",AE148,""))),"")</f>
        <v>5.183999999999999E-2</v>
      </c>
      <c r="AD149" s="599" t="str">
        <f t="shared" si="50"/>
        <v>Muy Baja</v>
      </c>
      <c r="AE149" s="600">
        <f t="shared" si="51"/>
        <v>5.183999999999999E-2</v>
      </c>
      <c r="AF149" s="599" t="str">
        <f t="shared" si="52"/>
        <v>Moderado</v>
      </c>
      <c r="AG149" s="600">
        <f>IFERROR(IF(AND(V148="Impacto",V149="Impacto"),(AG148-(+AG148*Y149)),IF(AND(V148="Probabilidad",V149="Impacto"),(AG147-(+AG147*Y149)),IF(V149="Probabilidad",AG148,""))),"")</f>
        <v>0.44999999999999996</v>
      </c>
      <c r="AH149" s="601" t="str">
        <f t="shared" si="53"/>
        <v>Moderado</v>
      </c>
      <c r="AI149" s="602" t="s">
        <v>202</v>
      </c>
      <c r="AJ149" s="603"/>
      <c r="AK149" s="192"/>
      <c r="AL149" s="603"/>
      <c r="AM149" s="604"/>
      <c r="AN149" s="606"/>
      <c r="AO149" s="607"/>
      <c r="AP149" s="608">
        <v>45757</v>
      </c>
      <c r="AQ149" s="609" t="s">
        <v>1034</v>
      </c>
      <c r="AR149" s="283" t="s">
        <v>1113</v>
      </c>
      <c r="AS149" s="611" t="s">
        <v>205</v>
      </c>
      <c r="AT149" s="612" t="s">
        <v>206</v>
      </c>
      <c r="AU149" s="612" t="s">
        <v>206</v>
      </c>
      <c r="AV149" s="613"/>
      <c r="AW149" s="614">
        <v>45782</v>
      </c>
      <c r="AX149" s="615" t="s">
        <v>207</v>
      </c>
      <c r="AY149" s="635" t="s">
        <v>578</v>
      </c>
      <c r="BA149" s="617"/>
      <c r="BB149" s="617"/>
      <c r="BC149" s="618" t="s">
        <v>209</v>
      </c>
      <c r="BE149" s="608">
        <v>45856</v>
      </c>
      <c r="BF149" s="609" t="s">
        <v>1034</v>
      </c>
      <c r="BG149" s="283" t="s">
        <v>1110</v>
      </c>
      <c r="BH149" s="641" t="s">
        <v>205</v>
      </c>
      <c r="BI149" s="612" t="s">
        <v>206</v>
      </c>
      <c r="BJ149" s="612" t="s">
        <v>206</v>
      </c>
      <c r="BL149" s="450">
        <v>45856</v>
      </c>
      <c r="BM149" s="449" t="s">
        <v>215</v>
      </c>
      <c r="BN149" s="283" t="s">
        <v>231</v>
      </c>
      <c r="BP149" s="617"/>
      <c r="BQ149" s="617"/>
      <c r="BR149" s="618" t="s">
        <v>209</v>
      </c>
      <c r="BT149" s="608">
        <v>45940</v>
      </c>
      <c r="BU149" s="609" t="s">
        <v>1034</v>
      </c>
      <c r="BV149" s="691" t="s">
        <v>1114</v>
      </c>
      <c r="BW149" s="641" t="s">
        <v>205</v>
      </c>
      <c r="BX149" s="612" t="s">
        <v>206</v>
      </c>
      <c r="BY149" s="612" t="s">
        <v>206</v>
      </c>
      <c r="CA149" s="659">
        <v>45992</v>
      </c>
      <c r="CB149" s="286" t="s">
        <v>218</v>
      </c>
      <c r="CC149" s="643" t="s">
        <v>233</v>
      </c>
      <c r="CE149" s="617"/>
      <c r="CF149" s="617"/>
      <c r="CG149" s="618" t="s">
        <v>209</v>
      </c>
      <c r="CH149" s="192"/>
      <c r="CI149" s="558"/>
      <c r="CJ149" s="558"/>
      <c r="CK149" s="559" t="s">
        <v>209</v>
      </c>
      <c r="CL149" s="558"/>
      <c r="CM149" s="558"/>
      <c r="CN149" s="558"/>
      <c r="CO149" s="553"/>
      <c r="CP149" s="558"/>
      <c r="CQ149" s="558"/>
      <c r="CR149" s="559" t="s">
        <v>209</v>
      </c>
      <c r="CS149" s="553"/>
      <c r="CT149" s="558"/>
      <c r="CU149" s="558"/>
      <c r="CV149" s="559" t="s">
        <v>209</v>
      </c>
    </row>
    <row r="150" spans="1:100" ht="151.5" customHeight="1" x14ac:dyDescent="0.3">
      <c r="A150" s="632">
        <v>65</v>
      </c>
      <c r="B150" s="632" t="s">
        <v>1115</v>
      </c>
      <c r="C150" s="633" t="s">
        <v>1029</v>
      </c>
      <c r="D150" s="585" t="str">
        <f>IFERROR(INDEX('Base de datos gestión'!$D$28:$D$50,MATCH(C150,'Base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0" s="585" t="str">
        <f>IFERROR(INDEX('Base de datos gestión'!$E$28:$E$50,MATCH(C150,'Base de datos gestión'!$C$28:$C$50,0)), 0)</f>
        <v>El proceso inicia con la planificación de los servicios de ensayos de aptitud y estudios colaborativos (comparaciones interlaboratorios) y finaliza con la aplicación de la evaluación de la satisfacción del servicio.</v>
      </c>
      <c r="F150" s="630" t="s">
        <v>276</v>
      </c>
      <c r="G150" s="629" t="s">
        <v>1116</v>
      </c>
      <c r="H150" s="630" t="s">
        <v>1117</v>
      </c>
      <c r="I150" s="630" t="s">
        <v>1118</v>
      </c>
      <c r="J150" s="630" t="s">
        <v>192</v>
      </c>
      <c r="K150" s="630" t="s">
        <v>311</v>
      </c>
      <c r="L150" s="630">
        <v>6</v>
      </c>
      <c r="M150" s="588" t="str">
        <f t="shared" si="46"/>
        <v>Baja</v>
      </c>
      <c r="N150" s="589">
        <f t="shared" si="55"/>
        <v>0.4</v>
      </c>
      <c r="O150" s="590" t="s">
        <v>1119</v>
      </c>
      <c r="P150" s="589" t="str">
        <f>IF(NOT(ISERROR(MATCH(O150,'Tabla Impacto'!$B$222:$B$224,0))),'Tabla Impacto'!$F$224&amp;"Por favor no seleccionar los criterios de impacto(Afectación Económica o presupuestal y Pérdida Reputacional)",O150)</f>
        <v xml:space="preserve">     Afectación menor a 10 SMLMV .</v>
      </c>
      <c r="Q150" s="591" t="str">
        <f>IF(OR(P150='[8]Tabla Impacto'!$C$12,P150='[8]Tabla Impacto'!$D$12),"Leve",IF(OR(P150='[8]Tabla Impacto'!$C$13,P150='[8]Tabla Impacto'!$D$13),"Menor",IF(OR(P150='[8]Tabla Impacto'!$C$14,P150='[8]Tabla Impacto'!$D$14),"Moderado",IF(OR(P150='[8]Tabla Impacto'!$C$15,P150='[8]Tabla Impacto'!$D$15),"Mayor",IF(OR(P150='[8]Tabla Impacto'!$C$16,P150='[8]Tabla Impacto'!$D$16),"Catastrófico","")))))</f>
        <v>Leve</v>
      </c>
      <c r="R150" s="590">
        <f t="shared" si="47"/>
        <v>0.2</v>
      </c>
      <c r="S150" s="592" t="str">
        <f t="shared" si="48"/>
        <v>Bajo</v>
      </c>
      <c r="T150" s="595">
        <v>1</v>
      </c>
      <c r="U150" s="631" t="s">
        <v>1120</v>
      </c>
      <c r="V150" s="595" t="str">
        <f t="shared" si="54"/>
        <v>Probabilidad</v>
      </c>
      <c r="W150" s="596" t="s">
        <v>197</v>
      </c>
      <c r="X150" s="596" t="s">
        <v>198</v>
      </c>
      <c r="Y150" s="597" t="str">
        <f t="shared" si="49"/>
        <v>40%</v>
      </c>
      <c r="Z150" s="596" t="s">
        <v>259</v>
      </c>
      <c r="AA150" s="596" t="s">
        <v>200</v>
      </c>
      <c r="AB150" s="596" t="s">
        <v>201</v>
      </c>
      <c r="AC150" s="598">
        <f>IFERROR(IF(AND(V149="Probabilidad",V150="Probabilidad"),(AE149-(+AE149*Y150)),IF(AND(V149="Impacto",V150="Probabilidad"),(AE148-(+AE148*Y150)),IF(V150="Impacto",AE149,""))),"")</f>
        <v>3.1103999999999993E-2</v>
      </c>
      <c r="AD150" s="599" t="str">
        <f t="shared" si="50"/>
        <v>Muy Baja</v>
      </c>
      <c r="AE150" s="600">
        <f t="shared" si="51"/>
        <v>3.1103999999999993E-2</v>
      </c>
      <c r="AF150" s="599" t="str">
        <f t="shared" si="52"/>
        <v>Moderado</v>
      </c>
      <c r="AG150" s="600">
        <f>IFERROR(IF(AND(V149="Impacto",V150="Impacto"),(AG149-(+AG149*Y150)),IF(AND(V149="Probabilidad",V150="Impacto"),(AG148-(+AG148*Y150)),IF(V150="Probabilidad",AG149,""))),"")</f>
        <v>0.44999999999999996</v>
      </c>
      <c r="AH150" s="601" t="str">
        <f t="shared" si="53"/>
        <v>Moderado</v>
      </c>
      <c r="AI150" s="602" t="s">
        <v>202</v>
      </c>
      <c r="AJ150" s="603"/>
      <c r="AK150" s="192"/>
      <c r="AL150" s="603"/>
      <c r="AM150" s="604"/>
      <c r="AN150" s="606"/>
      <c r="AO150" s="607"/>
      <c r="AP150" s="608">
        <v>45757</v>
      </c>
      <c r="AQ150" s="609" t="s">
        <v>1034</v>
      </c>
      <c r="AR150" s="283" t="s">
        <v>1069</v>
      </c>
      <c r="AS150" s="611" t="s">
        <v>205</v>
      </c>
      <c r="AT150" s="612" t="s">
        <v>206</v>
      </c>
      <c r="AU150" s="612" t="s">
        <v>206</v>
      </c>
      <c r="AV150" s="613"/>
      <c r="AW150" s="614">
        <v>45782</v>
      </c>
      <c r="AX150" s="615" t="s">
        <v>207</v>
      </c>
      <c r="AY150" s="635" t="s">
        <v>578</v>
      </c>
      <c r="BA150" s="617"/>
      <c r="BB150" s="617"/>
      <c r="BC150" s="618" t="s">
        <v>209</v>
      </c>
      <c r="BE150" s="608">
        <v>45856</v>
      </c>
      <c r="BF150" s="609" t="s">
        <v>1034</v>
      </c>
      <c r="BG150" s="283" t="s">
        <v>1121</v>
      </c>
      <c r="BH150" s="641" t="s">
        <v>205</v>
      </c>
      <c r="BI150" s="612" t="s">
        <v>206</v>
      </c>
      <c r="BJ150" s="612" t="s">
        <v>206</v>
      </c>
      <c r="BL150" s="450">
        <v>45856</v>
      </c>
      <c r="BM150" s="449" t="s">
        <v>215</v>
      </c>
      <c r="BN150" s="283" t="s">
        <v>231</v>
      </c>
      <c r="BP150" s="617"/>
      <c r="BQ150" s="617"/>
      <c r="BR150" s="618" t="s">
        <v>209</v>
      </c>
      <c r="BT150" s="608">
        <v>45940</v>
      </c>
      <c r="BU150" s="609" t="s">
        <v>1034</v>
      </c>
      <c r="BV150" s="283" t="s">
        <v>1122</v>
      </c>
      <c r="BW150" s="641" t="s">
        <v>205</v>
      </c>
      <c r="BX150" s="612" t="s">
        <v>206</v>
      </c>
      <c r="BY150" s="612" t="s">
        <v>206</v>
      </c>
      <c r="CA150" s="659">
        <v>45992</v>
      </c>
      <c r="CB150" s="286" t="s">
        <v>218</v>
      </c>
      <c r="CC150" s="643" t="s">
        <v>233</v>
      </c>
      <c r="CE150" s="617"/>
      <c r="CF150" s="617"/>
      <c r="CG150" s="618" t="s">
        <v>209</v>
      </c>
      <c r="CH150" s="192"/>
      <c r="CI150" s="558"/>
      <c r="CJ150" s="558"/>
      <c r="CK150" s="559" t="s">
        <v>209</v>
      </c>
      <c r="CL150" s="558"/>
      <c r="CM150" s="558"/>
      <c r="CN150" s="558"/>
      <c r="CO150" s="553"/>
      <c r="CP150" s="558"/>
      <c r="CQ150" s="558"/>
      <c r="CR150" s="559" t="s">
        <v>209</v>
      </c>
      <c r="CS150" s="553"/>
      <c r="CT150" s="558"/>
      <c r="CU150" s="558"/>
      <c r="CV150" s="559" t="s">
        <v>209</v>
      </c>
    </row>
    <row r="151" spans="1:100" ht="151.5" customHeight="1" x14ac:dyDescent="0.3">
      <c r="A151" s="584">
        <v>65</v>
      </c>
      <c r="B151" s="584" t="s">
        <v>1115</v>
      </c>
      <c r="C151" s="585" t="s">
        <v>1029</v>
      </c>
      <c r="D151" s="585" t="str">
        <f>IFERROR(INDEX('Base de datos gestión'!$D$28:$D$50,MATCH(C151,'Base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1" s="585" t="str">
        <f>IFERROR(INDEX('Base de datos gestión'!$E$28:$E$50,MATCH(C151,'Base de datos gestión'!$C$28:$C$50,0)), 0)</f>
        <v>El proceso inicia con la planificación de los servicios de ensayos de aptitud y estudios colaborativos (comparaciones interlaboratorios) y finaliza con la aplicación de la evaluación de la satisfacción del servicio.</v>
      </c>
      <c r="F151" s="630" t="s">
        <v>276</v>
      </c>
      <c r="G151" s="629" t="s">
        <v>1116</v>
      </c>
      <c r="H151" s="630" t="s">
        <v>1123</v>
      </c>
      <c r="I151" s="630" t="s">
        <v>1118</v>
      </c>
      <c r="J151" s="630" t="s">
        <v>192</v>
      </c>
      <c r="K151" s="630" t="s">
        <v>311</v>
      </c>
      <c r="L151" s="630">
        <v>6</v>
      </c>
      <c r="M151" s="588" t="str">
        <f t="shared" si="46"/>
        <v>Baja</v>
      </c>
      <c r="N151" s="589">
        <f t="shared" si="55"/>
        <v>0.4</v>
      </c>
      <c r="O151" s="590" t="s">
        <v>1119</v>
      </c>
      <c r="P151" s="589" t="str">
        <f>IF(NOT(ISERROR(MATCH(O151,'Tabla Impacto'!$B$222:$B$224,0))),'Tabla Impacto'!$F$224&amp;"Por favor no seleccionar los criterios de impacto(Afectación Económica o presupuestal y Pérdida Reputacional)",O151)</f>
        <v xml:space="preserve">     Afectación menor a 10 SMLMV .</v>
      </c>
      <c r="Q151" s="591" t="str">
        <f>IF(OR(P151='[8]Tabla Impacto'!$C$12,P151='[8]Tabla Impacto'!$D$12),"Leve",IF(OR(P151='[8]Tabla Impacto'!$C$13,P151='[8]Tabla Impacto'!$D$13),"Menor",IF(OR(P151='[8]Tabla Impacto'!$C$14,P151='[8]Tabla Impacto'!$D$14),"Moderado",IF(OR(P151='[8]Tabla Impacto'!$C$15,P151='[8]Tabla Impacto'!$D$15),"Mayor",IF(OR(P151='[8]Tabla Impacto'!$C$16,P151='[8]Tabla Impacto'!$D$16),"Catastrófico","")))))</f>
        <v>Leve</v>
      </c>
      <c r="R151" s="590">
        <f t="shared" si="47"/>
        <v>0.2</v>
      </c>
      <c r="S151" s="592" t="str">
        <f t="shared" si="48"/>
        <v>Bajo</v>
      </c>
      <c r="T151" s="595">
        <v>2</v>
      </c>
      <c r="U151" s="631" t="s">
        <v>1124</v>
      </c>
      <c r="V151" s="595" t="str">
        <f>IF(OR(W151="Preventivo",W151="Detectivo"),"Probabilidad",IF(W151="Correctivo","Impacto",""))</f>
        <v>Probabilidad</v>
      </c>
      <c r="W151" s="596" t="s">
        <v>197</v>
      </c>
      <c r="X151" s="596" t="s">
        <v>198</v>
      </c>
      <c r="Y151" s="597" t="str">
        <f t="shared" si="49"/>
        <v>40%</v>
      </c>
      <c r="Z151" s="596" t="s">
        <v>259</v>
      </c>
      <c r="AA151" s="596" t="s">
        <v>200</v>
      </c>
      <c r="AB151" s="596" t="s">
        <v>201</v>
      </c>
      <c r="AC151" s="598">
        <f>IFERROR(IF(V151="Probabilidad",(N151-(+N151*Y151)),IF(V151="Impacto",N151,"")),"")</f>
        <v>0.24</v>
      </c>
      <c r="AD151" s="599" t="str">
        <f t="shared" si="50"/>
        <v>Baja</v>
      </c>
      <c r="AE151" s="600">
        <f t="shared" si="51"/>
        <v>0.24</v>
      </c>
      <c r="AF151" s="599" t="str">
        <f t="shared" si="52"/>
        <v>Leve</v>
      </c>
      <c r="AG151" s="600">
        <f>IFERROR(IF(V151="Impacto",(R151-(+R151*Y151)),IF(V151="Probabilidad",R151,"")),"")</f>
        <v>0.2</v>
      </c>
      <c r="AH151" s="601" t="str">
        <f t="shared" si="53"/>
        <v>Bajo</v>
      </c>
      <c r="AI151" s="602" t="s">
        <v>202</v>
      </c>
      <c r="AJ151" s="603"/>
      <c r="AK151" s="192"/>
      <c r="AL151" s="603"/>
      <c r="AM151" s="604"/>
      <c r="AN151" s="606"/>
      <c r="AO151" s="607"/>
      <c r="AP151" s="608">
        <v>45757</v>
      </c>
      <c r="AQ151" s="609" t="s">
        <v>1034</v>
      </c>
      <c r="AR151" s="283" t="s">
        <v>1125</v>
      </c>
      <c r="AS151" s="611" t="s">
        <v>205</v>
      </c>
      <c r="AT151" s="612" t="s">
        <v>206</v>
      </c>
      <c r="AU151" s="612" t="s">
        <v>206</v>
      </c>
      <c r="AV151" s="613"/>
      <c r="AW151" s="614">
        <v>45782</v>
      </c>
      <c r="AX151" s="615" t="s">
        <v>207</v>
      </c>
      <c r="AY151" s="635" t="s">
        <v>578</v>
      </c>
      <c r="BA151" s="617"/>
      <c r="BB151" s="617"/>
      <c r="BC151" s="618" t="s">
        <v>209</v>
      </c>
      <c r="BE151" s="608">
        <v>45856</v>
      </c>
      <c r="BF151" s="609" t="s">
        <v>1034</v>
      </c>
      <c r="BG151" s="283" t="s">
        <v>1126</v>
      </c>
      <c r="BH151" s="641" t="s">
        <v>205</v>
      </c>
      <c r="BI151" s="612" t="s">
        <v>206</v>
      </c>
      <c r="BJ151" s="612" t="s">
        <v>206</v>
      </c>
      <c r="BL151" s="450">
        <v>45856</v>
      </c>
      <c r="BM151" s="449" t="s">
        <v>215</v>
      </c>
      <c r="BN151" s="283" t="s">
        <v>231</v>
      </c>
      <c r="BP151" s="617"/>
      <c r="BQ151" s="617"/>
      <c r="BR151" s="618" t="s">
        <v>209</v>
      </c>
      <c r="BT151" s="608">
        <v>45940</v>
      </c>
      <c r="BU151" s="609" t="s">
        <v>1034</v>
      </c>
      <c r="BV151" s="283" t="s">
        <v>1127</v>
      </c>
      <c r="BW151" s="641" t="s">
        <v>205</v>
      </c>
      <c r="BX151" s="612" t="s">
        <v>206</v>
      </c>
      <c r="BY151" s="612" t="s">
        <v>206</v>
      </c>
      <c r="CA151" s="659">
        <v>45992</v>
      </c>
      <c r="CB151" s="286" t="s">
        <v>218</v>
      </c>
      <c r="CC151" s="643" t="s">
        <v>233</v>
      </c>
      <c r="CE151" s="617"/>
      <c r="CF151" s="617"/>
      <c r="CG151" s="618" t="s">
        <v>209</v>
      </c>
      <c r="CH151" s="192"/>
      <c r="CI151" s="558"/>
      <c r="CJ151" s="558"/>
      <c r="CK151" s="559" t="s">
        <v>209</v>
      </c>
      <c r="CL151" s="558"/>
      <c r="CM151" s="558"/>
      <c r="CN151" s="558"/>
      <c r="CO151" s="553"/>
      <c r="CP151" s="558"/>
      <c r="CQ151" s="558"/>
      <c r="CR151" s="559" t="s">
        <v>209</v>
      </c>
      <c r="CS151" s="553"/>
      <c r="CT151" s="558"/>
      <c r="CU151" s="558"/>
      <c r="CV151" s="559" t="s">
        <v>209</v>
      </c>
    </row>
    <row r="152" spans="1:100" ht="151.5" customHeight="1" x14ac:dyDescent="0.3">
      <c r="A152" s="622">
        <v>65</v>
      </c>
      <c r="B152" s="622" t="s">
        <v>1115</v>
      </c>
      <c r="C152" s="623" t="s">
        <v>1029</v>
      </c>
      <c r="D152" s="585" t="str">
        <f>IFERROR(INDEX('Base de datos gestión'!$D$28:$D$50,MATCH(C152,'Base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2" s="585" t="str">
        <f>IFERROR(INDEX('Base de datos gestión'!$E$28:$E$50,MATCH(C152,'Base de datos gestión'!$C$28:$C$50,0)), 0)</f>
        <v>El proceso inicia con la planificación de los servicios de ensayos de aptitud y estudios colaborativos (comparaciones interlaboratorios) y finaliza con la aplicación de la evaluación de la satisfacción del servicio.</v>
      </c>
      <c r="F152" s="630" t="s">
        <v>276</v>
      </c>
      <c r="G152" s="629" t="s">
        <v>1116</v>
      </c>
      <c r="H152" s="630" t="s">
        <v>1128</v>
      </c>
      <c r="I152" s="630" t="s">
        <v>1118</v>
      </c>
      <c r="J152" s="630" t="s">
        <v>192</v>
      </c>
      <c r="K152" s="630" t="s">
        <v>311</v>
      </c>
      <c r="L152" s="630">
        <v>6</v>
      </c>
      <c r="M152" s="588" t="str">
        <f t="shared" si="46"/>
        <v>Baja</v>
      </c>
      <c r="N152" s="589">
        <f t="shared" si="55"/>
        <v>0.4</v>
      </c>
      <c r="O152" s="590" t="s">
        <v>1119</v>
      </c>
      <c r="P152" s="589" t="str">
        <f>IF(NOT(ISERROR(MATCH(O152,'Tabla Impacto'!$B$222:$B$224,0))),'Tabla Impacto'!$F$224&amp;"Por favor no seleccionar los criterios de impacto(Afectación Económica o presupuestal y Pérdida Reputacional)",O152)</f>
        <v xml:space="preserve">     Afectación menor a 10 SMLMV .</v>
      </c>
      <c r="Q152" s="591" t="str">
        <f>IF(OR(P152='[8]Tabla Impacto'!$C$12,P152='[8]Tabla Impacto'!$D$12),"Leve",IF(OR(P152='[8]Tabla Impacto'!$C$13,P152='[8]Tabla Impacto'!$D$13),"Menor",IF(OR(P152='[8]Tabla Impacto'!$C$14,P152='[8]Tabla Impacto'!$D$14),"Moderado",IF(OR(P152='[8]Tabla Impacto'!$C$15,P152='[8]Tabla Impacto'!$D$15),"Mayor",IF(OR(P152='[8]Tabla Impacto'!$C$16,P152='[8]Tabla Impacto'!$D$16),"Catastrófico","")))))</f>
        <v>Leve</v>
      </c>
      <c r="R152" s="590">
        <f t="shared" si="47"/>
        <v>0.2</v>
      </c>
      <c r="S152" s="592" t="str">
        <f t="shared" si="48"/>
        <v>Bajo</v>
      </c>
      <c r="T152" s="595">
        <v>3</v>
      </c>
      <c r="U152" s="631" t="s">
        <v>1129</v>
      </c>
      <c r="V152" s="595" t="str">
        <f>IF(OR(W152="Preventivo",W152="Detectivo"),"Probabilidad",IF(W152="Correctivo","Impacto",""))</f>
        <v>Probabilidad</v>
      </c>
      <c r="W152" s="596" t="s">
        <v>197</v>
      </c>
      <c r="X152" s="596" t="s">
        <v>198</v>
      </c>
      <c r="Y152" s="597" t="str">
        <f t="shared" si="49"/>
        <v>40%</v>
      </c>
      <c r="Z152" s="596" t="s">
        <v>259</v>
      </c>
      <c r="AA152" s="596" t="s">
        <v>200</v>
      </c>
      <c r="AB152" s="596" t="s">
        <v>201</v>
      </c>
      <c r="AC152" s="598">
        <f>IFERROR(IF(AND(V151="Probabilidad",V152="Probabilidad"),(AE151-(+AE151*Y152)),IF(V152="Probabilidad",(N151-(+N151*Y152)),IF(V152="Impacto",AE151,""))),"")</f>
        <v>0.14399999999999999</v>
      </c>
      <c r="AD152" s="599" t="str">
        <f t="shared" si="50"/>
        <v>Muy Baja</v>
      </c>
      <c r="AE152" s="600">
        <f t="shared" si="51"/>
        <v>0.14399999999999999</v>
      </c>
      <c r="AF152" s="599" t="str">
        <f t="shared" si="52"/>
        <v>Moderado</v>
      </c>
      <c r="AG152" s="600">
        <f>IFERROR(IF(AND(V151="Impacto",V152="Impacto"),(AG145-(+AG145*Y152)),IF(V152="Impacto",($R$55-(+$R$55*Y152)),IF(V152="Probabilidad",AG145,""))),"")</f>
        <v>0.6</v>
      </c>
      <c r="AH152" s="601" t="str">
        <f t="shared" si="53"/>
        <v>Moderado</v>
      </c>
      <c r="AI152" s="602" t="s">
        <v>202</v>
      </c>
      <c r="AJ152" s="603"/>
      <c r="AK152" s="192"/>
      <c r="AL152" s="603"/>
      <c r="AM152" s="604"/>
      <c r="AN152" s="606"/>
      <c r="AO152" s="607"/>
      <c r="AP152" s="608">
        <v>45757</v>
      </c>
      <c r="AQ152" s="609" t="s">
        <v>1034</v>
      </c>
      <c r="AR152" s="283" t="s">
        <v>1130</v>
      </c>
      <c r="AS152" s="611" t="s">
        <v>205</v>
      </c>
      <c r="AT152" s="612" t="s">
        <v>206</v>
      </c>
      <c r="AU152" s="612" t="s">
        <v>206</v>
      </c>
      <c r="AV152" s="613"/>
      <c r="AW152" s="614">
        <v>45782</v>
      </c>
      <c r="AX152" s="615" t="s">
        <v>207</v>
      </c>
      <c r="AY152" s="635" t="s">
        <v>578</v>
      </c>
      <c r="BA152" s="617"/>
      <c r="BB152" s="617"/>
      <c r="BC152" s="618" t="s">
        <v>209</v>
      </c>
      <c r="BE152" s="608">
        <v>45856</v>
      </c>
      <c r="BF152" s="609" t="s">
        <v>1034</v>
      </c>
      <c r="BG152" s="283" t="s">
        <v>1131</v>
      </c>
      <c r="BH152" s="641" t="s">
        <v>205</v>
      </c>
      <c r="BI152" s="612" t="s">
        <v>206</v>
      </c>
      <c r="BJ152" s="612" t="s">
        <v>206</v>
      </c>
      <c r="BL152" s="450">
        <v>45856</v>
      </c>
      <c r="BM152" s="449" t="s">
        <v>215</v>
      </c>
      <c r="BN152" s="283" t="s">
        <v>231</v>
      </c>
      <c r="BP152" s="617"/>
      <c r="BQ152" s="617"/>
      <c r="BR152" s="618" t="s">
        <v>209</v>
      </c>
      <c r="BT152" s="608">
        <v>45940</v>
      </c>
      <c r="BU152" s="609" t="s">
        <v>1034</v>
      </c>
      <c r="BV152" s="283" t="s">
        <v>1132</v>
      </c>
      <c r="BW152" s="641" t="s">
        <v>205</v>
      </c>
      <c r="BX152" s="612" t="s">
        <v>206</v>
      </c>
      <c r="BY152" s="612" t="s">
        <v>206</v>
      </c>
      <c r="CA152" s="659">
        <v>45992</v>
      </c>
      <c r="CB152" s="286" t="s">
        <v>218</v>
      </c>
      <c r="CC152" s="643" t="s">
        <v>233</v>
      </c>
      <c r="CE152" s="617"/>
      <c r="CF152" s="617"/>
      <c r="CG152" s="618" t="s">
        <v>209</v>
      </c>
      <c r="CH152" s="192"/>
      <c r="CI152" s="558"/>
      <c r="CJ152" s="558"/>
      <c r="CK152" s="559" t="s">
        <v>209</v>
      </c>
      <c r="CL152" s="558"/>
      <c r="CM152" s="558"/>
      <c r="CN152" s="558"/>
      <c r="CO152" s="553"/>
      <c r="CP152" s="558"/>
      <c r="CQ152" s="558"/>
      <c r="CR152" s="559" t="s">
        <v>209</v>
      </c>
      <c r="CS152" s="553"/>
      <c r="CT152" s="558"/>
      <c r="CU152" s="558"/>
      <c r="CV152" s="559" t="s">
        <v>209</v>
      </c>
    </row>
    <row r="153" spans="1:100" ht="151.5" customHeight="1" x14ac:dyDescent="0.3">
      <c r="A153" s="622">
        <v>66</v>
      </c>
      <c r="B153" s="622" t="s">
        <v>1133</v>
      </c>
      <c r="C153" s="623" t="s">
        <v>1029</v>
      </c>
      <c r="D153" s="585" t="str">
        <f>IFERROR(INDEX('Base de datos gestión'!$D$28:$D$50,MATCH(C153,'Base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3" s="585" t="str">
        <f>IFERROR(INDEX('Base de datos gestión'!$E$28:$E$50,MATCH(C153,'Base de datos gestión'!$C$28:$C$50,0)), 0)</f>
        <v>El proceso inicia con la planificación de los servicios de ensayos de aptitud y estudios colaborativos (comparaciones interlaboratorios) y finaliza con la aplicación de la evaluación de la satisfacción del servicio.</v>
      </c>
      <c r="F153" s="630" t="s">
        <v>188</v>
      </c>
      <c r="G153" s="629" t="s">
        <v>1134</v>
      </c>
      <c r="H153" s="630" t="s">
        <v>1135</v>
      </c>
      <c r="I153" s="630" t="s">
        <v>1136</v>
      </c>
      <c r="J153" s="630" t="s">
        <v>1137</v>
      </c>
      <c r="K153" s="630" t="s">
        <v>1138</v>
      </c>
      <c r="L153" s="630">
        <v>6</v>
      </c>
      <c r="M153" s="588" t="str">
        <f t="shared" si="46"/>
        <v>Baja</v>
      </c>
      <c r="N153" s="589">
        <f t="shared" si="55"/>
        <v>0.4</v>
      </c>
      <c r="O153" s="590" t="s">
        <v>248</v>
      </c>
      <c r="P153" s="589" t="str">
        <f>IF(NOT(ISERROR(MATCH(O153,'Tabla Impacto'!$B$222:$B$224,0))),'Tabla Impacto'!$F$224&amp;"Por favor no seleccionar los criterios de impacto(Afectación Económica o presupuestal y Pérdida Reputacional)",O153)</f>
        <v xml:space="preserve">     El riesgo afecta la imagen de la entidad con algunos usuarios de relevancia frente al logro de los objetivos</v>
      </c>
      <c r="Q153" s="591" t="str">
        <f>IF(OR(P153='[8]Tabla Impacto'!$C$12,P153='[8]Tabla Impacto'!$D$12),"Leve",IF(OR(P153='[8]Tabla Impacto'!$C$13,P153='[8]Tabla Impacto'!$D$13),"Menor",IF(OR(P153='[8]Tabla Impacto'!$C$14,P153='[8]Tabla Impacto'!$D$14),"Moderado",IF(OR(P153='[8]Tabla Impacto'!$C$15,P153='[8]Tabla Impacto'!$D$15),"Mayor",IF(OR(P153='[8]Tabla Impacto'!$C$16,P153='[8]Tabla Impacto'!$D$16),"Catastrófico","")))))</f>
        <v>Moderado</v>
      </c>
      <c r="R153" s="590">
        <f t="shared" si="47"/>
        <v>0.6</v>
      </c>
      <c r="S153" s="592" t="str">
        <f t="shared" si="48"/>
        <v>Moderado</v>
      </c>
      <c r="T153" s="595">
        <v>1</v>
      </c>
      <c r="U153" s="631" t="s">
        <v>1139</v>
      </c>
      <c r="V153" s="595" t="str">
        <f t="shared" si="54"/>
        <v>Probabilidad</v>
      </c>
      <c r="W153" s="596" t="s">
        <v>197</v>
      </c>
      <c r="X153" s="596" t="s">
        <v>198</v>
      </c>
      <c r="Y153" s="597" t="str">
        <f t="shared" si="49"/>
        <v>40%</v>
      </c>
      <c r="Z153" s="596" t="s">
        <v>259</v>
      </c>
      <c r="AA153" s="596" t="s">
        <v>200</v>
      </c>
      <c r="AB153" s="596" t="s">
        <v>201</v>
      </c>
      <c r="AC153" s="598">
        <f>IFERROR(IF(AND(V152="Probabilidad",V153="Probabilidad"),(AE152-(+AE152*Y153)),IF(AND(V152="Impacto",V153="Probabilidad"),(AE151-(+AE151*Y153)),IF(V153="Impacto",AE152,""))),"")</f>
        <v>8.6399999999999991E-2</v>
      </c>
      <c r="AD153" s="599" t="str">
        <f t="shared" si="50"/>
        <v>Muy Baja</v>
      </c>
      <c r="AE153" s="600">
        <f t="shared" si="51"/>
        <v>8.6399999999999991E-2</v>
      </c>
      <c r="AF153" s="599" t="str">
        <f t="shared" si="52"/>
        <v>Moderado</v>
      </c>
      <c r="AG153" s="600">
        <f>IFERROR(IF(AND(V152="Impacto",V153="Impacto"),(AG152-(+AG152*Y153)),IF(AND(V152="Probabilidad",V153="Impacto"),(AG151-(+AG151*Y153)),IF(V153="Probabilidad",AG152,""))),"")</f>
        <v>0.6</v>
      </c>
      <c r="AH153" s="601" t="str">
        <f t="shared" si="53"/>
        <v>Moderado</v>
      </c>
      <c r="AI153" s="602" t="s">
        <v>202</v>
      </c>
      <c r="AJ153" s="603"/>
      <c r="AK153" s="192"/>
      <c r="AL153" s="603"/>
      <c r="AM153" s="604"/>
      <c r="AN153" s="606"/>
      <c r="AO153" s="607"/>
      <c r="AP153" s="608">
        <v>45757</v>
      </c>
      <c r="AQ153" s="609" t="s">
        <v>1034</v>
      </c>
      <c r="AR153" s="283" t="s">
        <v>1140</v>
      </c>
      <c r="AS153" s="611" t="s">
        <v>205</v>
      </c>
      <c r="AT153" s="612" t="s">
        <v>206</v>
      </c>
      <c r="AU153" s="612" t="s">
        <v>206</v>
      </c>
      <c r="AV153" s="613"/>
      <c r="AW153" s="614">
        <v>45782</v>
      </c>
      <c r="AX153" s="615" t="s">
        <v>207</v>
      </c>
      <c r="AY153" s="635" t="s">
        <v>578</v>
      </c>
      <c r="BA153" s="617"/>
      <c r="BB153" s="617"/>
      <c r="BC153" s="618" t="s">
        <v>209</v>
      </c>
      <c r="BE153" s="608">
        <v>45856</v>
      </c>
      <c r="BF153" s="609" t="s">
        <v>1034</v>
      </c>
      <c r="BG153" s="283" t="s">
        <v>1141</v>
      </c>
      <c r="BH153" s="641" t="s">
        <v>205</v>
      </c>
      <c r="BI153" s="612" t="s">
        <v>206</v>
      </c>
      <c r="BJ153" s="612" t="s">
        <v>206</v>
      </c>
      <c r="BL153" s="450">
        <v>45856</v>
      </c>
      <c r="BM153" s="449" t="s">
        <v>215</v>
      </c>
      <c r="BN153" s="283" t="s">
        <v>231</v>
      </c>
      <c r="BP153" s="617"/>
      <c r="BQ153" s="617"/>
      <c r="BR153" s="618" t="s">
        <v>209</v>
      </c>
      <c r="BT153" s="608">
        <v>45944</v>
      </c>
      <c r="BU153" s="609" t="s">
        <v>1034</v>
      </c>
      <c r="BV153" s="691" t="s">
        <v>1142</v>
      </c>
      <c r="BW153" s="641" t="s">
        <v>205</v>
      </c>
      <c r="BX153" s="612" t="s">
        <v>206</v>
      </c>
      <c r="BY153" s="612" t="s">
        <v>206</v>
      </c>
      <c r="CA153" s="659">
        <v>45992</v>
      </c>
      <c r="CB153" s="286" t="s">
        <v>218</v>
      </c>
      <c r="CC153" s="643" t="s">
        <v>233</v>
      </c>
      <c r="CE153" s="617"/>
      <c r="CF153" s="617"/>
      <c r="CG153" s="618" t="s">
        <v>209</v>
      </c>
      <c r="CH153" s="192"/>
      <c r="CI153" s="558"/>
      <c r="CJ153" s="558"/>
      <c r="CK153" s="559" t="s">
        <v>209</v>
      </c>
      <c r="CL153" s="558"/>
      <c r="CM153" s="558"/>
      <c r="CN153" s="558"/>
      <c r="CO153" s="553"/>
      <c r="CP153" s="558"/>
      <c r="CQ153" s="558"/>
      <c r="CR153" s="559" t="s">
        <v>209</v>
      </c>
      <c r="CS153" s="553"/>
      <c r="CT153" s="558"/>
      <c r="CU153" s="558"/>
      <c r="CV153" s="559" t="s">
        <v>209</v>
      </c>
    </row>
    <row r="154" spans="1:100" ht="151.5" customHeight="1" x14ac:dyDescent="0.3">
      <c r="A154" s="622">
        <v>66</v>
      </c>
      <c r="B154" s="622" t="s">
        <v>1133</v>
      </c>
      <c r="C154" s="623" t="s">
        <v>1029</v>
      </c>
      <c r="D154" s="585" t="str">
        <f>IFERROR(INDEX('Base de datos gestión'!$D$28:$D$50,MATCH(C154,'Base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4" s="585" t="str">
        <f>IFERROR(INDEX('Base de datos gestión'!$E$28:$E$50,MATCH(C154,'Base de datos gestión'!$C$28:$C$50,0)), 0)</f>
        <v>El proceso inicia con la planificación de los servicios de ensayos de aptitud y estudios colaborativos (comparaciones interlaboratorios) y finaliza con la aplicación de la evaluación de la satisfacción del servicio.</v>
      </c>
      <c r="F154" s="630" t="s">
        <v>188</v>
      </c>
      <c r="G154" s="629" t="s">
        <v>1134</v>
      </c>
      <c r="H154" s="630" t="s">
        <v>1143</v>
      </c>
      <c r="I154" s="630" t="s">
        <v>1136</v>
      </c>
      <c r="J154" s="630" t="s">
        <v>1137</v>
      </c>
      <c r="K154" s="630" t="s">
        <v>1138</v>
      </c>
      <c r="L154" s="630">
        <v>6</v>
      </c>
      <c r="M154" s="588" t="str">
        <f t="shared" si="46"/>
        <v>Baja</v>
      </c>
      <c r="N154" s="589">
        <f t="shared" si="55"/>
        <v>0.4</v>
      </c>
      <c r="O154" s="590" t="s">
        <v>248</v>
      </c>
      <c r="P154" s="589" t="str">
        <f>IF(NOT(ISERROR(MATCH(O154,'Tabla Impacto'!$B$222:$B$224,0))),'Tabla Impacto'!$F$224&amp;"Por favor no seleccionar los criterios de impacto(Afectación Económica o presupuestal y Pérdida Reputacional)",O154)</f>
        <v xml:space="preserve">     El riesgo afecta la imagen de la entidad con algunos usuarios de relevancia frente al logro de los objetivos</v>
      </c>
      <c r="Q154" s="591" t="str">
        <f>IF(OR(P154='[8]Tabla Impacto'!$C$12,P154='[8]Tabla Impacto'!$D$12),"Leve",IF(OR(P154='[8]Tabla Impacto'!$C$13,P154='[8]Tabla Impacto'!$D$13),"Menor",IF(OR(P154='[8]Tabla Impacto'!$C$14,P154='[8]Tabla Impacto'!$D$14),"Moderado",IF(OR(P154='[8]Tabla Impacto'!$C$15,P154='[8]Tabla Impacto'!$D$15),"Mayor",IF(OR(P154='[8]Tabla Impacto'!$C$16,P154='[8]Tabla Impacto'!$D$16),"Catastrófico","")))))</f>
        <v>Moderado</v>
      </c>
      <c r="R154" s="590">
        <f t="shared" si="47"/>
        <v>0.6</v>
      </c>
      <c r="S154" s="592" t="str">
        <f t="shared" si="48"/>
        <v>Moderado</v>
      </c>
      <c r="T154" s="595">
        <v>2</v>
      </c>
      <c r="U154" s="631" t="s">
        <v>1144</v>
      </c>
      <c r="V154" s="595" t="str">
        <f>IF(OR(W154="Preventivo",W154="Detectivo"),"Probabilidad",IF(W154="Correctivo","Impacto",""))</f>
        <v>Probabilidad</v>
      </c>
      <c r="W154" s="596" t="s">
        <v>269</v>
      </c>
      <c r="X154" s="596" t="s">
        <v>198</v>
      </c>
      <c r="Y154" s="597" t="str">
        <f t="shared" si="49"/>
        <v>30%</v>
      </c>
      <c r="Z154" s="596" t="s">
        <v>259</v>
      </c>
      <c r="AA154" s="596" t="s">
        <v>200</v>
      </c>
      <c r="AB154" s="596" t="s">
        <v>201</v>
      </c>
      <c r="AC154" s="598">
        <f>IFERROR(IF(AND(V153="Probabilidad",V154="Probabilidad"),(AE153-(+AE153*Y154)),IF(AND(V153="Impacto",V154="Probabilidad"),(AE152-(+AE152*Y154)),IF(V154="Impacto",AE153,""))),"")</f>
        <v>6.0479999999999992E-2</v>
      </c>
      <c r="AD154" s="599" t="str">
        <f t="shared" si="50"/>
        <v>Muy Baja</v>
      </c>
      <c r="AE154" s="600">
        <f t="shared" si="51"/>
        <v>6.0479999999999992E-2</v>
      </c>
      <c r="AF154" s="599" t="str">
        <f t="shared" si="52"/>
        <v>Moderado</v>
      </c>
      <c r="AG154" s="600">
        <f>IFERROR(IF(AND(V153="Impacto",V154="Impacto"),(AG153-(+AG153*Y154)),IF(AND(V153="Probabilidad",V154="Impacto"),(AG152-(+AG152*Y154)),IF(V154="Probabilidad",AG153,""))),"")</f>
        <v>0.6</v>
      </c>
      <c r="AH154" s="601" t="str">
        <f t="shared" si="53"/>
        <v>Moderado</v>
      </c>
      <c r="AI154" s="602" t="s">
        <v>202</v>
      </c>
      <c r="AJ154" s="603"/>
      <c r="AK154" s="192"/>
      <c r="AL154" s="603"/>
      <c r="AM154" s="604"/>
      <c r="AN154" s="606"/>
      <c r="AO154" s="607"/>
      <c r="AP154" s="608">
        <v>45757</v>
      </c>
      <c r="AQ154" s="609" t="s">
        <v>1034</v>
      </c>
      <c r="AR154" s="283" t="s">
        <v>1145</v>
      </c>
      <c r="AS154" s="611" t="s">
        <v>205</v>
      </c>
      <c r="AT154" s="612" t="s">
        <v>206</v>
      </c>
      <c r="AU154" s="612" t="s">
        <v>206</v>
      </c>
      <c r="AV154" s="613"/>
      <c r="AW154" s="614">
        <v>45782</v>
      </c>
      <c r="AX154" s="615" t="s">
        <v>207</v>
      </c>
      <c r="AY154" s="635" t="s">
        <v>578</v>
      </c>
      <c r="BA154" s="617"/>
      <c r="BB154" s="617"/>
      <c r="BC154" s="618" t="s">
        <v>209</v>
      </c>
      <c r="BE154" s="608">
        <v>45856</v>
      </c>
      <c r="BF154" s="609" t="s">
        <v>1034</v>
      </c>
      <c r="BG154" s="283" t="s">
        <v>1146</v>
      </c>
      <c r="BH154" s="641" t="s">
        <v>205</v>
      </c>
      <c r="BI154" s="612" t="s">
        <v>206</v>
      </c>
      <c r="BJ154" s="612" t="s">
        <v>206</v>
      </c>
      <c r="BL154" s="450">
        <v>45856</v>
      </c>
      <c r="BM154" s="449" t="s">
        <v>215</v>
      </c>
      <c r="BN154" s="283" t="s">
        <v>231</v>
      </c>
      <c r="BP154" s="617"/>
      <c r="BQ154" s="617"/>
      <c r="BR154" s="618" t="s">
        <v>209</v>
      </c>
      <c r="BT154" s="608">
        <v>45944</v>
      </c>
      <c r="BU154" s="609" t="s">
        <v>1034</v>
      </c>
      <c r="BV154" s="691" t="s">
        <v>1147</v>
      </c>
      <c r="BW154" s="641" t="s">
        <v>205</v>
      </c>
      <c r="BX154" s="612" t="s">
        <v>206</v>
      </c>
      <c r="BY154" s="612" t="s">
        <v>206</v>
      </c>
      <c r="CA154" s="659">
        <v>45992</v>
      </c>
      <c r="CB154" s="286" t="s">
        <v>218</v>
      </c>
      <c r="CC154" s="643" t="s">
        <v>233</v>
      </c>
      <c r="CE154" s="617"/>
      <c r="CF154" s="617"/>
      <c r="CG154" s="618" t="s">
        <v>209</v>
      </c>
      <c r="CH154" s="192"/>
      <c r="CI154" s="558"/>
      <c r="CJ154" s="558"/>
      <c r="CK154" s="559" t="s">
        <v>209</v>
      </c>
      <c r="CL154" s="558"/>
      <c r="CM154" s="558"/>
      <c r="CN154" s="558"/>
      <c r="CO154" s="553"/>
      <c r="CP154" s="558"/>
      <c r="CQ154" s="558"/>
      <c r="CR154" s="559" t="s">
        <v>209</v>
      </c>
      <c r="CS154" s="553"/>
      <c r="CT154" s="558"/>
      <c r="CU154" s="558"/>
      <c r="CV154" s="559" t="s">
        <v>209</v>
      </c>
    </row>
    <row r="155" spans="1:100" ht="151.5" customHeight="1" x14ac:dyDescent="0.3">
      <c r="A155" s="622">
        <v>66</v>
      </c>
      <c r="B155" s="622" t="s">
        <v>1133</v>
      </c>
      <c r="C155" s="623" t="s">
        <v>1029</v>
      </c>
      <c r="D155" s="585" t="str">
        <f>IFERROR(INDEX('Base de datos gestión'!$D$28:$D$50,MATCH(C155,'Base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5" s="585" t="str">
        <f>IFERROR(INDEX('Base de datos gestión'!$E$28:$E$50,MATCH(C155,'Base de datos gestión'!$C$28:$C$50,0)), 0)</f>
        <v>El proceso inicia con la planificación de los servicios de ensayos de aptitud y estudios colaborativos (comparaciones interlaboratorios) y finaliza con la aplicación de la evaluación de la satisfacción del servicio.</v>
      </c>
      <c r="F155" s="630" t="s">
        <v>188</v>
      </c>
      <c r="G155" s="629" t="s">
        <v>1134</v>
      </c>
      <c r="H155" s="630" t="s">
        <v>1143</v>
      </c>
      <c r="I155" s="630" t="s">
        <v>1136</v>
      </c>
      <c r="J155" s="630" t="s">
        <v>1137</v>
      </c>
      <c r="K155" s="630" t="s">
        <v>1138</v>
      </c>
      <c r="L155" s="630">
        <v>6</v>
      </c>
      <c r="M155" s="588" t="str">
        <f t="shared" si="46"/>
        <v>Baja</v>
      </c>
      <c r="N155" s="589">
        <f t="shared" si="55"/>
        <v>0.4</v>
      </c>
      <c r="O155" s="590" t="s">
        <v>248</v>
      </c>
      <c r="P155" s="589" t="str">
        <f>IF(NOT(ISERROR(MATCH(O155,'Tabla Impacto'!$B$222:$B$224,0))),'Tabla Impacto'!$F$224&amp;"Por favor no seleccionar los criterios de impacto(Afectación Económica o presupuestal y Pérdida Reputacional)",O155)</f>
        <v xml:space="preserve">     El riesgo afecta la imagen de la entidad con algunos usuarios de relevancia frente al logro de los objetivos</v>
      </c>
      <c r="Q155" s="591" t="str">
        <f>IF(OR(P155='[8]Tabla Impacto'!$C$12,P155='[8]Tabla Impacto'!$D$12),"Leve",IF(OR(P155='[8]Tabla Impacto'!$C$13,P155='[8]Tabla Impacto'!$D$13),"Menor",IF(OR(P155='[8]Tabla Impacto'!$C$14,P155='[8]Tabla Impacto'!$D$14),"Moderado",IF(OR(P155='[8]Tabla Impacto'!$C$15,P155='[8]Tabla Impacto'!$D$15),"Mayor",IF(OR(P155='[8]Tabla Impacto'!$C$16,P155='[8]Tabla Impacto'!$D$16),"Catastrófico","")))))</f>
        <v>Moderado</v>
      </c>
      <c r="R155" s="590">
        <f t="shared" si="47"/>
        <v>0.6</v>
      </c>
      <c r="S155" s="592" t="str">
        <f t="shared" si="48"/>
        <v>Moderado</v>
      </c>
      <c r="T155" s="595">
        <v>3</v>
      </c>
      <c r="U155" s="631" t="s">
        <v>1148</v>
      </c>
      <c r="V155" s="595" t="str">
        <f>IF(OR(W155="Preventivo",W155="Detectivo"),"Probabilidad",IF(W155="Correctivo","Impacto",""))</f>
        <v>Probabilidad</v>
      </c>
      <c r="W155" s="596" t="s">
        <v>197</v>
      </c>
      <c r="X155" s="596" t="s">
        <v>198</v>
      </c>
      <c r="Y155" s="597" t="str">
        <f t="shared" si="49"/>
        <v>40%</v>
      </c>
      <c r="Z155" s="596" t="s">
        <v>259</v>
      </c>
      <c r="AA155" s="596" t="s">
        <v>200</v>
      </c>
      <c r="AB155" s="596" t="s">
        <v>201</v>
      </c>
      <c r="AC155" s="598">
        <f>IFERROR(IF(AND(V154="Probabilidad",V155="Probabilidad"),(AE154-(+AE154*Y155)),IF(AND(V154="Impacto",V155="Probabilidad"),(AE153-(+AE153*Y155)),IF(V155="Impacto",AE154,""))),"")</f>
        <v>3.6287999999999994E-2</v>
      </c>
      <c r="AD155" s="599" t="str">
        <f t="shared" si="50"/>
        <v>Muy Baja</v>
      </c>
      <c r="AE155" s="600">
        <f t="shared" si="51"/>
        <v>3.6287999999999994E-2</v>
      </c>
      <c r="AF155" s="599" t="str">
        <f t="shared" si="52"/>
        <v>Moderado</v>
      </c>
      <c r="AG155" s="600">
        <f>IFERROR(IF(AND(V154="Impacto",V155="Impacto"),(AG154-(+AG154*Y155)),IF(AND(V154="Probabilidad",V155="Impacto"),(AG153-(+AG153*Y155)),IF(V155="Probabilidad",AG154,""))),"")</f>
        <v>0.6</v>
      </c>
      <c r="AH155" s="601" t="str">
        <f t="shared" si="53"/>
        <v>Moderado</v>
      </c>
      <c r="AI155" s="602" t="s">
        <v>202</v>
      </c>
      <c r="AJ155" s="603"/>
      <c r="AK155" s="192"/>
      <c r="AL155" s="603"/>
      <c r="AM155" s="604"/>
      <c r="AN155" s="606"/>
      <c r="AO155" s="607"/>
      <c r="AP155" s="608">
        <v>45757</v>
      </c>
      <c r="AQ155" s="609" t="s">
        <v>1034</v>
      </c>
      <c r="AR155" s="283" t="s">
        <v>1149</v>
      </c>
      <c r="AS155" s="611" t="s">
        <v>205</v>
      </c>
      <c r="AT155" s="612" t="s">
        <v>206</v>
      </c>
      <c r="AU155" s="612" t="s">
        <v>206</v>
      </c>
      <c r="AV155" s="613"/>
      <c r="AW155" s="614">
        <v>45782</v>
      </c>
      <c r="AX155" s="615" t="s">
        <v>207</v>
      </c>
      <c r="AY155" s="635" t="s">
        <v>578</v>
      </c>
      <c r="BA155" s="617"/>
      <c r="BB155" s="617"/>
      <c r="BC155" s="618" t="s">
        <v>209</v>
      </c>
      <c r="BE155" s="608">
        <v>45856</v>
      </c>
      <c r="BF155" s="609" t="s">
        <v>1034</v>
      </c>
      <c r="BG155" s="283" t="s">
        <v>1150</v>
      </c>
      <c r="BH155" s="641" t="s">
        <v>205</v>
      </c>
      <c r="BI155" s="612" t="s">
        <v>206</v>
      </c>
      <c r="BJ155" s="612" t="s">
        <v>206</v>
      </c>
      <c r="BL155" s="450">
        <v>45856</v>
      </c>
      <c r="BM155" s="449" t="s">
        <v>215</v>
      </c>
      <c r="BN155" s="283" t="s">
        <v>231</v>
      </c>
      <c r="BP155" s="617"/>
      <c r="BQ155" s="617"/>
      <c r="BR155" s="618" t="s">
        <v>209</v>
      </c>
      <c r="BT155" s="608">
        <v>45944</v>
      </c>
      <c r="BU155" s="609" t="s">
        <v>1034</v>
      </c>
      <c r="BV155" s="691" t="s">
        <v>1151</v>
      </c>
      <c r="BW155" s="641" t="s">
        <v>205</v>
      </c>
      <c r="BX155" s="612" t="s">
        <v>206</v>
      </c>
      <c r="BY155" s="612" t="s">
        <v>206</v>
      </c>
      <c r="CA155" s="659">
        <v>45992</v>
      </c>
      <c r="CB155" s="286" t="s">
        <v>218</v>
      </c>
      <c r="CC155" s="643" t="s">
        <v>233</v>
      </c>
      <c r="CE155" s="617"/>
      <c r="CF155" s="617"/>
      <c r="CG155" s="618" t="s">
        <v>209</v>
      </c>
      <c r="CH155" s="192"/>
      <c r="CI155" s="558"/>
      <c r="CJ155" s="558"/>
      <c r="CK155" s="559" t="s">
        <v>209</v>
      </c>
      <c r="CL155" s="558"/>
      <c r="CM155" s="558"/>
      <c r="CN155" s="558"/>
      <c r="CO155" s="553"/>
      <c r="CP155" s="558"/>
      <c r="CQ155" s="558"/>
      <c r="CR155" s="559" t="s">
        <v>209</v>
      </c>
      <c r="CS155" s="553"/>
      <c r="CT155" s="558"/>
      <c r="CU155" s="558"/>
      <c r="CV155" s="559" t="s">
        <v>209</v>
      </c>
    </row>
    <row r="156" spans="1:100" ht="151.5" customHeight="1" x14ac:dyDescent="0.3">
      <c r="A156" s="632">
        <v>67</v>
      </c>
      <c r="B156" s="632" t="s">
        <v>1152</v>
      </c>
      <c r="C156" s="633" t="s">
        <v>1029</v>
      </c>
      <c r="D156" s="585" t="str">
        <f>IFERROR(INDEX('Base de datos gestión'!$D$28:$D$50,MATCH(C156,'Base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6" s="585" t="str">
        <f>IFERROR(INDEX('Base de datos gestión'!$E$28:$E$50,MATCH(C156,'Base de datos gestión'!$C$28:$C$50,0)), 0)</f>
        <v>El proceso inicia con la planificación de los servicios de ensayos de aptitud y estudios colaborativos (comparaciones interlaboratorios) y finaliza con la aplicación de la evaluación de la satisfacción del servicio.</v>
      </c>
      <c r="F156" s="630" t="s">
        <v>188</v>
      </c>
      <c r="G156" s="629" t="s">
        <v>1153</v>
      </c>
      <c r="H156" s="630" t="s">
        <v>1154</v>
      </c>
      <c r="I156" s="630" t="s">
        <v>1155</v>
      </c>
      <c r="J156" s="630" t="s">
        <v>192</v>
      </c>
      <c r="K156" s="630" t="s">
        <v>311</v>
      </c>
      <c r="L156" s="630">
        <v>6</v>
      </c>
      <c r="M156" s="588" t="str">
        <f t="shared" si="46"/>
        <v>Baja</v>
      </c>
      <c r="N156" s="589">
        <f t="shared" si="55"/>
        <v>0.4</v>
      </c>
      <c r="O156" s="590" t="s">
        <v>248</v>
      </c>
      <c r="P156" s="589" t="str">
        <f>IF(NOT(ISERROR(MATCH(O156,'Tabla Impacto'!$B$222:$B$224,0))),'Tabla Impacto'!$F$224&amp;"Por favor no seleccionar los criterios de impacto(Afectación Económica o presupuestal y Pérdida Reputacional)",O156)</f>
        <v xml:space="preserve">     El riesgo afecta la imagen de la entidad con algunos usuarios de relevancia frente al logro de los objetivos</v>
      </c>
      <c r="Q156" s="591" t="str">
        <f>IF(OR(P156='[8]Tabla Impacto'!$C$12,P156='[8]Tabla Impacto'!$D$12),"Leve",IF(OR(P156='[8]Tabla Impacto'!$C$13,P156='[8]Tabla Impacto'!$D$13),"Menor",IF(OR(P156='[8]Tabla Impacto'!$C$14,P156='[8]Tabla Impacto'!$D$14),"Moderado",IF(OR(P156='[8]Tabla Impacto'!$C$15,P156='[8]Tabla Impacto'!$D$15),"Mayor",IF(OR(P156='[8]Tabla Impacto'!$C$16,P156='[8]Tabla Impacto'!$D$16),"Catastrófico","")))))</f>
        <v>Moderado</v>
      </c>
      <c r="R156" s="590">
        <f t="shared" si="47"/>
        <v>0.6</v>
      </c>
      <c r="S156" s="592" t="str">
        <f t="shared" si="48"/>
        <v>Moderado</v>
      </c>
      <c r="T156" s="595">
        <v>1</v>
      </c>
      <c r="U156" s="631" t="s">
        <v>1156</v>
      </c>
      <c r="V156" s="595" t="str">
        <f t="shared" si="54"/>
        <v>Probabilidad</v>
      </c>
      <c r="W156" s="596" t="s">
        <v>197</v>
      </c>
      <c r="X156" s="596" t="s">
        <v>198</v>
      </c>
      <c r="Y156" s="597" t="str">
        <f t="shared" si="49"/>
        <v>40%</v>
      </c>
      <c r="Z156" s="596" t="s">
        <v>259</v>
      </c>
      <c r="AA156" s="596" t="s">
        <v>200</v>
      </c>
      <c r="AB156" s="596" t="s">
        <v>201</v>
      </c>
      <c r="AC156" s="598">
        <f>IFERROR(IF(AND(V155="Probabilidad",V156="Probabilidad"),(AE155-(+AE155*Y156)),IF(AND(V155="Impacto",V156="Probabilidad"),(AE154-(+AE154*Y156)),IF(V156="Impacto",AE155,""))),"")</f>
        <v>2.1772799999999995E-2</v>
      </c>
      <c r="AD156" s="599" t="str">
        <f t="shared" si="50"/>
        <v>Muy Baja</v>
      </c>
      <c r="AE156" s="600">
        <f t="shared" si="51"/>
        <v>2.1772799999999995E-2</v>
      </c>
      <c r="AF156" s="599" t="str">
        <f t="shared" si="52"/>
        <v>Moderado</v>
      </c>
      <c r="AG156" s="600">
        <f>IFERROR(IF(AND(V155="Impacto",V156="Impacto"),(AG155-(+AG155*Y156)),IF(AND(V155="Probabilidad",V156="Impacto"),(AG154-(+AG154*Y156)),IF(V156="Probabilidad",AG155,""))),"")</f>
        <v>0.6</v>
      </c>
      <c r="AH156" s="601" t="str">
        <f t="shared" si="53"/>
        <v>Moderado</v>
      </c>
      <c r="AI156" s="602" t="s">
        <v>202</v>
      </c>
      <c r="AJ156" s="603"/>
      <c r="AK156" s="192"/>
      <c r="AL156" s="603"/>
      <c r="AM156" s="604"/>
      <c r="AN156" s="606"/>
      <c r="AO156" s="607"/>
      <c r="AP156" s="608">
        <v>45757</v>
      </c>
      <c r="AQ156" s="609" t="s">
        <v>1034</v>
      </c>
      <c r="AR156" s="283" t="s">
        <v>1157</v>
      </c>
      <c r="AS156" s="611" t="s">
        <v>205</v>
      </c>
      <c r="AT156" s="612" t="s">
        <v>206</v>
      </c>
      <c r="AU156" s="612" t="s">
        <v>206</v>
      </c>
      <c r="AV156" s="613"/>
      <c r="AW156" s="614">
        <v>45782</v>
      </c>
      <c r="AX156" s="615" t="s">
        <v>207</v>
      </c>
      <c r="AY156" s="635" t="s">
        <v>578</v>
      </c>
      <c r="BA156" s="617"/>
      <c r="BB156" s="617"/>
      <c r="BC156" s="618" t="s">
        <v>209</v>
      </c>
      <c r="BE156" s="608">
        <v>45856</v>
      </c>
      <c r="BF156" s="609" t="s">
        <v>1034</v>
      </c>
      <c r="BG156" s="283" t="s">
        <v>1158</v>
      </c>
      <c r="BH156" s="641" t="s">
        <v>205</v>
      </c>
      <c r="BI156" s="612" t="s">
        <v>206</v>
      </c>
      <c r="BJ156" s="612" t="s">
        <v>206</v>
      </c>
      <c r="BL156" s="450">
        <v>45856</v>
      </c>
      <c r="BM156" s="449" t="s">
        <v>215</v>
      </c>
      <c r="BN156" s="283" t="s">
        <v>231</v>
      </c>
      <c r="BP156" s="617"/>
      <c r="BQ156" s="617"/>
      <c r="BR156" s="618" t="s">
        <v>209</v>
      </c>
      <c r="BT156" s="608">
        <v>45944</v>
      </c>
      <c r="BU156" s="609" t="s">
        <v>1034</v>
      </c>
      <c r="BV156" s="691" t="s">
        <v>1159</v>
      </c>
      <c r="BW156" s="641" t="s">
        <v>205</v>
      </c>
      <c r="BX156" s="612" t="s">
        <v>206</v>
      </c>
      <c r="BY156" s="612" t="s">
        <v>206</v>
      </c>
      <c r="CA156" s="659">
        <v>45992</v>
      </c>
      <c r="CB156" s="286" t="s">
        <v>218</v>
      </c>
      <c r="CC156" s="643" t="s">
        <v>233</v>
      </c>
      <c r="CE156" s="617"/>
      <c r="CF156" s="617"/>
      <c r="CG156" s="618" t="s">
        <v>209</v>
      </c>
      <c r="CH156" s="192"/>
      <c r="CI156" s="558"/>
      <c r="CJ156" s="558"/>
      <c r="CK156" s="559" t="s">
        <v>209</v>
      </c>
      <c r="CL156" s="558"/>
      <c r="CM156" s="558"/>
      <c r="CN156" s="558"/>
      <c r="CO156" s="553"/>
      <c r="CP156" s="558"/>
      <c r="CQ156" s="558"/>
      <c r="CR156" s="559" t="s">
        <v>209</v>
      </c>
      <c r="CS156" s="553"/>
      <c r="CT156" s="558"/>
      <c r="CU156" s="558"/>
      <c r="CV156" s="559" t="s">
        <v>209</v>
      </c>
    </row>
    <row r="157" spans="1:100" ht="151.5" customHeight="1" x14ac:dyDescent="0.3">
      <c r="A157" s="584">
        <v>68</v>
      </c>
      <c r="B157" s="584" t="s">
        <v>1160</v>
      </c>
      <c r="C157" s="585" t="s">
        <v>1029</v>
      </c>
      <c r="D157" s="585" t="str">
        <f>IFERROR(INDEX('Base de datos gestión'!$D$28:$D$50,MATCH(C157,'Base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157" s="585" t="str">
        <f>IFERROR(INDEX('Base de datos gestión'!$E$28:$E$50,MATCH(C157,'Base de datos gestión'!$C$28:$C$50,0)), 0)</f>
        <v>El proceso inicia con la planificación de los servicios de ensayos de aptitud y estudios colaborativos (comparaciones interlaboratorios) y finaliza con la aplicación de la evaluación de la satisfacción del servicio.</v>
      </c>
      <c r="F157" s="628" t="s">
        <v>276</v>
      </c>
      <c r="G157" s="629" t="s">
        <v>1161</v>
      </c>
      <c r="H157" s="628" t="s">
        <v>1162</v>
      </c>
      <c r="I157" s="630" t="s">
        <v>1163</v>
      </c>
      <c r="J157" s="630" t="s">
        <v>192</v>
      </c>
      <c r="K157" s="630" t="s">
        <v>193</v>
      </c>
      <c r="L157" s="630">
        <v>6</v>
      </c>
      <c r="M157" s="588" t="str">
        <f t="shared" si="46"/>
        <v>Baja</v>
      </c>
      <c r="N157" s="589">
        <f t="shared" si="55"/>
        <v>0.4</v>
      </c>
      <c r="O157" s="590" t="s">
        <v>1119</v>
      </c>
      <c r="P157" s="589" t="str">
        <f>IF(NOT(ISERROR(MATCH(O157,'Tabla Impacto'!$B$222:$B$224,0))),'Tabla Impacto'!$F$224&amp;"Por favor no seleccionar los criterios de impacto(Afectación Económica o presupuestal y Pérdida Reputacional)",O157)</f>
        <v xml:space="preserve">     Afectación menor a 10 SMLMV .</v>
      </c>
      <c r="Q157" s="591" t="str">
        <f>IF(OR(P157='[8]Tabla Impacto'!$C$12,P157='[8]Tabla Impacto'!$D$12),"Leve",IF(OR(P157='[8]Tabla Impacto'!$C$13,P157='[8]Tabla Impacto'!$D$13),"Menor",IF(OR(P157='[8]Tabla Impacto'!$C$14,P157='[8]Tabla Impacto'!$D$14),"Moderado",IF(OR(P157='[8]Tabla Impacto'!$C$15,P157='[8]Tabla Impacto'!$D$15),"Mayor",IF(OR(P157='[8]Tabla Impacto'!$C$16,P157='[8]Tabla Impacto'!$D$16),"Catastrófico","")))))</f>
        <v>Leve</v>
      </c>
      <c r="R157" s="590">
        <f t="shared" si="47"/>
        <v>0.2</v>
      </c>
      <c r="S157" s="592" t="str">
        <f t="shared" si="48"/>
        <v>Bajo</v>
      </c>
      <c r="T157" s="595">
        <v>1</v>
      </c>
      <c r="U157" s="631" t="s">
        <v>1164</v>
      </c>
      <c r="V157" s="595" t="str">
        <f t="shared" si="54"/>
        <v>Probabilidad</v>
      </c>
      <c r="W157" s="596" t="s">
        <v>197</v>
      </c>
      <c r="X157" s="596" t="s">
        <v>198</v>
      </c>
      <c r="Y157" s="597" t="str">
        <f t="shared" si="49"/>
        <v>40%</v>
      </c>
      <c r="Z157" s="596" t="s">
        <v>259</v>
      </c>
      <c r="AA157" s="596" t="s">
        <v>200</v>
      </c>
      <c r="AB157" s="596" t="s">
        <v>201</v>
      </c>
      <c r="AC157" s="598">
        <f>IFERROR(IF(V157="Probabilidad",(N157-(+N157*Y157)),IF(V157="Impacto",N157,"")),"")</f>
        <v>0.24</v>
      </c>
      <c r="AD157" s="599" t="str">
        <f t="shared" si="50"/>
        <v>Baja</v>
      </c>
      <c r="AE157" s="600">
        <f t="shared" si="51"/>
        <v>0.24</v>
      </c>
      <c r="AF157" s="599" t="str">
        <f t="shared" si="52"/>
        <v>Leve</v>
      </c>
      <c r="AG157" s="600">
        <f>IFERROR(IF(V157="Impacto",(R157-(+R157*Y157)),IF(V157="Probabilidad",R157,"")),"")</f>
        <v>0.2</v>
      </c>
      <c r="AH157" s="601" t="str">
        <f t="shared" si="53"/>
        <v>Bajo</v>
      </c>
      <c r="AI157" s="602" t="s">
        <v>202</v>
      </c>
      <c r="AJ157" s="603"/>
      <c r="AK157" s="192"/>
      <c r="AL157" s="603"/>
      <c r="AM157" s="604"/>
      <c r="AN157" s="606"/>
      <c r="AO157" s="607"/>
      <c r="AP157" s="608">
        <v>45757</v>
      </c>
      <c r="AQ157" s="609" t="s">
        <v>1034</v>
      </c>
      <c r="AR157" s="283" t="s">
        <v>1165</v>
      </c>
      <c r="AS157" s="611" t="s">
        <v>205</v>
      </c>
      <c r="AT157" s="612" t="s">
        <v>206</v>
      </c>
      <c r="AU157" s="612" t="s">
        <v>206</v>
      </c>
      <c r="AV157" s="613"/>
      <c r="AW157" s="614">
        <v>45782</v>
      </c>
      <c r="AX157" s="615" t="s">
        <v>207</v>
      </c>
      <c r="AY157" s="635" t="s">
        <v>578</v>
      </c>
      <c r="BA157" s="617"/>
      <c r="BB157" s="617"/>
      <c r="BC157" s="618" t="s">
        <v>209</v>
      </c>
      <c r="BE157" s="608">
        <v>45856</v>
      </c>
      <c r="BF157" s="609" t="s">
        <v>1034</v>
      </c>
      <c r="BG157" s="283" t="s">
        <v>1166</v>
      </c>
      <c r="BH157" s="641" t="s">
        <v>205</v>
      </c>
      <c r="BI157" s="612" t="s">
        <v>206</v>
      </c>
      <c r="BJ157" s="612" t="s">
        <v>206</v>
      </c>
      <c r="BL157" s="450">
        <v>45856</v>
      </c>
      <c r="BM157" s="449" t="s">
        <v>215</v>
      </c>
      <c r="BN157" s="283" t="s">
        <v>231</v>
      </c>
      <c r="BP157" s="617"/>
      <c r="BQ157" s="617"/>
      <c r="BR157" s="618" t="s">
        <v>209</v>
      </c>
      <c r="BT157" s="608">
        <v>45944</v>
      </c>
      <c r="BU157" s="609" t="s">
        <v>1034</v>
      </c>
      <c r="BV157" s="691" t="s">
        <v>1167</v>
      </c>
      <c r="BW157" s="641" t="s">
        <v>205</v>
      </c>
      <c r="BX157" s="612" t="s">
        <v>206</v>
      </c>
      <c r="BY157" s="612" t="s">
        <v>206</v>
      </c>
      <c r="CA157" s="659">
        <v>45992</v>
      </c>
      <c r="CB157" s="286" t="s">
        <v>218</v>
      </c>
      <c r="CC157" s="643" t="s">
        <v>233</v>
      </c>
      <c r="CE157" s="617"/>
      <c r="CF157" s="617"/>
      <c r="CG157" s="618" t="s">
        <v>209</v>
      </c>
      <c r="CH157" s="192"/>
      <c r="CI157" s="558"/>
      <c r="CJ157" s="558"/>
      <c r="CK157" s="559" t="s">
        <v>209</v>
      </c>
      <c r="CL157" s="558"/>
      <c r="CM157" s="558"/>
      <c r="CN157" s="558"/>
      <c r="CO157" s="553"/>
      <c r="CP157" s="558"/>
      <c r="CQ157" s="558"/>
      <c r="CR157" s="559" t="s">
        <v>209</v>
      </c>
      <c r="CS157" s="553"/>
      <c r="CT157" s="558"/>
      <c r="CU157" s="558"/>
      <c r="CV157" s="559" t="s">
        <v>209</v>
      </c>
    </row>
    <row r="158" spans="1:100" ht="151.5" customHeight="1" x14ac:dyDescent="0.3">
      <c r="A158" s="622">
        <v>69</v>
      </c>
      <c r="B158" s="622" t="s">
        <v>1168</v>
      </c>
      <c r="C158" s="623" t="s">
        <v>1169</v>
      </c>
      <c r="D158" s="585" t="str">
        <f>IFERROR(INDEX('Base de datos gestión'!$D$28:$D$50,MATCH(C158,'Base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E158" s="585" t="str">
        <f>IFERROR(INDEX('Base de datos gestión'!$E$28:$E$50,MATCH(C158,'Base de datos gestión'!$C$28:$C$50,0)), 0)</f>
        <v>Inicia con el establecimiento de los procedimientos y demás documentos del proceso y culmina con la evaluación de la satisfacción de las capacitaciones y la toma de acciones de mejoramiento por parte de los responsables del proceso.</v>
      </c>
      <c r="F158" s="630" t="s">
        <v>276</v>
      </c>
      <c r="G158" s="629" t="s">
        <v>1170</v>
      </c>
      <c r="H158" s="630" t="s">
        <v>1171</v>
      </c>
      <c r="I158" s="630" t="s">
        <v>1172</v>
      </c>
      <c r="J158" s="630" t="s">
        <v>280</v>
      </c>
      <c r="K158" s="630" t="s">
        <v>311</v>
      </c>
      <c r="L158" s="630">
        <v>30</v>
      </c>
      <c r="M158" s="588" t="str">
        <f t="shared" si="46"/>
        <v>Media</v>
      </c>
      <c r="N158" s="589">
        <f t="shared" si="55"/>
        <v>0.6</v>
      </c>
      <c r="O158" s="590" t="s">
        <v>950</v>
      </c>
      <c r="P158" s="589" t="str">
        <f>IF(NOT(ISERROR(MATCH(O158,'Tabla Impacto'!$B$222:$B$224,0))),'Tabla Impacto'!$F$224&amp;"Por favor no seleccionar los criterios de impacto(Afectación Económica o presupuestal y Pérdida Reputacional)",O158)</f>
        <v xml:space="preserve">     Entre 10 y 50 SMLMV </v>
      </c>
      <c r="Q158" s="591" t="str">
        <f>IF(OR(P158='[8]Tabla Impacto'!$C$12,P158='[8]Tabla Impacto'!$D$12),"Leve",IF(OR(P158='[8]Tabla Impacto'!$C$13,P158='[8]Tabla Impacto'!$D$13),"Menor",IF(OR(P158='[8]Tabla Impacto'!$C$14,P158='[8]Tabla Impacto'!$D$14),"Moderado",IF(OR(P158='[8]Tabla Impacto'!$C$15,P158='[8]Tabla Impacto'!$D$15),"Mayor",IF(OR(P158='[8]Tabla Impacto'!$C$16,P158='[8]Tabla Impacto'!$D$16),"Catastrófico","")))))</f>
        <v>Menor</v>
      </c>
      <c r="R158" s="590">
        <f t="shared" si="47"/>
        <v>0.4</v>
      </c>
      <c r="S158" s="592" t="str">
        <f t="shared" si="48"/>
        <v>Moderado</v>
      </c>
      <c r="T158" s="595">
        <v>1</v>
      </c>
      <c r="U158" s="631" t="s">
        <v>1173</v>
      </c>
      <c r="V158" s="595" t="str">
        <f t="shared" si="54"/>
        <v>Probabilidad</v>
      </c>
      <c r="W158" s="596" t="s">
        <v>197</v>
      </c>
      <c r="X158" s="596" t="s">
        <v>454</v>
      </c>
      <c r="Y158" s="597" t="str">
        <f t="shared" si="49"/>
        <v>50%</v>
      </c>
      <c r="Z158" s="596" t="s">
        <v>259</v>
      </c>
      <c r="AA158" s="596" t="s">
        <v>200</v>
      </c>
      <c r="AB158" s="596" t="s">
        <v>201</v>
      </c>
      <c r="AC158" s="598">
        <f>IFERROR(IF(AND(V157="Probabilidad",V158="Probabilidad"),(AE157-(+AE157*Y158)),IF(V158="Probabilidad",(N157-(+N157*Y158)),IF(V158="Impacto",AE157,""))),"")</f>
        <v>0.12</v>
      </c>
      <c r="AD158" s="599" t="str">
        <f t="shared" si="50"/>
        <v>Muy Baja</v>
      </c>
      <c r="AE158" s="600">
        <f t="shared" si="51"/>
        <v>0.12</v>
      </c>
      <c r="AF158" s="599" t="str">
        <f t="shared" si="52"/>
        <v>Leve</v>
      </c>
      <c r="AG158" s="600">
        <f>IFERROR(IF(AND(V157="Impacto",V158="Impacto"),(AG151-(+AG151*Y158)),IF(V158="Impacto",($R$49-(+$R$49*Y158)),IF(V158="Probabilidad",AG151,""))),"")</f>
        <v>0.2</v>
      </c>
      <c r="AH158" s="601" t="str">
        <f t="shared" si="53"/>
        <v>Bajo</v>
      </c>
      <c r="AI158" s="602" t="s">
        <v>202</v>
      </c>
      <c r="AJ158" s="603"/>
      <c r="AK158" s="192"/>
      <c r="AL158" s="603"/>
      <c r="AM158" s="604"/>
      <c r="AN158" s="606"/>
      <c r="AO158" s="607"/>
      <c r="AP158" s="608">
        <v>45757</v>
      </c>
      <c r="AQ158" s="609" t="s">
        <v>1174</v>
      </c>
      <c r="AR158" s="283" t="s">
        <v>1175</v>
      </c>
      <c r="AS158" s="698" t="s">
        <v>205</v>
      </c>
      <c r="AT158" s="612" t="s">
        <v>206</v>
      </c>
      <c r="AU158" s="283" t="s">
        <v>206</v>
      </c>
      <c r="AV158" s="613"/>
      <c r="AW158" s="614">
        <v>45782</v>
      </c>
      <c r="AX158" s="615" t="s">
        <v>207</v>
      </c>
      <c r="AY158" s="635" t="s">
        <v>578</v>
      </c>
      <c r="BA158" s="617"/>
      <c r="BB158" s="617"/>
      <c r="BC158" s="618" t="s">
        <v>209</v>
      </c>
      <c r="BE158" s="668">
        <v>45854</v>
      </c>
      <c r="BF158" s="651" t="s">
        <v>1176</v>
      </c>
      <c r="BG158" s="283" t="s">
        <v>1177</v>
      </c>
      <c r="BH158" s="449" t="s">
        <v>205</v>
      </c>
      <c r="BI158" s="286" t="s">
        <v>317</v>
      </c>
      <c r="BJ158" s="286" t="s">
        <v>1178</v>
      </c>
      <c r="BL158" s="450">
        <v>45856</v>
      </c>
      <c r="BM158" s="449" t="s">
        <v>215</v>
      </c>
      <c r="BN158" s="283"/>
      <c r="BP158" s="617"/>
      <c r="BQ158" s="617"/>
      <c r="BR158" s="618" t="s">
        <v>209</v>
      </c>
      <c r="BT158" s="668">
        <v>45944</v>
      </c>
      <c r="BU158" s="617" t="s">
        <v>1179</v>
      </c>
      <c r="BV158" s="283" t="s">
        <v>1180</v>
      </c>
      <c r="BW158" s="651" t="s">
        <v>205</v>
      </c>
      <c r="BX158" s="617" t="s">
        <v>206</v>
      </c>
      <c r="BY158" s="617" t="s">
        <v>206</v>
      </c>
      <c r="CA158" s="614">
        <v>45992</v>
      </c>
      <c r="CB158" s="616" t="s">
        <v>218</v>
      </c>
      <c r="CC158" s="286" t="s">
        <v>233</v>
      </c>
      <c r="CE158" s="617"/>
      <c r="CF158" s="617"/>
      <c r="CG158" s="618" t="s">
        <v>209</v>
      </c>
      <c r="CH158" s="192"/>
      <c r="CI158" s="558"/>
      <c r="CJ158" s="558"/>
      <c r="CK158" s="559" t="s">
        <v>209</v>
      </c>
      <c r="CL158" s="558"/>
      <c r="CM158" s="558"/>
      <c r="CN158" s="558"/>
      <c r="CO158" s="553"/>
      <c r="CP158" s="558"/>
      <c r="CQ158" s="558"/>
      <c r="CR158" s="559" t="s">
        <v>209</v>
      </c>
      <c r="CS158" s="553"/>
      <c r="CT158" s="558"/>
      <c r="CU158" s="558"/>
      <c r="CV158" s="559" t="s">
        <v>209</v>
      </c>
    </row>
    <row r="159" spans="1:100" ht="151.5" customHeight="1" x14ac:dyDescent="0.3">
      <c r="A159" s="622">
        <v>70</v>
      </c>
      <c r="B159" s="622" t="s">
        <v>1181</v>
      </c>
      <c r="C159" s="623" t="s">
        <v>1169</v>
      </c>
      <c r="D159" s="585" t="str">
        <f>IFERROR(INDEX('Base de datos gestión'!$D$28:$D$50,MATCH(C159,'Base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E159" s="585" t="str">
        <f>IFERROR(INDEX('Base de datos gestión'!$E$28:$E$50,MATCH(C159,'Base de datos gestión'!$C$28:$C$50,0)), 0)</f>
        <v>Inicia con el establecimiento de los procedimientos y demás documentos del proceso y culmina con la evaluación de la satisfacción de las capacitaciones y la toma de acciones de mejoramiento por parte de los responsables del proceso.</v>
      </c>
      <c r="F159" s="628" t="s">
        <v>276</v>
      </c>
      <c r="G159" s="629" t="s">
        <v>1182</v>
      </c>
      <c r="H159" s="628" t="s">
        <v>1183</v>
      </c>
      <c r="I159" s="628" t="s">
        <v>1184</v>
      </c>
      <c r="J159" s="630" t="s">
        <v>280</v>
      </c>
      <c r="K159" s="630" t="s">
        <v>311</v>
      </c>
      <c r="L159" s="630">
        <v>30</v>
      </c>
      <c r="M159" s="588" t="str">
        <f t="shared" si="46"/>
        <v>Media</v>
      </c>
      <c r="N159" s="589">
        <f t="shared" si="55"/>
        <v>0.6</v>
      </c>
      <c r="O159" s="590" t="s">
        <v>950</v>
      </c>
      <c r="P159" s="589" t="str">
        <f>IF(NOT(ISERROR(MATCH(O159,'Tabla Impacto'!$B$222:$B$224,0))),'Tabla Impacto'!$F$224&amp;"Por favor no seleccionar los criterios de impacto(Afectación Económica o presupuestal y Pérdida Reputacional)",O159)</f>
        <v xml:space="preserve">     Entre 10 y 50 SMLMV </v>
      </c>
      <c r="Q159" s="591" t="str">
        <f>IF(OR(P159='[8]Tabla Impacto'!$C$12,P159='[8]Tabla Impacto'!$D$12),"Leve",IF(OR(P159='[8]Tabla Impacto'!$C$13,P159='[8]Tabla Impacto'!$D$13),"Menor",IF(OR(P159='[8]Tabla Impacto'!$C$14,P159='[8]Tabla Impacto'!$D$14),"Moderado",IF(OR(P159='[8]Tabla Impacto'!$C$15,P159='[8]Tabla Impacto'!$D$15),"Mayor",IF(OR(P159='[8]Tabla Impacto'!$C$16,P159='[8]Tabla Impacto'!$D$16),"Catastrófico","")))))</f>
        <v>Menor</v>
      </c>
      <c r="R159" s="590">
        <f t="shared" si="47"/>
        <v>0.4</v>
      </c>
      <c r="S159" s="592" t="str">
        <f t="shared" si="48"/>
        <v>Moderado</v>
      </c>
      <c r="T159" s="595">
        <v>1</v>
      </c>
      <c r="U159" s="631" t="s">
        <v>1185</v>
      </c>
      <c r="V159" s="595" t="str">
        <f t="shared" si="54"/>
        <v>Probabilidad</v>
      </c>
      <c r="W159" s="596" t="s">
        <v>197</v>
      </c>
      <c r="X159" s="596" t="s">
        <v>454</v>
      </c>
      <c r="Y159" s="597" t="str">
        <f t="shared" si="49"/>
        <v>50%</v>
      </c>
      <c r="Z159" s="596" t="s">
        <v>259</v>
      </c>
      <c r="AA159" s="596" t="s">
        <v>200</v>
      </c>
      <c r="AB159" s="596" t="s">
        <v>201</v>
      </c>
      <c r="AC159" s="598">
        <f>IFERROR(IF(AND(V158="Probabilidad",V159="Probabilidad"),(AE158-(+AE158*Y159)),IF(AND(V158="Impacto",V159="Probabilidad"),(AE157-(+AE157*Y159)),IF(V159="Impacto",AE158,""))),"")</f>
        <v>0.06</v>
      </c>
      <c r="AD159" s="599" t="str">
        <f t="shared" si="50"/>
        <v>Muy Baja</v>
      </c>
      <c r="AE159" s="600">
        <f t="shared" si="51"/>
        <v>0.06</v>
      </c>
      <c r="AF159" s="599" t="str">
        <f t="shared" si="52"/>
        <v>Leve</v>
      </c>
      <c r="AG159" s="600">
        <f>IFERROR(IF(AND(V158="Impacto",V159="Impacto"),(AG158-(+AG158*Y159)),IF(AND(V158="Probabilidad",V159="Impacto"),(AG157-(+AG157*Y159)),IF(V159="Probabilidad",AG158,""))),"")</f>
        <v>0.2</v>
      </c>
      <c r="AH159" s="601" t="str">
        <f t="shared" si="53"/>
        <v>Bajo</v>
      </c>
      <c r="AI159" s="602" t="s">
        <v>202</v>
      </c>
      <c r="AJ159" s="603"/>
      <c r="AK159" s="192"/>
      <c r="AL159" s="603"/>
      <c r="AM159" s="604"/>
      <c r="AN159" s="606"/>
      <c r="AO159" s="607"/>
      <c r="AP159" s="608">
        <v>45757</v>
      </c>
      <c r="AQ159" s="609" t="s">
        <v>1174</v>
      </c>
      <c r="AR159" s="283" t="s">
        <v>1186</v>
      </c>
      <c r="AS159" s="698" t="s">
        <v>205</v>
      </c>
      <c r="AT159" s="612" t="s">
        <v>206</v>
      </c>
      <c r="AU159" s="283" t="s">
        <v>206</v>
      </c>
      <c r="AV159" s="613"/>
      <c r="AW159" s="614">
        <v>45782</v>
      </c>
      <c r="AX159" s="615" t="s">
        <v>207</v>
      </c>
      <c r="AY159" s="635" t="s">
        <v>578</v>
      </c>
      <c r="BA159" s="617"/>
      <c r="BB159" s="617"/>
      <c r="BC159" s="618" t="s">
        <v>209</v>
      </c>
      <c r="BE159" s="668">
        <v>45854</v>
      </c>
      <c r="BF159" s="651" t="s">
        <v>1176</v>
      </c>
      <c r="BG159" s="283" t="s">
        <v>1187</v>
      </c>
      <c r="BH159" s="449" t="s">
        <v>205</v>
      </c>
      <c r="BI159" s="449" t="s">
        <v>206</v>
      </c>
      <c r="BJ159" s="449" t="s">
        <v>472</v>
      </c>
      <c r="BL159" s="450">
        <v>45856</v>
      </c>
      <c r="BM159" s="449" t="s">
        <v>215</v>
      </c>
      <c r="BN159" s="283" t="s">
        <v>231</v>
      </c>
      <c r="BP159" s="617"/>
      <c r="BQ159" s="617"/>
      <c r="BR159" s="618" t="s">
        <v>209</v>
      </c>
      <c r="BT159" s="668">
        <v>45944</v>
      </c>
      <c r="BU159" s="617" t="s">
        <v>1188</v>
      </c>
      <c r="BV159" s="283" t="s">
        <v>1189</v>
      </c>
      <c r="BW159" s="651" t="s">
        <v>205</v>
      </c>
      <c r="BX159" s="617" t="s">
        <v>206</v>
      </c>
      <c r="BY159" s="617" t="s">
        <v>206</v>
      </c>
      <c r="CA159" s="614">
        <v>45992</v>
      </c>
      <c r="CB159" s="616" t="s">
        <v>218</v>
      </c>
      <c r="CC159" s="286" t="s">
        <v>233</v>
      </c>
      <c r="CE159" s="617"/>
      <c r="CF159" s="617"/>
      <c r="CG159" s="618" t="s">
        <v>209</v>
      </c>
      <c r="CH159" s="192"/>
      <c r="CI159" s="558"/>
      <c r="CJ159" s="558"/>
      <c r="CK159" s="559" t="s">
        <v>209</v>
      </c>
      <c r="CL159" s="558"/>
      <c r="CM159" s="558"/>
      <c r="CN159" s="558"/>
      <c r="CO159" s="553"/>
      <c r="CP159" s="558"/>
      <c r="CQ159" s="558"/>
      <c r="CR159" s="559" t="s">
        <v>209</v>
      </c>
      <c r="CS159" s="553"/>
      <c r="CT159" s="558"/>
      <c r="CU159" s="558"/>
      <c r="CV159" s="559" t="s">
        <v>209</v>
      </c>
    </row>
    <row r="160" spans="1:100" ht="151.5" customHeight="1" x14ac:dyDescent="0.3">
      <c r="A160" s="622">
        <v>70</v>
      </c>
      <c r="B160" s="622" t="s">
        <v>1181</v>
      </c>
      <c r="C160" s="623" t="s">
        <v>1169</v>
      </c>
      <c r="D160" s="585" t="str">
        <f>IFERROR(INDEX('Base de datos gestión'!$D$28:$D$50,MATCH(C160,'Base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E160" s="585" t="str">
        <f>IFERROR(INDEX('Base de datos gestión'!$E$28:$E$50,MATCH(C160,'Base de datos gestión'!$C$28:$C$50,0)), 0)</f>
        <v>Inicia con el establecimiento de los procedimientos y demás documentos del proceso y culmina con la evaluación de la satisfacción de las capacitaciones y la toma de acciones de mejoramiento por parte de los responsables del proceso.</v>
      </c>
      <c r="F160" s="628" t="s">
        <v>276</v>
      </c>
      <c r="G160" s="629" t="s">
        <v>1182</v>
      </c>
      <c r="H160" s="628" t="s">
        <v>1183</v>
      </c>
      <c r="I160" s="628" t="s">
        <v>1184</v>
      </c>
      <c r="J160" s="630" t="s">
        <v>280</v>
      </c>
      <c r="K160" s="630" t="s">
        <v>311</v>
      </c>
      <c r="L160" s="630">
        <v>30</v>
      </c>
      <c r="M160" s="588" t="str">
        <f t="shared" si="46"/>
        <v>Media</v>
      </c>
      <c r="N160" s="589">
        <f t="shared" si="55"/>
        <v>0.6</v>
      </c>
      <c r="O160" s="590" t="s">
        <v>950</v>
      </c>
      <c r="P160" s="589" t="str">
        <f>IF(NOT(ISERROR(MATCH(O160,'Tabla Impacto'!$B$222:$B$224,0))),'Tabla Impacto'!$F$224&amp;"Por favor no seleccionar los criterios de impacto(Afectación Económica o presupuestal y Pérdida Reputacional)",O160)</f>
        <v xml:space="preserve">     Entre 10 y 50 SMLMV </v>
      </c>
      <c r="Q160" s="591" t="str">
        <f>IF(OR(P160='[8]Tabla Impacto'!$C$12,P160='[8]Tabla Impacto'!$D$12),"Leve",IF(OR(P160='[8]Tabla Impacto'!$C$13,P160='[8]Tabla Impacto'!$D$13),"Menor",IF(OR(P160='[8]Tabla Impacto'!$C$14,P160='[8]Tabla Impacto'!$D$14),"Moderado",IF(OR(P160='[8]Tabla Impacto'!$C$15,P160='[8]Tabla Impacto'!$D$15),"Mayor",IF(OR(P160='[8]Tabla Impacto'!$C$16,P160='[8]Tabla Impacto'!$D$16),"Catastrófico","")))))</f>
        <v>Menor</v>
      </c>
      <c r="R160" s="590">
        <f t="shared" si="47"/>
        <v>0.4</v>
      </c>
      <c r="S160" s="592" t="str">
        <f t="shared" si="48"/>
        <v>Moderado</v>
      </c>
      <c r="T160" s="595">
        <v>2</v>
      </c>
      <c r="U160" s="631" t="s">
        <v>1190</v>
      </c>
      <c r="V160" s="595" t="str">
        <f t="shared" si="54"/>
        <v>Probabilidad</v>
      </c>
      <c r="W160" s="596" t="s">
        <v>197</v>
      </c>
      <c r="X160" s="596" t="s">
        <v>454</v>
      </c>
      <c r="Y160" s="597" t="str">
        <f t="shared" si="49"/>
        <v>50%</v>
      </c>
      <c r="Z160" s="596" t="s">
        <v>259</v>
      </c>
      <c r="AA160" s="596" t="s">
        <v>200</v>
      </c>
      <c r="AB160" s="596" t="s">
        <v>201</v>
      </c>
      <c r="AC160" s="598">
        <f>IFERROR(IF(AND(V159="Probabilidad",V160="Probabilidad"),(AE159-(+AE159*Y160)),IF(AND(V159="Impacto",V160="Probabilidad"),(AE158-(+AE158*Y160)),IF(V160="Impacto",AE159,""))),"")</f>
        <v>0.03</v>
      </c>
      <c r="AD160" s="599" t="str">
        <f t="shared" si="50"/>
        <v>Muy Baja</v>
      </c>
      <c r="AE160" s="600">
        <f t="shared" si="51"/>
        <v>0.03</v>
      </c>
      <c r="AF160" s="599" t="str">
        <f t="shared" si="52"/>
        <v>Leve</v>
      </c>
      <c r="AG160" s="600">
        <f>IFERROR(IF(AND(V159="Impacto",V160="Impacto"),(AG159-(+AG159*Y160)),IF(AND(V159="Probabilidad",V160="Impacto"),(AG158-(+AG158*Y160)),IF(V160="Probabilidad",AG159,""))),"")</f>
        <v>0.2</v>
      </c>
      <c r="AH160" s="601" t="str">
        <f t="shared" si="53"/>
        <v>Bajo</v>
      </c>
      <c r="AI160" s="602" t="s">
        <v>202</v>
      </c>
      <c r="AJ160" s="603"/>
      <c r="AK160" s="192"/>
      <c r="AL160" s="603"/>
      <c r="AM160" s="604"/>
      <c r="AN160" s="606"/>
      <c r="AO160" s="607"/>
      <c r="AP160" s="608">
        <v>45757</v>
      </c>
      <c r="AQ160" s="609" t="s">
        <v>1174</v>
      </c>
      <c r="AR160" s="283" t="s">
        <v>1191</v>
      </c>
      <c r="AS160" s="698" t="s">
        <v>205</v>
      </c>
      <c r="AT160" s="612" t="s">
        <v>206</v>
      </c>
      <c r="AU160" s="283" t="s">
        <v>206</v>
      </c>
      <c r="AV160" s="613"/>
      <c r="AW160" s="614">
        <v>45782</v>
      </c>
      <c r="AX160" s="615" t="s">
        <v>207</v>
      </c>
      <c r="AY160" s="635" t="s">
        <v>578</v>
      </c>
      <c r="BA160" s="617"/>
      <c r="BB160" s="617"/>
      <c r="BC160" s="618" t="s">
        <v>209</v>
      </c>
      <c r="BE160" s="668">
        <v>45854</v>
      </c>
      <c r="BF160" s="651" t="s">
        <v>1176</v>
      </c>
      <c r="BG160" s="283" t="s">
        <v>1192</v>
      </c>
      <c r="BH160" s="449" t="s">
        <v>205</v>
      </c>
      <c r="BI160" s="449" t="s">
        <v>206</v>
      </c>
      <c r="BJ160" s="449" t="s">
        <v>472</v>
      </c>
      <c r="BL160" s="450">
        <v>45856</v>
      </c>
      <c r="BM160" s="449" t="s">
        <v>215</v>
      </c>
      <c r="BN160" s="283" t="s">
        <v>231</v>
      </c>
      <c r="BP160" s="617"/>
      <c r="BQ160" s="617"/>
      <c r="BR160" s="618" t="s">
        <v>209</v>
      </c>
      <c r="BT160" s="668">
        <v>45944</v>
      </c>
      <c r="BU160" s="617" t="s">
        <v>1188</v>
      </c>
      <c r="BV160" s="283" t="s">
        <v>1193</v>
      </c>
      <c r="BW160" s="651" t="s">
        <v>205</v>
      </c>
      <c r="BX160" s="617" t="s">
        <v>206</v>
      </c>
      <c r="BY160" s="617" t="s">
        <v>206</v>
      </c>
      <c r="CA160" s="614">
        <v>45992</v>
      </c>
      <c r="CB160" s="616" t="s">
        <v>218</v>
      </c>
      <c r="CC160" s="286" t="s">
        <v>233</v>
      </c>
      <c r="CE160" s="617"/>
      <c r="CF160" s="617"/>
      <c r="CG160" s="618" t="s">
        <v>209</v>
      </c>
      <c r="CH160" s="192"/>
      <c r="CI160" s="558"/>
      <c r="CJ160" s="558"/>
      <c r="CK160" s="559" t="s">
        <v>209</v>
      </c>
      <c r="CL160" s="558"/>
      <c r="CM160" s="558"/>
      <c r="CN160" s="558"/>
      <c r="CO160" s="553"/>
      <c r="CP160" s="558"/>
      <c r="CQ160" s="558"/>
      <c r="CR160" s="559" t="s">
        <v>209</v>
      </c>
      <c r="CS160" s="553"/>
      <c r="CT160" s="558"/>
      <c r="CU160" s="558"/>
      <c r="CV160" s="559" t="s">
        <v>209</v>
      </c>
    </row>
    <row r="161" spans="1:100" ht="151.5" customHeight="1" x14ac:dyDescent="0.3">
      <c r="A161" s="622">
        <v>71</v>
      </c>
      <c r="B161" s="622" t="s">
        <v>1194</v>
      </c>
      <c r="C161" s="623" t="s">
        <v>1169</v>
      </c>
      <c r="D161" s="585" t="str">
        <f>IFERROR(INDEX('Base de datos gestión'!$D$28:$D$50,MATCH(C161,'Base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E161" s="585" t="str">
        <f>IFERROR(INDEX('Base de datos gestión'!$E$28:$E$50,MATCH(C161,'Base de datos gestión'!$C$28:$C$50,0)), 0)</f>
        <v>Inicia con el establecimiento de los procedimientos y demás documentos del proceso y culmina con la evaluación de la satisfacción de las capacitaciones y la toma de acciones de mejoramiento por parte de los responsables del proceso.</v>
      </c>
      <c r="F161" s="628" t="s">
        <v>276</v>
      </c>
      <c r="G161" s="629" t="s">
        <v>1195</v>
      </c>
      <c r="H161" s="628" t="s">
        <v>1196</v>
      </c>
      <c r="I161" s="628" t="s">
        <v>1197</v>
      </c>
      <c r="J161" s="630" t="s">
        <v>280</v>
      </c>
      <c r="K161" s="630" t="s">
        <v>311</v>
      </c>
      <c r="L161" s="630">
        <v>30</v>
      </c>
      <c r="M161" s="588" t="str">
        <f t="shared" si="46"/>
        <v>Media</v>
      </c>
      <c r="N161" s="589">
        <f t="shared" si="55"/>
        <v>0.6</v>
      </c>
      <c r="O161" s="590" t="s">
        <v>950</v>
      </c>
      <c r="P161" s="589" t="str">
        <f>IF(NOT(ISERROR(MATCH(O161,'Tabla Impacto'!$B$222:$B$224,0))),'Tabla Impacto'!$F$224&amp;"Por favor no seleccionar los criterios de impacto(Afectación Económica o presupuestal y Pérdida Reputacional)",O161)</f>
        <v xml:space="preserve">     Entre 10 y 50 SMLMV </v>
      </c>
      <c r="Q161" s="591" t="str">
        <f>IF(OR(P161='[8]Tabla Impacto'!$C$12,P161='[8]Tabla Impacto'!$D$12),"Leve",IF(OR(P161='[8]Tabla Impacto'!$C$13,P161='[8]Tabla Impacto'!$D$13),"Menor",IF(OR(P161='[8]Tabla Impacto'!$C$14,P161='[8]Tabla Impacto'!$D$14),"Moderado",IF(OR(P161='[8]Tabla Impacto'!$C$15,P161='[8]Tabla Impacto'!$D$15),"Mayor",IF(OR(P161='[8]Tabla Impacto'!$C$16,P161='[8]Tabla Impacto'!$D$16),"Catastrófico","")))))</f>
        <v>Menor</v>
      </c>
      <c r="R161" s="590">
        <f t="shared" si="47"/>
        <v>0.4</v>
      </c>
      <c r="S161" s="592" t="str">
        <f t="shared" si="48"/>
        <v>Moderado</v>
      </c>
      <c r="T161" s="595">
        <v>1</v>
      </c>
      <c r="U161" s="631" t="s">
        <v>1198</v>
      </c>
      <c r="V161" s="595" t="str">
        <f t="shared" si="54"/>
        <v>Probabilidad</v>
      </c>
      <c r="W161" s="596" t="s">
        <v>197</v>
      </c>
      <c r="X161" s="596" t="s">
        <v>198</v>
      </c>
      <c r="Y161" s="597" t="str">
        <f t="shared" si="49"/>
        <v>40%</v>
      </c>
      <c r="Z161" s="596" t="s">
        <v>259</v>
      </c>
      <c r="AA161" s="596" t="s">
        <v>200</v>
      </c>
      <c r="AB161" s="596" t="s">
        <v>201</v>
      </c>
      <c r="AC161" s="598">
        <f>IFERROR(IF(AND(V160="Probabilidad",V161="Probabilidad"),(AE160-(+AE160*Y161)),IF(AND(V160="Impacto",V161="Probabilidad"),(AE159-(+AE159*Y161)),IF(V161="Impacto",AE160,""))),"")</f>
        <v>1.7999999999999999E-2</v>
      </c>
      <c r="AD161" s="599" t="str">
        <f t="shared" si="50"/>
        <v>Muy Baja</v>
      </c>
      <c r="AE161" s="600">
        <f t="shared" si="51"/>
        <v>1.7999999999999999E-2</v>
      </c>
      <c r="AF161" s="599" t="str">
        <f t="shared" si="52"/>
        <v>Leve</v>
      </c>
      <c r="AG161" s="600">
        <f>IFERROR(IF(AND(V160="Impacto",V161="Impacto"),(AG160-(+AG160*Y161)),IF(AND(V160="Probabilidad",V161="Impacto"),(AG159-(+AG159*Y161)),IF(V161="Probabilidad",AG160,""))),"")</f>
        <v>0.2</v>
      </c>
      <c r="AH161" s="601" t="str">
        <f t="shared" si="53"/>
        <v>Bajo</v>
      </c>
      <c r="AI161" s="602" t="s">
        <v>202</v>
      </c>
      <c r="AJ161" s="630"/>
      <c r="AK161" s="192"/>
      <c r="AL161" s="630"/>
      <c r="AM161" s="634"/>
      <c r="AN161" s="606"/>
      <c r="AO161" s="607"/>
      <c r="AP161" s="608">
        <v>45757</v>
      </c>
      <c r="AQ161" s="609" t="s">
        <v>1174</v>
      </c>
      <c r="AR161" s="283" t="s">
        <v>1199</v>
      </c>
      <c r="AS161" s="698" t="s">
        <v>205</v>
      </c>
      <c r="AT161" s="612" t="s">
        <v>206</v>
      </c>
      <c r="AU161" s="283" t="s">
        <v>206</v>
      </c>
      <c r="AV161" s="613"/>
      <c r="AW161" s="614">
        <v>45782</v>
      </c>
      <c r="AX161" s="615" t="s">
        <v>207</v>
      </c>
      <c r="AY161" s="635" t="s">
        <v>578</v>
      </c>
      <c r="BA161" s="617"/>
      <c r="BB161" s="617"/>
      <c r="BC161" s="618" t="s">
        <v>209</v>
      </c>
      <c r="BE161" s="668">
        <v>45854</v>
      </c>
      <c r="BF161" s="651" t="s">
        <v>1176</v>
      </c>
      <c r="BG161" s="283" t="s">
        <v>1200</v>
      </c>
      <c r="BH161" s="449" t="s">
        <v>205</v>
      </c>
      <c r="BI161" s="617" t="s">
        <v>206</v>
      </c>
      <c r="BJ161" s="617" t="s">
        <v>472</v>
      </c>
      <c r="BL161" s="450">
        <v>45856</v>
      </c>
      <c r="BM161" s="449" t="s">
        <v>215</v>
      </c>
      <c r="BN161" s="283" t="s">
        <v>231</v>
      </c>
      <c r="BP161" s="617"/>
      <c r="BQ161" s="617"/>
      <c r="BR161" s="618" t="s">
        <v>209</v>
      </c>
      <c r="BT161" s="668">
        <v>45944</v>
      </c>
      <c r="BU161" s="617" t="s">
        <v>1188</v>
      </c>
      <c r="BV161" s="283" t="s">
        <v>1201</v>
      </c>
      <c r="BW161" s="651" t="s">
        <v>205</v>
      </c>
      <c r="BX161" s="617" t="s">
        <v>206</v>
      </c>
      <c r="BY161" s="617" t="s">
        <v>206</v>
      </c>
      <c r="CA161" s="614">
        <v>45992</v>
      </c>
      <c r="CB161" s="616" t="s">
        <v>218</v>
      </c>
      <c r="CC161" s="286" t="s">
        <v>233</v>
      </c>
      <c r="CE161" s="617"/>
      <c r="CF161" s="617"/>
      <c r="CG161" s="618" t="s">
        <v>209</v>
      </c>
      <c r="CH161" s="192"/>
      <c r="CI161" s="558"/>
      <c r="CJ161" s="558"/>
      <c r="CK161" s="559" t="s">
        <v>209</v>
      </c>
      <c r="CL161" s="558"/>
      <c r="CM161" s="558"/>
      <c r="CN161" s="558"/>
      <c r="CO161" s="553"/>
      <c r="CP161" s="558"/>
      <c r="CQ161" s="558"/>
      <c r="CR161" s="559" t="s">
        <v>209</v>
      </c>
      <c r="CS161" s="553"/>
      <c r="CT161" s="558"/>
      <c r="CU161" s="558"/>
      <c r="CV161" s="559" t="s">
        <v>209</v>
      </c>
    </row>
    <row r="162" spans="1:100" ht="151.5" customHeight="1" x14ac:dyDescent="0.3">
      <c r="A162" s="632">
        <v>71</v>
      </c>
      <c r="B162" s="632" t="s">
        <v>1194</v>
      </c>
      <c r="C162" s="633" t="s">
        <v>1169</v>
      </c>
      <c r="D162" s="585" t="str">
        <f>IFERROR(INDEX('Base de datos gestión'!$D$28:$D$50,MATCH(C162,'Base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E162" s="585" t="str">
        <f>IFERROR(INDEX('Base de datos gestión'!$E$28:$E$50,MATCH(C162,'Base de datos gestión'!$C$28:$C$50,0)), 0)</f>
        <v>Inicia con el establecimiento de los procedimientos y demás documentos del proceso y culmina con la evaluación de la satisfacción de las capacitaciones y la toma de acciones de mejoramiento por parte de los responsables del proceso.</v>
      </c>
      <c r="F162" s="628" t="s">
        <v>276</v>
      </c>
      <c r="G162" s="629" t="s">
        <v>1195</v>
      </c>
      <c r="H162" s="628" t="s">
        <v>1196</v>
      </c>
      <c r="I162" s="628" t="s">
        <v>1197</v>
      </c>
      <c r="J162" s="630" t="s">
        <v>280</v>
      </c>
      <c r="K162" s="630" t="s">
        <v>311</v>
      </c>
      <c r="L162" s="630">
        <v>30</v>
      </c>
      <c r="M162" s="588" t="str">
        <f t="shared" si="46"/>
        <v>Media</v>
      </c>
      <c r="N162" s="589">
        <f t="shared" si="55"/>
        <v>0.6</v>
      </c>
      <c r="O162" s="590" t="s">
        <v>950</v>
      </c>
      <c r="P162" s="589" t="str">
        <f>IF(NOT(ISERROR(MATCH(O162,'Tabla Impacto'!$B$222:$B$224,0))),'Tabla Impacto'!$F$224&amp;"Por favor no seleccionar los criterios de impacto(Afectación Económica o presupuestal y Pérdida Reputacional)",O162)</f>
        <v xml:space="preserve">     Entre 10 y 50 SMLMV </v>
      </c>
      <c r="Q162" s="591" t="str">
        <f>IF(OR(P162='[8]Tabla Impacto'!$C$12,P162='[8]Tabla Impacto'!$D$12),"Leve",IF(OR(P162='[8]Tabla Impacto'!$C$13,P162='[8]Tabla Impacto'!$D$13),"Menor",IF(OR(P162='[8]Tabla Impacto'!$C$14,P162='[8]Tabla Impacto'!$D$14),"Moderado",IF(OR(P162='[8]Tabla Impacto'!$C$15,P162='[8]Tabla Impacto'!$D$15),"Mayor",IF(OR(P162='[8]Tabla Impacto'!$C$16,P162='[8]Tabla Impacto'!$D$16),"Catastrófico","")))))</f>
        <v>Menor</v>
      </c>
      <c r="R162" s="590">
        <f t="shared" si="47"/>
        <v>0.4</v>
      </c>
      <c r="S162" s="592" t="str">
        <f t="shared" si="48"/>
        <v>Moderado</v>
      </c>
      <c r="T162" s="595">
        <v>2</v>
      </c>
      <c r="U162" s="631" t="s">
        <v>1202</v>
      </c>
      <c r="V162" s="595" t="str">
        <f t="shared" si="54"/>
        <v>Impacto</v>
      </c>
      <c r="W162" s="596" t="s">
        <v>240</v>
      </c>
      <c r="X162" s="596" t="s">
        <v>198</v>
      </c>
      <c r="Y162" s="597" t="str">
        <f t="shared" si="49"/>
        <v>25%</v>
      </c>
      <c r="Z162" s="596" t="s">
        <v>259</v>
      </c>
      <c r="AA162" s="596" t="s">
        <v>200</v>
      </c>
      <c r="AB162" s="596" t="s">
        <v>201</v>
      </c>
      <c r="AC162" s="598">
        <f>IFERROR(IF(AND(V161="Probabilidad",V162="Probabilidad"),(AE161-(+AE161*Y162)),IF(AND(V161="Impacto",V162="Probabilidad"),(AE160-(+AE160*Y162)),IF(V162="Impacto",AE161,""))),"")</f>
        <v>1.7999999999999999E-2</v>
      </c>
      <c r="AD162" s="599" t="str">
        <f t="shared" si="50"/>
        <v>Muy Baja</v>
      </c>
      <c r="AE162" s="600">
        <f t="shared" si="51"/>
        <v>1.7999999999999999E-2</v>
      </c>
      <c r="AF162" s="599" t="str">
        <f t="shared" si="52"/>
        <v>Leve</v>
      </c>
      <c r="AG162" s="600">
        <f>IFERROR(IF(AND(V161="Impacto",V162="Impacto"),(AG161-(+AG161*Y162)),IF(AND(V161="Probabilidad",V162="Impacto"),(AG160-(+AG160*Y162)),IF(V162="Probabilidad",AG161,""))),"")</f>
        <v>0.15000000000000002</v>
      </c>
      <c r="AH162" s="601" t="str">
        <f t="shared" si="53"/>
        <v>Bajo</v>
      </c>
      <c r="AI162" s="602" t="s">
        <v>202</v>
      </c>
      <c r="AJ162" s="638"/>
      <c r="AK162" s="192"/>
      <c r="AL162" s="638"/>
      <c r="AM162" s="639"/>
      <c r="AN162" s="606"/>
      <c r="AO162" s="607"/>
      <c r="AP162" s="608">
        <v>45757</v>
      </c>
      <c r="AQ162" s="609" t="s">
        <v>1174</v>
      </c>
      <c r="AR162" s="283" t="s">
        <v>1203</v>
      </c>
      <c r="AS162" s="698" t="s">
        <v>205</v>
      </c>
      <c r="AT162" s="612" t="s">
        <v>206</v>
      </c>
      <c r="AU162" s="283" t="s">
        <v>206</v>
      </c>
      <c r="AV162" s="613"/>
      <c r="AW162" s="614">
        <v>45782</v>
      </c>
      <c r="AX162" s="615" t="s">
        <v>207</v>
      </c>
      <c r="AY162" s="635" t="s">
        <v>578</v>
      </c>
      <c r="BA162" s="617"/>
      <c r="BB162" s="617"/>
      <c r="BC162" s="618" t="s">
        <v>209</v>
      </c>
      <c r="BE162" s="668">
        <v>45854</v>
      </c>
      <c r="BF162" s="651" t="s">
        <v>1176</v>
      </c>
      <c r="BG162" s="283" t="s">
        <v>1204</v>
      </c>
      <c r="BH162" s="449" t="s">
        <v>205</v>
      </c>
      <c r="BI162" s="617" t="s">
        <v>206</v>
      </c>
      <c r="BJ162" s="617" t="s">
        <v>472</v>
      </c>
      <c r="BL162" s="450">
        <v>45856</v>
      </c>
      <c r="BM162" s="449" t="s">
        <v>215</v>
      </c>
      <c r="BN162" s="283" t="s">
        <v>231</v>
      </c>
      <c r="BP162" s="617"/>
      <c r="BQ162" s="617"/>
      <c r="BR162" s="618" t="s">
        <v>209</v>
      </c>
      <c r="BT162" s="668">
        <v>45944</v>
      </c>
      <c r="BU162" s="651" t="s">
        <v>1176</v>
      </c>
      <c r="BV162" s="283" t="s">
        <v>1204</v>
      </c>
      <c r="BW162" s="651" t="s">
        <v>205</v>
      </c>
      <c r="BX162" s="617" t="s">
        <v>206</v>
      </c>
      <c r="BY162" s="617" t="s">
        <v>206</v>
      </c>
      <c r="CA162" s="614">
        <v>45992</v>
      </c>
      <c r="CB162" s="616" t="s">
        <v>218</v>
      </c>
      <c r="CC162" s="286" t="s">
        <v>233</v>
      </c>
      <c r="CE162" s="617"/>
      <c r="CF162" s="617"/>
      <c r="CG162" s="618" t="s">
        <v>209</v>
      </c>
      <c r="CH162" s="192"/>
      <c r="CI162" s="558"/>
      <c r="CJ162" s="558"/>
      <c r="CK162" s="559" t="s">
        <v>209</v>
      </c>
      <c r="CL162" s="558"/>
      <c r="CM162" s="558"/>
      <c r="CN162" s="558"/>
      <c r="CO162" s="553"/>
      <c r="CP162" s="558"/>
      <c r="CQ162" s="558"/>
      <c r="CR162" s="559" t="s">
        <v>209</v>
      </c>
      <c r="CS162" s="553"/>
      <c r="CT162" s="558"/>
      <c r="CU162" s="558"/>
      <c r="CV162" s="559" t="s">
        <v>209</v>
      </c>
    </row>
    <row r="163" spans="1:100" ht="151.5" customHeight="1" x14ac:dyDescent="0.3">
      <c r="A163" s="584">
        <v>72</v>
      </c>
      <c r="B163" s="584" t="s">
        <v>1205</v>
      </c>
      <c r="C163" s="585" t="s">
        <v>1206</v>
      </c>
      <c r="D163" s="585" t="str">
        <f>IFERROR(INDEX('Base de datos gestión'!$D$28:$D$50,MATCH(C163,'Base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3" s="585" t="str">
        <f>IFERROR(INDEX('Base de datos gestión'!$E$28:$E$50,MATCH(C163,'Base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3" s="628" t="s">
        <v>188</v>
      </c>
      <c r="G163" s="629" t="s">
        <v>1207</v>
      </c>
      <c r="H163" s="630" t="s">
        <v>1208</v>
      </c>
      <c r="I163" s="630" t="s">
        <v>1209</v>
      </c>
      <c r="J163" s="630" t="s">
        <v>192</v>
      </c>
      <c r="K163" s="630" t="s">
        <v>193</v>
      </c>
      <c r="L163" s="630">
        <v>100</v>
      </c>
      <c r="M163" s="588" t="str">
        <f t="shared" ref="M163:M226" si="56">IF(L163&lt;=0,"",IF(L163&lt;=2,"Muy Baja",IF(L163&lt;=24,"Baja",IF(L163&lt;=500,"Media",IF(L163&lt;=5000,"Alta","Muy Alta")))))</f>
        <v>Media</v>
      </c>
      <c r="N163" s="589">
        <f t="shared" si="55"/>
        <v>0.6</v>
      </c>
      <c r="O163" s="590" t="s">
        <v>452</v>
      </c>
      <c r="P163" s="589" t="str">
        <f>IF(NOT(ISERROR(MATCH(O163,'Tabla Impacto'!$B$222:$B$224,0))),'Tabla Impacto'!$F$224&amp;"Por favor no seleccionar los criterios de impacto(Afectación Económica o presupuestal y Pérdida Reputacional)",O163)</f>
        <v xml:space="preserve">     El riesgo afecta la imagen de la entidad a nivel nacional, con efecto publicitarios sostenible a nivel país</v>
      </c>
      <c r="Q163" s="591" t="str">
        <f>IF(OR(P163='[8]Tabla Impacto'!$C$12,P163='[8]Tabla Impacto'!$D$12),"Leve",IF(OR(P163='[8]Tabla Impacto'!$C$13,P163='[8]Tabla Impacto'!$D$13),"Menor",IF(OR(P163='[8]Tabla Impacto'!$C$14,P163='[8]Tabla Impacto'!$D$14),"Moderado",IF(OR(P163='[8]Tabla Impacto'!$C$15,P163='[8]Tabla Impacto'!$D$15),"Mayor",IF(OR(P163='[8]Tabla Impacto'!$C$16,P163='[8]Tabla Impacto'!$D$16),"Catastrófico","")))))</f>
        <v>Catastrófico</v>
      </c>
      <c r="R163" s="590">
        <f t="shared" si="47"/>
        <v>1</v>
      </c>
      <c r="S163" s="592" t="str">
        <f t="shared" si="48"/>
        <v>Extremo</v>
      </c>
      <c r="T163" s="595">
        <v>1</v>
      </c>
      <c r="U163" s="631" t="s">
        <v>1210</v>
      </c>
      <c r="V163" s="595" t="str">
        <f t="shared" si="54"/>
        <v>Probabilidad</v>
      </c>
      <c r="W163" s="596" t="s">
        <v>197</v>
      </c>
      <c r="X163" s="596" t="s">
        <v>198</v>
      </c>
      <c r="Y163" s="597" t="str">
        <f t="shared" si="49"/>
        <v>40%</v>
      </c>
      <c r="Z163" s="596" t="s">
        <v>259</v>
      </c>
      <c r="AA163" s="596" t="s">
        <v>225</v>
      </c>
      <c r="AB163" s="596" t="s">
        <v>201</v>
      </c>
      <c r="AC163" s="598">
        <f>IFERROR(IF(V163="Probabilidad",(N163-(+N163*Y163)),IF(V163="Impacto",N163,"")),"")</f>
        <v>0.36</v>
      </c>
      <c r="AD163" s="599" t="str">
        <f t="shared" si="50"/>
        <v>Baja</v>
      </c>
      <c r="AE163" s="600">
        <f t="shared" si="51"/>
        <v>0.36</v>
      </c>
      <c r="AF163" s="599" t="str">
        <f t="shared" si="52"/>
        <v>Catastrófico</v>
      </c>
      <c r="AG163" s="600">
        <f>IFERROR(IF(V163="Impacto",(R163-(+R163*Y163)),IF(V163="Probabilidad",R163,"")),"")</f>
        <v>1</v>
      </c>
      <c r="AH163" s="601" t="str">
        <f t="shared" si="53"/>
        <v>Extremo</v>
      </c>
      <c r="AI163" s="602" t="s">
        <v>202</v>
      </c>
      <c r="AJ163" s="603"/>
      <c r="AK163" s="192"/>
      <c r="AL163" s="603"/>
      <c r="AM163" s="604"/>
      <c r="AN163" s="606"/>
      <c r="AO163" s="607"/>
      <c r="AP163" s="608">
        <v>45757</v>
      </c>
      <c r="AQ163" s="609" t="s">
        <v>809</v>
      </c>
      <c r="AR163" s="283" t="s">
        <v>1211</v>
      </c>
      <c r="AS163" s="611" t="s">
        <v>205</v>
      </c>
      <c r="AT163" s="612" t="s">
        <v>206</v>
      </c>
      <c r="AU163" s="283" t="s">
        <v>811</v>
      </c>
      <c r="AV163" s="613"/>
      <c r="AW163" s="614">
        <v>45782</v>
      </c>
      <c r="AX163" s="615" t="s">
        <v>207</v>
      </c>
      <c r="AY163" s="635" t="s">
        <v>578</v>
      </c>
      <c r="BA163" s="617"/>
      <c r="BB163" s="617"/>
      <c r="BC163" s="618" t="s">
        <v>209</v>
      </c>
      <c r="BE163" s="608">
        <v>45848</v>
      </c>
      <c r="BF163" s="609" t="s">
        <v>812</v>
      </c>
      <c r="BG163" s="283" t="s">
        <v>1212</v>
      </c>
      <c r="BH163" s="641" t="s">
        <v>205</v>
      </c>
      <c r="BI163" s="612" t="s">
        <v>206</v>
      </c>
      <c r="BJ163" s="283" t="s">
        <v>811</v>
      </c>
      <c r="BL163" s="450">
        <v>45856</v>
      </c>
      <c r="BM163" s="449" t="s">
        <v>215</v>
      </c>
      <c r="BN163" s="283" t="s">
        <v>231</v>
      </c>
      <c r="BP163" s="617"/>
      <c r="BQ163" s="617"/>
      <c r="BR163" s="618" t="s">
        <v>209</v>
      </c>
      <c r="BT163" s="608">
        <v>45944</v>
      </c>
      <c r="BU163" s="283" t="s">
        <v>814</v>
      </c>
      <c r="BV163" s="283" t="s">
        <v>1213</v>
      </c>
      <c r="BW163" s="617" t="s">
        <v>205</v>
      </c>
      <c r="BX163" s="617" t="s">
        <v>206</v>
      </c>
      <c r="BY163" s="617" t="s">
        <v>206</v>
      </c>
      <c r="CA163" s="659">
        <v>45992</v>
      </c>
      <c r="CB163" s="286" t="s">
        <v>218</v>
      </c>
      <c r="CC163" s="286" t="s">
        <v>233</v>
      </c>
      <c r="CE163" s="617"/>
      <c r="CF163" s="617"/>
      <c r="CG163" s="618" t="s">
        <v>209</v>
      </c>
      <c r="CH163" s="192"/>
      <c r="CI163" s="558"/>
      <c r="CJ163" s="558"/>
      <c r="CK163" s="559" t="s">
        <v>209</v>
      </c>
      <c r="CL163" s="558"/>
      <c r="CM163" s="558"/>
      <c r="CN163" s="558"/>
      <c r="CO163" s="553"/>
      <c r="CP163" s="558"/>
      <c r="CQ163" s="558"/>
      <c r="CR163" s="559" t="s">
        <v>209</v>
      </c>
      <c r="CS163" s="553"/>
      <c r="CT163" s="558"/>
      <c r="CU163" s="558"/>
      <c r="CV163" s="559" t="s">
        <v>209</v>
      </c>
    </row>
    <row r="164" spans="1:100" ht="151.5" customHeight="1" x14ac:dyDescent="0.3">
      <c r="A164" s="622">
        <v>72</v>
      </c>
      <c r="B164" s="622" t="s">
        <v>1205</v>
      </c>
      <c r="C164" s="623" t="s">
        <v>1206</v>
      </c>
      <c r="D164" s="585" t="str">
        <f>IFERROR(INDEX('Base de datos gestión'!$D$28:$D$50,MATCH(C164,'Base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4" s="585" t="str">
        <f>IFERROR(INDEX('Base de datos gestión'!$E$28:$E$50,MATCH(C164,'Base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4" s="628" t="s">
        <v>188</v>
      </c>
      <c r="G164" s="629" t="s">
        <v>1207</v>
      </c>
      <c r="H164" s="630" t="s">
        <v>1214</v>
      </c>
      <c r="I164" s="637" t="s">
        <v>1209</v>
      </c>
      <c r="J164" s="630" t="s">
        <v>192</v>
      </c>
      <c r="K164" s="630" t="s">
        <v>193</v>
      </c>
      <c r="L164" s="630">
        <v>100</v>
      </c>
      <c r="M164" s="588" t="str">
        <f t="shared" si="56"/>
        <v>Media</v>
      </c>
      <c r="N164" s="589">
        <f t="shared" si="55"/>
        <v>0.6</v>
      </c>
      <c r="O164" s="590" t="s">
        <v>452</v>
      </c>
      <c r="P164" s="589" t="str">
        <f>IF(NOT(ISERROR(MATCH(O164,'Tabla Impacto'!$B$222:$B$224,0))),'Tabla Impacto'!$F$224&amp;"Por favor no seleccionar los criterios de impacto(Afectación Económica o presupuestal y Pérdida Reputacional)",O164)</f>
        <v xml:space="preserve">     El riesgo afecta la imagen de la entidad a nivel nacional, con efecto publicitarios sostenible a nivel país</v>
      </c>
      <c r="Q164" s="591" t="str">
        <f>IF(OR(P164='[8]Tabla Impacto'!$C$12,P164='[8]Tabla Impacto'!$D$12),"Leve",IF(OR(P164='[8]Tabla Impacto'!$C$13,P164='[8]Tabla Impacto'!$D$13),"Menor",IF(OR(P164='[8]Tabla Impacto'!$C$14,P164='[8]Tabla Impacto'!$D$14),"Moderado",IF(OR(P164='[8]Tabla Impacto'!$C$15,P164='[8]Tabla Impacto'!$D$15),"Mayor",IF(OR(P164='[8]Tabla Impacto'!$C$16,P164='[8]Tabla Impacto'!$D$16),"Catastrófico","")))))</f>
        <v>Catastrófico</v>
      </c>
      <c r="R164" s="590">
        <f t="shared" si="47"/>
        <v>1</v>
      </c>
      <c r="S164" s="592" t="str">
        <f t="shared" si="48"/>
        <v>Extremo</v>
      </c>
      <c r="T164" s="595">
        <v>2</v>
      </c>
      <c r="U164" s="631" t="s">
        <v>1215</v>
      </c>
      <c r="V164" s="595" t="str">
        <f t="shared" si="54"/>
        <v>Probabilidad</v>
      </c>
      <c r="W164" s="596" t="s">
        <v>197</v>
      </c>
      <c r="X164" s="596" t="s">
        <v>198</v>
      </c>
      <c r="Y164" s="597" t="str">
        <f t="shared" si="49"/>
        <v>40%</v>
      </c>
      <c r="Z164" s="596" t="s">
        <v>259</v>
      </c>
      <c r="AA164" s="596" t="s">
        <v>200</v>
      </c>
      <c r="AB164" s="596" t="s">
        <v>201</v>
      </c>
      <c r="AC164" s="598">
        <f>IFERROR(IF(AND(V163="Probabilidad",V164="Probabilidad"),(AE163-(+AE163*Y164)),IF(V164="Probabilidad",(N163-(+N163*Y164)),IF(V164="Impacto",AE163,""))),"")</f>
        <v>0.216</v>
      </c>
      <c r="AD164" s="599" t="str">
        <f t="shared" si="50"/>
        <v>Baja</v>
      </c>
      <c r="AE164" s="600">
        <f t="shared" si="51"/>
        <v>0.216</v>
      </c>
      <c r="AF164" s="599" t="str">
        <f t="shared" si="52"/>
        <v>Leve</v>
      </c>
      <c r="AG164" s="600">
        <f>IFERROR(IF(AND(V163="Impacto",V164="Impacto"),(AG157-(+AG157*Y164)),IF(V164="Impacto",($R$55-(+$R$55*Y164)),IF(V164="Probabilidad",AG157,""))),"")</f>
        <v>0.2</v>
      </c>
      <c r="AH164" s="601" t="str">
        <f t="shared" si="53"/>
        <v>Bajo</v>
      </c>
      <c r="AI164" s="602" t="s">
        <v>202</v>
      </c>
      <c r="AJ164" s="603"/>
      <c r="AK164" s="192"/>
      <c r="AL164" s="603"/>
      <c r="AM164" s="604"/>
      <c r="AN164" s="606"/>
      <c r="AO164" s="607"/>
      <c r="AP164" s="608">
        <v>45757</v>
      </c>
      <c r="AQ164" s="609" t="s">
        <v>809</v>
      </c>
      <c r="AR164" s="283" t="s">
        <v>1211</v>
      </c>
      <c r="AS164" s="611" t="s">
        <v>205</v>
      </c>
      <c r="AT164" s="612" t="s">
        <v>206</v>
      </c>
      <c r="AU164" s="283" t="s">
        <v>811</v>
      </c>
      <c r="AV164" s="613"/>
      <c r="AW164" s="614">
        <v>45782</v>
      </c>
      <c r="AX164" s="615" t="s">
        <v>207</v>
      </c>
      <c r="AY164" s="635" t="s">
        <v>578</v>
      </c>
      <c r="BA164" s="617"/>
      <c r="BB164" s="617"/>
      <c r="BC164" s="618" t="s">
        <v>209</v>
      </c>
      <c r="BE164" s="608">
        <v>45848</v>
      </c>
      <c r="BF164" s="609" t="s">
        <v>812</v>
      </c>
      <c r="BG164" s="283" t="s">
        <v>1216</v>
      </c>
      <c r="BH164" s="641" t="s">
        <v>205</v>
      </c>
      <c r="BI164" s="612" t="s">
        <v>206</v>
      </c>
      <c r="BJ164" s="283" t="s">
        <v>811</v>
      </c>
      <c r="BL164" s="450">
        <v>45856</v>
      </c>
      <c r="BM164" s="449" t="s">
        <v>215</v>
      </c>
      <c r="BN164" s="283" t="s">
        <v>231</v>
      </c>
      <c r="BP164" s="617"/>
      <c r="BQ164" s="617"/>
      <c r="BR164" s="618" t="s">
        <v>209</v>
      </c>
      <c r="BT164" s="608">
        <v>45944</v>
      </c>
      <c r="BU164" s="283" t="s">
        <v>814</v>
      </c>
      <c r="BV164" s="283" t="s">
        <v>1217</v>
      </c>
      <c r="BW164" s="617" t="s">
        <v>205</v>
      </c>
      <c r="BX164" s="617" t="s">
        <v>206</v>
      </c>
      <c r="BY164" s="617" t="s">
        <v>206</v>
      </c>
      <c r="CA164" s="659">
        <v>45992</v>
      </c>
      <c r="CB164" s="286" t="s">
        <v>218</v>
      </c>
      <c r="CC164" s="286" t="s">
        <v>233</v>
      </c>
      <c r="CE164" s="617"/>
      <c r="CF164" s="617"/>
      <c r="CG164" s="618" t="s">
        <v>209</v>
      </c>
      <c r="CH164" s="192"/>
      <c r="CI164" s="558"/>
      <c r="CJ164" s="558"/>
      <c r="CK164" s="559" t="s">
        <v>209</v>
      </c>
      <c r="CL164" s="558"/>
      <c r="CM164" s="558"/>
      <c r="CN164" s="558"/>
      <c r="CO164" s="553"/>
      <c r="CP164" s="558"/>
      <c r="CQ164" s="558"/>
      <c r="CR164" s="559" t="s">
        <v>209</v>
      </c>
      <c r="CS164" s="553"/>
      <c r="CT164" s="558"/>
      <c r="CU164" s="558"/>
      <c r="CV164" s="559" t="s">
        <v>209</v>
      </c>
    </row>
    <row r="165" spans="1:100" ht="151.5" customHeight="1" x14ac:dyDescent="0.3">
      <c r="A165" s="622">
        <v>72</v>
      </c>
      <c r="B165" s="622" t="s">
        <v>1205</v>
      </c>
      <c r="C165" s="623" t="s">
        <v>1206</v>
      </c>
      <c r="D165" s="585" t="str">
        <f>IFERROR(INDEX('Base de datos gestión'!$D$28:$D$50,MATCH(C165,'Base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5" s="585" t="str">
        <f>IFERROR(INDEX('Base de datos gestión'!$E$28:$E$50,MATCH(C165,'Base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5" s="628" t="s">
        <v>188</v>
      </c>
      <c r="G165" s="629" t="s">
        <v>1207</v>
      </c>
      <c r="H165" s="699" t="s">
        <v>1218</v>
      </c>
      <c r="I165" s="637" t="s">
        <v>1209</v>
      </c>
      <c r="J165" s="630" t="s">
        <v>192</v>
      </c>
      <c r="K165" s="630" t="s">
        <v>193</v>
      </c>
      <c r="L165" s="630">
        <v>100</v>
      </c>
      <c r="M165" s="588" t="str">
        <f t="shared" si="56"/>
        <v>Media</v>
      </c>
      <c r="N165" s="589">
        <f t="shared" si="55"/>
        <v>0.6</v>
      </c>
      <c r="O165" s="590" t="s">
        <v>452</v>
      </c>
      <c r="P165" s="589" t="str">
        <f>IF(NOT(ISERROR(MATCH(O165,'Tabla Impacto'!$B$222:$B$224,0))),'Tabla Impacto'!$F$224&amp;"Por favor no seleccionar los criterios de impacto(Afectación Económica o presupuestal y Pérdida Reputacional)",O165)</f>
        <v xml:space="preserve">     El riesgo afecta la imagen de la entidad a nivel nacional, con efecto publicitarios sostenible a nivel país</v>
      </c>
      <c r="Q165" s="591" t="str">
        <f>IF(OR(P165='[8]Tabla Impacto'!$C$12,P165='[8]Tabla Impacto'!$D$12),"Leve",IF(OR(P165='[8]Tabla Impacto'!$C$13,P165='[8]Tabla Impacto'!$D$13),"Menor",IF(OR(P165='[8]Tabla Impacto'!$C$14,P165='[8]Tabla Impacto'!$D$14),"Moderado",IF(OR(P165='[8]Tabla Impacto'!$C$15,P165='[8]Tabla Impacto'!$D$15),"Mayor",IF(OR(P165='[8]Tabla Impacto'!$C$16,P165='[8]Tabla Impacto'!$D$16),"Catastrófico","")))))</f>
        <v>Catastrófico</v>
      </c>
      <c r="R165" s="590">
        <f t="shared" si="47"/>
        <v>1</v>
      </c>
      <c r="S165" s="592" t="str">
        <f t="shared" si="48"/>
        <v>Extremo</v>
      </c>
      <c r="T165" s="595">
        <v>3</v>
      </c>
      <c r="U165" s="631" t="s">
        <v>1219</v>
      </c>
      <c r="V165" s="595" t="str">
        <f t="shared" si="54"/>
        <v>Probabilidad</v>
      </c>
      <c r="W165" s="596" t="s">
        <v>197</v>
      </c>
      <c r="X165" s="596" t="s">
        <v>198</v>
      </c>
      <c r="Y165" s="597" t="str">
        <f t="shared" si="49"/>
        <v>40%</v>
      </c>
      <c r="Z165" s="596" t="s">
        <v>199</v>
      </c>
      <c r="AA165" s="596" t="s">
        <v>225</v>
      </c>
      <c r="AB165" s="596" t="s">
        <v>201</v>
      </c>
      <c r="AC165" s="598">
        <f>IFERROR(IF(AND(V164="Probabilidad",V165="Probabilidad"),(AE164-(+AE164*Y165)),IF(AND(V164="Impacto",V165="Probabilidad"),(AE163-(+AE163*Y165)),IF(V165="Impacto",AE164,""))),"")</f>
        <v>0.12959999999999999</v>
      </c>
      <c r="AD165" s="599" t="str">
        <f t="shared" si="50"/>
        <v>Muy Baja</v>
      </c>
      <c r="AE165" s="600">
        <f t="shared" si="51"/>
        <v>0.12959999999999999</v>
      </c>
      <c r="AF165" s="599" t="str">
        <f t="shared" si="52"/>
        <v>Leve</v>
      </c>
      <c r="AG165" s="600">
        <f>IFERROR(IF(AND(V164="Impacto",V165="Impacto"),(AG164-(+AG164*Y165)),IF(AND(V164="Probabilidad",V165="Impacto"),(AG163-(+AG163*Y165)),IF(V165="Probabilidad",AG164,""))),"")</f>
        <v>0.2</v>
      </c>
      <c r="AH165" s="601" t="str">
        <f t="shared" si="53"/>
        <v>Bajo</v>
      </c>
      <c r="AI165" s="602" t="s">
        <v>202</v>
      </c>
      <c r="AJ165" s="603"/>
      <c r="AK165" s="192"/>
      <c r="AL165" s="603"/>
      <c r="AM165" s="604"/>
      <c r="AN165" s="606"/>
      <c r="AO165" s="607"/>
      <c r="AP165" s="608">
        <v>45757</v>
      </c>
      <c r="AQ165" s="609" t="s">
        <v>809</v>
      </c>
      <c r="AR165" s="283" t="s">
        <v>1220</v>
      </c>
      <c r="AS165" s="611" t="s">
        <v>205</v>
      </c>
      <c r="AT165" s="612" t="s">
        <v>206</v>
      </c>
      <c r="AU165" s="283" t="s">
        <v>811</v>
      </c>
      <c r="AV165" s="613"/>
      <c r="AW165" s="614">
        <v>45782</v>
      </c>
      <c r="AX165" s="615" t="s">
        <v>207</v>
      </c>
      <c r="AY165" s="635" t="s">
        <v>578</v>
      </c>
      <c r="BA165" s="617"/>
      <c r="BB165" s="617"/>
      <c r="BC165" s="618" t="s">
        <v>209</v>
      </c>
      <c r="BE165" s="608">
        <v>45848</v>
      </c>
      <c r="BF165" s="609" t="s">
        <v>812</v>
      </c>
      <c r="BG165" s="283" t="s">
        <v>1221</v>
      </c>
      <c r="BH165" s="641" t="s">
        <v>205</v>
      </c>
      <c r="BI165" s="612" t="s">
        <v>206</v>
      </c>
      <c r="BJ165" s="283" t="s">
        <v>811</v>
      </c>
      <c r="BL165" s="450">
        <v>45856</v>
      </c>
      <c r="BM165" s="449" t="s">
        <v>215</v>
      </c>
      <c r="BN165" s="283" t="s">
        <v>231</v>
      </c>
      <c r="BP165" s="617"/>
      <c r="BQ165" s="617"/>
      <c r="BR165" s="618" t="s">
        <v>209</v>
      </c>
      <c r="BT165" s="608">
        <v>45944</v>
      </c>
      <c r="BU165" s="283" t="s">
        <v>814</v>
      </c>
      <c r="BV165" s="283" t="s">
        <v>1222</v>
      </c>
      <c r="BW165" s="617" t="s">
        <v>205</v>
      </c>
      <c r="BX165" s="617" t="s">
        <v>206</v>
      </c>
      <c r="BY165" s="617" t="s">
        <v>206</v>
      </c>
      <c r="CA165" s="659">
        <v>45992</v>
      </c>
      <c r="CB165" s="286" t="s">
        <v>218</v>
      </c>
      <c r="CC165" s="286" t="s">
        <v>233</v>
      </c>
      <c r="CE165" s="617"/>
      <c r="CF165" s="617"/>
      <c r="CG165" s="618" t="s">
        <v>209</v>
      </c>
      <c r="CH165" s="192"/>
      <c r="CI165" s="558"/>
      <c r="CJ165" s="558"/>
      <c r="CK165" s="559" t="s">
        <v>209</v>
      </c>
      <c r="CL165" s="558"/>
      <c r="CM165" s="558"/>
      <c r="CN165" s="558"/>
      <c r="CO165" s="553"/>
      <c r="CP165" s="558"/>
      <c r="CQ165" s="558"/>
      <c r="CR165" s="559" t="s">
        <v>209</v>
      </c>
      <c r="CS165" s="553"/>
      <c r="CT165" s="558"/>
      <c r="CU165" s="558"/>
      <c r="CV165" s="559" t="s">
        <v>209</v>
      </c>
    </row>
    <row r="166" spans="1:100" ht="151.5" customHeight="1" x14ac:dyDescent="0.3">
      <c r="A166" s="622">
        <v>72</v>
      </c>
      <c r="B166" s="622" t="s">
        <v>1205</v>
      </c>
      <c r="C166" s="623" t="s">
        <v>1206</v>
      </c>
      <c r="D166" s="585" t="str">
        <f>IFERROR(INDEX('Base de datos gestión'!$D$28:$D$50,MATCH(C166,'Base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6" s="585" t="str">
        <f>IFERROR(INDEX('Base de datos gestión'!$E$28:$E$50,MATCH(C166,'Base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6" s="628" t="s">
        <v>188</v>
      </c>
      <c r="G166" s="629" t="s">
        <v>1207</v>
      </c>
      <c r="H166" s="699" t="s">
        <v>1223</v>
      </c>
      <c r="I166" s="637" t="s">
        <v>1209</v>
      </c>
      <c r="J166" s="630" t="s">
        <v>192</v>
      </c>
      <c r="K166" s="630" t="s">
        <v>193</v>
      </c>
      <c r="L166" s="630">
        <v>100</v>
      </c>
      <c r="M166" s="588" t="str">
        <f t="shared" si="56"/>
        <v>Media</v>
      </c>
      <c r="N166" s="589">
        <f t="shared" si="55"/>
        <v>0.6</v>
      </c>
      <c r="O166" s="590" t="s">
        <v>452</v>
      </c>
      <c r="P166" s="589" t="str">
        <f>IF(NOT(ISERROR(MATCH(O166,'Tabla Impacto'!$B$222:$B$224,0))),'Tabla Impacto'!$F$224&amp;"Por favor no seleccionar los criterios de impacto(Afectación Económica o presupuestal y Pérdida Reputacional)",O166)</f>
        <v xml:space="preserve">     El riesgo afecta la imagen de la entidad a nivel nacional, con efecto publicitarios sostenible a nivel país</v>
      </c>
      <c r="Q166" s="591" t="str">
        <f>IF(OR(P166='[8]Tabla Impacto'!$C$12,P166='[8]Tabla Impacto'!$D$12),"Leve",IF(OR(P166='[8]Tabla Impacto'!$C$13,P166='[8]Tabla Impacto'!$D$13),"Menor",IF(OR(P166='[8]Tabla Impacto'!$C$14,P166='[8]Tabla Impacto'!$D$14),"Moderado",IF(OR(P166='[8]Tabla Impacto'!$C$15,P166='[8]Tabla Impacto'!$D$15),"Mayor",IF(OR(P166='[8]Tabla Impacto'!$C$16,P166='[8]Tabla Impacto'!$D$16),"Catastrófico","")))))</f>
        <v>Catastrófico</v>
      </c>
      <c r="R166" s="590">
        <f t="shared" si="47"/>
        <v>1</v>
      </c>
      <c r="S166" s="592" t="str">
        <f t="shared" si="48"/>
        <v>Extremo</v>
      </c>
      <c r="T166" s="595">
        <v>4</v>
      </c>
      <c r="U166" s="631" t="s">
        <v>1224</v>
      </c>
      <c r="V166" s="595" t="str">
        <f t="shared" si="54"/>
        <v>Probabilidad</v>
      </c>
      <c r="W166" s="596" t="s">
        <v>269</v>
      </c>
      <c r="X166" s="596" t="s">
        <v>198</v>
      </c>
      <c r="Y166" s="597" t="str">
        <f t="shared" si="49"/>
        <v>30%</v>
      </c>
      <c r="Z166" s="596" t="s">
        <v>259</v>
      </c>
      <c r="AA166" s="596" t="s">
        <v>200</v>
      </c>
      <c r="AB166" s="596" t="s">
        <v>201</v>
      </c>
      <c r="AC166" s="598">
        <f>IFERROR(IF(AND(V165="Probabilidad",V166="Probabilidad"),(AE165-(+AE165*Y166)),IF(AND(V165="Impacto",V166="Probabilidad"),(AE164-(+AE164*Y166)),IF(V166="Impacto",AE165,""))),"")</f>
        <v>9.0719999999999995E-2</v>
      </c>
      <c r="AD166" s="599" t="str">
        <f t="shared" si="50"/>
        <v>Muy Baja</v>
      </c>
      <c r="AE166" s="600">
        <f t="shared" si="51"/>
        <v>9.0719999999999995E-2</v>
      </c>
      <c r="AF166" s="599" t="str">
        <f t="shared" si="52"/>
        <v>Leve</v>
      </c>
      <c r="AG166" s="600">
        <f>IFERROR(IF(AND(V165="Impacto",V166="Impacto"),(AG165-(+AG165*Y166)),IF(AND(V165="Probabilidad",V166="Impacto"),(AG164-(+AG164*Y166)),IF(V166="Probabilidad",AG165,""))),"")</f>
        <v>0.2</v>
      </c>
      <c r="AH166" s="601" t="str">
        <f t="shared" si="53"/>
        <v>Bajo</v>
      </c>
      <c r="AI166" s="602" t="s">
        <v>202</v>
      </c>
      <c r="AJ166" s="603"/>
      <c r="AK166" s="192"/>
      <c r="AL166" s="603"/>
      <c r="AM166" s="604"/>
      <c r="AN166" s="606"/>
      <c r="AO166" s="607"/>
      <c r="AP166" s="608">
        <v>45757</v>
      </c>
      <c r="AQ166" s="609" t="s">
        <v>809</v>
      </c>
      <c r="AR166" s="283" t="s">
        <v>1225</v>
      </c>
      <c r="AS166" s="611" t="s">
        <v>205</v>
      </c>
      <c r="AT166" s="612" t="s">
        <v>206</v>
      </c>
      <c r="AU166" s="283" t="s">
        <v>811</v>
      </c>
      <c r="AV166" s="613"/>
      <c r="AW166" s="614">
        <v>45782</v>
      </c>
      <c r="AX166" s="615" t="s">
        <v>207</v>
      </c>
      <c r="AY166" s="635" t="s">
        <v>1226</v>
      </c>
      <c r="BA166" s="617"/>
      <c r="BB166" s="617"/>
      <c r="BC166" s="618" t="s">
        <v>209</v>
      </c>
      <c r="BE166" s="608">
        <v>45848</v>
      </c>
      <c r="BF166" s="609" t="s">
        <v>812</v>
      </c>
      <c r="BG166" s="283" t="s">
        <v>1227</v>
      </c>
      <c r="BH166" s="641" t="s">
        <v>205</v>
      </c>
      <c r="BI166" s="612" t="s">
        <v>206</v>
      </c>
      <c r="BJ166" s="283" t="s">
        <v>811</v>
      </c>
      <c r="BL166" s="450">
        <v>45861</v>
      </c>
      <c r="BM166" s="676" t="s">
        <v>215</v>
      </c>
      <c r="BN166" s="283" t="s">
        <v>1228</v>
      </c>
      <c r="BP166" s="617"/>
      <c r="BQ166" s="617"/>
      <c r="BR166" s="618" t="s">
        <v>209</v>
      </c>
      <c r="BT166" s="608">
        <v>45944</v>
      </c>
      <c r="BU166" s="283" t="s">
        <v>814</v>
      </c>
      <c r="BV166" s="283" t="s">
        <v>1229</v>
      </c>
      <c r="BW166" s="617" t="s">
        <v>205</v>
      </c>
      <c r="BX166" s="617" t="s">
        <v>206</v>
      </c>
      <c r="BY166" s="617" t="s">
        <v>206</v>
      </c>
      <c r="CA166" s="659">
        <v>45992</v>
      </c>
      <c r="CB166" s="286" t="s">
        <v>218</v>
      </c>
      <c r="CC166" s="286" t="s">
        <v>233</v>
      </c>
      <c r="CE166" s="617"/>
      <c r="CF166" s="617"/>
      <c r="CG166" s="618" t="s">
        <v>209</v>
      </c>
      <c r="CH166" s="192"/>
      <c r="CI166" s="558"/>
      <c r="CJ166" s="558"/>
      <c r="CK166" s="559" t="s">
        <v>209</v>
      </c>
      <c r="CL166" s="558"/>
      <c r="CM166" s="558"/>
      <c r="CN166" s="558"/>
      <c r="CO166" s="553"/>
      <c r="CP166" s="558"/>
      <c r="CQ166" s="558"/>
      <c r="CR166" s="559" t="s">
        <v>209</v>
      </c>
      <c r="CS166" s="553"/>
      <c r="CT166" s="558"/>
      <c r="CU166" s="558"/>
      <c r="CV166" s="559" t="s">
        <v>209</v>
      </c>
    </row>
    <row r="167" spans="1:100" ht="151.5" customHeight="1" x14ac:dyDescent="0.3">
      <c r="A167" s="622">
        <v>73</v>
      </c>
      <c r="B167" s="622" t="s">
        <v>1230</v>
      </c>
      <c r="C167" s="623" t="s">
        <v>1206</v>
      </c>
      <c r="D167" s="585" t="str">
        <f>IFERROR(INDEX('Base de datos gestión'!$D$28:$D$50,MATCH(C167,'Base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7" s="585" t="str">
        <f>IFERROR(INDEX('Base de datos gestión'!$E$28:$E$50,MATCH(C167,'Base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7" s="628" t="s">
        <v>188</v>
      </c>
      <c r="G167" s="631" t="s">
        <v>1231</v>
      </c>
      <c r="H167" s="699" t="s">
        <v>1232</v>
      </c>
      <c r="I167" s="631" t="s">
        <v>1233</v>
      </c>
      <c r="J167" s="630" t="s">
        <v>192</v>
      </c>
      <c r="K167" s="700" t="s">
        <v>311</v>
      </c>
      <c r="L167" s="700">
        <v>6</v>
      </c>
      <c r="M167" s="588" t="str">
        <f t="shared" si="56"/>
        <v>Baja</v>
      </c>
      <c r="N167" s="589">
        <f t="shared" si="55"/>
        <v>0.4</v>
      </c>
      <c r="O167" s="590" t="s">
        <v>452</v>
      </c>
      <c r="P167" s="589" t="str">
        <f>IF(NOT(ISERROR(MATCH(O167,'Tabla Impacto'!$B$222:$B$224,0))),'Tabla Impacto'!$F$224&amp;"Por favor no seleccionar los criterios de impacto(Afectación Económica o presupuestal y Pérdida Reputacional)",O167)</f>
        <v xml:space="preserve">     El riesgo afecta la imagen de la entidad a nivel nacional, con efecto publicitarios sostenible a nivel país</v>
      </c>
      <c r="Q167" s="591" t="str">
        <f>IF(OR(P167='[9]Tabla Impacto'!$C$12,P167='[9]Tabla Impacto'!$D$12),"Leve",IF(OR(P167='[9]Tabla Impacto'!$C$13,P167='[9]Tabla Impacto'!$D$13),"Menor",IF(OR(P167='[9]Tabla Impacto'!$C$14,P167='[9]Tabla Impacto'!$D$14),"Moderado",IF(OR(P167='[9]Tabla Impacto'!$C$15,P167='[9]Tabla Impacto'!$D$15),"Mayor",IF(OR(P167='[9]Tabla Impacto'!$C$16,P167='[9]Tabla Impacto'!$D$16),"Catastrófico","")))))</f>
        <v>Catastrófico</v>
      </c>
      <c r="R167" s="590">
        <f t="shared" si="47"/>
        <v>1</v>
      </c>
      <c r="S167" s="592" t="str">
        <f t="shared" si="48"/>
        <v>Extremo</v>
      </c>
      <c r="T167" s="595">
        <v>1</v>
      </c>
      <c r="U167" s="701" t="s">
        <v>1234</v>
      </c>
      <c r="V167" s="595" t="str">
        <f t="shared" si="54"/>
        <v>Probabilidad</v>
      </c>
      <c r="W167" s="596" t="s">
        <v>197</v>
      </c>
      <c r="X167" s="596" t="s">
        <v>198</v>
      </c>
      <c r="Y167" s="597" t="str">
        <f t="shared" si="49"/>
        <v>40%</v>
      </c>
      <c r="Z167" s="596" t="s">
        <v>199</v>
      </c>
      <c r="AA167" s="596" t="s">
        <v>200</v>
      </c>
      <c r="AB167" s="596" t="s">
        <v>201</v>
      </c>
      <c r="AC167" s="598">
        <f>IFERROR(IF(AND(V166="Probabilidad",V167="Probabilidad"),(AE166-(+AE166*Y167)),IF(AND(V166="Impacto",V167="Probabilidad"),(AE165-(+AE165*Y167)),IF(V167="Impacto",AE166,""))),"")</f>
        <v>5.4431999999999994E-2</v>
      </c>
      <c r="AD167" s="599" t="str">
        <f t="shared" si="50"/>
        <v>Muy Baja</v>
      </c>
      <c r="AE167" s="600">
        <f t="shared" si="51"/>
        <v>5.4431999999999994E-2</v>
      </c>
      <c r="AF167" s="599" t="str">
        <f t="shared" si="52"/>
        <v>Leve</v>
      </c>
      <c r="AG167" s="600">
        <f>IFERROR(IF(AND(V166="Impacto",V167="Impacto"),(AG166-(+AG166*Y167)),IF(AND(V166="Probabilidad",V167="Impacto"),(AG165-(+AG165*Y167)),IF(V167="Probabilidad",AG166,""))),"")</f>
        <v>0.2</v>
      </c>
      <c r="AH167" s="601" t="str">
        <f t="shared" si="53"/>
        <v>Bajo</v>
      </c>
      <c r="AI167" s="602" t="s">
        <v>202</v>
      </c>
      <c r="AJ167" s="603"/>
      <c r="AK167" s="192"/>
      <c r="AL167" s="603"/>
      <c r="AM167" s="604"/>
      <c r="AN167" s="606"/>
      <c r="AO167" s="607"/>
      <c r="AP167" s="608">
        <v>45757</v>
      </c>
      <c r="AQ167" s="609" t="s">
        <v>809</v>
      </c>
      <c r="AR167" s="283" t="s">
        <v>1235</v>
      </c>
      <c r="AS167" s="611" t="s">
        <v>205</v>
      </c>
      <c r="AT167" s="612" t="s">
        <v>206</v>
      </c>
      <c r="AU167" s="283" t="s">
        <v>811</v>
      </c>
      <c r="AV167" s="613"/>
      <c r="AW167" s="614">
        <v>45782</v>
      </c>
      <c r="AX167" s="615" t="s">
        <v>207</v>
      </c>
      <c r="AY167" s="635" t="s">
        <v>578</v>
      </c>
      <c r="BA167" s="617"/>
      <c r="BB167" s="617"/>
      <c r="BC167" s="618" t="s">
        <v>209</v>
      </c>
      <c r="BE167" s="608">
        <v>45848</v>
      </c>
      <c r="BF167" s="609" t="s">
        <v>812</v>
      </c>
      <c r="BG167" s="283" t="s">
        <v>1236</v>
      </c>
      <c r="BH167" s="641" t="s">
        <v>205</v>
      </c>
      <c r="BI167" s="612" t="s">
        <v>206</v>
      </c>
      <c r="BJ167" s="283" t="s">
        <v>811</v>
      </c>
      <c r="BL167" s="450">
        <v>45861</v>
      </c>
      <c r="BM167" s="676" t="s">
        <v>215</v>
      </c>
      <c r="BN167" s="283" t="s">
        <v>1228</v>
      </c>
      <c r="BP167" s="617"/>
      <c r="BQ167" s="617"/>
      <c r="BR167" s="618" t="s">
        <v>209</v>
      </c>
      <c r="BT167" s="608">
        <v>45944</v>
      </c>
      <c r="BU167" s="283" t="s">
        <v>814</v>
      </c>
      <c r="BV167" s="283" t="s">
        <v>1237</v>
      </c>
      <c r="BW167" s="617" t="s">
        <v>205</v>
      </c>
      <c r="BX167" s="617" t="s">
        <v>206</v>
      </c>
      <c r="BY167" s="617" t="s">
        <v>206</v>
      </c>
      <c r="CA167" s="659">
        <v>45992</v>
      </c>
      <c r="CB167" s="286" t="s">
        <v>218</v>
      </c>
      <c r="CC167" s="286" t="s">
        <v>233</v>
      </c>
      <c r="CE167" s="617"/>
      <c r="CF167" s="617"/>
      <c r="CG167" s="618" t="s">
        <v>209</v>
      </c>
      <c r="CH167" s="192"/>
      <c r="CI167" s="558"/>
      <c r="CJ167" s="558"/>
      <c r="CK167" s="559" t="s">
        <v>209</v>
      </c>
      <c r="CL167" s="558"/>
      <c r="CM167" s="558"/>
      <c r="CN167" s="558"/>
      <c r="CO167" s="553"/>
      <c r="CP167" s="558"/>
      <c r="CQ167" s="558"/>
      <c r="CR167" s="559" t="s">
        <v>209</v>
      </c>
      <c r="CS167" s="553"/>
      <c r="CT167" s="558"/>
      <c r="CU167" s="558"/>
      <c r="CV167" s="559" t="s">
        <v>209</v>
      </c>
    </row>
    <row r="168" spans="1:100" ht="151.5" customHeight="1" x14ac:dyDescent="0.3">
      <c r="A168" s="632">
        <v>74</v>
      </c>
      <c r="B168" s="632" t="s">
        <v>1238</v>
      </c>
      <c r="C168" s="633" t="s">
        <v>1206</v>
      </c>
      <c r="D168" s="585" t="str">
        <f>IFERROR(INDEX('Base de datos gestión'!$D$28:$D$50,MATCH(C168,'Base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8" s="585" t="str">
        <f>IFERROR(INDEX('Base de datos gestión'!$E$28:$E$50,MATCH(C168,'Base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8" s="628" t="s">
        <v>188</v>
      </c>
      <c r="G168" s="629" t="s">
        <v>1239</v>
      </c>
      <c r="H168" s="603" t="s">
        <v>1240</v>
      </c>
      <c r="I168" s="630" t="s">
        <v>1241</v>
      </c>
      <c r="J168" s="630" t="s">
        <v>192</v>
      </c>
      <c r="K168" s="702" t="s">
        <v>193</v>
      </c>
      <c r="L168" s="703">
        <v>10</v>
      </c>
      <c r="M168" s="588" t="str">
        <f t="shared" si="56"/>
        <v>Baja</v>
      </c>
      <c r="N168" s="589">
        <f t="shared" si="55"/>
        <v>0.4</v>
      </c>
      <c r="O168" s="590" t="s">
        <v>452</v>
      </c>
      <c r="P168" s="589" t="str">
        <f>IF(NOT(ISERROR(MATCH(O168,'Tabla Impacto'!$B$222:$B$224,0))),'Tabla Impacto'!$F$224&amp;"Por favor no seleccionar los criterios de impacto(Afectación Económica o presupuestal y Pérdida Reputacional)",O168)</f>
        <v xml:space="preserve">     El riesgo afecta la imagen de la entidad a nivel nacional, con efecto publicitarios sostenible a nivel país</v>
      </c>
      <c r="Q168" s="591" t="str">
        <f>IF(OR(P168='[9]Tabla Impacto'!$C$12,P168='[9]Tabla Impacto'!$D$12),"Leve",IF(OR(P168='[9]Tabla Impacto'!$C$13,P168='[9]Tabla Impacto'!$D$13),"Menor",IF(OR(P168='[9]Tabla Impacto'!$C$14,P168='[9]Tabla Impacto'!$D$14),"Moderado",IF(OR(P168='[9]Tabla Impacto'!$C$15,P168='[9]Tabla Impacto'!$D$15),"Mayor",IF(OR(P168='[9]Tabla Impacto'!$C$16,P168='[9]Tabla Impacto'!$D$16),"Catastrófico","")))))</f>
        <v>Catastrófico</v>
      </c>
      <c r="R168" s="590">
        <f t="shared" si="47"/>
        <v>1</v>
      </c>
      <c r="S168" s="592" t="str">
        <f t="shared" si="48"/>
        <v>Extremo</v>
      </c>
      <c r="T168" s="595">
        <v>1</v>
      </c>
      <c r="U168" s="646" t="s">
        <v>1242</v>
      </c>
      <c r="V168" s="595" t="str">
        <f t="shared" si="54"/>
        <v>Probabilidad</v>
      </c>
      <c r="W168" s="596" t="s">
        <v>197</v>
      </c>
      <c r="X168" s="596" t="s">
        <v>198</v>
      </c>
      <c r="Y168" s="597" t="str">
        <f t="shared" si="49"/>
        <v>40%</v>
      </c>
      <c r="Z168" s="596" t="s">
        <v>199</v>
      </c>
      <c r="AA168" s="596" t="s">
        <v>200</v>
      </c>
      <c r="AB168" s="596" t="s">
        <v>250</v>
      </c>
      <c r="AC168" s="598">
        <f>IFERROR(IF(AND(V167="Probabilidad",V168="Probabilidad"),(AE167-(+AE167*Y168)),IF(AND(V167="Impacto",V168="Probabilidad"),(AE166-(+AE166*Y168)),IF(V168="Impacto",AE167,""))),"")</f>
        <v>3.2659199999999999E-2</v>
      </c>
      <c r="AD168" s="599" t="str">
        <f t="shared" si="50"/>
        <v>Muy Baja</v>
      </c>
      <c r="AE168" s="600">
        <f t="shared" si="51"/>
        <v>3.2659199999999999E-2</v>
      </c>
      <c r="AF168" s="599" t="str">
        <f t="shared" si="52"/>
        <v>Leve</v>
      </c>
      <c r="AG168" s="600">
        <f>IFERROR(IF(AND(V167="Impacto",V168="Impacto"),(AG167-(+AG167*Y168)),IF(AND(V167="Probabilidad",V168="Impacto"),(AG166-(+AG166*Y168)),IF(V168="Probabilidad",AG167,""))),"")</f>
        <v>0.2</v>
      </c>
      <c r="AH168" s="601" t="str">
        <f t="shared" si="53"/>
        <v>Bajo</v>
      </c>
      <c r="AI168" s="602" t="s">
        <v>202</v>
      </c>
      <c r="AJ168" s="603"/>
      <c r="AK168" s="192"/>
      <c r="AL168" s="603"/>
      <c r="AM168" s="604"/>
      <c r="AN168" s="606"/>
      <c r="AO168" s="607"/>
      <c r="AP168" s="608">
        <v>45757</v>
      </c>
      <c r="AQ168" s="609" t="s">
        <v>809</v>
      </c>
      <c r="AR168" s="283" t="s">
        <v>1243</v>
      </c>
      <c r="AS168" s="611" t="s">
        <v>205</v>
      </c>
      <c r="AT168" s="612" t="s">
        <v>206</v>
      </c>
      <c r="AU168" s="283" t="s">
        <v>811</v>
      </c>
      <c r="AV168" s="613"/>
      <c r="AW168" s="614">
        <v>45782</v>
      </c>
      <c r="AX168" s="615" t="s">
        <v>207</v>
      </c>
      <c r="AY168" s="635" t="s">
        <v>578</v>
      </c>
      <c r="BA168" s="617"/>
      <c r="BB168" s="617"/>
      <c r="BC168" s="618" t="s">
        <v>209</v>
      </c>
      <c r="BE168" s="608">
        <v>45848</v>
      </c>
      <c r="BF168" s="609" t="s">
        <v>812</v>
      </c>
      <c r="BG168" s="283" t="s">
        <v>1244</v>
      </c>
      <c r="BH168" s="641" t="s">
        <v>205</v>
      </c>
      <c r="BI168" s="612" t="s">
        <v>206</v>
      </c>
      <c r="BJ168" s="283" t="s">
        <v>811</v>
      </c>
      <c r="BL168" s="450">
        <v>45861</v>
      </c>
      <c r="BM168" s="676" t="s">
        <v>215</v>
      </c>
      <c r="BN168" s="283" t="s">
        <v>1228</v>
      </c>
      <c r="BP168" s="617"/>
      <c r="BQ168" s="617"/>
      <c r="BR168" s="618" t="s">
        <v>209</v>
      </c>
      <c r="BT168" s="608">
        <v>45944</v>
      </c>
      <c r="BU168" s="283" t="s">
        <v>814</v>
      </c>
      <c r="BV168" s="283" t="s">
        <v>1245</v>
      </c>
      <c r="BW168" s="617" t="s">
        <v>205</v>
      </c>
      <c r="BX168" s="617" t="s">
        <v>206</v>
      </c>
      <c r="BY168" s="617" t="s">
        <v>206</v>
      </c>
      <c r="CA168" s="659">
        <v>45992</v>
      </c>
      <c r="CB168" s="286" t="s">
        <v>218</v>
      </c>
      <c r="CC168" s="286" t="s">
        <v>233</v>
      </c>
      <c r="CE168" s="617"/>
      <c r="CF168" s="617"/>
      <c r="CG168" s="618" t="s">
        <v>209</v>
      </c>
      <c r="CH168" s="192"/>
      <c r="CI168" s="558"/>
      <c r="CJ168" s="558"/>
      <c r="CK168" s="559" t="s">
        <v>209</v>
      </c>
      <c r="CL168" s="558"/>
      <c r="CM168" s="558"/>
      <c r="CN168" s="558"/>
      <c r="CO168" s="553"/>
      <c r="CP168" s="558"/>
      <c r="CQ168" s="558"/>
      <c r="CR168" s="559" t="s">
        <v>209</v>
      </c>
      <c r="CS168" s="553"/>
      <c r="CT168" s="558"/>
      <c r="CU168" s="558"/>
      <c r="CV168" s="559" t="s">
        <v>209</v>
      </c>
    </row>
    <row r="169" spans="1:100" ht="151.5" customHeight="1" x14ac:dyDescent="0.3">
      <c r="A169" s="584">
        <v>74</v>
      </c>
      <c r="B169" s="584" t="s">
        <v>1238</v>
      </c>
      <c r="C169" s="585" t="s">
        <v>1206</v>
      </c>
      <c r="D169" s="585" t="str">
        <f>IFERROR(INDEX('Base de datos gestión'!$D$28:$D$50,MATCH(C169,'Base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69" s="585" t="str">
        <f>IFERROR(INDEX('Base de datos gestión'!$E$28:$E$50,MATCH(C169,'Base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69" s="628" t="s">
        <v>188</v>
      </c>
      <c r="G169" s="629" t="s">
        <v>1239</v>
      </c>
      <c r="H169" s="630" t="s">
        <v>1246</v>
      </c>
      <c r="I169" s="630" t="s">
        <v>1241</v>
      </c>
      <c r="J169" s="630" t="s">
        <v>192</v>
      </c>
      <c r="K169" s="702" t="s">
        <v>193</v>
      </c>
      <c r="L169" s="703">
        <v>10</v>
      </c>
      <c r="M169" s="588" t="str">
        <f t="shared" si="56"/>
        <v>Baja</v>
      </c>
      <c r="N169" s="589">
        <f t="shared" si="55"/>
        <v>0.4</v>
      </c>
      <c r="O169" s="590" t="s">
        <v>452</v>
      </c>
      <c r="P169" s="589" t="str">
        <f>IF(NOT(ISERROR(MATCH(O169,'Tabla Impacto'!$B$222:$B$224,0))),'Tabla Impacto'!$F$224&amp;"Por favor no seleccionar los criterios de impacto(Afectación Económica o presupuestal y Pérdida Reputacional)",O169)</f>
        <v xml:space="preserve">     El riesgo afecta la imagen de la entidad a nivel nacional, con efecto publicitarios sostenible a nivel país</v>
      </c>
      <c r="Q169" s="591" t="str">
        <f>IF(OR(P169='[9]Tabla Impacto'!$C$12,P169='[9]Tabla Impacto'!$D$12),"Leve",IF(OR(P169='[9]Tabla Impacto'!$C$13,P169='[9]Tabla Impacto'!$D$13),"Menor",IF(OR(P169='[9]Tabla Impacto'!$C$14,P169='[9]Tabla Impacto'!$D$14),"Moderado",IF(OR(P169='[9]Tabla Impacto'!$C$15,P169='[9]Tabla Impacto'!$D$15),"Mayor",IF(OR(P169='[9]Tabla Impacto'!$C$16,P169='[9]Tabla Impacto'!$D$16),"Catastrófico","")))))</f>
        <v>Catastrófico</v>
      </c>
      <c r="R169" s="590">
        <f t="shared" si="47"/>
        <v>1</v>
      </c>
      <c r="S169" s="592" t="str">
        <f t="shared" si="48"/>
        <v>Extremo</v>
      </c>
      <c r="T169" s="595">
        <v>2</v>
      </c>
      <c r="U169" s="701" t="s">
        <v>1247</v>
      </c>
      <c r="V169" s="595" t="str">
        <f t="shared" si="54"/>
        <v>Probabilidad</v>
      </c>
      <c r="W169" s="596" t="s">
        <v>197</v>
      </c>
      <c r="X169" s="596" t="s">
        <v>198</v>
      </c>
      <c r="Y169" s="597" t="str">
        <f t="shared" si="49"/>
        <v>40%</v>
      </c>
      <c r="Z169" s="596" t="s">
        <v>199</v>
      </c>
      <c r="AA169" s="596" t="s">
        <v>200</v>
      </c>
      <c r="AB169" s="596" t="s">
        <v>250</v>
      </c>
      <c r="AC169" s="598">
        <f>IFERROR(IF(V169="Probabilidad",(N169-(+N169*Y169)),IF(V169="Impacto",N169,"")),"")</f>
        <v>0.24</v>
      </c>
      <c r="AD169" s="599" t="str">
        <f t="shared" si="50"/>
        <v>Baja</v>
      </c>
      <c r="AE169" s="600">
        <f t="shared" si="51"/>
        <v>0.24</v>
      </c>
      <c r="AF169" s="599" t="str">
        <f t="shared" si="52"/>
        <v>Catastrófico</v>
      </c>
      <c r="AG169" s="600">
        <f>IFERROR(IF(V169="Impacto",(R169-(+R169*Y169)),IF(V169="Probabilidad",R169,"")),"")</f>
        <v>1</v>
      </c>
      <c r="AH169" s="601" t="str">
        <f t="shared" si="53"/>
        <v>Extremo</v>
      </c>
      <c r="AI169" s="602" t="s">
        <v>202</v>
      </c>
      <c r="AJ169" s="603"/>
      <c r="AK169" s="192"/>
      <c r="AL169" s="603"/>
      <c r="AM169" s="604"/>
      <c r="AN169" s="606"/>
      <c r="AO169" s="607"/>
      <c r="AP169" s="608">
        <v>45757</v>
      </c>
      <c r="AQ169" s="609" t="s">
        <v>809</v>
      </c>
      <c r="AR169" s="283" t="s">
        <v>1248</v>
      </c>
      <c r="AS169" s="611" t="s">
        <v>205</v>
      </c>
      <c r="AT169" s="612" t="s">
        <v>206</v>
      </c>
      <c r="AU169" s="283" t="s">
        <v>811</v>
      </c>
      <c r="AV169" s="613"/>
      <c r="AW169" s="614">
        <v>45782</v>
      </c>
      <c r="AX169" s="615" t="s">
        <v>207</v>
      </c>
      <c r="AY169" s="635" t="s">
        <v>578</v>
      </c>
      <c r="BA169" s="617"/>
      <c r="BB169" s="617"/>
      <c r="BC169" s="618" t="s">
        <v>209</v>
      </c>
      <c r="BE169" s="608">
        <v>45848</v>
      </c>
      <c r="BF169" s="609" t="s">
        <v>812</v>
      </c>
      <c r="BG169" s="283" t="s">
        <v>1249</v>
      </c>
      <c r="BH169" s="641" t="s">
        <v>205</v>
      </c>
      <c r="BI169" s="612" t="s">
        <v>206</v>
      </c>
      <c r="BJ169" s="283" t="s">
        <v>811</v>
      </c>
      <c r="BL169" s="450">
        <v>45861</v>
      </c>
      <c r="BM169" s="676" t="s">
        <v>215</v>
      </c>
      <c r="BN169" s="283" t="s">
        <v>1228</v>
      </c>
      <c r="BP169" s="617"/>
      <c r="BQ169" s="617"/>
      <c r="BR169" s="618" t="s">
        <v>209</v>
      </c>
      <c r="BT169" s="608">
        <v>45944</v>
      </c>
      <c r="BU169" s="283" t="s">
        <v>814</v>
      </c>
      <c r="BV169" s="283" t="s">
        <v>1250</v>
      </c>
      <c r="BW169" s="617" t="s">
        <v>205</v>
      </c>
      <c r="BX169" s="617" t="s">
        <v>206</v>
      </c>
      <c r="BY169" s="617" t="s">
        <v>206</v>
      </c>
      <c r="CA169" s="659">
        <v>45992</v>
      </c>
      <c r="CB169" s="286" t="s">
        <v>218</v>
      </c>
      <c r="CC169" s="286" t="s">
        <v>233</v>
      </c>
      <c r="CE169" s="617"/>
      <c r="CF169" s="617"/>
      <c r="CG169" s="618" t="s">
        <v>209</v>
      </c>
      <c r="CH169" s="192"/>
      <c r="CI169" s="558"/>
      <c r="CJ169" s="558"/>
      <c r="CK169" s="559" t="s">
        <v>209</v>
      </c>
      <c r="CL169" s="558"/>
      <c r="CM169" s="558"/>
      <c r="CN169" s="558"/>
      <c r="CO169" s="553"/>
      <c r="CP169" s="558"/>
      <c r="CQ169" s="558"/>
      <c r="CR169" s="559" t="s">
        <v>209</v>
      </c>
      <c r="CS169" s="553"/>
      <c r="CT169" s="558"/>
      <c r="CU169" s="558"/>
      <c r="CV169" s="559" t="s">
        <v>209</v>
      </c>
    </row>
    <row r="170" spans="1:100" ht="151.5" customHeight="1" x14ac:dyDescent="0.3">
      <c r="A170" s="622">
        <v>74</v>
      </c>
      <c r="B170" s="622" t="s">
        <v>1238</v>
      </c>
      <c r="C170" s="623" t="s">
        <v>1206</v>
      </c>
      <c r="D170" s="585" t="str">
        <f>IFERROR(INDEX('Base de datos gestión'!$D$28:$D$50,MATCH(C170,'Base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70" s="585" t="str">
        <f>IFERROR(INDEX('Base de datos gestión'!$E$28:$E$50,MATCH(C170,'Base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70" s="628" t="s">
        <v>188</v>
      </c>
      <c r="G170" s="629" t="s">
        <v>1239</v>
      </c>
      <c r="H170" s="638" t="s">
        <v>1251</v>
      </c>
      <c r="I170" s="630" t="s">
        <v>1241</v>
      </c>
      <c r="J170" s="630" t="s">
        <v>192</v>
      </c>
      <c r="K170" s="702" t="s">
        <v>193</v>
      </c>
      <c r="L170" s="703">
        <v>10</v>
      </c>
      <c r="M170" s="588" t="str">
        <f t="shared" si="56"/>
        <v>Baja</v>
      </c>
      <c r="N170" s="589">
        <f t="shared" si="55"/>
        <v>0.4</v>
      </c>
      <c r="O170" s="590" t="s">
        <v>452</v>
      </c>
      <c r="P170" s="589" t="str">
        <f>IF(NOT(ISERROR(MATCH(O170,'Tabla Impacto'!$B$222:$B$224,0))),'Tabla Impacto'!$F$224&amp;"Por favor no seleccionar los criterios de impacto(Afectación Económica o presupuestal y Pérdida Reputacional)",O170)</f>
        <v xml:space="preserve">     El riesgo afecta la imagen de la entidad a nivel nacional, con efecto publicitarios sostenible a nivel país</v>
      </c>
      <c r="Q170" s="591" t="str">
        <f>IF(OR(P170='[9]Tabla Impacto'!$C$12,P170='[9]Tabla Impacto'!$D$12),"Leve",IF(OR(P170='[9]Tabla Impacto'!$C$13,P170='[9]Tabla Impacto'!$D$13),"Menor",IF(OR(P170='[9]Tabla Impacto'!$C$14,P170='[9]Tabla Impacto'!$D$14),"Moderado",IF(OR(P170='[9]Tabla Impacto'!$C$15,P170='[9]Tabla Impacto'!$D$15),"Mayor",IF(OR(P170='[9]Tabla Impacto'!$C$16,P170='[9]Tabla Impacto'!$D$16),"Catastrófico","")))))</f>
        <v>Catastrófico</v>
      </c>
      <c r="R170" s="590">
        <f t="shared" si="47"/>
        <v>1</v>
      </c>
      <c r="S170" s="592" t="str">
        <f t="shared" si="48"/>
        <v>Extremo</v>
      </c>
      <c r="T170" s="595">
        <v>3</v>
      </c>
      <c r="U170" s="631" t="s">
        <v>1252</v>
      </c>
      <c r="V170" s="595" t="str">
        <f t="shared" si="54"/>
        <v>Probabilidad</v>
      </c>
      <c r="W170" s="596" t="s">
        <v>197</v>
      </c>
      <c r="X170" s="596" t="s">
        <v>198</v>
      </c>
      <c r="Y170" s="597" t="str">
        <f t="shared" si="49"/>
        <v>40%</v>
      </c>
      <c r="Z170" s="596" t="s">
        <v>259</v>
      </c>
      <c r="AA170" s="596" t="s">
        <v>200</v>
      </c>
      <c r="AB170" s="596" t="s">
        <v>201</v>
      </c>
      <c r="AC170" s="598">
        <f>IFERROR(IF(AND(V169="Probabilidad",V170="Probabilidad"),(AE169-(+AE169*Y170)),IF(V170="Probabilidad",(N169-(+N169*Y170)),IF(V170="Impacto",AE169,""))),"")</f>
        <v>0.14399999999999999</v>
      </c>
      <c r="AD170" s="599" t="str">
        <f t="shared" si="50"/>
        <v>Muy Baja</v>
      </c>
      <c r="AE170" s="600">
        <f t="shared" si="51"/>
        <v>0.14399999999999999</v>
      </c>
      <c r="AF170" s="599" t="str">
        <f t="shared" si="52"/>
        <v>Catastrófico</v>
      </c>
      <c r="AG170" s="600">
        <f>IFERROR(IF(AND(V169="Impacto",V170="Impacto"),(AG163-(+AG163*Y170)),IF(V170="Impacto",($R$49-(+$R$49*Y170)),IF(V170="Probabilidad",AG163,""))),"")</f>
        <v>1</v>
      </c>
      <c r="AH170" s="601" t="str">
        <f t="shared" si="53"/>
        <v>Extremo</v>
      </c>
      <c r="AI170" s="602" t="s">
        <v>202</v>
      </c>
      <c r="AJ170" s="603"/>
      <c r="AK170" s="192"/>
      <c r="AL170" s="603"/>
      <c r="AM170" s="604"/>
      <c r="AN170" s="606"/>
      <c r="AO170" s="607"/>
      <c r="AP170" s="608">
        <v>45757</v>
      </c>
      <c r="AQ170" s="609" t="s">
        <v>809</v>
      </c>
      <c r="AR170" s="283" t="s">
        <v>1253</v>
      </c>
      <c r="AS170" s="611" t="s">
        <v>205</v>
      </c>
      <c r="AT170" s="612" t="s">
        <v>206</v>
      </c>
      <c r="AU170" s="283" t="s">
        <v>811</v>
      </c>
      <c r="AV170" s="613"/>
      <c r="AW170" s="614">
        <v>45782</v>
      </c>
      <c r="AX170" s="615" t="s">
        <v>207</v>
      </c>
      <c r="AY170" s="635" t="s">
        <v>578</v>
      </c>
      <c r="BA170" s="617"/>
      <c r="BB170" s="617"/>
      <c r="BC170" s="618" t="s">
        <v>209</v>
      </c>
      <c r="BE170" s="608">
        <v>45848</v>
      </c>
      <c r="BF170" s="609" t="s">
        <v>812</v>
      </c>
      <c r="BG170" s="283" t="s">
        <v>1253</v>
      </c>
      <c r="BH170" s="641" t="s">
        <v>205</v>
      </c>
      <c r="BI170" s="612" t="s">
        <v>206</v>
      </c>
      <c r="BJ170" s="283" t="s">
        <v>811</v>
      </c>
      <c r="BL170" s="450">
        <v>45861</v>
      </c>
      <c r="BM170" s="676" t="s">
        <v>215</v>
      </c>
      <c r="BN170" s="283" t="s">
        <v>1228</v>
      </c>
      <c r="BP170" s="617"/>
      <c r="BQ170" s="617"/>
      <c r="BR170" s="618" t="s">
        <v>209</v>
      </c>
      <c r="BT170" s="608">
        <v>45944</v>
      </c>
      <c r="BU170" s="283" t="s">
        <v>814</v>
      </c>
      <c r="BV170" s="283" t="s">
        <v>1254</v>
      </c>
      <c r="BW170" s="617" t="s">
        <v>205</v>
      </c>
      <c r="BX170" s="617" t="s">
        <v>206</v>
      </c>
      <c r="BY170" s="617" t="s">
        <v>206</v>
      </c>
      <c r="CA170" s="659">
        <v>45992</v>
      </c>
      <c r="CB170" s="286" t="s">
        <v>218</v>
      </c>
      <c r="CC170" s="286" t="s">
        <v>233</v>
      </c>
      <c r="CE170" s="617"/>
      <c r="CF170" s="617"/>
      <c r="CG170" s="618" t="s">
        <v>209</v>
      </c>
      <c r="CH170" s="192"/>
      <c r="CI170" s="558"/>
      <c r="CJ170" s="558"/>
      <c r="CK170" s="559" t="s">
        <v>209</v>
      </c>
      <c r="CL170" s="558"/>
      <c r="CM170" s="558"/>
      <c r="CN170" s="558"/>
      <c r="CO170" s="553"/>
      <c r="CP170" s="558"/>
      <c r="CQ170" s="558"/>
      <c r="CR170" s="559" t="s">
        <v>209</v>
      </c>
      <c r="CS170" s="553"/>
      <c r="CT170" s="558"/>
      <c r="CU170" s="558"/>
      <c r="CV170" s="559" t="s">
        <v>209</v>
      </c>
    </row>
    <row r="171" spans="1:100" ht="151.5" customHeight="1" x14ac:dyDescent="0.3">
      <c r="A171" s="622">
        <v>74</v>
      </c>
      <c r="B171" s="622" t="s">
        <v>1238</v>
      </c>
      <c r="C171" s="623" t="s">
        <v>1206</v>
      </c>
      <c r="D171" s="585" t="str">
        <f>IFERROR(INDEX('Base de datos gestión'!$D$28:$D$50,MATCH(C171,'Base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71" s="585" t="str">
        <f>IFERROR(INDEX('Base de datos gestión'!$E$28:$E$50,MATCH(C171,'Base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71" s="628" t="s">
        <v>188</v>
      </c>
      <c r="G171" s="629" t="s">
        <v>1239</v>
      </c>
      <c r="H171" s="638" t="s">
        <v>1255</v>
      </c>
      <c r="I171" s="630" t="s">
        <v>1241</v>
      </c>
      <c r="J171" s="630" t="s">
        <v>192</v>
      </c>
      <c r="K171" s="702" t="s">
        <v>193</v>
      </c>
      <c r="L171" s="703">
        <v>10</v>
      </c>
      <c r="M171" s="588" t="str">
        <f t="shared" si="56"/>
        <v>Baja</v>
      </c>
      <c r="N171" s="589">
        <f t="shared" si="55"/>
        <v>0.4</v>
      </c>
      <c r="O171" s="590" t="s">
        <v>452</v>
      </c>
      <c r="P171" s="589" t="str">
        <f>IF(NOT(ISERROR(MATCH(O171,'Tabla Impacto'!$B$222:$B$224,0))),'Tabla Impacto'!$F$224&amp;"Por favor no seleccionar los criterios de impacto(Afectación Económica o presupuestal y Pérdida Reputacional)",O171)</f>
        <v xml:space="preserve">     El riesgo afecta la imagen de la entidad a nivel nacional, con efecto publicitarios sostenible a nivel país</v>
      </c>
      <c r="Q171" s="591" t="str">
        <f>IF(OR(P171='[9]Tabla Impacto'!$C$12,P171='[9]Tabla Impacto'!$D$12),"Leve",IF(OR(P171='[9]Tabla Impacto'!$C$13,P171='[9]Tabla Impacto'!$D$13),"Menor",IF(OR(P171='[9]Tabla Impacto'!$C$14,P171='[9]Tabla Impacto'!$D$14),"Moderado",IF(OR(P171='[9]Tabla Impacto'!$C$15,P171='[9]Tabla Impacto'!$D$15),"Mayor",IF(OR(P171='[9]Tabla Impacto'!$C$16,P171='[9]Tabla Impacto'!$D$16),"Catastrófico","")))))</f>
        <v>Catastrófico</v>
      </c>
      <c r="R171" s="590">
        <f t="shared" si="47"/>
        <v>1</v>
      </c>
      <c r="S171" s="592" t="str">
        <f t="shared" si="48"/>
        <v>Extremo</v>
      </c>
      <c r="T171" s="595">
        <v>4</v>
      </c>
      <c r="U171" s="646" t="s">
        <v>1256</v>
      </c>
      <c r="V171" s="595" t="str">
        <f t="shared" si="54"/>
        <v>Probabilidad</v>
      </c>
      <c r="W171" s="596" t="s">
        <v>197</v>
      </c>
      <c r="X171" s="596" t="s">
        <v>198</v>
      </c>
      <c r="Y171" s="597" t="str">
        <f t="shared" si="49"/>
        <v>40%</v>
      </c>
      <c r="Z171" s="596" t="s">
        <v>199</v>
      </c>
      <c r="AA171" s="596" t="s">
        <v>225</v>
      </c>
      <c r="AB171" s="596" t="s">
        <v>250</v>
      </c>
      <c r="AC171" s="598">
        <f>IFERROR(IF(AND(V170="Probabilidad",V171="Probabilidad"),(AE170-(+AE170*Y171)),IF(AND(V170="Impacto",V171="Probabilidad"),(AE169-(+AE169*Y171)),IF(V171="Impacto",AE170,""))),"")</f>
        <v>8.6399999999999991E-2</v>
      </c>
      <c r="AD171" s="599" t="str">
        <f t="shared" si="50"/>
        <v>Muy Baja</v>
      </c>
      <c r="AE171" s="600">
        <f t="shared" si="51"/>
        <v>8.6399999999999991E-2</v>
      </c>
      <c r="AF171" s="599" t="str">
        <f t="shared" si="52"/>
        <v>Catastrófico</v>
      </c>
      <c r="AG171" s="600">
        <f>IFERROR(IF(AND(V170="Impacto",V171="Impacto"),(AG170-(+AG170*Y171)),IF(AND(V170="Probabilidad",V171="Impacto"),(AG169-(+AG169*Y171)),IF(V171="Probabilidad",AG170,""))),"")</f>
        <v>1</v>
      </c>
      <c r="AH171" s="601" t="str">
        <f t="shared" si="53"/>
        <v>Extremo</v>
      </c>
      <c r="AI171" s="602" t="s">
        <v>202</v>
      </c>
      <c r="AJ171" s="603"/>
      <c r="AK171" s="192"/>
      <c r="AL171" s="603"/>
      <c r="AM171" s="604"/>
      <c r="AN171" s="606"/>
      <c r="AO171" s="607"/>
      <c r="AP171" s="608">
        <v>45757</v>
      </c>
      <c r="AQ171" s="609" t="s">
        <v>809</v>
      </c>
      <c r="AR171" s="283" t="s">
        <v>1257</v>
      </c>
      <c r="AS171" s="611" t="s">
        <v>205</v>
      </c>
      <c r="AT171" s="612" t="s">
        <v>206</v>
      </c>
      <c r="AU171" s="283" t="s">
        <v>811</v>
      </c>
      <c r="AV171" s="613"/>
      <c r="AW171" s="614">
        <v>45782</v>
      </c>
      <c r="AX171" s="615" t="s">
        <v>207</v>
      </c>
      <c r="AY171" s="635" t="s">
        <v>578</v>
      </c>
      <c r="BA171" s="617"/>
      <c r="BB171" s="617"/>
      <c r="BC171" s="618" t="s">
        <v>209</v>
      </c>
      <c r="BE171" s="608">
        <v>45848</v>
      </c>
      <c r="BF171" s="609" t="s">
        <v>812</v>
      </c>
      <c r="BG171" s="283" t="s">
        <v>1257</v>
      </c>
      <c r="BH171" s="641" t="s">
        <v>205</v>
      </c>
      <c r="BI171" s="612" t="s">
        <v>206</v>
      </c>
      <c r="BJ171" s="283" t="s">
        <v>811</v>
      </c>
      <c r="BL171" s="450">
        <v>45861</v>
      </c>
      <c r="BM171" s="676" t="s">
        <v>215</v>
      </c>
      <c r="BN171" s="283" t="s">
        <v>1228</v>
      </c>
      <c r="BP171" s="617"/>
      <c r="BQ171" s="617"/>
      <c r="BR171" s="618" t="s">
        <v>209</v>
      </c>
      <c r="BT171" s="608">
        <v>45944</v>
      </c>
      <c r="BU171" s="283" t="s">
        <v>814</v>
      </c>
      <c r="BV171" s="283" t="s">
        <v>1258</v>
      </c>
      <c r="BW171" s="617" t="s">
        <v>205</v>
      </c>
      <c r="BX171" s="617" t="s">
        <v>206</v>
      </c>
      <c r="BY171" s="617" t="s">
        <v>206</v>
      </c>
      <c r="CA171" s="659">
        <v>45992</v>
      </c>
      <c r="CB171" s="286" t="s">
        <v>218</v>
      </c>
      <c r="CC171" s="286" t="s">
        <v>233</v>
      </c>
      <c r="CE171" s="617"/>
      <c r="CF171" s="617"/>
      <c r="CG171" s="618" t="s">
        <v>209</v>
      </c>
      <c r="CH171" s="192"/>
      <c r="CI171" s="558"/>
      <c r="CJ171" s="558"/>
      <c r="CK171" s="559" t="s">
        <v>209</v>
      </c>
      <c r="CL171" s="558"/>
      <c r="CM171" s="558"/>
      <c r="CN171" s="558"/>
      <c r="CO171" s="553"/>
      <c r="CP171" s="558"/>
      <c r="CQ171" s="558"/>
      <c r="CR171" s="559" t="s">
        <v>209</v>
      </c>
      <c r="CS171" s="553"/>
      <c r="CT171" s="558"/>
      <c r="CU171" s="558"/>
      <c r="CV171" s="559" t="s">
        <v>209</v>
      </c>
    </row>
    <row r="172" spans="1:100" ht="151.5" customHeight="1" x14ac:dyDescent="0.3">
      <c r="A172" s="622">
        <v>75</v>
      </c>
      <c r="B172" s="622" t="s">
        <v>1259</v>
      </c>
      <c r="C172" s="623" t="s">
        <v>1206</v>
      </c>
      <c r="D172" s="585" t="str">
        <f>IFERROR(INDEX('Base de datos gestión'!$D$28:$D$50,MATCH(C172,'Base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72" s="585" t="str">
        <f>IFERROR(INDEX('Base de datos gestión'!$E$28:$E$50,MATCH(C172,'Base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72" s="628" t="s">
        <v>188</v>
      </c>
      <c r="G172" s="631" t="s">
        <v>1260</v>
      </c>
      <c r="H172" s="699" t="s">
        <v>1261</v>
      </c>
      <c r="I172" s="631" t="s">
        <v>1262</v>
      </c>
      <c r="J172" s="630" t="s">
        <v>192</v>
      </c>
      <c r="K172" s="700" t="s">
        <v>311</v>
      </c>
      <c r="L172" s="700">
        <v>5</v>
      </c>
      <c r="M172" s="588" t="str">
        <f t="shared" si="56"/>
        <v>Baja</v>
      </c>
      <c r="N172" s="589">
        <f t="shared" si="55"/>
        <v>0.4</v>
      </c>
      <c r="O172" s="590" t="s">
        <v>452</v>
      </c>
      <c r="P172" s="589" t="str">
        <f>IF(NOT(ISERROR(MATCH(O172,'Tabla Impacto'!$B$222:$B$224,0))),'Tabla Impacto'!$F$224&amp;"Por favor no seleccionar los criterios de impacto(Afectación Económica o presupuestal y Pérdida Reputacional)",O172)</f>
        <v xml:space="preserve">     El riesgo afecta la imagen de la entidad a nivel nacional, con efecto publicitarios sostenible a nivel país</v>
      </c>
      <c r="Q172" s="591" t="str">
        <f>IF(OR(P172='[9]Tabla Impacto'!$C$12,P172='[9]Tabla Impacto'!$D$12),"Leve",IF(OR(P172='[9]Tabla Impacto'!$C$13,P172='[9]Tabla Impacto'!$D$13),"Menor",IF(OR(P172='[9]Tabla Impacto'!$C$14,P172='[9]Tabla Impacto'!$D$14),"Moderado",IF(OR(P172='[9]Tabla Impacto'!$C$15,P172='[9]Tabla Impacto'!$D$15),"Mayor",IF(OR(P172='[9]Tabla Impacto'!$C$16,P172='[9]Tabla Impacto'!$D$16),"Catastrófico","")))))</f>
        <v>Catastrófico</v>
      </c>
      <c r="R172" s="590">
        <f t="shared" si="47"/>
        <v>1</v>
      </c>
      <c r="S172" s="592" t="str">
        <f t="shared" si="48"/>
        <v>Extremo</v>
      </c>
      <c r="T172" s="595">
        <v>1</v>
      </c>
      <c r="U172" s="631" t="s">
        <v>1263</v>
      </c>
      <c r="V172" s="595" t="str">
        <f t="shared" si="54"/>
        <v>Probabilidad</v>
      </c>
      <c r="W172" s="596" t="s">
        <v>197</v>
      </c>
      <c r="X172" s="596" t="s">
        <v>198</v>
      </c>
      <c r="Y172" s="597" t="str">
        <f t="shared" si="49"/>
        <v>40%</v>
      </c>
      <c r="Z172" s="596" t="s">
        <v>199</v>
      </c>
      <c r="AA172" s="596" t="s">
        <v>225</v>
      </c>
      <c r="AB172" s="596" t="s">
        <v>250</v>
      </c>
      <c r="AC172" s="598">
        <f>IFERROR(IF(AND(V171="Probabilidad",V172="Probabilidad"),(AE171-(+AE171*Y172)),IF(AND(V171="Impacto",V172="Probabilidad"),(AE170-(+AE170*Y172)),IF(V172="Impacto",AE171,""))),"")</f>
        <v>5.183999999999999E-2</v>
      </c>
      <c r="AD172" s="599" t="str">
        <f t="shared" si="50"/>
        <v>Muy Baja</v>
      </c>
      <c r="AE172" s="600">
        <f t="shared" si="51"/>
        <v>5.183999999999999E-2</v>
      </c>
      <c r="AF172" s="599" t="str">
        <f t="shared" si="52"/>
        <v>Catastrófico</v>
      </c>
      <c r="AG172" s="600">
        <f>IFERROR(IF(AND(V171="Impacto",V172="Impacto"),(AG171-(+AG171*Y172)),IF(AND(V171="Probabilidad",V172="Impacto"),(AG170-(+AG170*Y172)),IF(V172="Probabilidad",AG171,""))),"")</f>
        <v>1</v>
      </c>
      <c r="AH172" s="601" t="str">
        <f t="shared" si="53"/>
        <v>Extremo</v>
      </c>
      <c r="AI172" s="602" t="s">
        <v>202</v>
      </c>
      <c r="AJ172" s="603"/>
      <c r="AK172" s="192"/>
      <c r="AL172" s="603"/>
      <c r="AM172" s="604"/>
      <c r="AN172" s="606"/>
      <c r="AO172" s="607"/>
      <c r="AP172" s="608">
        <v>45757</v>
      </c>
      <c r="AQ172" s="609" t="s">
        <v>809</v>
      </c>
      <c r="AR172" s="283" t="s">
        <v>1264</v>
      </c>
      <c r="AS172" s="611" t="s">
        <v>205</v>
      </c>
      <c r="AT172" s="612" t="s">
        <v>206</v>
      </c>
      <c r="AU172" s="283" t="s">
        <v>811</v>
      </c>
      <c r="AV172" s="613"/>
      <c r="AW172" s="614">
        <v>45782</v>
      </c>
      <c r="AX172" s="615" t="s">
        <v>207</v>
      </c>
      <c r="AY172" s="635" t="s">
        <v>578</v>
      </c>
      <c r="BA172" s="617"/>
      <c r="BB172" s="617"/>
      <c r="BC172" s="618" t="s">
        <v>209</v>
      </c>
      <c r="BE172" s="608">
        <v>45848</v>
      </c>
      <c r="BF172" s="609" t="s">
        <v>812</v>
      </c>
      <c r="BG172" s="283" t="s">
        <v>1265</v>
      </c>
      <c r="BH172" s="641" t="s">
        <v>205</v>
      </c>
      <c r="BI172" s="612" t="s">
        <v>206</v>
      </c>
      <c r="BJ172" s="283" t="s">
        <v>811</v>
      </c>
      <c r="BL172" s="450">
        <v>45861</v>
      </c>
      <c r="BM172" s="676" t="s">
        <v>215</v>
      </c>
      <c r="BN172" s="283" t="s">
        <v>1228</v>
      </c>
      <c r="BP172" s="617"/>
      <c r="BQ172" s="617"/>
      <c r="BR172" s="618" t="s">
        <v>209</v>
      </c>
      <c r="BT172" s="608">
        <v>45944</v>
      </c>
      <c r="BU172" s="283" t="s">
        <v>814</v>
      </c>
      <c r="BV172" s="283" t="s">
        <v>1266</v>
      </c>
      <c r="BW172" s="617" t="s">
        <v>205</v>
      </c>
      <c r="BX172" s="617" t="s">
        <v>206</v>
      </c>
      <c r="BY172" s="617" t="s">
        <v>206</v>
      </c>
      <c r="CA172" s="659">
        <v>45992</v>
      </c>
      <c r="CB172" s="286" t="s">
        <v>218</v>
      </c>
      <c r="CC172" s="286" t="s">
        <v>233</v>
      </c>
      <c r="CE172" s="617"/>
      <c r="CF172" s="617"/>
      <c r="CG172" s="618" t="s">
        <v>209</v>
      </c>
      <c r="CH172" s="192"/>
      <c r="CI172" s="558"/>
      <c r="CJ172" s="558"/>
      <c r="CK172" s="559" t="s">
        <v>209</v>
      </c>
      <c r="CL172" s="558"/>
      <c r="CM172" s="558"/>
      <c r="CN172" s="558"/>
      <c r="CO172" s="553"/>
      <c r="CP172" s="558"/>
      <c r="CQ172" s="558"/>
      <c r="CR172" s="559" t="s">
        <v>209</v>
      </c>
      <c r="CS172" s="553"/>
      <c r="CT172" s="558"/>
      <c r="CU172" s="558"/>
      <c r="CV172" s="559" t="s">
        <v>209</v>
      </c>
    </row>
    <row r="173" spans="1:100" ht="151.5" customHeight="1" x14ac:dyDescent="0.3">
      <c r="A173" s="622">
        <v>75</v>
      </c>
      <c r="B173" s="622" t="s">
        <v>1259</v>
      </c>
      <c r="C173" s="623" t="s">
        <v>1206</v>
      </c>
      <c r="D173" s="585" t="str">
        <f>IFERROR(INDEX('Base de datos gestión'!$D$28:$D$50,MATCH(C173,'Base de datos gestión'!$C$28:$C$50,0)), 0)</f>
        <v>Impulsar permanentemente las competencias metrológicas del país a través del establecimiento y operación de la USN (Unidad Sectorial de Normalización), al igual que el desarrollo de espacios de interacción y comunicación, liderados por el INM, donde de acuerdo con planes de trabajo establecidos se identifiquen necesidades y capacidades para proponer herramientas que permitan fortalecer la metrología científica e industrial y consolidar la confianza en los servicios metrológicos.</v>
      </c>
      <c r="E173" s="585" t="str">
        <f>IFERROR(INDEX('Base de datos gestión'!$E$28:$E$50,MATCH(C173,'Base de datos gestión'!$C$28:$C$50,0)), 0)</f>
        <v>Inicia con la detección de las necesidades en metrología hasta la prestación de los servicios metrológicos a los laboratorios de metrología de nivel nacional, creando sinergias que permitan la gestión del conocimiento y la actuación compartida entre diferentes instituciones.</v>
      </c>
      <c r="F173" s="628" t="s">
        <v>188</v>
      </c>
      <c r="G173" s="631" t="s">
        <v>1260</v>
      </c>
      <c r="H173" s="699" t="s">
        <v>1261</v>
      </c>
      <c r="I173" s="631" t="s">
        <v>1262</v>
      </c>
      <c r="J173" s="630" t="s">
        <v>192</v>
      </c>
      <c r="K173" s="700" t="s">
        <v>311</v>
      </c>
      <c r="L173" s="700">
        <v>5</v>
      </c>
      <c r="M173" s="588" t="str">
        <f t="shared" si="56"/>
        <v>Baja</v>
      </c>
      <c r="N173" s="589">
        <f t="shared" si="55"/>
        <v>0.4</v>
      </c>
      <c r="O173" s="590" t="s">
        <v>452</v>
      </c>
      <c r="P173" s="589" t="str">
        <f>IF(NOT(ISERROR(MATCH(O173,'Tabla Impacto'!$B$222:$B$224,0))),'Tabla Impacto'!$F$224&amp;"Por favor no seleccionar los criterios de impacto(Afectación Económica o presupuestal y Pérdida Reputacional)",O173)</f>
        <v xml:space="preserve">     El riesgo afecta la imagen de la entidad a nivel nacional, con efecto publicitarios sostenible a nivel país</v>
      </c>
      <c r="Q173" s="591" t="str">
        <f>IF(OR(P173='[9]Tabla Impacto'!$C$12,P173='[9]Tabla Impacto'!$D$12),"Leve",IF(OR(P173='[9]Tabla Impacto'!$C$13,P173='[9]Tabla Impacto'!$D$13),"Menor",IF(OR(P173='[9]Tabla Impacto'!$C$14,P173='[9]Tabla Impacto'!$D$14),"Moderado",IF(OR(P173='[9]Tabla Impacto'!$C$15,P173='[9]Tabla Impacto'!$D$15),"Mayor",IF(OR(P173='[9]Tabla Impacto'!$C$16,P173='[9]Tabla Impacto'!$D$16),"Catastrófico","")))))</f>
        <v>Catastrófico</v>
      </c>
      <c r="R173" s="590">
        <f t="shared" si="47"/>
        <v>1</v>
      </c>
      <c r="S173" s="592" t="str">
        <f t="shared" si="48"/>
        <v>Extremo</v>
      </c>
      <c r="T173" s="595">
        <v>2</v>
      </c>
      <c r="U173" s="646" t="s">
        <v>1267</v>
      </c>
      <c r="V173" s="595" t="str">
        <f t="shared" si="54"/>
        <v>Probabilidad</v>
      </c>
      <c r="W173" s="596" t="s">
        <v>197</v>
      </c>
      <c r="X173" s="596" t="s">
        <v>198</v>
      </c>
      <c r="Y173" s="597" t="str">
        <f t="shared" si="49"/>
        <v>40%</v>
      </c>
      <c r="Z173" s="596" t="s">
        <v>199</v>
      </c>
      <c r="AA173" s="596" t="s">
        <v>225</v>
      </c>
      <c r="AB173" s="596" t="s">
        <v>250</v>
      </c>
      <c r="AC173" s="598">
        <f>IFERROR(IF(AND(V172="Probabilidad",V173="Probabilidad"),(AE172-(+AE172*Y173)),IF(AND(V172="Impacto",V173="Probabilidad"),(AE171-(+AE171*Y173)),IF(V173="Impacto",AE172,""))),"")</f>
        <v>3.1103999999999993E-2</v>
      </c>
      <c r="AD173" s="599" t="str">
        <f t="shared" si="50"/>
        <v>Muy Baja</v>
      </c>
      <c r="AE173" s="600">
        <f t="shared" si="51"/>
        <v>3.1103999999999993E-2</v>
      </c>
      <c r="AF173" s="599" t="str">
        <f t="shared" si="52"/>
        <v>Catastrófico</v>
      </c>
      <c r="AG173" s="600">
        <f>IFERROR(IF(AND(V172="Impacto",V173="Impacto"),(AG172-(+AG172*Y173)),IF(AND(V172="Probabilidad",V173="Impacto"),(AG171-(+AG171*Y173)),IF(V173="Probabilidad",AG172,""))),"")</f>
        <v>1</v>
      </c>
      <c r="AH173" s="601" t="str">
        <f t="shared" si="53"/>
        <v>Extremo</v>
      </c>
      <c r="AI173" s="602" t="s">
        <v>202</v>
      </c>
      <c r="AJ173" s="603"/>
      <c r="AK173" s="192"/>
      <c r="AL173" s="603"/>
      <c r="AM173" s="604"/>
      <c r="AN173" s="606"/>
      <c r="AO173" s="607"/>
      <c r="AP173" s="608">
        <v>45757</v>
      </c>
      <c r="AQ173" s="609" t="s">
        <v>809</v>
      </c>
      <c r="AR173" s="283" t="s">
        <v>1257</v>
      </c>
      <c r="AS173" s="611" t="s">
        <v>205</v>
      </c>
      <c r="AT173" s="612" t="s">
        <v>206</v>
      </c>
      <c r="AU173" s="283" t="s">
        <v>811</v>
      </c>
      <c r="AV173" s="613"/>
      <c r="AW173" s="614">
        <v>45782</v>
      </c>
      <c r="AX173" s="615" t="s">
        <v>207</v>
      </c>
      <c r="AY173" s="635" t="s">
        <v>578</v>
      </c>
      <c r="BA173" s="617"/>
      <c r="BB173" s="617"/>
      <c r="BC173" s="618" t="s">
        <v>209</v>
      </c>
      <c r="BE173" s="608">
        <v>45848</v>
      </c>
      <c r="BF173" s="609" t="s">
        <v>812</v>
      </c>
      <c r="BG173" s="283" t="s">
        <v>1257</v>
      </c>
      <c r="BH173" s="641" t="s">
        <v>205</v>
      </c>
      <c r="BI173" s="612" t="s">
        <v>206</v>
      </c>
      <c r="BJ173" s="283" t="s">
        <v>811</v>
      </c>
      <c r="BL173" s="450">
        <v>45861</v>
      </c>
      <c r="BM173" s="676" t="s">
        <v>215</v>
      </c>
      <c r="BN173" s="283" t="s">
        <v>1228</v>
      </c>
      <c r="BP173" s="617"/>
      <c r="BQ173" s="617"/>
      <c r="BR173" s="618" t="s">
        <v>209</v>
      </c>
      <c r="BT173" s="608">
        <v>45944</v>
      </c>
      <c r="BU173" s="283" t="s">
        <v>814</v>
      </c>
      <c r="BV173" s="283" t="s">
        <v>1268</v>
      </c>
      <c r="BW173" s="617" t="s">
        <v>205</v>
      </c>
      <c r="BX173" s="617" t="s">
        <v>206</v>
      </c>
      <c r="BY173" s="617" t="s">
        <v>206</v>
      </c>
      <c r="CA173" s="659">
        <v>45992</v>
      </c>
      <c r="CB173" s="286" t="s">
        <v>218</v>
      </c>
      <c r="CC173" s="286" t="s">
        <v>233</v>
      </c>
      <c r="CE173" s="617"/>
      <c r="CF173" s="617"/>
      <c r="CG173" s="618" t="s">
        <v>209</v>
      </c>
      <c r="CH173" s="192"/>
      <c r="CI173" s="558"/>
      <c r="CJ173" s="558"/>
      <c r="CK173" s="559" t="s">
        <v>209</v>
      </c>
      <c r="CL173" s="558"/>
      <c r="CM173" s="558"/>
      <c r="CN173" s="558"/>
      <c r="CO173" s="553"/>
      <c r="CP173" s="558"/>
      <c r="CQ173" s="558"/>
      <c r="CR173" s="559" t="s">
        <v>209</v>
      </c>
      <c r="CS173" s="553"/>
      <c r="CT173" s="558"/>
      <c r="CU173" s="558"/>
      <c r="CV173" s="559" t="s">
        <v>209</v>
      </c>
    </row>
    <row r="174" spans="1:100" ht="151.5" customHeight="1" x14ac:dyDescent="0.3">
      <c r="A174" s="632">
        <v>76</v>
      </c>
      <c r="B174" s="632" t="s">
        <v>1269</v>
      </c>
      <c r="C174" s="633" t="s">
        <v>1270</v>
      </c>
      <c r="D174" s="585" t="str">
        <f>IFERROR(INDEX('Base de datos gestión'!$D$28:$D$50,MATCH(C174,'Base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4" s="585" t="str">
        <f>IFERROR(INDEX('Base de datos gestión'!$E$28:$E$50,MATCH(C174,'Base de datos gestión'!$C$28:$C$50,0)), 0)</f>
        <v>Inicia desde la desagregación del presupuesto de gastos e ingresos y termina con la gestión del pago y el registro de las operaciones.</v>
      </c>
      <c r="F174" s="628" t="s">
        <v>276</v>
      </c>
      <c r="G174" s="629" t="s">
        <v>1271</v>
      </c>
      <c r="H174" s="628" t="s">
        <v>1272</v>
      </c>
      <c r="I174" s="628" t="s">
        <v>1273</v>
      </c>
      <c r="J174" s="630" t="s">
        <v>280</v>
      </c>
      <c r="K174" s="630" t="s">
        <v>1274</v>
      </c>
      <c r="L174" s="630">
        <v>5001</v>
      </c>
      <c r="M174" s="588" t="str">
        <f t="shared" si="56"/>
        <v>Muy Alta</v>
      </c>
      <c r="N174" s="589">
        <f t="shared" si="55"/>
        <v>1</v>
      </c>
      <c r="O174" s="590" t="s">
        <v>248</v>
      </c>
      <c r="P174" s="589" t="str">
        <f>IF(NOT(ISERROR(MATCH(O174,'Tabla Impacto'!$B$222:$B$224,0))),'Tabla Impacto'!$F$224&amp;"Por favor no seleccionar los criterios de impacto(Afectación Económica o presupuestal y Pérdida Reputacional)",O174)</f>
        <v xml:space="preserve">     El riesgo afecta la imagen de la entidad con algunos usuarios de relevancia frente al logro de los objetivos</v>
      </c>
      <c r="Q174" s="591" t="str">
        <f>IF(OR(P174='[8]Tabla Impacto'!$C$12,P174='[8]Tabla Impacto'!$D$12),"Leve",IF(OR(P174='[8]Tabla Impacto'!$C$13,P174='[8]Tabla Impacto'!$D$13),"Menor",IF(OR(P174='[8]Tabla Impacto'!$C$14,P174='[8]Tabla Impacto'!$D$14),"Moderado",IF(OR(P174='[8]Tabla Impacto'!$C$15,P174='[8]Tabla Impacto'!$D$15),"Mayor",IF(OR(P174='[8]Tabla Impacto'!$C$16,P174='[8]Tabla Impacto'!$D$16),"Catastrófico","")))))</f>
        <v>Moderado</v>
      </c>
      <c r="R174" s="590">
        <f t="shared" si="47"/>
        <v>0.6</v>
      </c>
      <c r="S174" s="592" t="str">
        <f t="shared" si="48"/>
        <v>Alto</v>
      </c>
      <c r="T174" s="595">
        <v>2</v>
      </c>
      <c r="U174" s="631" t="s">
        <v>1275</v>
      </c>
      <c r="V174" s="595" t="str">
        <f t="shared" si="54"/>
        <v>Probabilidad</v>
      </c>
      <c r="W174" s="596" t="s">
        <v>197</v>
      </c>
      <c r="X174" s="596" t="s">
        <v>198</v>
      </c>
      <c r="Y174" s="597" t="str">
        <f t="shared" si="49"/>
        <v>40%</v>
      </c>
      <c r="Z174" s="596" t="s">
        <v>259</v>
      </c>
      <c r="AA174" s="596" t="s">
        <v>200</v>
      </c>
      <c r="AB174" s="596" t="s">
        <v>201</v>
      </c>
      <c r="AC174" s="598">
        <f>IFERROR(IF(AND(V173="Probabilidad",V174="Probabilidad"),(AE173-(+AE173*Y174)),IF(AND(V173="Impacto",V174="Probabilidad"),(AE172-(+AE172*Y174)),IF(V174="Impacto",AE173,""))),"")</f>
        <v>1.8662399999999996E-2</v>
      </c>
      <c r="AD174" s="599" t="str">
        <f t="shared" si="50"/>
        <v>Muy Baja</v>
      </c>
      <c r="AE174" s="600">
        <f t="shared" si="51"/>
        <v>1.8662399999999996E-2</v>
      </c>
      <c r="AF174" s="599" t="str">
        <f t="shared" si="52"/>
        <v>Catastrófico</v>
      </c>
      <c r="AG174" s="600">
        <f>IFERROR(IF(AND(V173="Impacto",V174="Impacto"),(AG173-(+AG173*Y174)),IF(AND(V173="Probabilidad",V174="Impacto"),(AG172-(+AG172*Y174)),IF(V174="Probabilidad",AG173,""))),"")</f>
        <v>1</v>
      </c>
      <c r="AH174" s="601" t="str">
        <f t="shared" si="53"/>
        <v>Extremo</v>
      </c>
      <c r="AI174" s="602" t="s">
        <v>202</v>
      </c>
      <c r="AJ174" s="603"/>
      <c r="AK174" s="192"/>
      <c r="AL174" s="603"/>
      <c r="AM174" s="604"/>
      <c r="AN174" s="606"/>
      <c r="AO174" s="607"/>
      <c r="AP174" s="608">
        <v>45756</v>
      </c>
      <c r="AQ174" s="609" t="s">
        <v>1276</v>
      </c>
      <c r="AR174" s="283" t="s">
        <v>1277</v>
      </c>
      <c r="AS174" s="611" t="s">
        <v>205</v>
      </c>
      <c r="AT174" s="612" t="s">
        <v>206</v>
      </c>
      <c r="AU174" s="283" t="s">
        <v>206</v>
      </c>
      <c r="AV174" s="613"/>
      <c r="AW174" s="614">
        <v>45782</v>
      </c>
      <c r="AX174" s="615" t="s">
        <v>207</v>
      </c>
      <c r="AY174" s="635" t="s">
        <v>578</v>
      </c>
      <c r="BA174" s="617"/>
      <c r="BB174" s="617"/>
      <c r="BC174" s="618" t="s">
        <v>209</v>
      </c>
      <c r="BE174" s="608">
        <v>45861</v>
      </c>
      <c r="BF174" s="609" t="s">
        <v>1278</v>
      </c>
      <c r="BG174" s="283" t="s">
        <v>1279</v>
      </c>
      <c r="BH174" s="641" t="s">
        <v>205</v>
      </c>
      <c r="BI174" s="612" t="s">
        <v>206</v>
      </c>
      <c r="BJ174" s="283" t="s">
        <v>206</v>
      </c>
      <c r="BL174" s="450">
        <v>45861</v>
      </c>
      <c r="BM174" s="676" t="s">
        <v>215</v>
      </c>
      <c r="BN174" s="283" t="s">
        <v>1228</v>
      </c>
      <c r="BP174" s="617"/>
      <c r="BQ174" s="617"/>
      <c r="BR174" s="618" t="s">
        <v>209</v>
      </c>
      <c r="BT174" s="608">
        <v>45945</v>
      </c>
      <c r="BU174" s="609" t="s">
        <v>1280</v>
      </c>
      <c r="BV174" s="283" t="s">
        <v>1281</v>
      </c>
      <c r="BW174" s="641" t="s">
        <v>205</v>
      </c>
      <c r="BX174" s="612" t="s">
        <v>206</v>
      </c>
      <c r="BY174" s="283" t="s">
        <v>206</v>
      </c>
      <c r="CA174" s="614">
        <v>45986</v>
      </c>
      <c r="CB174" s="616" t="s">
        <v>218</v>
      </c>
      <c r="CC174" s="643" t="s">
        <v>1282</v>
      </c>
      <c r="CE174" s="617"/>
      <c r="CF174" s="617"/>
      <c r="CG174" s="618" t="s">
        <v>209</v>
      </c>
      <c r="CH174" s="192"/>
      <c r="CI174" s="558"/>
      <c r="CJ174" s="558"/>
      <c r="CK174" s="559" t="s">
        <v>209</v>
      </c>
      <c r="CL174" s="558"/>
      <c r="CM174" s="558"/>
      <c r="CN174" s="558"/>
      <c r="CO174" s="553"/>
      <c r="CP174" s="558"/>
      <c r="CQ174" s="558"/>
      <c r="CR174" s="559" t="s">
        <v>209</v>
      </c>
      <c r="CS174" s="553"/>
      <c r="CT174" s="558"/>
      <c r="CU174" s="558"/>
      <c r="CV174" s="559" t="s">
        <v>209</v>
      </c>
    </row>
    <row r="175" spans="1:100" ht="151.5" customHeight="1" x14ac:dyDescent="0.3">
      <c r="A175" s="632">
        <v>76</v>
      </c>
      <c r="B175" s="584" t="s">
        <v>1269</v>
      </c>
      <c r="C175" s="585" t="s">
        <v>1270</v>
      </c>
      <c r="D175" s="585" t="str">
        <f>IFERROR(INDEX('Base de datos gestión'!$D$28:$D$50,MATCH(C175,'Base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5" s="585" t="str">
        <f>IFERROR(INDEX('Base de datos gestión'!$E$28:$E$50,MATCH(C175,'Base de datos gestión'!$C$28:$C$50,0)), 0)</f>
        <v>Inicia desde la desagregación del presupuesto de gastos e ingresos y termina con la gestión del pago y el registro de las operaciones.</v>
      </c>
      <c r="F175" s="628" t="s">
        <v>276</v>
      </c>
      <c r="G175" s="629" t="s">
        <v>1271</v>
      </c>
      <c r="H175" s="628" t="s">
        <v>1272</v>
      </c>
      <c r="I175" s="628" t="s">
        <v>1273</v>
      </c>
      <c r="J175" s="630" t="s">
        <v>280</v>
      </c>
      <c r="K175" s="630" t="s">
        <v>1274</v>
      </c>
      <c r="L175" s="630">
        <v>5001</v>
      </c>
      <c r="M175" s="588" t="str">
        <f t="shared" si="56"/>
        <v>Muy Alta</v>
      </c>
      <c r="N175" s="589">
        <f t="shared" si="55"/>
        <v>1</v>
      </c>
      <c r="O175" s="590" t="s">
        <v>248</v>
      </c>
      <c r="P175" s="589" t="str">
        <f>IF(NOT(ISERROR(MATCH(O175,'Tabla Impacto'!$B$222:$B$224,0))),'Tabla Impacto'!$F$224&amp;"Por favor no seleccionar los criterios de impacto(Afectación Económica o presupuestal y Pérdida Reputacional)",O175)</f>
        <v xml:space="preserve">     El riesgo afecta la imagen de la entidad con algunos usuarios de relevancia frente al logro de los objetivos</v>
      </c>
      <c r="Q175" s="591" t="str">
        <f>IF(OR(P175='[8]Tabla Impacto'!$C$12,P175='[8]Tabla Impacto'!$D$12),"Leve",IF(OR(P175='[8]Tabla Impacto'!$C$13,P175='[8]Tabla Impacto'!$D$13),"Menor",IF(OR(P175='[8]Tabla Impacto'!$C$14,P175='[8]Tabla Impacto'!$D$14),"Moderado",IF(OR(P175='[8]Tabla Impacto'!$C$15,P175='[8]Tabla Impacto'!$D$15),"Mayor",IF(OR(P175='[8]Tabla Impacto'!$C$16,P175='[8]Tabla Impacto'!$D$16),"Catastrófico","")))))</f>
        <v>Moderado</v>
      </c>
      <c r="R175" s="590">
        <f t="shared" si="47"/>
        <v>0.6</v>
      </c>
      <c r="S175" s="592" t="str">
        <f t="shared" si="48"/>
        <v>Alto</v>
      </c>
      <c r="T175" s="595">
        <v>3</v>
      </c>
      <c r="U175" s="631" t="s">
        <v>1283</v>
      </c>
      <c r="V175" s="595" t="str">
        <f t="shared" si="54"/>
        <v>Probabilidad</v>
      </c>
      <c r="W175" s="596" t="s">
        <v>269</v>
      </c>
      <c r="X175" s="596" t="s">
        <v>198</v>
      </c>
      <c r="Y175" s="597" t="str">
        <f t="shared" si="49"/>
        <v>30%</v>
      </c>
      <c r="Z175" s="596" t="s">
        <v>259</v>
      </c>
      <c r="AA175" s="596" t="s">
        <v>200</v>
      </c>
      <c r="AB175" s="596" t="s">
        <v>201</v>
      </c>
      <c r="AC175" s="598">
        <f>IFERROR(IF(V175="Probabilidad",(N175-(+N175*Y175)),IF(V175="Impacto",N175,"")),"")</f>
        <v>0.7</v>
      </c>
      <c r="AD175" s="599" t="str">
        <f t="shared" si="50"/>
        <v>Alta</v>
      </c>
      <c r="AE175" s="600">
        <f t="shared" si="51"/>
        <v>0.7</v>
      </c>
      <c r="AF175" s="599" t="str">
        <f t="shared" si="52"/>
        <v>Moderado</v>
      </c>
      <c r="AG175" s="600">
        <f>IFERROR(IF(V175="Impacto",(R175-(+R175*Y175)),IF(V175="Probabilidad",R175,"")),"")</f>
        <v>0.6</v>
      </c>
      <c r="AH175" s="601" t="str">
        <f t="shared" si="53"/>
        <v>Alto</v>
      </c>
      <c r="AI175" s="602" t="s">
        <v>202</v>
      </c>
      <c r="AJ175" s="603"/>
      <c r="AK175" s="192"/>
      <c r="AL175" s="603"/>
      <c r="AM175" s="604"/>
      <c r="AN175" s="606"/>
      <c r="AO175" s="607"/>
      <c r="AP175" s="608">
        <v>45756</v>
      </c>
      <c r="AQ175" s="609" t="s">
        <v>1276</v>
      </c>
      <c r="AR175" s="283" t="s">
        <v>1284</v>
      </c>
      <c r="AS175" s="611" t="s">
        <v>205</v>
      </c>
      <c r="AT175" s="612" t="s">
        <v>206</v>
      </c>
      <c r="AU175" s="283" t="s">
        <v>206</v>
      </c>
      <c r="AV175" s="613"/>
      <c r="AW175" s="614">
        <v>45782</v>
      </c>
      <c r="AX175" s="615" t="s">
        <v>207</v>
      </c>
      <c r="AY175" s="635" t="s">
        <v>578</v>
      </c>
      <c r="BA175" s="617"/>
      <c r="BB175" s="617"/>
      <c r="BC175" s="618" t="s">
        <v>209</v>
      </c>
      <c r="BE175" s="608">
        <v>45861</v>
      </c>
      <c r="BF175" s="609" t="s">
        <v>1278</v>
      </c>
      <c r="BG175" s="283" t="s">
        <v>1285</v>
      </c>
      <c r="BH175" s="641" t="s">
        <v>205</v>
      </c>
      <c r="BI175" s="612" t="s">
        <v>206</v>
      </c>
      <c r="BJ175" s="283" t="s">
        <v>206</v>
      </c>
      <c r="BL175" s="450">
        <v>45861</v>
      </c>
      <c r="BM175" s="676" t="s">
        <v>215</v>
      </c>
      <c r="BN175" s="283" t="s">
        <v>1228</v>
      </c>
      <c r="BP175" s="617"/>
      <c r="BQ175" s="617"/>
      <c r="BR175" s="618" t="s">
        <v>209</v>
      </c>
      <c r="BT175" s="608">
        <v>45945</v>
      </c>
      <c r="BU175" s="609" t="s">
        <v>1280</v>
      </c>
      <c r="BV175" s="283" t="s">
        <v>1286</v>
      </c>
      <c r="BW175" s="641" t="s">
        <v>205</v>
      </c>
      <c r="BX175" s="612" t="s">
        <v>206</v>
      </c>
      <c r="BY175" s="283" t="s">
        <v>206</v>
      </c>
      <c r="CA175" s="680">
        <v>45986</v>
      </c>
      <c r="CB175" s="616" t="s">
        <v>218</v>
      </c>
      <c r="CC175" s="643" t="s">
        <v>1282</v>
      </c>
      <c r="CE175" s="617"/>
      <c r="CF175" s="617"/>
      <c r="CG175" s="618" t="s">
        <v>209</v>
      </c>
      <c r="CH175" s="192"/>
      <c r="CI175" s="558"/>
      <c r="CJ175" s="558"/>
      <c r="CK175" s="559" t="s">
        <v>209</v>
      </c>
      <c r="CL175" s="558"/>
      <c r="CM175" s="558"/>
      <c r="CN175" s="558"/>
      <c r="CO175" s="553"/>
      <c r="CP175" s="558"/>
      <c r="CQ175" s="558"/>
      <c r="CR175" s="559" t="s">
        <v>209</v>
      </c>
      <c r="CS175" s="553"/>
      <c r="CT175" s="558"/>
      <c r="CU175" s="558"/>
      <c r="CV175" s="559" t="s">
        <v>209</v>
      </c>
    </row>
    <row r="176" spans="1:100" ht="151.5" customHeight="1" x14ac:dyDescent="0.3">
      <c r="A176" s="622">
        <v>76</v>
      </c>
      <c r="B176" s="622" t="s">
        <v>1269</v>
      </c>
      <c r="C176" s="623" t="s">
        <v>1270</v>
      </c>
      <c r="D176" s="585" t="str">
        <f>IFERROR(INDEX('Base de datos gestión'!$D$28:$D$50,MATCH(C176,'Base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6" s="585" t="str">
        <f>IFERROR(INDEX('Base de datos gestión'!$E$28:$E$50,MATCH(C176,'Base de datos gestión'!$C$28:$C$50,0)), 0)</f>
        <v>Inicia desde la desagregación del presupuesto de gastos e ingresos y termina con la gestión del pago y el registro de las operaciones.</v>
      </c>
      <c r="F176" s="628" t="s">
        <v>276</v>
      </c>
      <c r="G176" s="629" t="s">
        <v>1271</v>
      </c>
      <c r="H176" s="628" t="s">
        <v>1272</v>
      </c>
      <c r="I176" s="628" t="s">
        <v>1273</v>
      </c>
      <c r="J176" s="630" t="s">
        <v>280</v>
      </c>
      <c r="K176" s="630" t="s">
        <v>1274</v>
      </c>
      <c r="L176" s="630">
        <v>5001</v>
      </c>
      <c r="M176" s="588" t="str">
        <f t="shared" si="56"/>
        <v>Muy Alta</v>
      </c>
      <c r="N176" s="589">
        <f t="shared" si="55"/>
        <v>1</v>
      </c>
      <c r="O176" s="590" t="s">
        <v>248</v>
      </c>
      <c r="P176" s="589" t="str">
        <f>IF(NOT(ISERROR(MATCH(O176,'Tabla Impacto'!$B$222:$B$224,0))),'Tabla Impacto'!$F$224&amp;"Por favor no seleccionar los criterios de impacto(Afectación Económica o presupuestal y Pérdida Reputacional)",O176)</f>
        <v xml:space="preserve">     El riesgo afecta la imagen de la entidad con algunos usuarios de relevancia frente al logro de los objetivos</v>
      </c>
      <c r="Q176" s="591" t="str">
        <f>IF(OR(P176='[8]Tabla Impacto'!$C$12,P176='[8]Tabla Impacto'!$D$12),"Leve",IF(OR(P176='[8]Tabla Impacto'!$C$13,P176='[8]Tabla Impacto'!$D$13),"Menor",IF(OR(P176='[8]Tabla Impacto'!$C$14,P176='[8]Tabla Impacto'!$D$14),"Moderado",IF(OR(P176='[8]Tabla Impacto'!$C$15,P176='[8]Tabla Impacto'!$D$15),"Mayor",IF(OR(P176='[8]Tabla Impacto'!$C$16,P176='[8]Tabla Impacto'!$D$16),"Catastrófico","")))))</f>
        <v>Moderado</v>
      </c>
      <c r="R176" s="590">
        <f t="shared" si="47"/>
        <v>0.6</v>
      </c>
      <c r="S176" s="592" t="str">
        <f t="shared" si="48"/>
        <v>Alto</v>
      </c>
      <c r="T176" s="595">
        <v>4</v>
      </c>
      <c r="U176" s="631" t="s">
        <v>1287</v>
      </c>
      <c r="V176" s="595" t="str">
        <f t="shared" si="54"/>
        <v>Probabilidad</v>
      </c>
      <c r="W176" s="596" t="s">
        <v>269</v>
      </c>
      <c r="X176" s="596" t="s">
        <v>198</v>
      </c>
      <c r="Y176" s="597" t="str">
        <f t="shared" si="49"/>
        <v>30%</v>
      </c>
      <c r="Z176" s="596" t="s">
        <v>259</v>
      </c>
      <c r="AA176" s="596" t="s">
        <v>200</v>
      </c>
      <c r="AB176" s="596" t="s">
        <v>201</v>
      </c>
      <c r="AC176" s="598">
        <f>IFERROR(IF(AND(V175="Probabilidad",V176="Probabilidad"),(AE175-(+AE175*Y176)),IF(V176="Probabilidad",(N175-(+N175*Y176)),IF(V176="Impacto",AE175,""))),"")</f>
        <v>0.49</v>
      </c>
      <c r="AD176" s="599" t="str">
        <f t="shared" si="50"/>
        <v>Media</v>
      </c>
      <c r="AE176" s="600">
        <f t="shared" si="51"/>
        <v>0.49</v>
      </c>
      <c r="AF176" s="599" t="str">
        <f t="shared" si="52"/>
        <v>Catastrófico</v>
      </c>
      <c r="AG176" s="600">
        <f>IFERROR(IF(AND(V175="Impacto",V176="Impacto"),(AG169-(+AG169*Y176)),IF(V176="Impacto",($R$55-(+$R$55*Y176)),IF(V176="Probabilidad",AG169,""))),"")</f>
        <v>1</v>
      </c>
      <c r="AH176" s="601" t="str">
        <f t="shared" si="53"/>
        <v>Extremo</v>
      </c>
      <c r="AI176" s="602" t="s">
        <v>202</v>
      </c>
      <c r="AJ176" s="603"/>
      <c r="AK176" s="192"/>
      <c r="AL176" s="603"/>
      <c r="AM176" s="604"/>
      <c r="AN176" s="606"/>
      <c r="AO176" s="607"/>
      <c r="AP176" s="608">
        <v>45756</v>
      </c>
      <c r="AQ176" s="609" t="s">
        <v>1276</v>
      </c>
      <c r="AR176" s="286" t="s">
        <v>1288</v>
      </c>
      <c r="AS176" s="611" t="s">
        <v>205</v>
      </c>
      <c r="AT176" s="612" t="s">
        <v>206</v>
      </c>
      <c r="AU176" s="283" t="s">
        <v>206</v>
      </c>
      <c r="AV176" s="613"/>
      <c r="AW176" s="614">
        <v>45782</v>
      </c>
      <c r="AX176" s="615" t="s">
        <v>207</v>
      </c>
      <c r="AY176" s="635" t="s">
        <v>578</v>
      </c>
      <c r="BA176" s="617"/>
      <c r="BB176" s="617"/>
      <c r="BC176" s="618" t="s">
        <v>209</v>
      </c>
      <c r="BE176" s="608">
        <v>45861</v>
      </c>
      <c r="BF176" s="609" t="s">
        <v>1278</v>
      </c>
      <c r="BG176" s="286" t="s">
        <v>1289</v>
      </c>
      <c r="BH176" s="641" t="s">
        <v>205</v>
      </c>
      <c r="BI176" s="612" t="s">
        <v>206</v>
      </c>
      <c r="BJ176" s="283" t="s">
        <v>206</v>
      </c>
      <c r="BL176" s="450">
        <v>45861</v>
      </c>
      <c r="BM176" s="676" t="s">
        <v>215</v>
      </c>
      <c r="BN176" s="283" t="s">
        <v>1228</v>
      </c>
      <c r="BP176" s="617"/>
      <c r="BQ176" s="617"/>
      <c r="BR176" s="618" t="s">
        <v>209</v>
      </c>
      <c r="BT176" s="608">
        <v>45945</v>
      </c>
      <c r="BU176" s="609" t="s">
        <v>1280</v>
      </c>
      <c r="BV176" s="286" t="s">
        <v>1290</v>
      </c>
      <c r="BW176" s="641" t="s">
        <v>205</v>
      </c>
      <c r="BX176" s="612" t="s">
        <v>206</v>
      </c>
      <c r="BY176" s="283" t="s">
        <v>206</v>
      </c>
      <c r="CA176" s="680">
        <v>45986</v>
      </c>
      <c r="CB176" s="616" t="s">
        <v>218</v>
      </c>
      <c r="CC176" s="643" t="s">
        <v>1282</v>
      </c>
      <c r="CE176" s="617"/>
      <c r="CF176" s="617"/>
      <c r="CG176" s="618" t="s">
        <v>209</v>
      </c>
      <c r="CH176" s="192"/>
      <c r="CI176" s="558"/>
      <c r="CJ176" s="558"/>
      <c r="CK176" s="559" t="s">
        <v>209</v>
      </c>
      <c r="CL176" s="558"/>
      <c r="CM176" s="558"/>
      <c r="CN176" s="558"/>
      <c r="CO176" s="553"/>
      <c r="CP176" s="558"/>
      <c r="CQ176" s="558"/>
      <c r="CR176" s="559" t="s">
        <v>209</v>
      </c>
      <c r="CS176" s="553"/>
      <c r="CT176" s="558"/>
      <c r="CU176" s="558"/>
      <c r="CV176" s="559" t="s">
        <v>209</v>
      </c>
    </row>
    <row r="177" spans="1:100" ht="151.5" customHeight="1" x14ac:dyDescent="0.3">
      <c r="A177" s="622">
        <v>77</v>
      </c>
      <c r="B177" s="622" t="s">
        <v>1291</v>
      </c>
      <c r="C177" s="623" t="s">
        <v>1270</v>
      </c>
      <c r="D177" s="585" t="str">
        <f>IFERROR(INDEX('Base de datos gestión'!$D$28:$D$50,MATCH(C177,'Base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7" s="585" t="str">
        <f>IFERROR(INDEX('Base de datos gestión'!$E$28:$E$50,MATCH(C177,'Base de datos gestión'!$C$28:$C$50,0)), 0)</f>
        <v>Inicia desde la desagregación del presupuesto de gastos e ingresos y termina con la gestión del pago y el registro de las operaciones.</v>
      </c>
      <c r="F177" s="628" t="s">
        <v>276</v>
      </c>
      <c r="G177" s="631" t="s">
        <v>1292</v>
      </c>
      <c r="H177" s="631" t="s">
        <v>1293</v>
      </c>
      <c r="I177" s="631" t="s">
        <v>1294</v>
      </c>
      <c r="J177" s="630" t="s">
        <v>280</v>
      </c>
      <c r="K177" s="630" t="s">
        <v>1295</v>
      </c>
      <c r="L177" s="630">
        <v>12</v>
      </c>
      <c r="M177" s="588" t="str">
        <f t="shared" si="56"/>
        <v>Baja</v>
      </c>
      <c r="N177" s="589">
        <f t="shared" si="55"/>
        <v>0.4</v>
      </c>
      <c r="O177" s="590" t="s">
        <v>1296</v>
      </c>
      <c r="P177" s="589" t="str">
        <f>IF(NOT(ISERROR(MATCH(O177,'Tabla Impacto'!$B$222:$B$224,0))),'Tabla Impacto'!$F$224&amp;"Por favor no seleccionar los criterios de impacto(Afectación Económica o presupuestal y Pérdida Reputacional)",O177)</f>
        <v xml:space="preserve">     Entre 100 y 500 SMLMV </v>
      </c>
      <c r="Q177" s="591" t="str">
        <f>IF(OR(P177='[8]Tabla Impacto'!$C$12,P177='[8]Tabla Impacto'!$D$12),"Leve",IF(OR(P177='[8]Tabla Impacto'!$C$13,P177='[8]Tabla Impacto'!$D$13),"Menor",IF(OR(P177='[8]Tabla Impacto'!$C$14,P177='[8]Tabla Impacto'!$D$14),"Moderado",IF(OR(P177='[8]Tabla Impacto'!$C$15,P177='[8]Tabla Impacto'!$D$15),"Mayor",IF(OR(P177='[8]Tabla Impacto'!$C$16,P177='[8]Tabla Impacto'!$D$16),"Catastrófico","")))))</f>
        <v>Mayor</v>
      </c>
      <c r="R177" s="590">
        <f t="shared" si="47"/>
        <v>0.8</v>
      </c>
      <c r="S177" s="592" t="str">
        <f t="shared" si="48"/>
        <v>Alto</v>
      </c>
      <c r="T177" s="595">
        <v>1</v>
      </c>
      <c r="U177" s="631" t="s">
        <v>1297</v>
      </c>
      <c r="V177" s="595" t="str">
        <f t="shared" si="54"/>
        <v>Probabilidad</v>
      </c>
      <c r="W177" s="596" t="s">
        <v>269</v>
      </c>
      <c r="X177" s="596" t="s">
        <v>198</v>
      </c>
      <c r="Y177" s="597" t="str">
        <f t="shared" si="49"/>
        <v>30%</v>
      </c>
      <c r="Z177" s="596" t="s">
        <v>259</v>
      </c>
      <c r="AA177" s="596" t="s">
        <v>200</v>
      </c>
      <c r="AB177" s="596" t="s">
        <v>201</v>
      </c>
      <c r="AC177" s="598">
        <f>IFERROR(IF(AND(V176="Probabilidad",V177="Probabilidad"),(AE176-(+AE176*Y177)),IF(AND(V176="Impacto",V177="Probabilidad"),(AE175-(+AE175*Y177)),IF(V177="Impacto",AE176,""))),"")</f>
        <v>0.34299999999999997</v>
      </c>
      <c r="AD177" s="599" t="str">
        <f t="shared" si="50"/>
        <v>Baja</v>
      </c>
      <c r="AE177" s="600">
        <f t="shared" si="51"/>
        <v>0.34299999999999997</v>
      </c>
      <c r="AF177" s="599" t="str">
        <f t="shared" si="52"/>
        <v>Catastrófico</v>
      </c>
      <c r="AG177" s="600">
        <f>IFERROR(IF(AND(V176="Impacto",V177="Impacto"),(AG176-(+AG176*Y177)),IF(AND(V176="Probabilidad",V177="Impacto"),(AG175-(+AG175*Y177)),IF(V177="Probabilidad",AG176,""))),"")</f>
        <v>1</v>
      </c>
      <c r="AH177" s="601" t="str">
        <f t="shared" si="53"/>
        <v>Extremo</v>
      </c>
      <c r="AI177" s="602" t="s">
        <v>202</v>
      </c>
      <c r="AJ177" s="603"/>
      <c r="AK177" s="192"/>
      <c r="AL177" s="603"/>
      <c r="AM177" s="604"/>
      <c r="AN177" s="606"/>
      <c r="AO177" s="607"/>
      <c r="AP177" s="608">
        <v>45756</v>
      </c>
      <c r="AQ177" s="609" t="s">
        <v>1276</v>
      </c>
      <c r="AR177" s="286" t="s">
        <v>1298</v>
      </c>
      <c r="AS177" s="611" t="s">
        <v>205</v>
      </c>
      <c r="AT177" s="612" t="s">
        <v>206</v>
      </c>
      <c r="AU177" s="283" t="s">
        <v>206</v>
      </c>
      <c r="AV177" s="613"/>
      <c r="AW177" s="614">
        <v>45782</v>
      </c>
      <c r="AX177" s="615" t="s">
        <v>207</v>
      </c>
      <c r="AY177" s="635" t="s">
        <v>578</v>
      </c>
      <c r="BA177" s="617"/>
      <c r="BB177" s="617"/>
      <c r="BC177" s="618" t="s">
        <v>209</v>
      </c>
      <c r="BE177" s="608">
        <v>45861</v>
      </c>
      <c r="BF177" s="609" t="s">
        <v>1278</v>
      </c>
      <c r="BG177" s="286" t="s">
        <v>1299</v>
      </c>
      <c r="BH177" s="641" t="s">
        <v>205</v>
      </c>
      <c r="BI177" s="612" t="s">
        <v>206</v>
      </c>
      <c r="BJ177" s="283" t="s">
        <v>206</v>
      </c>
      <c r="BL177" s="450">
        <v>45861</v>
      </c>
      <c r="BM177" s="676" t="s">
        <v>215</v>
      </c>
      <c r="BN177" s="283" t="s">
        <v>1228</v>
      </c>
      <c r="BP177" s="617"/>
      <c r="BQ177" s="617"/>
      <c r="BR177" s="618" t="s">
        <v>209</v>
      </c>
      <c r="BT177" s="608">
        <v>45945</v>
      </c>
      <c r="BU177" s="609" t="s">
        <v>1280</v>
      </c>
      <c r="BV177" s="286" t="s">
        <v>1300</v>
      </c>
      <c r="BW177" s="641" t="s">
        <v>205</v>
      </c>
      <c r="BX177" s="612" t="s">
        <v>206</v>
      </c>
      <c r="BY177" s="283" t="s">
        <v>206</v>
      </c>
      <c r="CA177" s="680">
        <v>45986</v>
      </c>
      <c r="CB177" s="616" t="s">
        <v>218</v>
      </c>
      <c r="CC177" s="643" t="s">
        <v>1282</v>
      </c>
      <c r="CE177" s="617"/>
      <c r="CF177" s="617"/>
      <c r="CG177" s="618" t="s">
        <v>209</v>
      </c>
      <c r="CH177" s="192"/>
      <c r="CI177" s="558"/>
      <c r="CJ177" s="558"/>
      <c r="CK177" s="559" t="s">
        <v>209</v>
      </c>
      <c r="CL177" s="558"/>
      <c r="CM177" s="558"/>
      <c r="CN177" s="558"/>
      <c r="CO177" s="553"/>
      <c r="CP177" s="558"/>
      <c r="CQ177" s="558"/>
      <c r="CR177" s="559" t="s">
        <v>209</v>
      </c>
      <c r="CS177" s="553"/>
      <c r="CT177" s="558"/>
      <c r="CU177" s="558"/>
      <c r="CV177" s="559" t="s">
        <v>209</v>
      </c>
    </row>
    <row r="178" spans="1:100" ht="151.5" customHeight="1" x14ac:dyDescent="0.3">
      <c r="A178" s="622">
        <v>78</v>
      </c>
      <c r="B178" s="622" t="s">
        <v>1301</v>
      </c>
      <c r="C178" s="623" t="s">
        <v>1270</v>
      </c>
      <c r="D178" s="585" t="str">
        <f>IFERROR(INDEX('Base de datos gestión'!$D$28:$D$50,MATCH(C178,'Base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8" s="585" t="str">
        <f>IFERROR(INDEX('Base de datos gestión'!$E$28:$E$50,MATCH(C178,'Base de datos gestión'!$C$28:$C$50,0)), 0)</f>
        <v>Inicia desde la desagregación del presupuesto de gastos e ingresos y termina con la gestión del pago y el registro de las operaciones.</v>
      </c>
      <c r="F178" s="628" t="s">
        <v>276</v>
      </c>
      <c r="G178" s="631" t="s">
        <v>1302</v>
      </c>
      <c r="H178" s="631" t="s">
        <v>1303</v>
      </c>
      <c r="I178" s="631" t="s">
        <v>1304</v>
      </c>
      <c r="J178" s="630" t="s">
        <v>280</v>
      </c>
      <c r="K178" s="630" t="s">
        <v>311</v>
      </c>
      <c r="L178" s="630">
        <v>12</v>
      </c>
      <c r="M178" s="588" t="str">
        <f t="shared" si="56"/>
        <v>Baja</v>
      </c>
      <c r="N178" s="589">
        <f t="shared" si="55"/>
        <v>0.4</v>
      </c>
      <c r="O178" s="590" t="s">
        <v>248</v>
      </c>
      <c r="P178" s="589" t="str">
        <f>IF(NOT(ISERROR(MATCH(O178,'Tabla Impacto'!$B$222:$B$224,0))),'Tabla Impacto'!$F$224&amp;"Por favor no seleccionar los criterios de impacto(Afectación Económica o presupuestal y Pérdida Reputacional)",O178)</f>
        <v xml:space="preserve">     El riesgo afecta la imagen de la entidad con algunos usuarios de relevancia frente al logro de los objetivos</v>
      </c>
      <c r="Q178" s="591" t="str">
        <f>IF(OR(P178='[8]Tabla Impacto'!$C$12,P178='[8]Tabla Impacto'!$D$12),"Leve",IF(OR(P178='[8]Tabla Impacto'!$C$13,P178='[8]Tabla Impacto'!$D$13),"Menor",IF(OR(P178='[8]Tabla Impacto'!$C$14,P178='[8]Tabla Impacto'!$D$14),"Moderado",IF(OR(P178='[8]Tabla Impacto'!$C$15,P178='[8]Tabla Impacto'!$D$15),"Mayor",IF(OR(P178='[8]Tabla Impacto'!$C$16,P178='[8]Tabla Impacto'!$D$16),"Catastrófico","")))))</f>
        <v>Moderado</v>
      </c>
      <c r="R178" s="590">
        <f t="shared" si="47"/>
        <v>0.6</v>
      </c>
      <c r="S178" s="592" t="str">
        <f t="shared" si="48"/>
        <v>Moderado</v>
      </c>
      <c r="T178" s="595">
        <v>1</v>
      </c>
      <c r="U178" s="631" t="s">
        <v>1305</v>
      </c>
      <c r="V178" s="595" t="str">
        <f t="shared" si="54"/>
        <v>Probabilidad</v>
      </c>
      <c r="W178" s="596" t="s">
        <v>269</v>
      </c>
      <c r="X178" s="596" t="s">
        <v>198</v>
      </c>
      <c r="Y178" s="597" t="str">
        <f t="shared" si="49"/>
        <v>30%</v>
      </c>
      <c r="Z178" s="596" t="s">
        <v>259</v>
      </c>
      <c r="AA178" s="596" t="s">
        <v>200</v>
      </c>
      <c r="AB178" s="596" t="s">
        <v>201</v>
      </c>
      <c r="AC178" s="598">
        <f>IFERROR(IF(AND(V177="Probabilidad",V178="Probabilidad"),(AE177-(+AE177*Y178)),IF(AND(V177="Impacto",V178="Probabilidad"),(AE176-(+AE176*Y178)),IF(V178="Impacto",AE177,""))),"")</f>
        <v>0.24009999999999998</v>
      </c>
      <c r="AD178" s="599" t="str">
        <f t="shared" si="50"/>
        <v>Baja</v>
      </c>
      <c r="AE178" s="600">
        <f t="shared" si="51"/>
        <v>0.24009999999999998</v>
      </c>
      <c r="AF178" s="599" t="str">
        <f t="shared" si="52"/>
        <v>Catastrófico</v>
      </c>
      <c r="AG178" s="600">
        <f>IFERROR(IF(AND(V177="Impacto",V178="Impacto"),(AG177-(+AG177*Y178)),IF(AND(V177="Probabilidad",V178="Impacto"),(AG176-(+AG176*Y178)),IF(V178="Probabilidad",AG177,""))),"")</f>
        <v>1</v>
      </c>
      <c r="AH178" s="601" t="str">
        <f t="shared" si="53"/>
        <v>Extremo</v>
      </c>
      <c r="AI178" s="602" t="s">
        <v>202</v>
      </c>
      <c r="AJ178" s="603"/>
      <c r="AK178" s="192"/>
      <c r="AL178" s="603"/>
      <c r="AM178" s="604"/>
      <c r="AN178" s="606"/>
      <c r="AO178" s="607"/>
      <c r="AP178" s="608">
        <v>45756</v>
      </c>
      <c r="AQ178" s="609" t="s">
        <v>1276</v>
      </c>
      <c r="AR178" s="286" t="s">
        <v>1306</v>
      </c>
      <c r="AS178" s="611" t="s">
        <v>205</v>
      </c>
      <c r="AT178" s="612" t="s">
        <v>206</v>
      </c>
      <c r="AU178" s="283" t="s">
        <v>206</v>
      </c>
      <c r="AV178" s="613"/>
      <c r="AW178" s="614">
        <v>45782</v>
      </c>
      <c r="AX178" s="615" t="s">
        <v>207</v>
      </c>
      <c r="AY178" s="635" t="s">
        <v>578</v>
      </c>
      <c r="BA178" s="617"/>
      <c r="BB178" s="617"/>
      <c r="BC178" s="618" t="s">
        <v>209</v>
      </c>
      <c r="BE178" s="608">
        <v>45861</v>
      </c>
      <c r="BF178" s="609" t="s">
        <v>1278</v>
      </c>
      <c r="BG178" s="286" t="s">
        <v>1307</v>
      </c>
      <c r="BH178" s="641" t="s">
        <v>205</v>
      </c>
      <c r="BI178" s="612" t="s">
        <v>206</v>
      </c>
      <c r="BJ178" s="283" t="s">
        <v>206</v>
      </c>
      <c r="BL178" s="450">
        <v>45861</v>
      </c>
      <c r="BM178" s="676" t="s">
        <v>215</v>
      </c>
      <c r="BN178" s="283" t="s">
        <v>1228</v>
      </c>
      <c r="BP178" s="617"/>
      <c r="BQ178" s="617"/>
      <c r="BR178" s="618" t="s">
        <v>209</v>
      </c>
      <c r="BT178" s="608">
        <v>45945</v>
      </c>
      <c r="BU178" s="609" t="s">
        <v>1280</v>
      </c>
      <c r="BV178" s="286" t="s">
        <v>1308</v>
      </c>
      <c r="BW178" s="641" t="s">
        <v>205</v>
      </c>
      <c r="BX178" s="612" t="s">
        <v>206</v>
      </c>
      <c r="BY178" s="283" t="s">
        <v>206</v>
      </c>
      <c r="CA178" s="680">
        <v>45986</v>
      </c>
      <c r="CB178" s="616" t="s">
        <v>218</v>
      </c>
      <c r="CC178" s="643" t="s">
        <v>1282</v>
      </c>
      <c r="CE178" s="617"/>
      <c r="CF178" s="617"/>
      <c r="CG178" s="618" t="s">
        <v>209</v>
      </c>
      <c r="CH178" s="192"/>
      <c r="CI178" s="558"/>
      <c r="CJ178" s="558"/>
      <c r="CK178" s="559" t="s">
        <v>209</v>
      </c>
      <c r="CL178" s="558"/>
      <c r="CM178" s="558"/>
      <c r="CN178" s="558"/>
      <c r="CO178" s="553"/>
      <c r="CP178" s="558"/>
      <c r="CQ178" s="558"/>
      <c r="CR178" s="559" t="s">
        <v>209</v>
      </c>
      <c r="CS178" s="553"/>
      <c r="CT178" s="558"/>
      <c r="CU178" s="558"/>
      <c r="CV178" s="559" t="s">
        <v>209</v>
      </c>
    </row>
    <row r="179" spans="1:100" ht="151.5" customHeight="1" x14ac:dyDescent="0.3">
      <c r="A179" s="622">
        <v>79</v>
      </c>
      <c r="B179" s="622" t="s">
        <v>1309</v>
      </c>
      <c r="C179" s="623" t="s">
        <v>1270</v>
      </c>
      <c r="D179" s="585" t="str">
        <f>IFERROR(INDEX('Base de datos gestión'!$D$28:$D$50,MATCH(C179,'Base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79" s="585" t="str">
        <f>IFERROR(INDEX('Base de datos gestión'!$E$28:$E$50,MATCH(C179,'Base de datos gestión'!$C$28:$C$50,0)), 0)</f>
        <v>Inicia desde la desagregación del presupuesto de gastos e ingresos y termina con la gestión del pago y el registro de las operaciones.</v>
      </c>
      <c r="F179" s="628" t="s">
        <v>276</v>
      </c>
      <c r="G179" s="629" t="s">
        <v>1310</v>
      </c>
      <c r="H179" s="628" t="s">
        <v>1311</v>
      </c>
      <c r="I179" s="628" t="s">
        <v>1312</v>
      </c>
      <c r="J179" s="630" t="s">
        <v>280</v>
      </c>
      <c r="K179" s="630" t="s">
        <v>311</v>
      </c>
      <c r="L179" s="630">
        <v>12</v>
      </c>
      <c r="M179" s="588" t="str">
        <f t="shared" si="56"/>
        <v>Baja</v>
      </c>
      <c r="N179" s="589">
        <f t="shared" si="55"/>
        <v>0.4</v>
      </c>
      <c r="O179" s="590" t="s">
        <v>248</v>
      </c>
      <c r="P179" s="589" t="str">
        <f>IF(NOT(ISERROR(MATCH(O179,'Tabla Impacto'!$B$222:$B$224,0))),'Tabla Impacto'!$F$224&amp;"Por favor no seleccionar los criterios de impacto(Afectación Económica o presupuestal y Pérdida Reputacional)",O179)</f>
        <v xml:space="preserve">     El riesgo afecta la imagen de la entidad con algunos usuarios de relevancia frente al logro de los objetivos</v>
      </c>
      <c r="Q179" s="591" t="str">
        <f>IF(OR(P179='[8]Tabla Impacto'!$C$12,P179='[8]Tabla Impacto'!$D$12),"Leve",IF(OR(P179='[8]Tabla Impacto'!$C$13,P179='[8]Tabla Impacto'!$D$13),"Menor",IF(OR(P179='[8]Tabla Impacto'!$C$14,P179='[8]Tabla Impacto'!$D$14),"Moderado",IF(OR(P179='[8]Tabla Impacto'!$C$15,P179='[8]Tabla Impacto'!$D$15),"Mayor",IF(OR(P179='[8]Tabla Impacto'!$C$16,P179='[8]Tabla Impacto'!$D$16),"Catastrófico","")))))</f>
        <v>Moderado</v>
      </c>
      <c r="R179" s="590">
        <f t="shared" si="47"/>
        <v>0.6</v>
      </c>
      <c r="S179" s="592" t="str">
        <f t="shared" si="48"/>
        <v>Moderado</v>
      </c>
      <c r="T179" s="595">
        <v>1</v>
      </c>
      <c r="U179" s="631" t="s">
        <v>1313</v>
      </c>
      <c r="V179" s="595" t="str">
        <f t="shared" si="54"/>
        <v>Probabilidad</v>
      </c>
      <c r="W179" s="596" t="s">
        <v>269</v>
      </c>
      <c r="X179" s="596" t="s">
        <v>198</v>
      </c>
      <c r="Y179" s="597" t="str">
        <f t="shared" si="49"/>
        <v>30%</v>
      </c>
      <c r="Z179" s="596" t="s">
        <v>259</v>
      </c>
      <c r="AA179" s="596" t="s">
        <v>200</v>
      </c>
      <c r="AB179" s="596" t="s">
        <v>201</v>
      </c>
      <c r="AC179" s="598">
        <f>IFERROR(IF(AND(V178="Probabilidad",V179="Probabilidad"),(AE178-(+AE178*Y179)),IF(AND(V178="Impacto",V179="Probabilidad"),(AE177-(+AE177*Y179)),IF(V179="Impacto",AE178,""))),"")</f>
        <v>0.16807</v>
      </c>
      <c r="AD179" s="599" t="str">
        <f t="shared" si="50"/>
        <v>Muy Baja</v>
      </c>
      <c r="AE179" s="600">
        <f t="shared" si="51"/>
        <v>0.16807</v>
      </c>
      <c r="AF179" s="599" t="str">
        <f t="shared" si="52"/>
        <v>Catastrófico</v>
      </c>
      <c r="AG179" s="600">
        <f>IFERROR(IF(AND(V178="Impacto",V179="Impacto"),(AG178-(+AG178*Y179)),IF(AND(V178="Probabilidad",V179="Impacto"),(AG177-(+AG177*Y179)),IF(V179="Probabilidad",AG178,""))),"")</f>
        <v>1</v>
      </c>
      <c r="AH179" s="601" t="str">
        <f t="shared" si="53"/>
        <v>Extremo</v>
      </c>
      <c r="AI179" s="602" t="s">
        <v>202</v>
      </c>
      <c r="AJ179" s="603"/>
      <c r="AK179" s="192"/>
      <c r="AL179" s="603"/>
      <c r="AM179" s="604"/>
      <c r="AN179" s="606"/>
      <c r="AO179" s="607"/>
      <c r="AP179" s="608">
        <v>45757</v>
      </c>
      <c r="AQ179" s="609" t="s">
        <v>1314</v>
      </c>
      <c r="AR179" s="283" t="s">
        <v>1315</v>
      </c>
      <c r="AS179" s="611" t="s">
        <v>205</v>
      </c>
      <c r="AT179" s="612" t="s">
        <v>206</v>
      </c>
      <c r="AU179" s="283" t="s">
        <v>206</v>
      </c>
      <c r="AV179" s="613"/>
      <c r="AW179" s="614">
        <v>45782</v>
      </c>
      <c r="AX179" s="615" t="s">
        <v>207</v>
      </c>
      <c r="AY179" s="635" t="s">
        <v>578</v>
      </c>
      <c r="BA179" s="617"/>
      <c r="BB179" s="617"/>
      <c r="BC179" s="618" t="s">
        <v>209</v>
      </c>
      <c r="BE179" s="608">
        <v>45855</v>
      </c>
      <c r="BF179" s="609" t="s">
        <v>1314</v>
      </c>
      <c r="BG179" s="283" t="s">
        <v>1316</v>
      </c>
      <c r="BH179" s="641" t="s">
        <v>205</v>
      </c>
      <c r="BI179" s="612" t="s">
        <v>206</v>
      </c>
      <c r="BJ179" s="283" t="s">
        <v>206</v>
      </c>
      <c r="BL179" s="450">
        <v>45861</v>
      </c>
      <c r="BM179" s="676" t="s">
        <v>215</v>
      </c>
      <c r="BN179" s="283" t="s">
        <v>1228</v>
      </c>
      <c r="BP179" s="617"/>
      <c r="BQ179" s="617"/>
      <c r="BR179" s="618" t="s">
        <v>209</v>
      </c>
      <c r="BT179" s="483">
        <v>45954</v>
      </c>
      <c r="BU179" s="484" t="s">
        <v>1314</v>
      </c>
      <c r="BV179" s="283" t="s">
        <v>1317</v>
      </c>
      <c r="BW179" s="641" t="s">
        <v>205</v>
      </c>
      <c r="BX179" s="704" t="s">
        <v>206</v>
      </c>
      <c r="BY179" s="283" t="s">
        <v>206</v>
      </c>
      <c r="CA179" s="680">
        <v>45986</v>
      </c>
      <c r="CB179" s="616" t="s">
        <v>218</v>
      </c>
      <c r="CC179" s="643" t="s">
        <v>1282</v>
      </c>
      <c r="CE179" s="617"/>
      <c r="CF179" s="617"/>
      <c r="CG179" s="618" t="s">
        <v>209</v>
      </c>
      <c r="CH179" s="192"/>
      <c r="CI179" s="558"/>
      <c r="CJ179" s="558"/>
      <c r="CK179" s="559" t="s">
        <v>209</v>
      </c>
      <c r="CL179" s="558"/>
      <c r="CM179" s="558"/>
      <c r="CN179" s="558"/>
      <c r="CO179" s="553"/>
      <c r="CP179" s="558"/>
      <c r="CQ179" s="558"/>
      <c r="CR179" s="559" t="s">
        <v>209</v>
      </c>
      <c r="CS179" s="553"/>
      <c r="CT179" s="558"/>
      <c r="CU179" s="558"/>
      <c r="CV179" s="559" t="s">
        <v>209</v>
      </c>
    </row>
    <row r="180" spans="1:100" ht="151.5" customHeight="1" x14ac:dyDescent="0.3">
      <c r="A180" s="632">
        <v>79</v>
      </c>
      <c r="B180" s="632" t="s">
        <v>1309</v>
      </c>
      <c r="C180" s="633" t="s">
        <v>1270</v>
      </c>
      <c r="D180" s="585" t="str">
        <f>IFERROR(INDEX('Base de datos gestión'!$D$28:$D$50,MATCH(C180,'Base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180" s="585" t="str">
        <f>IFERROR(INDEX('Base de datos gestión'!$E$28:$E$50,MATCH(C180,'Base de datos gestión'!$C$28:$C$50,0)), 0)</f>
        <v>Inicia desde la desagregación del presupuesto de gastos e ingresos y termina con la gestión del pago y el registro de las operaciones.</v>
      </c>
      <c r="F180" s="628" t="s">
        <v>276</v>
      </c>
      <c r="G180" s="629" t="s">
        <v>1310</v>
      </c>
      <c r="H180" s="628" t="s">
        <v>1311</v>
      </c>
      <c r="I180" s="628" t="s">
        <v>1312</v>
      </c>
      <c r="J180" s="630" t="s">
        <v>280</v>
      </c>
      <c r="K180" s="630" t="s">
        <v>311</v>
      </c>
      <c r="L180" s="630">
        <v>12</v>
      </c>
      <c r="M180" s="588" t="str">
        <f t="shared" si="56"/>
        <v>Baja</v>
      </c>
      <c r="N180" s="589">
        <f t="shared" si="55"/>
        <v>0.4</v>
      </c>
      <c r="O180" s="590" t="s">
        <v>248</v>
      </c>
      <c r="P180" s="589" t="str">
        <f>IF(NOT(ISERROR(MATCH(O180,'Tabla Impacto'!$B$222:$B$224,0))),'Tabla Impacto'!$F$224&amp;"Por favor no seleccionar los criterios de impacto(Afectación Económica o presupuestal y Pérdida Reputacional)",O180)</f>
        <v xml:space="preserve">     El riesgo afecta la imagen de la entidad con algunos usuarios de relevancia frente al logro de los objetivos</v>
      </c>
      <c r="Q180" s="591" t="str">
        <f>IF(OR(P180='[8]Tabla Impacto'!$C$12,P180='[8]Tabla Impacto'!$D$12),"Leve",IF(OR(P180='[8]Tabla Impacto'!$C$13,P180='[8]Tabla Impacto'!$D$13),"Menor",IF(OR(P180='[8]Tabla Impacto'!$C$14,P180='[8]Tabla Impacto'!$D$14),"Moderado",IF(OR(P180='[8]Tabla Impacto'!$C$15,P180='[8]Tabla Impacto'!$D$15),"Mayor",IF(OR(P180='[8]Tabla Impacto'!$C$16,P180='[8]Tabla Impacto'!$D$16),"Catastrófico","")))))</f>
        <v>Moderado</v>
      </c>
      <c r="R180" s="590">
        <f t="shared" si="47"/>
        <v>0.6</v>
      </c>
      <c r="S180" s="592" t="str">
        <f t="shared" si="48"/>
        <v>Moderado</v>
      </c>
      <c r="T180" s="595">
        <v>2</v>
      </c>
      <c r="U180" s="631" t="s">
        <v>1318</v>
      </c>
      <c r="V180" s="595" t="str">
        <f t="shared" si="54"/>
        <v>Probabilidad</v>
      </c>
      <c r="W180" s="596" t="s">
        <v>269</v>
      </c>
      <c r="X180" s="596" t="s">
        <v>198</v>
      </c>
      <c r="Y180" s="597" t="str">
        <f t="shared" si="49"/>
        <v>30%</v>
      </c>
      <c r="Z180" s="596" t="s">
        <v>259</v>
      </c>
      <c r="AA180" s="596" t="s">
        <v>200</v>
      </c>
      <c r="AB180" s="596" t="s">
        <v>201</v>
      </c>
      <c r="AC180" s="598">
        <f>IFERROR(IF(AND(V179="Probabilidad",V180="Probabilidad"),(AE179-(+AE179*Y180)),IF(AND(V179="Impacto",V180="Probabilidad"),(AE178-(+AE178*Y180)),IF(V180="Impacto",AE179,""))),"")</f>
        <v>0.117649</v>
      </c>
      <c r="AD180" s="599" t="str">
        <f t="shared" si="50"/>
        <v>Muy Baja</v>
      </c>
      <c r="AE180" s="600">
        <f t="shared" si="51"/>
        <v>0.117649</v>
      </c>
      <c r="AF180" s="599" t="str">
        <f t="shared" si="52"/>
        <v>Catastrófico</v>
      </c>
      <c r="AG180" s="600">
        <f>IFERROR(IF(AND(V179="Impacto",V180="Impacto"),(AG179-(+AG179*Y180)),IF(AND(V179="Probabilidad",V180="Impacto"),(AG178-(+AG178*Y180)),IF(V180="Probabilidad",AG179,""))),"")</f>
        <v>1</v>
      </c>
      <c r="AH180" s="601" t="str">
        <f t="shared" si="53"/>
        <v>Extremo</v>
      </c>
      <c r="AI180" s="602" t="s">
        <v>202</v>
      </c>
      <c r="AJ180" s="603"/>
      <c r="AK180" s="192"/>
      <c r="AL180" s="603"/>
      <c r="AM180" s="604"/>
      <c r="AN180" s="606"/>
      <c r="AO180" s="607"/>
      <c r="AP180" s="608">
        <v>45756</v>
      </c>
      <c r="AQ180" s="609" t="s">
        <v>1276</v>
      </c>
      <c r="AR180" s="286" t="s">
        <v>1319</v>
      </c>
      <c r="AS180" s="611" t="s">
        <v>205</v>
      </c>
      <c r="AT180" s="612" t="s">
        <v>206</v>
      </c>
      <c r="AU180" s="283" t="s">
        <v>206</v>
      </c>
      <c r="AV180" s="613"/>
      <c r="AW180" s="614">
        <v>45782</v>
      </c>
      <c r="AX180" s="615" t="s">
        <v>207</v>
      </c>
      <c r="AY180" s="635" t="s">
        <v>1320</v>
      </c>
      <c r="BA180" s="617"/>
      <c r="BB180" s="617"/>
      <c r="BC180" s="618" t="s">
        <v>209</v>
      </c>
      <c r="BE180" s="608">
        <v>45861</v>
      </c>
      <c r="BF180" s="609" t="s">
        <v>1278</v>
      </c>
      <c r="BG180" s="286" t="s">
        <v>1321</v>
      </c>
      <c r="BH180" s="705" t="s">
        <v>205</v>
      </c>
      <c r="BI180" s="706" t="s">
        <v>206</v>
      </c>
      <c r="BJ180" s="471" t="s">
        <v>206</v>
      </c>
      <c r="BL180" s="450">
        <v>45861</v>
      </c>
      <c r="BM180" s="676" t="s">
        <v>215</v>
      </c>
      <c r="BN180" s="283" t="s">
        <v>1228</v>
      </c>
      <c r="BP180" s="617"/>
      <c r="BQ180" s="617"/>
      <c r="BR180" s="618" t="s">
        <v>209</v>
      </c>
      <c r="BT180" s="608">
        <v>45945</v>
      </c>
      <c r="BU180" s="609" t="s">
        <v>1322</v>
      </c>
      <c r="BV180" s="286" t="s">
        <v>1323</v>
      </c>
      <c r="BW180" s="705" t="s">
        <v>205</v>
      </c>
      <c r="BX180" s="706" t="s">
        <v>206</v>
      </c>
      <c r="BY180" s="471" t="s">
        <v>206</v>
      </c>
      <c r="CA180" s="680">
        <v>45986</v>
      </c>
      <c r="CB180" s="616" t="s">
        <v>218</v>
      </c>
      <c r="CC180" s="643" t="s">
        <v>1282</v>
      </c>
      <c r="CE180" s="617"/>
      <c r="CF180" s="617"/>
      <c r="CG180" s="618" t="s">
        <v>209</v>
      </c>
      <c r="CH180" s="192"/>
      <c r="CI180" s="558"/>
      <c r="CJ180" s="558"/>
      <c r="CK180" s="559" t="s">
        <v>209</v>
      </c>
      <c r="CL180" s="558"/>
      <c r="CM180" s="558"/>
      <c r="CN180" s="558"/>
      <c r="CO180" s="553"/>
      <c r="CP180" s="558"/>
      <c r="CQ180" s="558"/>
      <c r="CR180" s="559" t="s">
        <v>209</v>
      </c>
      <c r="CS180" s="553"/>
      <c r="CT180" s="558"/>
      <c r="CU180" s="558"/>
      <c r="CV180" s="559" t="s">
        <v>209</v>
      </c>
    </row>
    <row r="181" spans="1:100" ht="151.5" customHeight="1" x14ac:dyDescent="0.3">
      <c r="A181" s="584">
        <v>80</v>
      </c>
      <c r="B181" s="584" t="s">
        <v>1324</v>
      </c>
      <c r="C181" s="585" t="s">
        <v>1325</v>
      </c>
      <c r="D181" s="585" t="str">
        <f>IFERROR(INDEX('Base de datos gestión'!$D$28:$D$50,MATCH(C181,'Base de datos gestión'!$C$28:$C$50,0)), 0)</f>
        <v>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v>
      </c>
      <c r="E181" s="585" t="str">
        <f>IFERROR(INDEX('Base de datos gestión'!$E$28:$E$50,MATCH(C181,'Base de datos gestión'!$C$28:$C$50,0)), 0)</f>
        <v>Inicia desde la ocurrencia del hecho generador de la actuación administrativa o acción extrajudicial (conciliación) o judicial (demanda) hasta la terminación del respectivo proceso judicial o administrativo y/o archivo.</v>
      </c>
      <c r="F181" s="628" t="s">
        <v>276</v>
      </c>
      <c r="G181" s="629" t="s">
        <v>1326</v>
      </c>
      <c r="H181" s="628" t="s">
        <v>1327</v>
      </c>
      <c r="I181" s="628" t="s">
        <v>1328</v>
      </c>
      <c r="J181" s="637" t="s">
        <v>192</v>
      </c>
      <c r="K181" s="630" t="s">
        <v>522</v>
      </c>
      <c r="L181" s="630">
        <v>20</v>
      </c>
      <c r="M181" s="588" t="str">
        <f t="shared" si="56"/>
        <v>Baja</v>
      </c>
      <c r="N181" s="589">
        <f t="shared" si="55"/>
        <v>0.4</v>
      </c>
      <c r="O181" s="590" t="s">
        <v>1296</v>
      </c>
      <c r="P181" s="589" t="str">
        <f>IF(NOT(ISERROR(MATCH(O181,'Tabla Impacto'!$B$222:$B$224,0))),'Tabla Impacto'!$F$224&amp;"Por favor no seleccionar los criterios de impacto(Afectación Económica o presupuestal y Pérdida Reputacional)",O181)</f>
        <v xml:space="preserve">     Entre 100 y 500 SMLMV </v>
      </c>
      <c r="Q181" s="591" t="str">
        <f>IF(OR(P181='[8]Tabla Impacto'!$C$12,P181='[8]Tabla Impacto'!$D$12),"Leve",IF(OR(P181='[8]Tabla Impacto'!$C$13,P181='[8]Tabla Impacto'!$D$13),"Menor",IF(OR(P181='[8]Tabla Impacto'!$C$14,P181='[8]Tabla Impacto'!$D$14),"Moderado",IF(OR(P181='[8]Tabla Impacto'!$C$15,P181='[8]Tabla Impacto'!$D$15),"Mayor",IF(OR(P181='[8]Tabla Impacto'!$C$16,P181='[8]Tabla Impacto'!$D$16),"Catastrófico","")))))</f>
        <v>Mayor</v>
      </c>
      <c r="R181" s="590">
        <f t="shared" si="47"/>
        <v>0.8</v>
      </c>
      <c r="S181" s="592" t="str">
        <f t="shared" si="48"/>
        <v>Alto</v>
      </c>
      <c r="T181" s="595">
        <v>1</v>
      </c>
      <c r="U181" s="631" t="s">
        <v>1329</v>
      </c>
      <c r="V181" s="595" t="str">
        <f t="shared" si="54"/>
        <v>Probabilidad</v>
      </c>
      <c r="W181" s="596" t="s">
        <v>269</v>
      </c>
      <c r="X181" s="596" t="s">
        <v>198</v>
      </c>
      <c r="Y181" s="597" t="str">
        <f t="shared" si="49"/>
        <v>30%</v>
      </c>
      <c r="Z181" s="596" t="s">
        <v>259</v>
      </c>
      <c r="AA181" s="596" t="s">
        <v>225</v>
      </c>
      <c r="AB181" s="596" t="s">
        <v>201</v>
      </c>
      <c r="AC181" s="598">
        <f>IFERROR(IF(V181="Probabilidad",(N181-(+N181*Y181)),IF(V181="Impacto",N181,"")),"")</f>
        <v>0.28000000000000003</v>
      </c>
      <c r="AD181" s="599" t="str">
        <f t="shared" si="50"/>
        <v>Baja</v>
      </c>
      <c r="AE181" s="600">
        <f t="shared" si="51"/>
        <v>0.28000000000000003</v>
      </c>
      <c r="AF181" s="599" t="str">
        <f t="shared" si="52"/>
        <v>Mayor</v>
      </c>
      <c r="AG181" s="600">
        <f>IFERROR(IF(V181="Impacto",(R181-(+R181*Y181)),IF(V181="Probabilidad",R181,"")),"")</f>
        <v>0.8</v>
      </c>
      <c r="AH181" s="601" t="str">
        <f t="shared" si="53"/>
        <v>Alto</v>
      </c>
      <c r="AI181" s="602" t="s">
        <v>202</v>
      </c>
      <c r="AJ181" s="603"/>
      <c r="AK181" s="192"/>
      <c r="AL181" s="603"/>
      <c r="AM181" s="604"/>
      <c r="AN181" s="606"/>
      <c r="AO181" s="607"/>
      <c r="AP181" s="608">
        <v>45756</v>
      </c>
      <c r="AQ181" s="609" t="s">
        <v>1330</v>
      </c>
      <c r="AR181" s="286" t="s">
        <v>1331</v>
      </c>
      <c r="AS181" s="611" t="s">
        <v>205</v>
      </c>
      <c r="AT181" s="612" t="s">
        <v>206</v>
      </c>
      <c r="AU181" s="283" t="s">
        <v>206</v>
      </c>
      <c r="AV181" s="613"/>
      <c r="AW181" s="614">
        <v>45782</v>
      </c>
      <c r="AX181" s="615" t="s">
        <v>207</v>
      </c>
      <c r="AY181" s="635" t="s">
        <v>578</v>
      </c>
      <c r="BA181" s="617"/>
      <c r="BB181" s="617"/>
      <c r="BC181" s="618" t="s">
        <v>209</v>
      </c>
      <c r="BE181" s="621">
        <v>45853</v>
      </c>
      <c r="BF181" s="616" t="s">
        <v>1332</v>
      </c>
      <c r="BG181" s="286" t="s">
        <v>1333</v>
      </c>
      <c r="BH181" s="619" t="s">
        <v>205</v>
      </c>
      <c r="BI181" s="616" t="s">
        <v>206</v>
      </c>
      <c r="BJ181" s="616" t="s">
        <v>206</v>
      </c>
      <c r="BL181" s="450">
        <v>45861</v>
      </c>
      <c r="BM181" s="676" t="s">
        <v>215</v>
      </c>
      <c r="BN181" s="283" t="s">
        <v>1228</v>
      </c>
      <c r="BP181" s="617"/>
      <c r="BQ181" s="617"/>
      <c r="BR181" s="618" t="s">
        <v>209</v>
      </c>
      <c r="BT181" s="621">
        <v>45947</v>
      </c>
      <c r="BU181" s="616" t="s">
        <v>1332</v>
      </c>
      <c r="BV181" s="286" t="s">
        <v>1334</v>
      </c>
      <c r="BW181" s="619" t="s">
        <v>205</v>
      </c>
      <c r="BX181" s="616" t="s">
        <v>206</v>
      </c>
      <c r="BY181" s="616" t="s">
        <v>206</v>
      </c>
      <c r="CA181" s="614">
        <v>45986</v>
      </c>
      <c r="CB181" s="616" t="s">
        <v>218</v>
      </c>
      <c r="CC181" s="643" t="s">
        <v>1282</v>
      </c>
      <c r="CE181" s="617"/>
      <c r="CF181" s="617"/>
      <c r="CG181" s="618" t="s">
        <v>209</v>
      </c>
      <c r="CH181" s="192"/>
      <c r="CI181" s="558"/>
      <c r="CJ181" s="558"/>
      <c r="CK181" s="559" t="s">
        <v>209</v>
      </c>
      <c r="CL181" s="558"/>
      <c r="CM181" s="558"/>
      <c r="CN181" s="558"/>
      <c r="CO181" s="553"/>
      <c r="CP181" s="558"/>
      <c r="CQ181" s="558"/>
      <c r="CR181" s="559" t="s">
        <v>209</v>
      </c>
      <c r="CS181" s="553"/>
      <c r="CT181" s="558"/>
      <c r="CU181" s="558"/>
      <c r="CV181" s="559" t="s">
        <v>209</v>
      </c>
    </row>
    <row r="182" spans="1:100" ht="151.5" customHeight="1" x14ac:dyDescent="0.3">
      <c r="A182" s="622">
        <v>80</v>
      </c>
      <c r="B182" s="622" t="s">
        <v>1324</v>
      </c>
      <c r="C182" s="623" t="s">
        <v>1325</v>
      </c>
      <c r="D182" s="585" t="str">
        <f>IFERROR(INDEX('Base de datos gestión'!$D$28:$D$50,MATCH(C182,'Base de datos gestión'!$C$28:$C$50,0)), 0)</f>
        <v>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v>
      </c>
      <c r="E182" s="585" t="str">
        <f>IFERROR(INDEX('Base de datos gestión'!$E$28:$E$50,MATCH(C182,'Base de datos gestión'!$C$28:$C$50,0)), 0)</f>
        <v>Inicia desde la ocurrencia del hecho generador de la actuación administrativa o acción extrajudicial (conciliación) o judicial (demanda) hasta la terminación del respectivo proceso judicial o administrativo y/o archivo.</v>
      </c>
      <c r="F182" s="628" t="s">
        <v>276</v>
      </c>
      <c r="G182" s="629" t="s">
        <v>1326</v>
      </c>
      <c r="H182" s="628" t="s">
        <v>1327</v>
      </c>
      <c r="I182" s="628" t="s">
        <v>1328</v>
      </c>
      <c r="J182" s="637" t="s">
        <v>192</v>
      </c>
      <c r="K182" s="630" t="s">
        <v>522</v>
      </c>
      <c r="L182" s="630">
        <v>20</v>
      </c>
      <c r="M182" s="588" t="str">
        <f t="shared" si="56"/>
        <v>Baja</v>
      </c>
      <c r="N182" s="589">
        <f t="shared" si="55"/>
        <v>0.4</v>
      </c>
      <c r="O182" s="590" t="s">
        <v>1296</v>
      </c>
      <c r="P182" s="589" t="str">
        <f>IF(NOT(ISERROR(MATCH(O182,'Tabla Impacto'!$B$222:$B$224,0))),'Tabla Impacto'!$F$224&amp;"Por favor no seleccionar los criterios de impacto(Afectación Económica o presupuestal y Pérdida Reputacional)",O182)</f>
        <v xml:space="preserve">     Entre 100 y 500 SMLMV </v>
      </c>
      <c r="Q182" s="591" t="str">
        <f>IF(OR(P182='[8]Tabla Impacto'!$C$12,P182='[8]Tabla Impacto'!$D$12),"Leve",IF(OR(P182='[8]Tabla Impacto'!$C$13,P182='[8]Tabla Impacto'!$D$13),"Menor",IF(OR(P182='[8]Tabla Impacto'!$C$14,P182='[8]Tabla Impacto'!$D$14),"Moderado",IF(OR(P182='[8]Tabla Impacto'!$C$15,P182='[8]Tabla Impacto'!$D$15),"Mayor",IF(OR(P182='[8]Tabla Impacto'!$C$16,P182='[8]Tabla Impacto'!$D$16),"Catastrófico","")))))</f>
        <v>Mayor</v>
      </c>
      <c r="R182" s="590">
        <f t="shared" si="47"/>
        <v>0.8</v>
      </c>
      <c r="S182" s="592" t="str">
        <f t="shared" si="48"/>
        <v>Alto</v>
      </c>
      <c r="T182" s="595">
        <v>2</v>
      </c>
      <c r="U182" s="631" t="s">
        <v>1335</v>
      </c>
      <c r="V182" s="595" t="str">
        <f t="shared" si="54"/>
        <v>Probabilidad</v>
      </c>
      <c r="W182" s="596" t="s">
        <v>197</v>
      </c>
      <c r="X182" s="596" t="s">
        <v>198</v>
      </c>
      <c r="Y182" s="597" t="str">
        <f t="shared" si="49"/>
        <v>40%</v>
      </c>
      <c r="Z182" s="596" t="s">
        <v>259</v>
      </c>
      <c r="AA182" s="596" t="s">
        <v>200</v>
      </c>
      <c r="AB182" s="596" t="s">
        <v>201</v>
      </c>
      <c r="AC182" s="598">
        <f>IFERROR(IF(AND(V181="Probabilidad",V182="Probabilidad"),(AE181-(+AE181*Y182)),IF(V182="Probabilidad",(N181-(+N181*Y182)),IF(V182="Impacto",AE181,""))),"")</f>
        <v>0.16800000000000001</v>
      </c>
      <c r="AD182" s="599" t="str">
        <f t="shared" si="50"/>
        <v>Muy Baja</v>
      </c>
      <c r="AE182" s="600">
        <f t="shared" si="51"/>
        <v>0.16800000000000001</v>
      </c>
      <c r="AF182" s="599" t="str">
        <f t="shared" si="52"/>
        <v>Moderado</v>
      </c>
      <c r="AG182" s="600">
        <f>IFERROR(IF(AND(V181="Impacto",V182="Impacto"),(AG175-(+AG175*Y182)),IF(V182="Impacto",($R$49-(+$R$49*Y182)),IF(V182="Probabilidad",AG175,""))),"")</f>
        <v>0.6</v>
      </c>
      <c r="AH182" s="601" t="str">
        <f t="shared" si="53"/>
        <v>Moderado</v>
      </c>
      <c r="AI182" s="602" t="s">
        <v>202</v>
      </c>
      <c r="AJ182" s="603"/>
      <c r="AK182" s="192"/>
      <c r="AL182" s="603"/>
      <c r="AM182" s="604"/>
      <c r="AN182" s="606"/>
      <c r="AO182" s="607"/>
      <c r="AP182" s="608">
        <v>45756</v>
      </c>
      <c r="AQ182" s="609" t="s">
        <v>1330</v>
      </c>
      <c r="AR182" s="286" t="s">
        <v>1336</v>
      </c>
      <c r="AS182" s="611" t="s">
        <v>205</v>
      </c>
      <c r="AT182" s="612" t="s">
        <v>206</v>
      </c>
      <c r="AU182" s="283" t="s">
        <v>206</v>
      </c>
      <c r="AV182" s="613"/>
      <c r="AW182" s="614">
        <v>45782</v>
      </c>
      <c r="AX182" s="615" t="s">
        <v>207</v>
      </c>
      <c r="AY182" s="635" t="s">
        <v>578</v>
      </c>
      <c r="BA182" s="617"/>
      <c r="BB182" s="617"/>
      <c r="BC182" s="618" t="s">
        <v>209</v>
      </c>
      <c r="BE182" s="621">
        <v>45853</v>
      </c>
      <c r="BF182" s="616" t="s">
        <v>1332</v>
      </c>
      <c r="BG182" s="286" t="s">
        <v>1337</v>
      </c>
      <c r="BH182" s="449" t="s">
        <v>205</v>
      </c>
      <c r="BI182" s="616" t="s">
        <v>206</v>
      </c>
      <c r="BJ182" s="616" t="s">
        <v>206</v>
      </c>
      <c r="BL182" s="450">
        <v>45861</v>
      </c>
      <c r="BM182" s="676" t="s">
        <v>215</v>
      </c>
      <c r="BN182" s="283" t="s">
        <v>1228</v>
      </c>
      <c r="BP182" s="617"/>
      <c r="BQ182" s="617"/>
      <c r="BR182" s="618" t="s">
        <v>209</v>
      </c>
      <c r="BT182" s="621">
        <v>45947</v>
      </c>
      <c r="BU182" s="616" t="s">
        <v>1332</v>
      </c>
      <c r="BV182" s="286" t="s">
        <v>1338</v>
      </c>
      <c r="BW182" s="449" t="s">
        <v>205</v>
      </c>
      <c r="BX182" s="616" t="s">
        <v>206</v>
      </c>
      <c r="BY182" s="616" t="s">
        <v>206</v>
      </c>
      <c r="CA182" s="614">
        <v>45986</v>
      </c>
      <c r="CB182" s="616" t="s">
        <v>218</v>
      </c>
      <c r="CC182" s="643" t="s">
        <v>1282</v>
      </c>
      <c r="CE182" s="617"/>
      <c r="CF182" s="617"/>
      <c r="CG182" s="618" t="s">
        <v>209</v>
      </c>
      <c r="CH182" s="192"/>
      <c r="CI182" s="558"/>
      <c r="CJ182" s="558"/>
      <c r="CK182" s="559" t="s">
        <v>209</v>
      </c>
      <c r="CL182" s="558"/>
      <c r="CM182" s="558"/>
      <c r="CN182" s="558"/>
      <c r="CO182" s="553"/>
      <c r="CP182" s="558"/>
      <c r="CQ182" s="558"/>
      <c r="CR182" s="559" t="s">
        <v>209</v>
      </c>
      <c r="CS182" s="553"/>
      <c r="CT182" s="558"/>
      <c r="CU182" s="558"/>
      <c r="CV182" s="559" t="s">
        <v>209</v>
      </c>
    </row>
    <row r="183" spans="1:100" ht="151.5" customHeight="1" x14ac:dyDescent="0.3">
      <c r="A183" s="622">
        <v>81</v>
      </c>
      <c r="B183" s="622" t="s">
        <v>1339</v>
      </c>
      <c r="C183" s="623" t="s">
        <v>1325</v>
      </c>
      <c r="D183" s="585" t="str">
        <f>IFERROR(INDEX('Base de datos gestión'!$D$28:$D$50,MATCH(C183,'Base de datos gestión'!$C$28:$C$50,0)), 0)</f>
        <v>Defender permanentemente los intereses patrimoniales e institucionales del INM, atendiendo las acciones que en contra del INM puedan iniciar funcionarios, exfuncionarios o terceras personas (personas jurídicas o naturales) que se sientan perjudicadas por acciones u omisiones del Instituto Nacional de Metrología, así como de las acciones que por ley se deban iniciar en contra de funcionarios, exfuncionarios o terceras personas que lesionen el interés patrimonial o institucional de la entidad.
El proceso se relaciona con el objetivo estratégico: Fortalecer la capacidad administrativa y de desempeño institucional para garantizar la eficiencia y calidad a los procesos de la entidad</v>
      </c>
      <c r="E183" s="585" t="str">
        <f>IFERROR(INDEX('Base de datos gestión'!$E$28:$E$50,MATCH(C183,'Base de datos gestión'!$C$28:$C$50,0)), 0)</f>
        <v>Inicia desde la ocurrencia del hecho generador de la actuación administrativa o acción extrajudicial (conciliación) o judicial (demanda) hasta la terminación del respectivo proceso judicial o administrativo y/o archivo.</v>
      </c>
      <c r="F183" s="628" t="s">
        <v>188</v>
      </c>
      <c r="G183" s="631" t="s">
        <v>1340</v>
      </c>
      <c r="H183" s="603" t="s">
        <v>206</v>
      </c>
      <c r="I183" s="631" t="s">
        <v>1341</v>
      </c>
      <c r="J183" s="637" t="s">
        <v>192</v>
      </c>
      <c r="K183" s="630" t="s">
        <v>522</v>
      </c>
      <c r="L183" s="630">
        <v>11</v>
      </c>
      <c r="M183" s="588" t="str">
        <f t="shared" si="56"/>
        <v>Baja</v>
      </c>
      <c r="N183" s="589">
        <f t="shared" si="55"/>
        <v>0.4</v>
      </c>
      <c r="O183" s="590" t="s">
        <v>979</v>
      </c>
      <c r="P183" s="589" t="str">
        <f>IF(NOT(ISERROR(MATCH(O183,'Tabla Impacto'!$B$222:$B$224,0))),'Tabla Impacto'!$F$224&amp;"Por favor no seleccionar los criterios de impacto(Afectación Económica o presupuestal y Pérdida Reputacional)",O183)</f>
        <v xml:space="preserve">     Entre 50 y 100 SMLMV </v>
      </c>
      <c r="Q183" s="591" t="str">
        <f>IF(OR(P183='[8]Tabla Impacto'!$C$12,P183='[8]Tabla Impacto'!$D$12),"Leve",IF(OR(P183='[8]Tabla Impacto'!$C$13,P183='[8]Tabla Impacto'!$D$13),"Menor",IF(OR(P183='[8]Tabla Impacto'!$C$14,P183='[8]Tabla Impacto'!$D$14),"Moderado",IF(OR(P183='[8]Tabla Impacto'!$C$15,P183='[8]Tabla Impacto'!$D$15),"Mayor",IF(OR(P183='[8]Tabla Impacto'!$C$16,P183='[8]Tabla Impacto'!$D$16),"Catastrófico","")))))</f>
        <v>Moderado</v>
      </c>
      <c r="R183" s="590">
        <f t="shared" si="47"/>
        <v>0.6</v>
      </c>
      <c r="S183" s="592" t="str">
        <f t="shared" si="48"/>
        <v>Moderado</v>
      </c>
      <c r="T183" s="595">
        <v>1</v>
      </c>
      <c r="U183" s="631" t="s">
        <v>1342</v>
      </c>
      <c r="V183" s="595" t="str">
        <f>IF(OR(W183="Preventivo",W183="Detectivo"),"Probabilidad",IF(W183="Correctivo","Impacto",""))</f>
        <v>Probabilidad</v>
      </c>
      <c r="W183" s="596" t="s">
        <v>197</v>
      </c>
      <c r="X183" s="596" t="s">
        <v>198</v>
      </c>
      <c r="Y183" s="597" t="str">
        <f t="shared" si="49"/>
        <v>40%</v>
      </c>
      <c r="Z183" s="596" t="s">
        <v>259</v>
      </c>
      <c r="AA183" s="596" t="s">
        <v>200</v>
      </c>
      <c r="AB183" s="596" t="s">
        <v>201</v>
      </c>
      <c r="AC183" s="598">
        <f>IFERROR(IF(AND(V182="Probabilidad",V183="Probabilidad"),(AE182-(+AE182*Y183)),IF(AND(V182="Impacto",V183="Probabilidad"),(AE181-(+AE181*Y183)),IF(V183="Impacto",AE182,""))),"")</f>
        <v>0.1008</v>
      </c>
      <c r="AD183" s="599" t="str">
        <f t="shared" si="50"/>
        <v>Muy Baja</v>
      </c>
      <c r="AE183" s="600">
        <f t="shared" si="51"/>
        <v>0.1008</v>
      </c>
      <c r="AF183" s="599" t="str">
        <f t="shared" si="52"/>
        <v>Moderado</v>
      </c>
      <c r="AG183" s="600">
        <f>IFERROR(IF(AND(V182="Impacto",V183="Impacto"),(AG182-(+AG182*Y183)),IF(AND(V182="Probabilidad",V183="Impacto"),(AG181-(+AG181*Y183)),IF(V183="Probabilidad",AG182,""))),"")</f>
        <v>0.6</v>
      </c>
      <c r="AH183" s="601" t="str">
        <f t="shared" si="53"/>
        <v>Moderado</v>
      </c>
      <c r="AI183" s="602" t="s">
        <v>202</v>
      </c>
      <c r="AJ183" s="603"/>
      <c r="AK183" s="192"/>
      <c r="AL183" s="603"/>
      <c r="AM183" s="604"/>
      <c r="AN183" s="606"/>
      <c r="AO183" s="607"/>
      <c r="AP183" s="608">
        <v>45756</v>
      </c>
      <c r="AQ183" s="609" t="s">
        <v>1330</v>
      </c>
      <c r="AR183" s="286" t="s">
        <v>1343</v>
      </c>
      <c r="AS183" s="611" t="s">
        <v>205</v>
      </c>
      <c r="AT183" s="612" t="s">
        <v>206</v>
      </c>
      <c r="AU183" s="283" t="s">
        <v>206</v>
      </c>
      <c r="AV183" s="613"/>
      <c r="AW183" s="614">
        <v>45782</v>
      </c>
      <c r="AX183" s="615" t="s">
        <v>207</v>
      </c>
      <c r="AY183" s="635" t="s">
        <v>578</v>
      </c>
      <c r="BA183" s="617"/>
      <c r="BB183" s="617"/>
      <c r="BC183" s="618" t="s">
        <v>209</v>
      </c>
      <c r="BE183" s="621">
        <v>45853</v>
      </c>
      <c r="BF183" s="616" t="s">
        <v>1332</v>
      </c>
      <c r="BG183" s="283" t="s">
        <v>1344</v>
      </c>
      <c r="BH183" s="619" t="s">
        <v>205</v>
      </c>
      <c r="BI183" s="616" t="s">
        <v>206</v>
      </c>
      <c r="BJ183" s="616" t="s">
        <v>206</v>
      </c>
      <c r="BL183" s="450">
        <v>45861</v>
      </c>
      <c r="BM183" s="676" t="s">
        <v>215</v>
      </c>
      <c r="BN183" s="283" t="s">
        <v>1228</v>
      </c>
      <c r="BP183" s="617"/>
      <c r="BQ183" s="617"/>
      <c r="BR183" s="618" t="s">
        <v>209</v>
      </c>
      <c r="BT183" s="621">
        <v>45947</v>
      </c>
      <c r="BU183" s="616" t="s">
        <v>1332</v>
      </c>
      <c r="BV183" s="283" t="s">
        <v>1345</v>
      </c>
      <c r="BW183" s="619" t="s">
        <v>205</v>
      </c>
      <c r="BX183" s="616" t="s">
        <v>206</v>
      </c>
      <c r="BY183" s="616" t="s">
        <v>206</v>
      </c>
      <c r="CA183" s="614">
        <v>45986</v>
      </c>
      <c r="CB183" s="616" t="s">
        <v>218</v>
      </c>
      <c r="CC183" s="643" t="s">
        <v>1282</v>
      </c>
      <c r="CE183" s="617"/>
      <c r="CF183" s="617"/>
      <c r="CG183" s="618" t="s">
        <v>209</v>
      </c>
      <c r="CH183" s="192"/>
      <c r="CI183" s="558"/>
      <c r="CJ183" s="558"/>
      <c r="CK183" s="559" t="s">
        <v>209</v>
      </c>
      <c r="CL183" s="558"/>
      <c r="CM183" s="558"/>
      <c r="CN183" s="558"/>
      <c r="CO183" s="553"/>
      <c r="CP183" s="558"/>
      <c r="CQ183" s="558"/>
      <c r="CR183" s="559" t="s">
        <v>209</v>
      </c>
      <c r="CS183" s="553"/>
      <c r="CT183" s="558"/>
      <c r="CU183" s="558"/>
      <c r="CV183" s="559" t="s">
        <v>209</v>
      </c>
    </row>
    <row r="184" spans="1:100" ht="151.5" customHeight="1" x14ac:dyDescent="0.3">
      <c r="A184" s="622">
        <v>82</v>
      </c>
      <c r="B184" s="622" t="s">
        <v>1346</v>
      </c>
      <c r="C184" s="623" t="s">
        <v>1347</v>
      </c>
      <c r="D184" s="585" t="str">
        <f>IFERROR(INDEX('Base de datos gestión'!$D$28:$D$50,MATCH(C184,'Base de datos gestión'!$C$28:$C$50,0)), 0)</f>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
      <c r="E184" s="585" t="str">
        <f>IFERROR(INDEX('Base de datos gestión'!$E$28:$E$50,MATCH(C184,'Base de datos gestión'!$C$28:$C$50,0)), 0)</f>
        <v>Inicia desde la producción y/o recepción de los documentos y termina con la eliminación o conservación total en un archivo permanente. Aplica al manejo de toda la documentación en medio de soporte físico o electrónico.</v>
      </c>
      <c r="F184" s="628" t="s">
        <v>188</v>
      </c>
      <c r="G184" s="631" t="s">
        <v>1348</v>
      </c>
      <c r="H184" s="631" t="s">
        <v>1349</v>
      </c>
      <c r="I184" s="631" t="s">
        <v>1350</v>
      </c>
      <c r="J184" s="637" t="s">
        <v>280</v>
      </c>
      <c r="K184" s="630" t="s">
        <v>311</v>
      </c>
      <c r="L184" s="630">
        <v>4</v>
      </c>
      <c r="M184" s="588" t="str">
        <f t="shared" si="56"/>
        <v>Baja</v>
      </c>
      <c r="N184" s="589">
        <f t="shared" si="55"/>
        <v>0.4</v>
      </c>
      <c r="O184" s="590" t="s">
        <v>440</v>
      </c>
      <c r="P184" s="589" t="str">
        <f>IF(NOT(ISERROR(MATCH(O184,'Tabla Impacto'!$B$222:$B$224,0))),'Tabla Impacto'!$F$224&amp;"Por favor no seleccionar los criterios de impacto(Afectación Económica o presupuestal y Pérdida Reputacional)",O184)</f>
        <v xml:space="preserve">     El riesgo afecta la imagen de alguna área de la organización</v>
      </c>
      <c r="Q184" s="591" t="str">
        <f>IF(OR(P184='[8]Tabla Impacto'!$C$12,P184='[8]Tabla Impacto'!$D$12),"Leve",IF(OR(P184='[8]Tabla Impacto'!$C$13,P184='[8]Tabla Impacto'!$D$13),"Menor",IF(OR(P184='[8]Tabla Impacto'!$C$14,P184='[8]Tabla Impacto'!$D$14),"Moderado",IF(OR(P184='[8]Tabla Impacto'!$C$15,P184='[8]Tabla Impacto'!$D$15),"Mayor",IF(OR(P184='[8]Tabla Impacto'!$C$16,P184='[8]Tabla Impacto'!$D$16),"Catastrófico","")))))</f>
        <v>Leve</v>
      </c>
      <c r="R184" s="590">
        <f t="shared" si="47"/>
        <v>0.2</v>
      </c>
      <c r="S184" s="592" t="str">
        <f t="shared" si="48"/>
        <v>Bajo</v>
      </c>
      <c r="T184" s="595">
        <v>1</v>
      </c>
      <c r="U184" s="631" t="s">
        <v>1351</v>
      </c>
      <c r="V184" s="595" t="str">
        <f t="shared" si="54"/>
        <v>Probabilidad</v>
      </c>
      <c r="W184" s="596" t="s">
        <v>197</v>
      </c>
      <c r="X184" s="596" t="s">
        <v>198</v>
      </c>
      <c r="Y184" s="597" t="str">
        <f t="shared" si="49"/>
        <v>40%</v>
      </c>
      <c r="Z184" s="596" t="s">
        <v>259</v>
      </c>
      <c r="AA184" s="596" t="s">
        <v>200</v>
      </c>
      <c r="AB184" s="596" t="s">
        <v>201</v>
      </c>
      <c r="AC184" s="598">
        <f>IFERROR(IF(AND(V183="Probabilidad",V184="Probabilidad"),(AE183-(+AE183*Y184)),IF(AND(V183="Impacto",V184="Probabilidad"),(AE182-(+AE182*Y184)),IF(V184="Impacto",AE183,""))),"")</f>
        <v>6.0479999999999999E-2</v>
      </c>
      <c r="AD184" s="599" t="str">
        <f t="shared" si="50"/>
        <v>Muy Baja</v>
      </c>
      <c r="AE184" s="600">
        <f t="shared" si="51"/>
        <v>6.0479999999999999E-2</v>
      </c>
      <c r="AF184" s="599" t="str">
        <f t="shared" si="52"/>
        <v>Moderado</v>
      </c>
      <c r="AG184" s="600">
        <f>IFERROR(IF(AND(V183="Impacto",V184="Impacto"),(AG183-(+AG183*Y184)),IF(AND(V183="Probabilidad",V184="Impacto"),(AG182-(+AG182*Y184)),IF(V184="Probabilidad",AG183,""))),"")</f>
        <v>0.6</v>
      </c>
      <c r="AH184" s="601" t="str">
        <f t="shared" si="53"/>
        <v>Moderado</v>
      </c>
      <c r="AI184" s="602" t="s">
        <v>202</v>
      </c>
      <c r="AJ184" s="603"/>
      <c r="AK184" s="192"/>
      <c r="AL184" s="603"/>
      <c r="AM184" s="604"/>
      <c r="AN184" s="606"/>
      <c r="AO184" s="607"/>
      <c r="AP184" s="608">
        <v>45756</v>
      </c>
      <c r="AQ184" s="609" t="s">
        <v>1352</v>
      </c>
      <c r="AR184" s="643" t="s">
        <v>1353</v>
      </c>
      <c r="AS184" s="611" t="s">
        <v>205</v>
      </c>
      <c r="AT184" s="612" t="s">
        <v>206</v>
      </c>
      <c r="AU184" s="283" t="s">
        <v>206</v>
      </c>
      <c r="AV184" s="613"/>
      <c r="AW184" s="614">
        <v>45782</v>
      </c>
      <c r="AX184" s="615" t="s">
        <v>207</v>
      </c>
      <c r="AY184" s="635" t="s">
        <v>578</v>
      </c>
      <c r="BA184" s="617"/>
      <c r="BB184" s="617"/>
      <c r="BC184" s="618" t="s">
        <v>209</v>
      </c>
      <c r="BE184" s="621">
        <v>45853</v>
      </c>
      <c r="BF184" s="616" t="s">
        <v>1354</v>
      </c>
      <c r="BG184" s="286" t="s">
        <v>1355</v>
      </c>
      <c r="BH184" s="619" t="s">
        <v>205</v>
      </c>
      <c r="BI184" s="616" t="s">
        <v>206</v>
      </c>
      <c r="BJ184" s="616" t="s">
        <v>206</v>
      </c>
      <c r="BL184" s="450">
        <v>45861</v>
      </c>
      <c r="BM184" s="676" t="s">
        <v>215</v>
      </c>
      <c r="BN184" s="283" t="s">
        <v>1228</v>
      </c>
      <c r="BP184" s="617"/>
      <c r="BQ184" s="617"/>
      <c r="BR184" s="618" t="s">
        <v>209</v>
      </c>
      <c r="BT184" s="621">
        <v>45939</v>
      </c>
      <c r="BU184" s="616" t="s">
        <v>1354</v>
      </c>
      <c r="BV184" s="286" t="s">
        <v>1356</v>
      </c>
      <c r="BW184" s="617" t="s">
        <v>205</v>
      </c>
      <c r="BX184" s="617" t="s">
        <v>206</v>
      </c>
      <c r="BY184" s="616" t="s">
        <v>206</v>
      </c>
      <c r="CA184" s="614">
        <v>45986</v>
      </c>
      <c r="CB184" s="616" t="s">
        <v>218</v>
      </c>
      <c r="CC184" s="643" t="s">
        <v>1282</v>
      </c>
      <c r="CE184" s="617"/>
      <c r="CF184" s="617"/>
      <c r="CG184" s="618" t="s">
        <v>209</v>
      </c>
      <c r="CH184" s="192"/>
      <c r="CI184" s="558"/>
      <c r="CJ184" s="558"/>
      <c r="CK184" s="559" t="s">
        <v>209</v>
      </c>
      <c r="CL184" s="558"/>
      <c r="CM184" s="558"/>
      <c r="CN184" s="558"/>
      <c r="CO184" s="553"/>
      <c r="CP184" s="558"/>
      <c r="CQ184" s="558"/>
      <c r="CR184" s="559" t="s">
        <v>209</v>
      </c>
      <c r="CS184" s="553"/>
      <c r="CT184" s="558"/>
      <c r="CU184" s="558"/>
      <c r="CV184" s="559" t="s">
        <v>209</v>
      </c>
    </row>
    <row r="185" spans="1:100" ht="151.5" customHeight="1" x14ac:dyDescent="0.3">
      <c r="A185" s="622">
        <v>83</v>
      </c>
      <c r="B185" s="622" t="s">
        <v>1357</v>
      </c>
      <c r="C185" s="623" t="s">
        <v>1347</v>
      </c>
      <c r="D185" s="585" t="str">
        <f>IFERROR(INDEX('Base de datos gestión'!$D$28:$D$50,MATCH(C185,'Base de datos gestión'!$C$28:$C$50,0)), 0)</f>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
      <c r="E185" s="585" t="str">
        <f>IFERROR(INDEX('Base de datos gestión'!$E$28:$E$50,MATCH(C185,'Base de datos gestión'!$C$28:$C$50,0)), 0)</f>
        <v>Inicia desde la producción y/o recepción de los documentos y termina con la eliminación o conservación total en un archivo permanente. Aplica al manejo de toda la documentación en medio de soporte físico o electrónico.</v>
      </c>
      <c r="F185" s="628" t="s">
        <v>188</v>
      </c>
      <c r="G185" s="629" t="s">
        <v>1358</v>
      </c>
      <c r="H185" s="628" t="s">
        <v>1359</v>
      </c>
      <c r="I185" s="628" t="s">
        <v>1360</v>
      </c>
      <c r="J185" s="637" t="s">
        <v>280</v>
      </c>
      <c r="K185" s="630" t="s">
        <v>311</v>
      </c>
      <c r="L185" s="630">
        <v>4</v>
      </c>
      <c r="M185" s="588" t="str">
        <f t="shared" si="56"/>
        <v>Baja</v>
      </c>
      <c r="N185" s="589">
        <f t="shared" si="55"/>
        <v>0.4</v>
      </c>
      <c r="O185" s="590" t="s">
        <v>440</v>
      </c>
      <c r="P185" s="589" t="str">
        <f>IF(NOT(ISERROR(MATCH(O185,'Tabla Impacto'!$B$222:$B$224,0))),'Tabla Impacto'!$F$224&amp;"Por favor no seleccionar los criterios de impacto(Afectación Económica o presupuestal y Pérdida Reputacional)",O185)</f>
        <v xml:space="preserve">     El riesgo afecta la imagen de alguna área de la organización</v>
      </c>
      <c r="Q185" s="591" t="str">
        <f>IF(OR(P185='[8]Tabla Impacto'!$C$12,P185='[8]Tabla Impacto'!$D$12),"Leve",IF(OR(P185='[8]Tabla Impacto'!$C$13,P185='[8]Tabla Impacto'!$D$13),"Menor",IF(OR(P185='[8]Tabla Impacto'!$C$14,P185='[8]Tabla Impacto'!$D$14),"Moderado",IF(OR(P185='[8]Tabla Impacto'!$C$15,P185='[8]Tabla Impacto'!$D$15),"Mayor",IF(OR(P185='[8]Tabla Impacto'!$C$16,P185='[8]Tabla Impacto'!$D$16),"Catastrófico","")))))</f>
        <v>Leve</v>
      </c>
      <c r="R185" s="590">
        <f t="shared" si="47"/>
        <v>0.2</v>
      </c>
      <c r="S185" s="592" t="str">
        <f t="shared" si="48"/>
        <v>Bajo</v>
      </c>
      <c r="T185" s="595">
        <v>1</v>
      </c>
      <c r="U185" s="631" t="s">
        <v>1361</v>
      </c>
      <c r="V185" s="595" t="str">
        <f t="shared" si="54"/>
        <v>Probabilidad</v>
      </c>
      <c r="W185" s="596" t="s">
        <v>197</v>
      </c>
      <c r="X185" s="596" t="s">
        <v>198</v>
      </c>
      <c r="Y185" s="597" t="str">
        <f t="shared" si="49"/>
        <v>40%</v>
      </c>
      <c r="Z185" s="596" t="s">
        <v>259</v>
      </c>
      <c r="AA185" s="596" t="s">
        <v>200</v>
      </c>
      <c r="AB185" s="596" t="s">
        <v>201</v>
      </c>
      <c r="AC185" s="598">
        <f>IFERROR(IF(AND(V184="Probabilidad",V185="Probabilidad"),(AE184-(+AE184*Y185)),IF(AND(V184="Impacto",V185="Probabilidad"),(AE183-(+AE183*Y185)),IF(V185="Impacto",AE184,""))),"")</f>
        <v>3.6288000000000001E-2</v>
      </c>
      <c r="AD185" s="599" t="str">
        <f t="shared" si="50"/>
        <v>Muy Baja</v>
      </c>
      <c r="AE185" s="600">
        <f t="shared" si="51"/>
        <v>3.6288000000000001E-2</v>
      </c>
      <c r="AF185" s="599" t="str">
        <f t="shared" si="52"/>
        <v>Moderado</v>
      </c>
      <c r="AG185" s="600">
        <f>IFERROR(IF(AND(V184="Impacto",V185="Impacto"),(AG184-(+AG184*Y185)),IF(AND(V184="Probabilidad",V185="Impacto"),(AG183-(+AG183*Y185)),IF(V185="Probabilidad",AG184,""))),"")</f>
        <v>0.6</v>
      </c>
      <c r="AH185" s="601" t="str">
        <f t="shared" si="53"/>
        <v>Moderado</v>
      </c>
      <c r="AI185" s="602" t="s">
        <v>202</v>
      </c>
      <c r="AJ185" s="603"/>
      <c r="AK185" s="192"/>
      <c r="AL185" s="603"/>
      <c r="AM185" s="604"/>
      <c r="AN185" s="606"/>
      <c r="AO185" s="607"/>
      <c r="AP185" s="608">
        <v>45756</v>
      </c>
      <c r="AQ185" s="609" t="s">
        <v>1352</v>
      </c>
      <c r="AR185" s="643" t="s">
        <v>1362</v>
      </c>
      <c r="AS185" s="611" t="s">
        <v>205</v>
      </c>
      <c r="AT185" s="612" t="s">
        <v>206</v>
      </c>
      <c r="AU185" s="283" t="s">
        <v>206</v>
      </c>
      <c r="AV185" s="613"/>
      <c r="AW185" s="614">
        <v>45782</v>
      </c>
      <c r="AX185" s="615" t="s">
        <v>207</v>
      </c>
      <c r="AY185" s="635" t="s">
        <v>578</v>
      </c>
      <c r="BA185" s="617"/>
      <c r="BB185" s="617"/>
      <c r="BC185" s="618" t="s">
        <v>209</v>
      </c>
      <c r="BE185" s="621">
        <v>45853</v>
      </c>
      <c r="BF185" s="616" t="s">
        <v>1354</v>
      </c>
      <c r="BG185" s="286" t="s">
        <v>1363</v>
      </c>
      <c r="BH185" s="619" t="s">
        <v>205</v>
      </c>
      <c r="BI185" s="616" t="s">
        <v>206</v>
      </c>
      <c r="BJ185" s="616" t="s">
        <v>206</v>
      </c>
      <c r="BL185" s="450">
        <v>45861</v>
      </c>
      <c r="BM185" s="676" t="s">
        <v>215</v>
      </c>
      <c r="BN185" s="283" t="s">
        <v>1228</v>
      </c>
      <c r="BP185" s="617"/>
      <c r="BQ185" s="617"/>
      <c r="BR185" s="618" t="s">
        <v>209</v>
      </c>
      <c r="BT185" s="621">
        <v>45939</v>
      </c>
      <c r="BU185" s="616" t="s">
        <v>1354</v>
      </c>
      <c r="BV185" s="286" t="s">
        <v>1364</v>
      </c>
      <c r="BW185" s="619" t="s">
        <v>205</v>
      </c>
      <c r="BX185" s="616" t="s">
        <v>206</v>
      </c>
      <c r="BY185" s="616" t="s">
        <v>206</v>
      </c>
      <c r="CA185" s="614">
        <v>45986</v>
      </c>
      <c r="CB185" s="616" t="s">
        <v>218</v>
      </c>
      <c r="CC185" s="643" t="s">
        <v>1282</v>
      </c>
      <c r="CE185" s="617"/>
      <c r="CF185" s="617"/>
      <c r="CG185" s="618" t="s">
        <v>209</v>
      </c>
      <c r="CH185" s="192"/>
      <c r="CI185" s="558"/>
      <c r="CJ185" s="558"/>
      <c r="CK185" s="559" t="s">
        <v>209</v>
      </c>
      <c r="CL185" s="558"/>
      <c r="CM185" s="558"/>
      <c r="CN185" s="558"/>
      <c r="CO185" s="553"/>
      <c r="CP185" s="558"/>
      <c r="CQ185" s="558"/>
      <c r="CR185" s="559" t="s">
        <v>209</v>
      </c>
      <c r="CS185" s="553"/>
      <c r="CT185" s="558"/>
      <c r="CU185" s="558"/>
      <c r="CV185" s="559" t="s">
        <v>209</v>
      </c>
    </row>
    <row r="186" spans="1:100" ht="151.5" customHeight="1" x14ac:dyDescent="0.3">
      <c r="A186" s="632">
        <v>83</v>
      </c>
      <c r="B186" s="632" t="s">
        <v>1357</v>
      </c>
      <c r="C186" s="633" t="s">
        <v>1347</v>
      </c>
      <c r="D186" s="585" t="str">
        <f>IFERROR(INDEX('Base de datos gestión'!$D$28:$D$50,MATCH(C186,'Base de datos gestión'!$C$28:$C$50,0)), 0)</f>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
      <c r="E186" s="585" t="str">
        <f>IFERROR(INDEX('Base de datos gestión'!$E$28:$E$50,MATCH(C186,'Base de datos gestión'!$C$28:$C$50,0)), 0)</f>
        <v>Inicia desde la producción y/o recepción de los documentos y termina con la eliminación o conservación total en un archivo permanente. Aplica al manejo de toda la documentación en medio de soporte físico o electrónico.</v>
      </c>
      <c r="F186" s="628" t="s">
        <v>188</v>
      </c>
      <c r="G186" s="629" t="s">
        <v>1358</v>
      </c>
      <c r="H186" s="628" t="s">
        <v>1359</v>
      </c>
      <c r="I186" s="628" t="s">
        <v>1360</v>
      </c>
      <c r="J186" s="637" t="s">
        <v>280</v>
      </c>
      <c r="K186" s="630" t="s">
        <v>311</v>
      </c>
      <c r="L186" s="630">
        <v>4</v>
      </c>
      <c r="M186" s="588" t="str">
        <f t="shared" si="56"/>
        <v>Baja</v>
      </c>
      <c r="N186" s="589">
        <f t="shared" si="55"/>
        <v>0.4</v>
      </c>
      <c r="O186" s="590" t="s">
        <v>440</v>
      </c>
      <c r="P186" s="589" t="str">
        <f>IF(NOT(ISERROR(MATCH(O186,'Tabla Impacto'!$B$222:$B$224,0))),'Tabla Impacto'!$F$224&amp;"Por favor no seleccionar los criterios de impacto(Afectación Económica o presupuestal y Pérdida Reputacional)",O186)</f>
        <v xml:space="preserve">     El riesgo afecta la imagen de alguna área de la organización</v>
      </c>
      <c r="Q186" s="591" t="str">
        <f>IF(OR(P186='[8]Tabla Impacto'!$C$12,P186='[8]Tabla Impacto'!$D$12),"Leve",IF(OR(P186='[8]Tabla Impacto'!$C$13,P186='[8]Tabla Impacto'!$D$13),"Menor",IF(OR(P186='[8]Tabla Impacto'!$C$14,P186='[8]Tabla Impacto'!$D$14),"Moderado",IF(OR(P186='[8]Tabla Impacto'!$C$15,P186='[8]Tabla Impacto'!$D$15),"Mayor",IF(OR(P186='[8]Tabla Impacto'!$C$16,P186='[8]Tabla Impacto'!$D$16),"Catastrófico","")))))</f>
        <v>Leve</v>
      </c>
      <c r="R186" s="590">
        <f t="shared" si="47"/>
        <v>0.2</v>
      </c>
      <c r="S186" s="592" t="str">
        <f t="shared" si="48"/>
        <v>Bajo</v>
      </c>
      <c r="T186" s="595">
        <v>2</v>
      </c>
      <c r="U186" s="631" t="s">
        <v>1365</v>
      </c>
      <c r="V186" s="595" t="str">
        <f t="shared" si="54"/>
        <v>Probabilidad</v>
      </c>
      <c r="W186" s="596" t="s">
        <v>197</v>
      </c>
      <c r="X186" s="596" t="s">
        <v>198</v>
      </c>
      <c r="Y186" s="597" t="str">
        <f t="shared" si="49"/>
        <v>40%</v>
      </c>
      <c r="Z186" s="596" t="s">
        <v>259</v>
      </c>
      <c r="AA186" s="596" t="s">
        <v>200</v>
      </c>
      <c r="AB186" s="596" t="s">
        <v>201</v>
      </c>
      <c r="AC186" s="598">
        <f>IFERROR(IF(AND(V185="Probabilidad",V186="Probabilidad"),(AE185-(+AE185*Y186)),IF(AND(V185="Impacto",V186="Probabilidad"),(AE184-(+AE184*Y186)),IF(V186="Impacto",AE185,""))),"")</f>
        <v>2.1772800000000002E-2</v>
      </c>
      <c r="AD186" s="599" t="str">
        <f t="shared" si="50"/>
        <v>Muy Baja</v>
      </c>
      <c r="AE186" s="600">
        <f t="shared" si="51"/>
        <v>2.1772800000000002E-2</v>
      </c>
      <c r="AF186" s="599" t="str">
        <f t="shared" si="52"/>
        <v>Moderado</v>
      </c>
      <c r="AG186" s="600">
        <f>IFERROR(IF(AND(V185="Impacto",V186="Impacto"),(AG185-(+AG185*Y186)),IF(AND(V185="Probabilidad",V186="Impacto"),(AG184-(+AG184*Y186)),IF(V186="Probabilidad",AG185,""))),"")</f>
        <v>0.6</v>
      </c>
      <c r="AH186" s="601" t="str">
        <f t="shared" si="53"/>
        <v>Moderado</v>
      </c>
      <c r="AI186" s="602" t="s">
        <v>202</v>
      </c>
      <c r="AJ186" s="603"/>
      <c r="AK186" s="192"/>
      <c r="AL186" s="603"/>
      <c r="AM186" s="604"/>
      <c r="AN186" s="606"/>
      <c r="AO186" s="607"/>
      <c r="AP186" s="608">
        <v>45756</v>
      </c>
      <c r="AQ186" s="609" t="s">
        <v>1352</v>
      </c>
      <c r="AR186" s="643" t="s">
        <v>1366</v>
      </c>
      <c r="AS186" s="611" t="s">
        <v>205</v>
      </c>
      <c r="AT186" s="612" t="s">
        <v>206</v>
      </c>
      <c r="AU186" s="283" t="s">
        <v>206</v>
      </c>
      <c r="AV186" s="613"/>
      <c r="AW186" s="614">
        <v>45782</v>
      </c>
      <c r="AX186" s="615" t="s">
        <v>207</v>
      </c>
      <c r="AY186" s="635" t="s">
        <v>578</v>
      </c>
      <c r="BA186" s="617"/>
      <c r="BB186" s="617"/>
      <c r="BC186" s="618" t="s">
        <v>209</v>
      </c>
      <c r="BE186" s="621">
        <v>45854</v>
      </c>
      <c r="BF186" s="616" t="s">
        <v>1354</v>
      </c>
      <c r="BG186" s="283" t="s">
        <v>1367</v>
      </c>
      <c r="BH186" s="619" t="s">
        <v>205</v>
      </c>
      <c r="BI186" s="616" t="s">
        <v>206</v>
      </c>
      <c r="BJ186" s="616" t="s">
        <v>206</v>
      </c>
      <c r="BL186" s="450">
        <v>45861</v>
      </c>
      <c r="BM186" s="676" t="s">
        <v>215</v>
      </c>
      <c r="BN186" s="283" t="s">
        <v>1228</v>
      </c>
      <c r="BP186" s="617"/>
      <c r="BQ186" s="617"/>
      <c r="BR186" s="618" t="s">
        <v>209</v>
      </c>
      <c r="BT186" s="621">
        <v>45939</v>
      </c>
      <c r="BU186" s="616" t="s">
        <v>1354</v>
      </c>
      <c r="BV186" s="283" t="s">
        <v>1368</v>
      </c>
      <c r="BW186" s="619" t="s">
        <v>205</v>
      </c>
      <c r="BX186" s="616" t="s">
        <v>206</v>
      </c>
      <c r="BY186" s="616" t="s">
        <v>206</v>
      </c>
      <c r="CA186" s="614">
        <v>45986</v>
      </c>
      <c r="CB186" s="616" t="s">
        <v>218</v>
      </c>
      <c r="CC186" s="643" t="s">
        <v>1282</v>
      </c>
      <c r="CE186" s="617"/>
      <c r="CF186" s="617"/>
      <c r="CG186" s="618" t="s">
        <v>209</v>
      </c>
      <c r="CH186" s="192"/>
      <c r="CI186" s="558"/>
      <c r="CJ186" s="558"/>
      <c r="CK186" s="559" t="s">
        <v>209</v>
      </c>
      <c r="CL186" s="558"/>
      <c r="CM186" s="558"/>
      <c r="CN186" s="558"/>
      <c r="CO186" s="553"/>
      <c r="CP186" s="558"/>
      <c r="CQ186" s="558"/>
      <c r="CR186" s="559" t="s">
        <v>209</v>
      </c>
      <c r="CS186" s="553"/>
      <c r="CT186" s="558"/>
      <c r="CU186" s="558"/>
      <c r="CV186" s="559" t="s">
        <v>209</v>
      </c>
    </row>
    <row r="187" spans="1:100" ht="151.5" customHeight="1" x14ac:dyDescent="0.3">
      <c r="A187" s="584">
        <v>84</v>
      </c>
      <c r="B187" s="584" t="s">
        <v>1369</v>
      </c>
      <c r="C187" s="585" t="s">
        <v>1347</v>
      </c>
      <c r="D187" s="585" t="str">
        <f>IFERROR(INDEX('Base de datos gestión'!$D$28:$D$50,MATCH(C187,'Base de datos gestión'!$C$28:$C$50,0)), 0)</f>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
      <c r="E187" s="585" t="str">
        <f>IFERROR(INDEX('Base de datos gestión'!$E$28:$E$50,MATCH(C187,'Base de datos gestión'!$C$28:$C$50,0)), 0)</f>
        <v>Inicia desde la producción y/o recepción de los documentos y termina con la eliminación o conservación total en un archivo permanente. Aplica al manejo de toda la documentación en medio de soporte físico o electrónico.</v>
      </c>
      <c r="F187" s="628" t="s">
        <v>188</v>
      </c>
      <c r="G187" s="631" t="s">
        <v>1370</v>
      </c>
      <c r="H187" s="631" t="s">
        <v>1371</v>
      </c>
      <c r="I187" s="631" t="s">
        <v>1372</v>
      </c>
      <c r="J187" s="637" t="s">
        <v>280</v>
      </c>
      <c r="K187" s="630" t="s">
        <v>311</v>
      </c>
      <c r="L187" s="630">
        <v>2</v>
      </c>
      <c r="M187" s="588" t="str">
        <f t="shared" si="56"/>
        <v>Muy Baja</v>
      </c>
      <c r="N187" s="589">
        <f t="shared" si="55"/>
        <v>0.2</v>
      </c>
      <c r="O187" s="590" t="s">
        <v>440</v>
      </c>
      <c r="P187" s="589" t="str">
        <f>IF(NOT(ISERROR(MATCH(O187,'Tabla Impacto'!$B$222:$B$224,0))),'Tabla Impacto'!$F$224&amp;"Por favor no seleccionar los criterios de impacto(Afectación Económica o presupuestal y Pérdida Reputacional)",O187)</f>
        <v xml:space="preserve">     El riesgo afecta la imagen de alguna área de la organización</v>
      </c>
      <c r="Q187" s="591" t="str">
        <f>IF(OR(P187='[8]Tabla Impacto'!$C$12,P187='[8]Tabla Impacto'!$D$12),"Leve",IF(OR(P187='[8]Tabla Impacto'!$C$13,P187='[8]Tabla Impacto'!$D$13),"Menor",IF(OR(P187='[8]Tabla Impacto'!$C$14,P187='[8]Tabla Impacto'!$D$14),"Moderado",IF(OR(P187='[8]Tabla Impacto'!$C$15,P187='[8]Tabla Impacto'!$D$15),"Mayor",IF(OR(P187='[8]Tabla Impacto'!$C$16,P187='[8]Tabla Impacto'!$D$16),"Catastrófico","")))))</f>
        <v>Leve</v>
      </c>
      <c r="R187" s="590">
        <f t="shared" si="47"/>
        <v>0.2</v>
      </c>
      <c r="S187" s="592" t="str">
        <f t="shared" si="48"/>
        <v>Bajo</v>
      </c>
      <c r="T187" s="595">
        <v>1</v>
      </c>
      <c r="U187" s="631" t="s">
        <v>1373</v>
      </c>
      <c r="V187" s="595" t="str">
        <f t="shared" si="54"/>
        <v>Probabilidad</v>
      </c>
      <c r="W187" s="596" t="s">
        <v>197</v>
      </c>
      <c r="X187" s="596" t="s">
        <v>198</v>
      </c>
      <c r="Y187" s="597" t="str">
        <f t="shared" si="49"/>
        <v>40%</v>
      </c>
      <c r="Z187" s="596" t="s">
        <v>259</v>
      </c>
      <c r="AA187" s="596" t="s">
        <v>200</v>
      </c>
      <c r="AB187" s="596" t="s">
        <v>201</v>
      </c>
      <c r="AC187" s="598">
        <f>IFERROR(IF(V187="Probabilidad",(N187-(+N187*Y187)),IF(V187="Impacto",N187,"")),"")</f>
        <v>0.12</v>
      </c>
      <c r="AD187" s="599" t="str">
        <f t="shared" si="50"/>
        <v>Muy Baja</v>
      </c>
      <c r="AE187" s="600">
        <f t="shared" si="51"/>
        <v>0.12</v>
      </c>
      <c r="AF187" s="599" t="str">
        <f t="shared" si="52"/>
        <v>Leve</v>
      </c>
      <c r="AG187" s="600">
        <f>IFERROR(IF(V187="Impacto",(R187-(+R187*Y187)),IF(V187="Probabilidad",R187,"")),"")</f>
        <v>0.2</v>
      </c>
      <c r="AH187" s="601" t="str">
        <f t="shared" si="53"/>
        <v>Bajo</v>
      </c>
      <c r="AI187" s="602" t="s">
        <v>202</v>
      </c>
      <c r="AJ187" s="603"/>
      <c r="AK187" s="192"/>
      <c r="AL187" s="603"/>
      <c r="AM187" s="604"/>
      <c r="AN187" s="606"/>
      <c r="AO187" s="607"/>
      <c r="AP187" s="608">
        <v>45756</v>
      </c>
      <c r="AQ187" s="609" t="s">
        <v>1352</v>
      </c>
      <c r="AR187" s="643" t="s">
        <v>1374</v>
      </c>
      <c r="AS187" s="611" t="s">
        <v>205</v>
      </c>
      <c r="AT187" s="612" t="s">
        <v>206</v>
      </c>
      <c r="AU187" s="283" t="s">
        <v>206</v>
      </c>
      <c r="AV187" s="613"/>
      <c r="AW187" s="614">
        <v>45782</v>
      </c>
      <c r="AX187" s="615" t="s">
        <v>207</v>
      </c>
      <c r="AY187" s="635" t="s">
        <v>578</v>
      </c>
      <c r="BA187" s="617"/>
      <c r="BB187" s="617"/>
      <c r="BC187" s="618" t="s">
        <v>209</v>
      </c>
      <c r="BE187" s="621">
        <v>45854</v>
      </c>
      <c r="BF187" s="616" t="s">
        <v>1354</v>
      </c>
      <c r="BG187" s="283" t="s">
        <v>1375</v>
      </c>
      <c r="BH187" s="619" t="s">
        <v>205</v>
      </c>
      <c r="BI187" s="616" t="s">
        <v>206</v>
      </c>
      <c r="BJ187" s="616" t="s">
        <v>206</v>
      </c>
      <c r="BL187" s="450">
        <v>45861</v>
      </c>
      <c r="BM187" s="676" t="s">
        <v>215</v>
      </c>
      <c r="BN187" s="283" t="s">
        <v>1228</v>
      </c>
      <c r="BP187" s="617"/>
      <c r="BQ187" s="617"/>
      <c r="BR187" s="618" t="s">
        <v>209</v>
      </c>
      <c r="BT187" s="621">
        <v>45939</v>
      </c>
      <c r="BU187" s="616" t="s">
        <v>1354</v>
      </c>
      <c r="BV187" s="283" t="s">
        <v>1376</v>
      </c>
      <c r="BW187" s="619" t="s">
        <v>205</v>
      </c>
      <c r="BX187" s="616" t="s">
        <v>206</v>
      </c>
      <c r="BY187" s="616" t="s">
        <v>206</v>
      </c>
      <c r="CA187" s="614">
        <v>45986</v>
      </c>
      <c r="CB187" s="616" t="s">
        <v>218</v>
      </c>
      <c r="CC187" s="643" t="s">
        <v>1282</v>
      </c>
      <c r="CE187" s="617"/>
      <c r="CF187" s="617"/>
      <c r="CG187" s="618" t="s">
        <v>209</v>
      </c>
      <c r="CH187" s="192"/>
      <c r="CI187" s="558"/>
      <c r="CJ187" s="558"/>
      <c r="CK187" s="559" t="s">
        <v>209</v>
      </c>
      <c r="CL187" s="558"/>
      <c r="CM187" s="558"/>
      <c r="CN187" s="558"/>
      <c r="CO187" s="553"/>
      <c r="CP187" s="558"/>
      <c r="CQ187" s="558"/>
      <c r="CR187" s="559" t="s">
        <v>209</v>
      </c>
      <c r="CS187" s="553"/>
      <c r="CT187" s="558"/>
      <c r="CU187" s="558"/>
      <c r="CV187" s="559" t="s">
        <v>209</v>
      </c>
    </row>
    <row r="188" spans="1:100" ht="151.5" customHeight="1" x14ac:dyDescent="0.3">
      <c r="A188" s="622">
        <v>85</v>
      </c>
      <c r="B188" s="622" t="s">
        <v>1377</v>
      </c>
      <c r="C188" s="623" t="s">
        <v>1378</v>
      </c>
      <c r="D188" s="585" t="str">
        <f>IFERROR(INDEX('Base de datos gestión'!$D$28:$D$50,MATCH(C188,'Base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88" s="585" t="str">
        <f>IFERROR(INDEX('Base de datos gestión'!$E$28:$E$50,MATCH(C188,'Base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88" s="628" t="s">
        <v>276</v>
      </c>
      <c r="G188" s="631" t="s">
        <v>1379</v>
      </c>
      <c r="H188" s="631" t="s">
        <v>1380</v>
      </c>
      <c r="I188" s="631" t="s">
        <v>1381</v>
      </c>
      <c r="J188" s="637" t="s">
        <v>192</v>
      </c>
      <c r="K188" s="630" t="s">
        <v>496</v>
      </c>
      <c r="L188" s="630">
        <v>500</v>
      </c>
      <c r="M188" s="588" t="str">
        <f t="shared" si="56"/>
        <v>Media</v>
      </c>
      <c r="N188" s="589">
        <f t="shared" si="55"/>
        <v>0.6</v>
      </c>
      <c r="O188" s="590" t="s">
        <v>248</v>
      </c>
      <c r="P188" s="589" t="str">
        <f>IF(NOT(ISERROR(MATCH(O188,'Tabla Impacto'!$B$222:$B$224,0))),'Tabla Impacto'!$F$224&amp;"Por favor no seleccionar los criterios de impacto(Afectación Económica o presupuestal y Pérdida Reputacional)",O188)</f>
        <v xml:space="preserve">     El riesgo afecta la imagen de la entidad con algunos usuarios de relevancia frente al logro de los objetivos</v>
      </c>
      <c r="Q188" s="591" t="str">
        <f>IF(OR(P188='[8]Tabla Impacto'!$C$12,P188='[8]Tabla Impacto'!$D$12),"Leve",IF(OR(P188='[8]Tabla Impacto'!$C$13,P188='[8]Tabla Impacto'!$D$13),"Menor",IF(OR(P188='[8]Tabla Impacto'!$C$14,P188='[8]Tabla Impacto'!$D$14),"Moderado",IF(OR(P188='[8]Tabla Impacto'!$C$15,P188='[8]Tabla Impacto'!$D$15),"Mayor",IF(OR(P188='[8]Tabla Impacto'!$C$16,P188='[8]Tabla Impacto'!$D$16),"Catastrófico","")))))</f>
        <v>Moderado</v>
      </c>
      <c r="R188" s="590">
        <f t="shared" si="47"/>
        <v>0.6</v>
      </c>
      <c r="S188" s="592" t="str">
        <f t="shared" si="48"/>
        <v>Moderado</v>
      </c>
      <c r="T188" s="595">
        <v>1</v>
      </c>
      <c r="U188" s="631" t="s">
        <v>1382</v>
      </c>
      <c r="V188" s="595" t="str">
        <f t="shared" si="54"/>
        <v>Probabilidad</v>
      </c>
      <c r="W188" s="596" t="s">
        <v>197</v>
      </c>
      <c r="X188" s="596" t="s">
        <v>198</v>
      </c>
      <c r="Y188" s="597" t="str">
        <f t="shared" si="49"/>
        <v>40%</v>
      </c>
      <c r="Z188" s="596" t="s">
        <v>259</v>
      </c>
      <c r="AA188" s="596" t="s">
        <v>200</v>
      </c>
      <c r="AB188" s="596" t="s">
        <v>201</v>
      </c>
      <c r="AC188" s="598">
        <f>IFERROR(IF(AND(V187="Probabilidad",V188="Probabilidad"),(AE187-(+AE187*Y188)),IF(V188="Probabilidad",(N187-(+N187*Y188)),IF(V188="Impacto",AE187,""))),"")</f>
        <v>7.1999999999999995E-2</v>
      </c>
      <c r="AD188" s="599" t="str">
        <f t="shared" si="50"/>
        <v>Muy Baja</v>
      </c>
      <c r="AE188" s="600">
        <f t="shared" si="51"/>
        <v>7.1999999999999995E-2</v>
      </c>
      <c r="AF188" s="599" t="str">
        <f t="shared" si="52"/>
        <v>Mayor</v>
      </c>
      <c r="AG188" s="600">
        <f>IFERROR(IF(AND(V187="Impacto",V188="Impacto"),(AG181-(+AG181*Y188)),IF(V188="Impacto",($R$55-(+$R$55*Y188)),IF(V188="Probabilidad",AG181,""))),"")</f>
        <v>0.8</v>
      </c>
      <c r="AH188" s="601" t="str">
        <f t="shared" si="53"/>
        <v>Alto</v>
      </c>
      <c r="AI188" s="602" t="s">
        <v>202</v>
      </c>
      <c r="AJ188" s="603"/>
      <c r="AK188" s="192"/>
      <c r="AL188" s="603"/>
      <c r="AM188" s="604"/>
      <c r="AN188" s="606"/>
      <c r="AO188" s="607"/>
      <c r="AP188" s="608">
        <v>45758</v>
      </c>
      <c r="AQ188" s="609" t="s">
        <v>1383</v>
      </c>
      <c r="AR188" s="283" t="s">
        <v>1384</v>
      </c>
      <c r="AS188" s="611" t="s">
        <v>205</v>
      </c>
      <c r="AT188" s="612" t="s">
        <v>206</v>
      </c>
      <c r="AU188" s="283" t="s">
        <v>206</v>
      </c>
      <c r="AV188" s="613"/>
      <c r="AW188" s="614">
        <v>45782</v>
      </c>
      <c r="AX188" s="615" t="s">
        <v>207</v>
      </c>
      <c r="AY188" s="635" t="s">
        <v>1385</v>
      </c>
      <c r="BA188" s="617"/>
      <c r="BB188" s="617"/>
      <c r="BC188" s="618" t="s">
        <v>209</v>
      </c>
      <c r="BE188" s="608">
        <v>45855</v>
      </c>
      <c r="BF188" s="609" t="s">
        <v>1386</v>
      </c>
      <c r="BG188" s="283" t="s">
        <v>1387</v>
      </c>
      <c r="BH188" s="641" t="s">
        <v>205</v>
      </c>
      <c r="BI188" s="612" t="s">
        <v>206</v>
      </c>
      <c r="BJ188" s="283" t="s">
        <v>206</v>
      </c>
      <c r="BL188" s="450">
        <v>45861</v>
      </c>
      <c r="BM188" s="676" t="s">
        <v>215</v>
      </c>
      <c r="BN188" s="283" t="s">
        <v>1228</v>
      </c>
      <c r="BP188" s="617"/>
      <c r="BQ188" s="617"/>
      <c r="BR188" s="618" t="s">
        <v>209</v>
      </c>
      <c r="BT188" s="614">
        <v>45938</v>
      </c>
      <c r="BU188" s="616" t="s">
        <v>1386</v>
      </c>
      <c r="BV188" s="677" t="s">
        <v>1388</v>
      </c>
      <c r="BW188" s="641" t="s">
        <v>205</v>
      </c>
      <c r="BX188" s="612" t="s">
        <v>206</v>
      </c>
      <c r="BY188" s="283" t="s">
        <v>206</v>
      </c>
      <c r="CA188" s="614">
        <v>45986</v>
      </c>
      <c r="CB188" s="616" t="s">
        <v>218</v>
      </c>
      <c r="CC188" s="643" t="s">
        <v>1282</v>
      </c>
      <c r="CE188" s="617"/>
      <c r="CF188" s="617"/>
      <c r="CG188" s="618" t="s">
        <v>209</v>
      </c>
      <c r="CH188" s="192"/>
      <c r="CI188" s="558"/>
      <c r="CJ188" s="558"/>
      <c r="CK188" s="559" t="s">
        <v>209</v>
      </c>
      <c r="CL188" s="558"/>
      <c r="CM188" s="558"/>
      <c r="CN188" s="558"/>
      <c r="CO188" s="553"/>
      <c r="CP188" s="558"/>
      <c r="CQ188" s="558"/>
      <c r="CR188" s="559" t="s">
        <v>209</v>
      </c>
      <c r="CS188" s="553"/>
      <c r="CT188" s="558"/>
      <c r="CU188" s="558"/>
      <c r="CV188" s="559" t="s">
        <v>209</v>
      </c>
    </row>
    <row r="189" spans="1:100" ht="151.5" customHeight="1" x14ac:dyDescent="0.3">
      <c r="A189" s="622">
        <v>86</v>
      </c>
      <c r="B189" s="622" t="s">
        <v>1389</v>
      </c>
      <c r="C189" s="623" t="s">
        <v>1378</v>
      </c>
      <c r="D189" s="585" t="str">
        <f>IFERROR(INDEX('Base de datos gestión'!$D$28:$D$50,MATCH(C189,'Base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89" s="585" t="str">
        <f>IFERROR(INDEX('Base de datos gestión'!$E$28:$E$50,MATCH(C189,'Base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89" s="628" t="s">
        <v>652</v>
      </c>
      <c r="G189" s="631" t="s">
        <v>1390</v>
      </c>
      <c r="H189" s="631" t="s">
        <v>1391</v>
      </c>
      <c r="I189" s="631" t="s">
        <v>1392</v>
      </c>
      <c r="J189" s="637" t="s">
        <v>280</v>
      </c>
      <c r="K189" s="630" t="s">
        <v>311</v>
      </c>
      <c r="L189" s="630">
        <v>12</v>
      </c>
      <c r="M189" s="588" t="str">
        <f t="shared" si="56"/>
        <v>Baja</v>
      </c>
      <c r="N189" s="589">
        <f t="shared" si="55"/>
        <v>0.4</v>
      </c>
      <c r="O189" s="590" t="s">
        <v>1119</v>
      </c>
      <c r="P189" s="589" t="str">
        <f>IF(NOT(ISERROR(MATCH(O189,'Tabla Impacto'!$B$222:$B$224,0))),'Tabla Impacto'!$F$224&amp;"Por favor no seleccionar los criterios de impacto(Afectación Económica o presupuestal y Pérdida Reputacional)",O189)</f>
        <v xml:space="preserve">     Afectación menor a 10 SMLMV .</v>
      </c>
      <c r="Q189" s="591" t="str">
        <f>IF(OR(P189='[8]Tabla Impacto'!$C$12,P189='[8]Tabla Impacto'!$D$12),"Leve",IF(OR(P189='[8]Tabla Impacto'!$C$13,P189='[8]Tabla Impacto'!$D$13),"Menor",IF(OR(P189='[8]Tabla Impacto'!$C$14,P189='[8]Tabla Impacto'!$D$14),"Moderado",IF(OR(P189='[8]Tabla Impacto'!$C$15,P189='[8]Tabla Impacto'!$D$15),"Mayor",IF(OR(P189='[8]Tabla Impacto'!$C$16,P189='[8]Tabla Impacto'!$D$16),"Catastrófico","")))))</f>
        <v>Leve</v>
      </c>
      <c r="R189" s="590">
        <f t="shared" ref="R189:R252" si="57">IF(Q189="","",IF(Q189="Leve",0.2,IF(Q189="Menor",0.4,IF(Q189="Moderado",0.6,IF(Q189="Mayor",0.8,IF(Q189="Catastrófico",1,))))))</f>
        <v>0.2</v>
      </c>
      <c r="S189" s="592" t="str">
        <f t="shared" ref="S189:S252" si="58">IF(OR(AND(M189="Muy Baja",Q189="Leve"),AND(M189="Muy Baja",Q189="Menor"),AND(M189="Baja",Q189="Leve")),"Bajo",IF(OR(AND(M189="Muy baja",Q189="Moderado"),AND(M189="Baja",Q189="Menor"),AND(M189="Baja",Q189="Moderado"),AND(M189="Media",Q189="Leve"),AND(M189="Media",Q189="Menor"),AND(M189="Media",Q189="Moderado"),AND(M189="Alta",Q189="Leve"),AND(M189="Alta",Q189="Menor")),"Moderado",IF(OR(AND(M189="Muy Baja",Q189="Mayor"),AND(M189="Baja",Q189="Mayor"),AND(M189="Media",Q189="Mayor"),AND(M189="Alta",Q189="Moderado"),AND(M189="Alta",Q189="Mayor"),AND(M189="Muy Alta",Q189="Leve"),AND(M189="Muy Alta",Q189="Menor"),AND(M189="Muy Alta",Q189="Moderado"),AND(M189="Muy Alta",Q189="Mayor")),"Alto",IF(OR(AND(M189="Muy Baja",Q189="Catastrófico"),AND(M189="Baja",Q189="Catastrófico"),AND(M189="Media",Q189="Catastrófico"),AND(M189="Alta",Q189="Catastrófico"),AND(M189="Muy Alta",Q189="Catastrófico")),"Extremo",""))))</f>
        <v>Bajo</v>
      </c>
      <c r="T189" s="595">
        <v>1</v>
      </c>
      <c r="U189" s="631" t="s">
        <v>1393</v>
      </c>
      <c r="V189" s="595" t="str">
        <f t="shared" si="54"/>
        <v>Probabilidad</v>
      </c>
      <c r="W189" s="596" t="s">
        <v>197</v>
      </c>
      <c r="X189" s="596" t="s">
        <v>198</v>
      </c>
      <c r="Y189" s="597" t="str">
        <f t="shared" ref="Y189:Y212" si="59">IF(AND(W189="Preventivo",X189="Automático"),"50%",IF(AND(W189="Preventivo",X189="Manual"),"40%",IF(AND(W189="Detectivo",X189="Automático"),"40%",IF(AND(W189="Detectivo",X189="Manual"),"30%",IF(AND(W189="Correctivo",X189="Automático"),"35%",IF(AND(W189="Correctivo",X189="Manual"),"25%",""))))))</f>
        <v>40%</v>
      </c>
      <c r="Z189" s="596" t="s">
        <v>259</v>
      </c>
      <c r="AA189" s="596" t="s">
        <v>200</v>
      </c>
      <c r="AB189" s="596" t="s">
        <v>201</v>
      </c>
      <c r="AC189" s="598">
        <f>IFERROR(IF(AND(V188="Probabilidad",V189="Probabilidad"),(AE188-(+AE188*Y189)),IF(AND(V188="Impacto",V189="Probabilidad"),(AE187-(+AE187*Y189)),IF(V189="Impacto",AE188,""))),"")</f>
        <v>4.3199999999999995E-2</v>
      </c>
      <c r="AD189" s="599" t="str">
        <f t="shared" ref="AD189:AD212" si="60">IFERROR(IF(AC189="","",IF(AC189&lt;=0.2,"Muy Baja",IF(AC189&lt;=0.4,"Baja",IF(AC189&lt;=0.6,"Media",IF(AC189&lt;=0.8,"Alta","Muy Alta"))))),"")</f>
        <v>Muy Baja</v>
      </c>
      <c r="AE189" s="600">
        <f t="shared" ref="AE189:AE212" si="61">+AC189</f>
        <v>4.3199999999999995E-2</v>
      </c>
      <c r="AF189" s="599" t="str">
        <f t="shared" ref="AF189:AF212" si="62">IFERROR(IF(AG189="","",IF(AG189&lt;=0.2,"Leve",IF(AG189&lt;=0.4,"Menor",IF(AG189&lt;=0.6,"Moderado",IF(AG189&lt;=0.8,"Mayor","Catastrófico"))))),"")</f>
        <v>Mayor</v>
      </c>
      <c r="AG189" s="600">
        <f>IFERROR(IF(AND(V188="Impacto",V189="Impacto"),(AG188-(+AG188*Y189)),IF(AND(V188="Probabilidad",V189="Impacto"),(AG187-(+AG187*Y189)),IF(V189="Probabilidad",AG188,""))),"")</f>
        <v>0.8</v>
      </c>
      <c r="AH189" s="601" t="str">
        <f t="shared" ref="AH189:AH212" si="63">IFERROR(IF(OR(AND(AD189="Muy Baja",AF189="Leve"),AND(AD189="Muy Baja",AF189="Menor"),AND(AD189="Baja",AF189="Leve")),"Bajo",IF(OR(AND(AD189="Muy baja",AF189="Moderado"),AND(AD189="Baja",AF189="Menor"),AND(AD189="Baja",AF189="Moderado"),AND(AD189="Media",AF189="Leve"),AND(AD189="Media",AF189="Menor"),AND(AD189="Media",AF189="Moderado"),AND(AD189="Alta",AF189="Leve"),AND(AD189="Alta",AF189="Menor")),"Moderado",IF(OR(AND(AD189="Muy Baja",AF189="Mayor"),AND(AD189="Baja",AF189="Mayor"),AND(AD189="Media",AF189="Mayor"),AND(AD189="Alta",AF189="Moderado"),AND(AD189="Alta",AF189="Mayor"),AND(AD189="Muy Alta",AF189="Leve"),AND(AD189="Muy Alta",AF189="Menor"),AND(AD189="Muy Alta",AF189="Moderado"),AND(AD189="Muy Alta",AF189="Mayor")),"Alto",IF(OR(AND(AD189="Muy Baja",AF189="Catastrófico"),AND(AD189="Baja",AF189="Catastrófico"),AND(AD189="Media",AF189="Catastrófico"),AND(AD189="Alta",AF189="Catastrófico"),AND(AD189="Muy Alta",AF189="Catastrófico")),"Extremo","")))),"")</f>
        <v>Alto</v>
      </c>
      <c r="AI189" s="602" t="s">
        <v>202</v>
      </c>
      <c r="AJ189" s="603"/>
      <c r="AK189" s="192"/>
      <c r="AL189" s="603"/>
      <c r="AM189" s="604"/>
      <c r="AN189" s="606"/>
      <c r="AO189" s="607"/>
      <c r="AP189" s="608">
        <v>45758</v>
      </c>
      <c r="AQ189" s="609" t="s">
        <v>1394</v>
      </c>
      <c r="AR189" s="286" t="s">
        <v>1395</v>
      </c>
      <c r="AS189" s="611" t="s">
        <v>205</v>
      </c>
      <c r="AT189" s="612" t="s">
        <v>206</v>
      </c>
      <c r="AU189" s="283" t="s">
        <v>206</v>
      </c>
      <c r="AV189" s="613"/>
      <c r="AW189" s="614">
        <v>45782</v>
      </c>
      <c r="AX189" s="615" t="s">
        <v>207</v>
      </c>
      <c r="AY189" s="635" t="s">
        <v>578</v>
      </c>
      <c r="BA189" s="617"/>
      <c r="BB189" s="617"/>
      <c r="BC189" s="618" t="s">
        <v>209</v>
      </c>
      <c r="BE189" s="608">
        <v>45855</v>
      </c>
      <c r="BF189" s="609" t="s">
        <v>1396</v>
      </c>
      <c r="BG189" s="286" t="s">
        <v>1397</v>
      </c>
      <c r="BH189" s="641" t="s">
        <v>205</v>
      </c>
      <c r="BI189" s="612" t="s">
        <v>206</v>
      </c>
      <c r="BJ189" s="283" t="s">
        <v>206</v>
      </c>
      <c r="BL189" s="450">
        <v>45861</v>
      </c>
      <c r="BM189" s="676" t="s">
        <v>215</v>
      </c>
      <c r="BN189" s="283" t="s">
        <v>1228</v>
      </c>
      <c r="BP189" s="617"/>
      <c r="BQ189" s="617"/>
      <c r="BR189" s="618" t="s">
        <v>209</v>
      </c>
      <c r="BT189" s="608">
        <v>45947</v>
      </c>
      <c r="BU189" s="609" t="s">
        <v>1396</v>
      </c>
      <c r="BV189" s="286" t="s">
        <v>1398</v>
      </c>
      <c r="BW189" s="641" t="s">
        <v>205</v>
      </c>
      <c r="BX189" s="612" t="s">
        <v>206</v>
      </c>
      <c r="BY189" s="283" t="s">
        <v>206</v>
      </c>
      <c r="CA189" s="614">
        <v>45986</v>
      </c>
      <c r="CB189" s="616" t="s">
        <v>218</v>
      </c>
      <c r="CC189" s="643" t="s">
        <v>1282</v>
      </c>
      <c r="CE189" s="617"/>
      <c r="CF189" s="617"/>
      <c r="CG189" s="618" t="s">
        <v>209</v>
      </c>
      <c r="CH189" s="192"/>
      <c r="CI189" s="558"/>
      <c r="CJ189" s="558"/>
      <c r="CK189" s="559" t="s">
        <v>209</v>
      </c>
      <c r="CL189" s="558"/>
      <c r="CM189" s="558"/>
      <c r="CN189" s="558"/>
      <c r="CO189" s="553"/>
      <c r="CP189" s="558"/>
      <c r="CQ189" s="558"/>
      <c r="CR189" s="559" t="s">
        <v>209</v>
      </c>
      <c r="CS189" s="553"/>
      <c r="CT189" s="558"/>
      <c r="CU189" s="558"/>
      <c r="CV189" s="559" t="s">
        <v>209</v>
      </c>
    </row>
    <row r="190" spans="1:100" ht="151.5" customHeight="1" x14ac:dyDescent="0.3">
      <c r="A190" s="622">
        <v>87</v>
      </c>
      <c r="B190" s="622" t="s">
        <v>1399</v>
      </c>
      <c r="C190" s="623" t="s">
        <v>1378</v>
      </c>
      <c r="D190" s="585" t="str">
        <f>IFERROR(INDEX('Base de datos gestión'!$D$28:$D$50,MATCH(C190,'Base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0" s="585" t="str">
        <f>IFERROR(INDEX('Base de datos gestión'!$E$28:$E$50,MATCH(C190,'Base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0" s="707" t="s">
        <v>276</v>
      </c>
      <c r="G190" s="629" t="s">
        <v>1400</v>
      </c>
      <c r="H190" s="628" t="s">
        <v>1401</v>
      </c>
      <c r="I190" s="628" t="s">
        <v>1402</v>
      </c>
      <c r="J190" s="637" t="s">
        <v>280</v>
      </c>
      <c r="K190" s="630" t="s">
        <v>311</v>
      </c>
      <c r="L190" s="630">
        <v>24</v>
      </c>
      <c r="M190" s="588" t="str">
        <f t="shared" si="56"/>
        <v>Baja</v>
      </c>
      <c r="N190" s="589">
        <f t="shared" si="55"/>
        <v>0.4</v>
      </c>
      <c r="O190" s="590" t="s">
        <v>248</v>
      </c>
      <c r="P190" s="589" t="str">
        <f>IF(NOT(ISERROR(MATCH(O190,'Tabla Impacto'!$B$222:$B$224,0))),'Tabla Impacto'!$F$224&amp;"Por favor no seleccionar los criterios de impacto(Afectación Económica o presupuestal y Pérdida Reputacional)",O190)</f>
        <v xml:space="preserve">     El riesgo afecta la imagen de la entidad con algunos usuarios de relevancia frente al logro de los objetivos</v>
      </c>
      <c r="Q190" s="591" t="str">
        <f>IF(OR(P190='[8]Tabla Impacto'!$C$12,P190='[8]Tabla Impacto'!$D$12),"Leve",IF(OR(P190='[8]Tabla Impacto'!$C$13,P190='[8]Tabla Impacto'!$D$13),"Menor",IF(OR(P190='[8]Tabla Impacto'!$C$14,P190='[8]Tabla Impacto'!$D$14),"Moderado",IF(OR(P190='[8]Tabla Impacto'!$C$15,P190='[8]Tabla Impacto'!$D$15),"Mayor",IF(OR(P190='[8]Tabla Impacto'!$C$16,P190='[8]Tabla Impacto'!$D$16),"Catastrófico","")))))</f>
        <v>Moderado</v>
      </c>
      <c r="R190" s="590">
        <f t="shared" si="57"/>
        <v>0.6</v>
      </c>
      <c r="S190" s="592" t="str">
        <f t="shared" si="58"/>
        <v>Moderado</v>
      </c>
      <c r="T190" s="595">
        <v>1</v>
      </c>
      <c r="U190" s="631" t="s">
        <v>1403</v>
      </c>
      <c r="V190" s="595" t="str">
        <f t="shared" si="54"/>
        <v>Probabilidad</v>
      </c>
      <c r="W190" s="596" t="s">
        <v>197</v>
      </c>
      <c r="X190" s="596" t="s">
        <v>198</v>
      </c>
      <c r="Y190" s="597" t="str">
        <f t="shared" si="59"/>
        <v>40%</v>
      </c>
      <c r="Z190" s="596" t="s">
        <v>259</v>
      </c>
      <c r="AA190" s="596" t="s">
        <v>200</v>
      </c>
      <c r="AB190" s="596" t="s">
        <v>201</v>
      </c>
      <c r="AC190" s="598">
        <f>IFERROR(IF(AND(V189="Probabilidad",V190="Probabilidad"),(AE189-(+AE189*Y190)),IF(AND(V189="Impacto",V190="Probabilidad"),(AE188-(+AE188*Y190)),IF(V190="Impacto",AE189,""))),"")</f>
        <v>2.5919999999999995E-2</v>
      </c>
      <c r="AD190" s="599" t="str">
        <f t="shared" si="60"/>
        <v>Muy Baja</v>
      </c>
      <c r="AE190" s="600">
        <f t="shared" si="61"/>
        <v>2.5919999999999995E-2</v>
      </c>
      <c r="AF190" s="599" t="str">
        <f t="shared" si="62"/>
        <v>Mayor</v>
      </c>
      <c r="AG190" s="600">
        <f>IFERROR(IF(AND(V189="Impacto",V190="Impacto"),(AG189-(+AG189*Y190)),IF(AND(V189="Probabilidad",V190="Impacto"),(AG188-(+AG188*Y190)),IF(V190="Probabilidad",AG189,""))),"")</f>
        <v>0.8</v>
      </c>
      <c r="AH190" s="601" t="str">
        <f t="shared" si="63"/>
        <v>Alto</v>
      </c>
      <c r="AI190" s="602" t="s">
        <v>202</v>
      </c>
      <c r="AJ190" s="603"/>
      <c r="AK190" s="192"/>
      <c r="AL190" s="603"/>
      <c r="AM190" s="604"/>
      <c r="AN190" s="606"/>
      <c r="AO190" s="607"/>
      <c r="AP190" s="608">
        <v>45761</v>
      </c>
      <c r="AQ190" s="609" t="s">
        <v>1404</v>
      </c>
      <c r="AR190" s="286" t="s">
        <v>1405</v>
      </c>
      <c r="AS190" s="611" t="s">
        <v>205</v>
      </c>
      <c r="AT190" s="612" t="s">
        <v>206</v>
      </c>
      <c r="AU190" s="283" t="s">
        <v>206</v>
      </c>
      <c r="AV190" s="613"/>
      <c r="AW190" s="614">
        <v>45782</v>
      </c>
      <c r="AX190" s="615" t="s">
        <v>207</v>
      </c>
      <c r="AY190" s="635" t="s">
        <v>578</v>
      </c>
      <c r="BA190" s="617"/>
      <c r="BB190" s="617"/>
      <c r="BC190" s="618" t="s">
        <v>209</v>
      </c>
      <c r="BE190" s="608">
        <v>45855</v>
      </c>
      <c r="BF190" s="609" t="s">
        <v>1404</v>
      </c>
      <c r="BG190" s="286" t="s">
        <v>1406</v>
      </c>
      <c r="BH190" s="641" t="s">
        <v>205</v>
      </c>
      <c r="BI190" s="612" t="s">
        <v>206</v>
      </c>
      <c r="BJ190" s="283" t="s">
        <v>206</v>
      </c>
      <c r="BL190" s="450">
        <v>45861</v>
      </c>
      <c r="BM190" s="676" t="s">
        <v>215</v>
      </c>
      <c r="BN190" s="283" t="s">
        <v>1228</v>
      </c>
      <c r="BP190" s="617"/>
      <c r="BQ190" s="617"/>
      <c r="BR190" s="618" t="s">
        <v>209</v>
      </c>
      <c r="BT190" s="608">
        <v>45944</v>
      </c>
      <c r="BU190" s="609" t="s">
        <v>1404</v>
      </c>
      <c r="BV190" s="286" t="s">
        <v>1407</v>
      </c>
      <c r="BW190" s="641" t="s">
        <v>205</v>
      </c>
      <c r="BX190" s="612" t="s">
        <v>206</v>
      </c>
      <c r="BY190" s="283" t="s">
        <v>206</v>
      </c>
      <c r="CA190" s="614">
        <v>45986</v>
      </c>
      <c r="CB190" s="616" t="s">
        <v>218</v>
      </c>
      <c r="CC190" s="643" t="s">
        <v>1282</v>
      </c>
      <c r="CE190" s="617"/>
      <c r="CF190" s="617"/>
      <c r="CG190" s="618" t="s">
        <v>209</v>
      </c>
      <c r="CH190" s="192"/>
      <c r="CI190" s="558"/>
      <c r="CJ190" s="558"/>
      <c r="CK190" s="559" t="s">
        <v>209</v>
      </c>
      <c r="CL190" s="558"/>
      <c r="CM190" s="558"/>
      <c r="CN190" s="558"/>
      <c r="CO190" s="553"/>
      <c r="CP190" s="558"/>
      <c r="CQ190" s="558"/>
      <c r="CR190" s="559" t="s">
        <v>209</v>
      </c>
      <c r="CS190" s="553"/>
      <c r="CT190" s="558"/>
      <c r="CU190" s="558"/>
      <c r="CV190" s="559" t="s">
        <v>209</v>
      </c>
    </row>
    <row r="191" spans="1:100" ht="151.5" customHeight="1" x14ac:dyDescent="0.3">
      <c r="A191" s="622">
        <v>87</v>
      </c>
      <c r="B191" s="622" t="s">
        <v>1399</v>
      </c>
      <c r="C191" s="623" t="s">
        <v>1378</v>
      </c>
      <c r="D191" s="585" t="str">
        <f>IFERROR(INDEX('Base de datos gestión'!$D$28:$D$50,MATCH(C191,'Base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1" s="585" t="str">
        <f>IFERROR(INDEX('Base de datos gestión'!$E$28:$E$50,MATCH(C191,'Base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1" s="628" t="s">
        <v>276</v>
      </c>
      <c r="G191" s="629" t="s">
        <v>1400</v>
      </c>
      <c r="H191" s="628" t="s">
        <v>1401</v>
      </c>
      <c r="I191" s="628" t="s">
        <v>1402</v>
      </c>
      <c r="J191" s="637" t="s">
        <v>280</v>
      </c>
      <c r="K191" s="630" t="s">
        <v>311</v>
      </c>
      <c r="L191" s="630">
        <v>24</v>
      </c>
      <c r="M191" s="588" t="str">
        <f t="shared" si="56"/>
        <v>Baja</v>
      </c>
      <c r="N191" s="589">
        <f t="shared" si="55"/>
        <v>0.4</v>
      </c>
      <c r="O191" s="590" t="s">
        <v>248</v>
      </c>
      <c r="P191" s="589" t="str">
        <f>IF(NOT(ISERROR(MATCH(O191,'Tabla Impacto'!$B$222:$B$224,0))),'Tabla Impacto'!$F$224&amp;"Por favor no seleccionar los criterios de impacto(Afectación Económica o presupuestal y Pérdida Reputacional)",O191)</f>
        <v xml:space="preserve">     El riesgo afecta la imagen de la entidad con algunos usuarios de relevancia frente al logro de los objetivos</v>
      </c>
      <c r="Q191" s="591" t="str">
        <f>IF(OR(P191='[8]Tabla Impacto'!$C$12,P191='[8]Tabla Impacto'!$D$12),"Leve",IF(OR(P191='[8]Tabla Impacto'!$C$13,P191='[8]Tabla Impacto'!$D$13),"Menor",IF(OR(P191='[8]Tabla Impacto'!$C$14,P191='[8]Tabla Impacto'!$D$14),"Moderado",IF(OR(P191='[8]Tabla Impacto'!$C$15,P191='[8]Tabla Impacto'!$D$15),"Mayor",IF(OR(P191='[8]Tabla Impacto'!$C$16,P191='[8]Tabla Impacto'!$D$16),"Catastrófico","")))))</f>
        <v>Moderado</v>
      </c>
      <c r="R191" s="590">
        <f t="shared" si="57"/>
        <v>0.6</v>
      </c>
      <c r="S191" s="592" t="str">
        <f t="shared" si="58"/>
        <v>Moderado</v>
      </c>
      <c r="T191" s="595">
        <v>2</v>
      </c>
      <c r="U191" s="631" t="s">
        <v>1408</v>
      </c>
      <c r="V191" s="595" t="str">
        <f t="shared" si="54"/>
        <v>Probabilidad</v>
      </c>
      <c r="W191" s="596" t="s">
        <v>197</v>
      </c>
      <c r="X191" s="596" t="s">
        <v>198</v>
      </c>
      <c r="Y191" s="597" t="str">
        <f t="shared" si="59"/>
        <v>40%</v>
      </c>
      <c r="Z191" s="596" t="s">
        <v>259</v>
      </c>
      <c r="AA191" s="596" t="s">
        <v>200</v>
      </c>
      <c r="AB191" s="596" t="s">
        <v>201</v>
      </c>
      <c r="AC191" s="598">
        <f>IFERROR(IF(AND(V190="Probabilidad",V191="Probabilidad"),(AE190-(+AE190*Y191)),IF(AND(V190="Impacto",V191="Probabilidad"),(AE189-(+AE189*Y191)),IF(V191="Impacto",AE190,""))),"")</f>
        <v>1.5551999999999996E-2</v>
      </c>
      <c r="AD191" s="599" t="str">
        <f t="shared" si="60"/>
        <v>Muy Baja</v>
      </c>
      <c r="AE191" s="600">
        <f t="shared" si="61"/>
        <v>1.5551999999999996E-2</v>
      </c>
      <c r="AF191" s="599" t="str">
        <f t="shared" si="62"/>
        <v>Mayor</v>
      </c>
      <c r="AG191" s="600">
        <f>IFERROR(IF(AND(V190="Impacto",V191="Impacto"),(AG190-(+AG190*Y191)),IF(AND(V190="Probabilidad",V191="Impacto"),(AG189-(+AG189*Y191)),IF(V191="Probabilidad",AG190,""))),"")</f>
        <v>0.8</v>
      </c>
      <c r="AH191" s="601" t="str">
        <f t="shared" si="63"/>
        <v>Alto</v>
      </c>
      <c r="AI191" s="602" t="s">
        <v>202</v>
      </c>
      <c r="AJ191" s="603"/>
      <c r="AK191" s="192"/>
      <c r="AL191" s="603"/>
      <c r="AM191" s="604"/>
      <c r="AN191" s="606"/>
      <c r="AO191" s="607"/>
      <c r="AP191" s="608">
        <v>45758</v>
      </c>
      <c r="AQ191" s="609" t="s">
        <v>1409</v>
      </c>
      <c r="AR191" s="286" t="s">
        <v>1410</v>
      </c>
      <c r="AS191" s="611" t="s">
        <v>205</v>
      </c>
      <c r="AT191" s="612" t="s">
        <v>206</v>
      </c>
      <c r="AU191" s="283" t="s">
        <v>206</v>
      </c>
      <c r="AV191" s="613"/>
      <c r="AW191" s="614">
        <v>45782</v>
      </c>
      <c r="AX191" s="615" t="s">
        <v>207</v>
      </c>
      <c r="AY191" s="635" t="s">
        <v>578</v>
      </c>
      <c r="BA191" s="617"/>
      <c r="BB191" s="617"/>
      <c r="BC191" s="618" t="s">
        <v>209</v>
      </c>
      <c r="BE191" s="608">
        <v>45855</v>
      </c>
      <c r="BF191" s="609" t="s">
        <v>1411</v>
      </c>
      <c r="BG191" s="286" t="s">
        <v>1412</v>
      </c>
      <c r="BH191" s="641" t="s">
        <v>205</v>
      </c>
      <c r="BI191" s="612" t="s">
        <v>206</v>
      </c>
      <c r="BJ191" s="283" t="s">
        <v>206</v>
      </c>
      <c r="BL191" s="450">
        <v>45861</v>
      </c>
      <c r="BM191" s="676" t="s">
        <v>215</v>
      </c>
      <c r="BN191" s="283" t="s">
        <v>1228</v>
      </c>
      <c r="BP191" s="617"/>
      <c r="BQ191" s="617"/>
      <c r="BR191" s="618" t="s">
        <v>209</v>
      </c>
      <c r="BT191" s="608">
        <v>45954</v>
      </c>
      <c r="BU191" s="609" t="s">
        <v>1411</v>
      </c>
      <c r="BV191" s="286" t="s">
        <v>1413</v>
      </c>
      <c r="BW191" s="641" t="s">
        <v>205</v>
      </c>
      <c r="BX191" s="612" t="s">
        <v>206</v>
      </c>
      <c r="BY191" s="283" t="s">
        <v>206</v>
      </c>
      <c r="CA191" s="614">
        <v>45986</v>
      </c>
      <c r="CB191" s="616" t="s">
        <v>218</v>
      </c>
      <c r="CC191" s="643" t="s">
        <v>1282</v>
      </c>
      <c r="CE191" s="617"/>
      <c r="CF191" s="617"/>
      <c r="CG191" s="618" t="s">
        <v>209</v>
      </c>
      <c r="CH191" s="192"/>
      <c r="CI191" s="558"/>
      <c r="CJ191" s="558"/>
      <c r="CK191" s="559" t="s">
        <v>209</v>
      </c>
      <c r="CL191" s="558"/>
      <c r="CM191" s="558"/>
      <c r="CN191" s="558"/>
      <c r="CO191" s="553"/>
      <c r="CP191" s="558"/>
      <c r="CQ191" s="558"/>
      <c r="CR191" s="559" t="s">
        <v>209</v>
      </c>
      <c r="CS191" s="553"/>
      <c r="CT191" s="558"/>
      <c r="CU191" s="558"/>
      <c r="CV191" s="559" t="s">
        <v>209</v>
      </c>
    </row>
    <row r="192" spans="1:100" ht="151.5" customHeight="1" x14ac:dyDescent="0.3">
      <c r="A192" s="632">
        <v>88</v>
      </c>
      <c r="B192" s="632" t="s">
        <v>1414</v>
      </c>
      <c r="C192" s="633" t="s">
        <v>1378</v>
      </c>
      <c r="D192" s="585" t="str">
        <f>IFERROR(INDEX('Base de datos gestión'!$D$28:$D$50,MATCH(C192,'Base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2" s="585" t="str">
        <f>IFERROR(INDEX('Base de datos gestión'!$E$28:$E$50,MATCH(C192,'Base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2" s="628" t="s">
        <v>276</v>
      </c>
      <c r="G192" s="629" t="s">
        <v>1415</v>
      </c>
      <c r="H192" s="628" t="s">
        <v>1416</v>
      </c>
      <c r="I192" s="628" t="s">
        <v>1417</v>
      </c>
      <c r="J192" s="637" t="s">
        <v>192</v>
      </c>
      <c r="K192" s="630" t="s">
        <v>522</v>
      </c>
      <c r="L192" s="630">
        <v>501</v>
      </c>
      <c r="M192" s="588" t="str">
        <f t="shared" si="56"/>
        <v>Alta</v>
      </c>
      <c r="N192" s="589">
        <f t="shared" si="55"/>
        <v>0.8</v>
      </c>
      <c r="O192" s="590" t="s">
        <v>1418</v>
      </c>
      <c r="P192" s="589" t="str">
        <f>IF(NOT(ISERROR(MATCH(O192,'Tabla Impacto'!$B$222:$B$224,0))),'Tabla Impacto'!$F$224&amp;"Por favor no seleccionar los criterios de impacto(Afectación Económica o presupuestal y Pérdida Reputacional)",O192)</f>
        <v xml:space="preserve">     Mayor a 500 SMLMV </v>
      </c>
      <c r="Q192" s="591" t="str">
        <f>IF(OR(P192='[8]Tabla Impacto'!$C$12,P192='[8]Tabla Impacto'!$D$12),"Leve",IF(OR(P192='[8]Tabla Impacto'!$C$13,P192='[8]Tabla Impacto'!$D$13),"Menor",IF(OR(P192='[8]Tabla Impacto'!$C$14,P192='[8]Tabla Impacto'!$D$14),"Moderado",IF(OR(P192='[8]Tabla Impacto'!$C$15,P192='[8]Tabla Impacto'!$D$15),"Mayor",IF(OR(P192='[8]Tabla Impacto'!$C$16,P192='[8]Tabla Impacto'!$D$16),"Catastrófico","")))))</f>
        <v>Catastrófico</v>
      </c>
      <c r="R192" s="590">
        <f t="shared" si="57"/>
        <v>1</v>
      </c>
      <c r="S192" s="592" t="str">
        <f t="shared" si="58"/>
        <v>Extremo</v>
      </c>
      <c r="T192" s="595">
        <v>1</v>
      </c>
      <c r="U192" s="631" t="s">
        <v>1419</v>
      </c>
      <c r="V192" s="595" t="str">
        <f t="shared" si="54"/>
        <v>Probabilidad</v>
      </c>
      <c r="W192" s="596" t="s">
        <v>197</v>
      </c>
      <c r="X192" s="596" t="s">
        <v>198</v>
      </c>
      <c r="Y192" s="597" t="str">
        <f t="shared" si="59"/>
        <v>40%</v>
      </c>
      <c r="Z192" s="596" t="s">
        <v>199</v>
      </c>
      <c r="AA192" s="596" t="s">
        <v>200</v>
      </c>
      <c r="AB192" s="596" t="s">
        <v>201</v>
      </c>
      <c r="AC192" s="598">
        <f>IFERROR(IF(AND(V191="Probabilidad",V192="Probabilidad"),(AE191-(+AE191*Y192)),IF(AND(V191="Impacto",V192="Probabilidad"),(AE190-(+AE190*Y192)),IF(V192="Impacto",AE191,""))),"")</f>
        <v>9.3311999999999978E-3</v>
      </c>
      <c r="AD192" s="599" t="str">
        <f t="shared" si="60"/>
        <v>Muy Baja</v>
      </c>
      <c r="AE192" s="600">
        <f t="shared" si="61"/>
        <v>9.3311999999999978E-3</v>
      </c>
      <c r="AF192" s="599" t="str">
        <f t="shared" si="62"/>
        <v>Mayor</v>
      </c>
      <c r="AG192" s="600">
        <f>IFERROR(IF(AND(V191="Impacto",V192="Impacto"),(AG191-(+AG191*Y192)),IF(AND(V191="Probabilidad",V192="Impacto"),(AG190-(+AG190*Y192)),IF(V192="Probabilidad",AG191,""))),"")</f>
        <v>0.8</v>
      </c>
      <c r="AH192" s="601" t="str">
        <f t="shared" si="63"/>
        <v>Alto</v>
      </c>
      <c r="AI192" s="602" t="s">
        <v>202</v>
      </c>
      <c r="AJ192" s="603"/>
      <c r="AK192" s="192"/>
      <c r="AL192" s="708"/>
      <c r="AM192" s="709"/>
      <c r="AN192" s="606"/>
      <c r="AO192" s="607"/>
      <c r="AP192" s="608">
        <v>45757</v>
      </c>
      <c r="AQ192" s="609" t="s">
        <v>1420</v>
      </c>
      <c r="AR192" s="286" t="s">
        <v>1421</v>
      </c>
      <c r="AS192" s="611" t="s">
        <v>205</v>
      </c>
      <c r="AT192" s="612" t="s">
        <v>206</v>
      </c>
      <c r="AU192" s="283" t="s">
        <v>206</v>
      </c>
      <c r="AV192" s="613"/>
      <c r="AW192" s="614">
        <v>45782</v>
      </c>
      <c r="AX192" s="615" t="s">
        <v>207</v>
      </c>
      <c r="AY192" s="635" t="s">
        <v>578</v>
      </c>
      <c r="BA192" s="617"/>
      <c r="BB192" s="617"/>
      <c r="BC192" s="618" t="s">
        <v>209</v>
      </c>
      <c r="BE192" s="608">
        <v>45852</v>
      </c>
      <c r="BF192" s="616" t="s">
        <v>1420</v>
      </c>
      <c r="BG192" s="286" t="s">
        <v>1422</v>
      </c>
      <c r="BH192" s="619" t="s">
        <v>205</v>
      </c>
      <c r="BI192" s="619" t="s">
        <v>206</v>
      </c>
      <c r="BJ192" s="619" t="s">
        <v>206</v>
      </c>
      <c r="BL192" s="450">
        <v>45861</v>
      </c>
      <c r="BM192" s="676" t="s">
        <v>215</v>
      </c>
      <c r="BN192" s="283" t="s">
        <v>1228</v>
      </c>
      <c r="BP192" s="617"/>
      <c r="BQ192" s="617"/>
      <c r="BR192" s="618" t="s">
        <v>209</v>
      </c>
      <c r="BT192" s="608">
        <v>45944</v>
      </c>
      <c r="BU192" s="616" t="s">
        <v>1420</v>
      </c>
      <c r="BV192" s="286" t="s">
        <v>1423</v>
      </c>
      <c r="BW192" s="641" t="s">
        <v>205</v>
      </c>
      <c r="BX192" s="612" t="s">
        <v>206</v>
      </c>
      <c r="BY192" s="283" t="s">
        <v>206</v>
      </c>
      <c r="CA192" s="614">
        <v>45986</v>
      </c>
      <c r="CB192" s="616" t="s">
        <v>218</v>
      </c>
      <c r="CC192" s="643" t="s">
        <v>1282</v>
      </c>
      <c r="CE192" s="617"/>
      <c r="CF192" s="617"/>
      <c r="CG192" s="618" t="s">
        <v>209</v>
      </c>
      <c r="CH192" s="192"/>
      <c r="CI192" s="558"/>
      <c r="CJ192" s="558"/>
      <c r="CK192" s="559" t="s">
        <v>209</v>
      </c>
      <c r="CL192" s="558"/>
      <c r="CM192" s="558"/>
      <c r="CN192" s="558"/>
      <c r="CO192" s="553"/>
      <c r="CP192" s="558"/>
      <c r="CQ192" s="558"/>
      <c r="CR192" s="559" t="s">
        <v>209</v>
      </c>
      <c r="CS192" s="553"/>
      <c r="CT192" s="558"/>
      <c r="CU192" s="558"/>
      <c r="CV192" s="559" t="s">
        <v>209</v>
      </c>
    </row>
    <row r="193" spans="1:100" ht="151.5" customHeight="1" x14ac:dyDescent="0.3">
      <c r="A193" s="584">
        <v>88</v>
      </c>
      <c r="B193" s="584" t="s">
        <v>1414</v>
      </c>
      <c r="C193" s="585" t="s">
        <v>1378</v>
      </c>
      <c r="D193" s="585" t="str">
        <f>IFERROR(INDEX('Base de datos gestión'!$D$28:$D$50,MATCH(C193,'Base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3" s="585" t="str">
        <f>IFERROR(INDEX('Base de datos gestión'!$E$28:$E$50,MATCH(C193,'Base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3" s="628" t="s">
        <v>276</v>
      </c>
      <c r="G193" s="629" t="s">
        <v>1415</v>
      </c>
      <c r="H193" s="628" t="s">
        <v>1416</v>
      </c>
      <c r="I193" s="628" t="s">
        <v>1417</v>
      </c>
      <c r="J193" s="637" t="s">
        <v>192</v>
      </c>
      <c r="K193" s="630" t="s">
        <v>522</v>
      </c>
      <c r="L193" s="630">
        <v>501</v>
      </c>
      <c r="M193" s="588" t="str">
        <f t="shared" si="56"/>
        <v>Alta</v>
      </c>
      <c r="N193" s="589">
        <f t="shared" si="55"/>
        <v>0.8</v>
      </c>
      <c r="O193" s="590" t="s">
        <v>1418</v>
      </c>
      <c r="P193" s="589" t="str">
        <f>IF(NOT(ISERROR(MATCH(O193,'Tabla Impacto'!$B$222:$B$224,0))),'Tabla Impacto'!$F$224&amp;"Por favor no seleccionar los criterios de impacto(Afectación Económica o presupuestal y Pérdida Reputacional)",O193)</f>
        <v xml:space="preserve">     Mayor a 500 SMLMV </v>
      </c>
      <c r="Q193" s="591" t="str">
        <f>IF(OR(P193='[8]Tabla Impacto'!$C$12,P193='[8]Tabla Impacto'!$D$12),"Leve",IF(OR(P193='[8]Tabla Impacto'!$C$13,P193='[8]Tabla Impacto'!$D$13),"Menor",IF(OR(P193='[8]Tabla Impacto'!$C$14,P193='[8]Tabla Impacto'!$D$14),"Moderado",IF(OR(P193='[8]Tabla Impacto'!$C$15,P193='[8]Tabla Impacto'!$D$15),"Mayor",IF(OR(P193='[8]Tabla Impacto'!$C$16,P193='[8]Tabla Impacto'!$D$16),"Catastrófico","")))))</f>
        <v>Catastrófico</v>
      </c>
      <c r="R193" s="590">
        <f t="shared" si="57"/>
        <v>1</v>
      </c>
      <c r="S193" s="592" t="str">
        <f t="shared" si="58"/>
        <v>Extremo</v>
      </c>
      <c r="T193" s="595">
        <v>2</v>
      </c>
      <c r="U193" s="631" t="s">
        <v>1424</v>
      </c>
      <c r="V193" s="595" t="str">
        <f t="shared" si="54"/>
        <v>Probabilidad</v>
      </c>
      <c r="W193" s="596" t="s">
        <v>197</v>
      </c>
      <c r="X193" s="596" t="s">
        <v>198</v>
      </c>
      <c r="Y193" s="597" t="str">
        <f t="shared" si="59"/>
        <v>40%</v>
      </c>
      <c r="Z193" s="596" t="s">
        <v>259</v>
      </c>
      <c r="AA193" s="596" t="s">
        <v>200</v>
      </c>
      <c r="AB193" s="596" t="s">
        <v>201</v>
      </c>
      <c r="AC193" s="598">
        <f>IFERROR(IF(V193="Probabilidad",(N193-(+N193*Y193)),IF(V193="Impacto",N193,"")),"")</f>
        <v>0.48</v>
      </c>
      <c r="AD193" s="599" t="str">
        <f t="shared" si="60"/>
        <v>Media</v>
      </c>
      <c r="AE193" s="600">
        <f t="shared" si="61"/>
        <v>0.48</v>
      </c>
      <c r="AF193" s="599" t="str">
        <f t="shared" si="62"/>
        <v>Catastrófico</v>
      </c>
      <c r="AG193" s="600">
        <f>IFERROR(IF(V193="Impacto",(R193-(+R193*Y193)),IF(V193="Probabilidad",R193,"")),"")</f>
        <v>1</v>
      </c>
      <c r="AH193" s="601" t="str">
        <f t="shared" si="63"/>
        <v>Extremo</v>
      </c>
      <c r="AI193" s="602" t="s">
        <v>202</v>
      </c>
      <c r="AJ193" s="603"/>
      <c r="AK193" s="192"/>
      <c r="AL193" s="708"/>
      <c r="AM193" s="709"/>
      <c r="AN193" s="606"/>
      <c r="AO193" s="607"/>
      <c r="AP193" s="608">
        <v>45757</v>
      </c>
      <c r="AQ193" s="609" t="s">
        <v>1420</v>
      </c>
      <c r="AR193" s="286" t="s">
        <v>1425</v>
      </c>
      <c r="AS193" s="611" t="s">
        <v>205</v>
      </c>
      <c r="AT193" s="612" t="s">
        <v>206</v>
      </c>
      <c r="AU193" s="283" t="s">
        <v>206</v>
      </c>
      <c r="AV193" s="613"/>
      <c r="AW193" s="614">
        <v>45782</v>
      </c>
      <c r="AX193" s="615" t="s">
        <v>207</v>
      </c>
      <c r="AY193" s="635" t="s">
        <v>578</v>
      </c>
      <c r="BA193" s="617"/>
      <c r="BB193" s="617"/>
      <c r="BC193" s="618" t="s">
        <v>209</v>
      </c>
      <c r="BE193" s="608">
        <v>45853</v>
      </c>
      <c r="BF193" s="616" t="s">
        <v>1420</v>
      </c>
      <c r="BG193" s="286" t="s">
        <v>1426</v>
      </c>
      <c r="BH193" s="449" t="s">
        <v>205</v>
      </c>
      <c r="BI193" s="449" t="s">
        <v>206</v>
      </c>
      <c r="BJ193" s="449" t="s">
        <v>206</v>
      </c>
      <c r="BL193" s="450">
        <v>45861</v>
      </c>
      <c r="BM193" s="676" t="s">
        <v>215</v>
      </c>
      <c r="BN193" s="283" t="s">
        <v>1228</v>
      </c>
      <c r="BP193" s="617"/>
      <c r="BQ193" s="617"/>
      <c r="BR193" s="618" t="s">
        <v>209</v>
      </c>
      <c r="BT193" s="608">
        <v>45853</v>
      </c>
      <c r="BU193" s="616" t="s">
        <v>1420</v>
      </c>
      <c r="BV193" s="286" t="s">
        <v>1427</v>
      </c>
      <c r="BW193" s="641" t="s">
        <v>205</v>
      </c>
      <c r="BX193" s="612" t="s">
        <v>206</v>
      </c>
      <c r="BY193" s="283" t="s">
        <v>206</v>
      </c>
      <c r="CA193" s="614">
        <v>45986</v>
      </c>
      <c r="CB193" s="616" t="s">
        <v>218</v>
      </c>
      <c r="CC193" s="643" t="s">
        <v>1282</v>
      </c>
      <c r="CE193" s="617"/>
      <c r="CF193" s="617"/>
      <c r="CG193" s="618" t="s">
        <v>209</v>
      </c>
      <c r="CH193" s="192"/>
      <c r="CI193" s="558"/>
      <c r="CJ193" s="558"/>
      <c r="CK193" s="559" t="s">
        <v>209</v>
      </c>
      <c r="CL193" s="558"/>
      <c r="CM193" s="558"/>
      <c r="CN193" s="558"/>
      <c r="CO193" s="553"/>
      <c r="CP193" s="558"/>
      <c r="CQ193" s="558"/>
      <c r="CR193" s="559" t="s">
        <v>209</v>
      </c>
      <c r="CS193" s="553"/>
      <c r="CT193" s="558"/>
      <c r="CU193" s="558"/>
      <c r="CV193" s="559" t="s">
        <v>209</v>
      </c>
    </row>
    <row r="194" spans="1:100" ht="151.5" customHeight="1" x14ac:dyDescent="0.3">
      <c r="A194" s="622">
        <v>88</v>
      </c>
      <c r="B194" s="622" t="s">
        <v>1414</v>
      </c>
      <c r="C194" s="623" t="s">
        <v>1378</v>
      </c>
      <c r="D194" s="585" t="str">
        <f>IFERROR(INDEX('Base de datos gestión'!$D$28:$D$50,MATCH(C193,'Base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4" s="585" t="str">
        <f>IFERROR(INDEX('Base de datos gestión'!$E$28:$E$50,MATCH(C193,'Base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4" s="628" t="s">
        <v>276</v>
      </c>
      <c r="G194" s="629" t="s">
        <v>1415</v>
      </c>
      <c r="H194" s="628" t="s">
        <v>1416</v>
      </c>
      <c r="I194" s="628" t="s">
        <v>1417</v>
      </c>
      <c r="J194" s="637" t="s">
        <v>192</v>
      </c>
      <c r="K194" s="630" t="s">
        <v>522</v>
      </c>
      <c r="L194" s="630">
        <v>501</v>
      </c>
      <c r="M194" s="588" t="str">
        <f t="shared" si="56"/>
        <v>Alta</v>
      </c>
      <c r="N194" s="589">
        <f t="shared" si="55"/>
        <v>0.8</v>
      </c>
      <c r="O194" s="590" t="s">
        <v>1418</v>
      </c>
      <c r="P194" s="589" t="str">
        <f>IF(NOT(ISERROR(MATCH(O194,'Tabla Impacto'!$B$222:$B$224,0))),'Tabla Impacto'!$F$224&amp;"Por favor no seleccionar los criterios de impacto(Afectación Económica o presupuestal y Pérdida Reputacional)",O194)</f>
        <v xml:space="preserve">     Mayor a 500 SMLMV </v>
      </c>
      <c r="Q194" s="591" t="str">
        <f>IF(OR(P194='[8]Tabla Impacto'!$C$12,P194='[8]Tabla Impacto'!$D$12),"Leve",IF(OR(P194='[8]Tabla Impacto'!$C$13,P194='[8]Tabla Impacto'!$D$13),"Menor",IF(OR(P194='[8]Tabla Impacto'!$C$14,P194='[8]Tabla Impacto'!$D$14),"Moderado",IF(OR(P194='[8]Tabla Impacto'!$C$15,P194='[8]Tabla Impacto'!$D$15),"Mayor",IF(OR(P194='[8]Tabla Impacto'!$C$16,P194='[8]Tabla Impacto'!$D$16),"Catastrófico","")))))</f>
        <v>Catastrófico</v>
      </c>
      <c r="R194" s="590">
        <f t="shared" si="57"/>
        <v>1</v>
      </c>
      <c r="S194" s="592" t="str">
        <f t="shared" si="58"/>
        <v>Extremo</v>
      </c>
      <c r="T194" s="595">
        <v>3</v>
      </c>
      <c r="U194" s="631" t="s">
        <v>1428</v>
      </c>
      <c r="V194" s="595" t="str">
        <f t="shared" si="54"/>
        <v>Probabilidad</v>
      </c>
      <c r="W194" s="596" t="s">
        <v>197</v>
      </c>
      <c r="X194" s="596" t="s">
        <v>198</v>
      </c>
      <c r="Y194" s="597" t="str">
        <f t="shared" si="59"/>
        <v>40%</v>
      </c>
      <c r="Z194" s="596" t="s">
        <v>259</v>
      </c>
      <c r="AA194" s="596" t="s">
        <v>200</v>
      </c>
      <c r="AB194" s="596" t="s">
        <v>201</v>
      </c>
      <c r="AC194" s="598">
        <f>IFERROR(IF(AND(V193="Probabilidad",V194="Probabilidad"),(AE193-(+AE193*Y194)),IF(V194="Probabilidad",(N193-(+N193*Y194)),IF(V194="Impacto",AE193,""))),"")</f>
        <v>0.28799999999999998</v>
      </c>
      <c r="AD194" s="599" t="str">
        <f t="shared" si="60"/>
        <v>Baja</v>
      </c>
      <c r="AE194" s="600">
        <f t="shared" si="61"/>
        <v>0.28799999999999998</v>
      </c>
      <c r="AF194" s="599" t="str">
        <f t="shared" si="62"/>
        <v>Leve</v>
      </c>
      <c r="AG194" s="600">
        <f>IFERROR(IF(AND(V193="Impacto",V194="Impacto"),(AG187-(+AG187*Y194)),IF(V194="Impacto",($R$49-(+$R$49*Y194)),IF(V194="Probabilidad",AG187,""))),"")</f>
        <v>0.2</v>
      </c>
      <c r="AH194" s="601" t="str">
        <f t="shared" si="63"/>
        <v>Bajo</v>
      </c>
      <c r="AI194" s="602" t="s">
        <v>202</v>
      </c>
      <c r="AJ194" s="603"/>
      <c r="AK194" s="192"/>
      <c r="AL194" s="708"/>
      <c r="AM194" s="709"/>
      <c r="AN194" s="606"/>
      <c r="AO194" s="607"/>
      <c r="AP194" s="608">
        <v>45757</v>
      </c>
      <c r="AQ194" s="609" t="s">
        <v>1420</v>
      </c>
      <c r="AR194" s="286" t="s">
        <v>1429</v>
      </c>
      <c r="AS194" s="611" t="s">
        <v>205</v>
      </c>
      <c r="AT194" s="612" t="s">
        <v>206</v>
      </c>
      <c r="AU194" s="283" t="s">
        <v>206</v>
      </c>
      <c r="AV194" s="613"/>
      <c r="AW194" s="614">
        <v>45782</v>
      </c>
      <c r="AX194" s="615" t="s">
        <v>207</v>
      </c>
      <c r="AY194" s="635" t="s">
        <v>578</v>
      </c>
      <c r="BA194" s="617"/>
      <c r="BB194" s="617"/>
      <c r="BC194" s="618" t="s">
        <v>209</v>
      </c>
      <c r="BE194" s="608">
        <v>45853</v>
      </c>
      <c r="BF194" s="616" t="s">
        <v>1420</v>
      </c>
      <c r="BG194" s="286" t="s">
        <v>1430</v>
      </c>
      <c r="BH194" s="449" t="s">
        <v>205</v>
      </c>
      <c r="BI194" s="449" t="s">
        <v>206</v>
      </c>
      <c r="BJ194" s="449" t="s">
        <v>206</v>
      </c>
      <c r="BL194" s="450">
        <v>45861</v>
      </c>
      <c r="BM194" s="676" t="s">
        <v>215</v>
      </c>
      <c r="BN194" s="283" t="s">
        <v>1228</v>
      </c>
      <c r="BP194" s="617"/>
      <c r="BQ194" s="617"/>
      <c r="BR194" s="618" t="s">
        <v>209</v>
      </c>
      <c r="BT194" s="608">
        <v>45853</v>
      </c>
      <c r="BU194" s="616" t="s">
        <v>1420</v>
      </c>
      <c r="BV194" s="286" t="s">
        <v>1431</v>
      </c>
      <c r="BW194" s="641" t="s">
        <v>205</v>
      </c>
      <c r="BX194" s="612" t="s">
        <v>206</v>
      </c>
      <c r="BY194" s="283" t="s">
        <v>206</v>
      </c>
      <c r="CA194" s="614">
        <v>45986</v>
      </c>
      <c r="CB194" s="616" t="s">
        <v>218</v>
      </c>
      <c r="CC194" s="643" t="s">
        <v>1282</v>
      </c>
      <c r="CE194" s="617"/>
      <c r="CF194" s="617"/>
      <c r="CG194" s="618" t="s">
        <v>209</v>
      </c>
      <c r="CH194" s="192"/>
      <c r="CI194" s="558"/>
      <c r="CJ194" s="558"/>
      <c r="CK194" s="559" t="s">
        <v>209</v>
      </c>
      <c r="CL194" s="558"/>
      <c r="CM194" s="558"/>
      <c r="CN194" s="558"/>
      <c r="CO194" s="553"/>
      <c r="CP194" s="558"/>
      <c r="CQ194" s="558"/>
      <c r="CR194" s="559" t="s">
        <v>209</v>
      </c>
      <c r="CS194" s="553"/>
      <c r="CT194" s="558"/>
      <c r="CU194" s="558"/>
      <c r="CV194" s="559" t="s">
        <v>209</v>
      </c>
    </row>
    <row r="195" spans="1:100" ht="151.5" customHeight="1" x14ac:dyDescent="0.3">
      <c r="A195" s="622">
        <v>88</v>
      </c>
      <c r="B195" s="622" t="s">
        <v>1414</v>
      </c>
      <c r="C195" s="623" t="s">
        <v>1378</v>
      </c>
      <c r="D195" s="585" t="str">
        <f>IFERROR(INDEX('Base de datos gestión'!$D$28:$D$50,MATCH(C194,'Base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5" s="585" t="str">
        <f>IFERROR(INDEX('Base de datos gestión'!$E$28:$E$50,MATCH(C194,'Base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5" s="628" t="s">
        <v>276</v>
      </c>
      <c r="G195" s="629" t="s">
        <v>1415</v>
      </c>
      <c r="H195" s="628" t="s">
        <v>1416</v>
      </c>
      <c r="I195" s="628" t="s">
        <v>1417</v>
      </c>
      <c r="J195" s="637" t="s">
        <v>192</v>
      </c>
      <c r="K195" s="630" t="s">
        <v>522</v>
      </c>
      <c r="L195" s="630">
        <v>501</v>
      </c>
      <c r="M195" s="588" t="str">
        <f t="shared" si="56"/>
        <v>Alta</v>
      </c>
      <c r="N195" s="589">
        <f t="shared" si="55"/>
        <v>0.8</v>
      </c>
      <c r="O195" s="590" t="s">
        <v>1418</v>
      </c>
      <c r="P195" s="589" t="str">
        <f>IF(NOT(ISERROR(MATCH(O195,'Tabla Impacto'!$B$222:$B$224,0))),'Tabla Impacto'!$F$224&amp;"Por favor no seleccionar los criterios de impacto(Afectación Económica o presupuestal y Pérdida Reputacional)",O195)</f>
        <v xml:space="preserve">     Mayor a 500 SMLMV </v>
      </c>
      <c r="Q195" s="591" t="str">
        <f>IF(OR(P195='[8]Tabla Impacto'!$C$12,P195='[8]Tabla Impacto'!$D$12),"Leve",IF(OR(P195='[8]Tabla Impacto'!$C$13,P195='[8]Tabla Impacto'!$D$13),"Menor",IF(OR(P195='[8]Tabla Impacto'!$C$14,P195='[8]Tabla Impacto'!$D$14),"Moderado",IF(OR(P195='[8]Tabla Impacto'!$C$15,P195='[8]Tabla Impacto'!$D$15),"Mayor",IF(OR(P195='[8]Tabla Impacto'!$C$16,P195='[8]Tabla Impacto'!$D$16),"Catastrófico","")))))</f>
        <v>Catastrófico</v>
      </c>
      <c r="R195" s="590">
        <f t="shared" si="57"/>
        <v>1</v>
      </c>
      <c r="S195" s="592" t="str">
        <f t="shared" si="58"/>
        <v>Extremo</v>
      </c>
      <c r="T195" s="595">
        <v>4</v>
      </c>
      <c r="U195" s="631" t="s">
        <v>1432</v>
      </c>
      <c r="V195" s="595" t="str">
        <f t="shared" si="54"/>
        <v>Probabilidad</v>
      </c>
      <c r="W195" s="596" t="s">
        <v>197</v>
      </c>
      <c r="X195" s="596" t="s">
        <v>198</v>
      </c>
      <c r="Y195" s="597" t="str">
        <f t="shared" si="59"/>
        <v>40%</v>
      </c>
      <c r="Z195" s="596" t="s">
        <v>259</v>
      </c>
      <c r="AA195" s="596" t="s">
        <v>225</v>
      </c>
      <c r="AB195" s="596" t="s">
        <v>201</v>
      </c>
      <c r="AC195" s="598">
        <f>IFERROR(IF(AND(V194="Probabilidad",V195="Probabilidad"),(AE194-(+AE194*Y195)),IF(AND(V194="Impacto",V195="Probabilidad"),(AE193-(+AE193*Y195)),IF(V195="Impacto",AE194,""))),"")</f>
        <v>0.17279999999999998</v>
      </c>
      <c r="AD195" s="599" t="str">
        <f t="shared" si="60"/>
        <v>Muy Baja</v>
      </c>
      <c r="AE195" s="600">
        <f t="shared" si="61"/>
        <v>0.17279999999999998</v>
      </c>
      <c r="AF195" s="599" t="str">
        <f t="shared" si="62"/>
        <v>Leve</v>
      </c>
      <c r="AG195" s="600">
        <f>IFERROR(IF(AND(V194="Impacto",V195="Impacto"),(AG194-(+AG194*Y195)),IF(AND(V194="Probabilidad",V195="Impacto"),(AG193-(+AG193*Y195)),IF(V195="Probabilidad",AG194,""))),"")</f>
        <v>0.2</v>
      </c>
      <c r="AH195" s="601" t="str">
        <f t="shared" si="63"/>
        <v>Bajo</v>
      </c>
      <c r="AI195" s="602" t="s">
        <v>202</v>
      </c>
      <c r="AJ195" s="603"/>
      <c r="AK195" s="192"/>
      <c r="AL195" s="708"/>
      <c r="AM195" s="709"/>
      <c r="AN195" s="606"/>
      <c r="AO195" s="607"/>
      <c r="AP195" s="608">
        <v>45757</v>
      </c>
      <c r="AQ195" s="609" t="s">
        <v>1420</v>
      </c>
      <c r="AR195" s="286" t="s">
        <v>1433</v>
      </c>
      <c r="AS195" s="611" t="s">
        <v>205</v>
      </c>
      <c r="AT195" s="612" t="s">
        <v>206</v>
      </c>
      <c r="AU195" s="283" t="s">
        <v>206</v>
      </c>
      <c r="AV195" s="613"/>
      <c r="AW195" s="614">
        <v>45782</v>
      </c>
      <c r="AX195" s="615" t="s">
        <v>207</v>
      </c>
      <c r="AY195" s="635" t="s">
        <v>578</v>
      </c>
      <c r="BA195" s="617"/>
      <c r="BB195" s="617"/>
      <c r="BC195" s="618" t="s">
        <v>209</v>
      </c>
      <c r="BE195" s="608">
        <v>45853</v>
      </c>
      <c r="BF195" s="616" t="s">
        <v>1420</v>
      </c>
      <c r="BG195" s="286" t="s">
        <v>1433</v>
      </c>
      <c r="BH195" s="449" t="s">
        <v>205</v>
      </c>
      <c r="BI195" s="449" t="s">
        <v>206</v>
      </c>
      <c r="BJ195" s="449" t="s">
        <v>206</v>
      </c>
      <c r="BL195" s="450">
        <v>45861</v>
      </c>
      <c r="BM195" s="676" t="s">
        <v>215</v>
      </c>
      <c r="BN195" s="283" t="s">
        <v>1228</v>
      </c>
      <c r="BP195" s="617"/>
      <c r="BQ195" s="617"/>
      <c r="BR195" s="618" t="s">
        <v>209</v>
      </c>
      <c r="BT195" s="608">
        <v>45853</v>
      </c>
      <c r="BU195" s="616" t="s">
        <v>1420</v>
      </c>
      <c r="BV195" s="286" t="s">
        <v>1433</v>
      </c>
      <c r="BW195" s="641" t="s">
        <v>205</v>
      </c>
      <c r="BX195" s="612" t="s">
        <v>206</v>
      </c>
      <c r="BY195" s="283" t="s">
        <v>206</v>
      </c>
      <c r="CA195" s="614">
        <v>45986</v>
      </c>
      <c r="CB195" s="616" t="s">
        <v>218</v>
      </c>
      <c r="CC195" s="643" t="s">
        <v>1282</v>
      </c>
      <c r="CE195" s="617"/>
      <c r="CF195" s="617"/>
      <c r="CG195" s="618" t="s">
        <v>209</v>
      </c>
      <c r="CH195" s="192"/>
      <c r="CI195" s="558"/>
      <c r="CJ195" s="558"/>
      <c r="CK195" s="559" t="s">
        <v>209</v>
      </c>
      <c r="CL195" s="558"/>
      <c r="CM195" s="558"/>
      <c r="CN195" s="558"/>
      <c r="CO195" s="553"/>
      <c r="CP195" s="558"/>
      <c r="CQ195" s="558"/>
      <c r="CR195" s="559" t="s">
        <v>209</v>
      </c>
      <c r="CS195" s="553"/>
      <c r="CT195" s="558"/>
      <c r="CU195" s="558"/>
      <c r="CV195" s="559" t="s">
        <v>209</v>
      </c>
    </row>
    <row r="196" spans="1:100" ht="151.5" customHeight="1" x14ac:dyDescent="0.3">
      <c r="A196" s="622">
        <v>88</v>
      </c>
      <c r="B196" s="622" t="s">
        <v>1414</v>
      </c>
      <c r="C196" s="623" t="s">
        <v>1378</v>
      </c>
      <c r="D196" s="585" t="str">
        <f>IFERROR(INDEX('Base de datos gestión'!$D$28:$D$50,MATCH(C195,'Base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6" s="585" t="str">
        <f>IFERROR(INDEX('Base de datos gestión'!$E$28:$E$50,MATCH(C195,'Base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6" s="628" t="s">
        <v>276</v>
      </c>
      <c r="G196" s="629" t="s">
        <v>1415</v>
      </c>
      <c r="H196" s="628" t="s">
        <v>1416</v>
      </c>
      <c r="I196" s="628" t="s">
        <v>1417</v>
      </c>
      <c r="J196" s="637" t="s">
        <v>192</v>
      </c>
      <c r="K196" s="630" t="s">
        <v>522</v>
      </c>
      <c r="L196" s="630">
        <v>501</v>
      </c>
      <c r="M196" s="588" t="str">
        <f t="shared" si="56"/>
        <v>Alta</v>
      </c>
      <c r="N196" s="589">
        <f t="shared" si="55"/>
        <v>0.8</v>
      </c>
      <c r="O196" s="590" t="s">
        <v>1418</v>
      </c>
      <c r="P196" s="589" t="str">
        <f>IF(NOT(ISERROR(MATCH(O196,'Tabla Impacto'!$B$222:$B$224,0))),'Tabla Impacto'!$F$224&amp;"Por favor no seleccionar los criterios de impacto(Afectación Económica o presupuestal y Pérdida Reputacional)",O196)</f>
        <v xml:space="preserve">     Mayor a 500 SMLMV </v>
      </c>
      <c r="Q196" s="591" t="str">
        <f>IF(OR(P196='[8]Tabla Impacto'!$C$12,P196='[8]Tabla Impacto'!$D$12),"Leve",IF(OR(P196='[8]Tabla Impacto'!$C$13,P196='[8]Tabla Impacto'!$D$13),"Menor",IF(OR(P196='[8]Tabla Impacto'!$C$14,P196='[8]Tabla Impacto'!$D$14),"Moderado",IF(OR(P196='[8]Tabla Impacto'!$C$15,P196='[8]Tabla Impacto'!$D$15),"Mayor",IF(OR(P196='[8]Tabla Impacto'!$C$16,P196='[8]Tabla Impacto'!$D$16),"Catastrófico","")))))</f>
        <v>Catastrófico</v>
      </c>
      <c r="R196" s="590">
        <f t="shared" si="57"/>
        <v>1</v>
      </c>
      <c r="S196" s="592" t="str">
        <f t="shared" si="58"/>
        <v>Extremo</v>
      </c>
      <c r="T196" s="595">
        <v>5</v>
      </c>
      <c r="U196" s="631" t="s">
        <v>1434</v>
      </c>
      <c r="V196" s="595" t="str">
        <f t="shared" si="54"/>
        <v>Probabilidad</v>
      </c>
      <c r="W196" s="596" t="s">
        <v>197</v>
      </c>
      <c r="X196" s="596" t="s">
        <v>198</v>
      </c>
      <c r="Y196" s="597" t="str">
        <f t="shared" si="59"/>
        <v>40%</v>
      </c>
      <c r="Z196" s="596" t="s">
        <v>259</v>
      </c>
      <c r="AA196" s="596" t="s">
        <v>200</v>
      </c>
      <c r="AB196" s="596" t="s">
        <v>201</v>
      </c>
      <c r="AC196" s="598">
        <f>IFERROR(IF(AND(V195="Probabilidad",V196="Probabilidad"),(AE195-(+AE195*Y196)),IF(AND(V195="Impacto",V196="Probabilidad"),(AE194-(+AE194*Y196)),IF(V196="Impacto",AE195,""))),"")</f>
        <v>0.10367999999999998</v>
      </c>
      <c r="AD196" s="599" t="str">
        <f t="shared" si="60"/>
        <v>Muy Baja</v>
      </c>
      <c r="AE196" s="600">
        <f t="shared" si="61"/>
        <v>0.10367999999999998</v>
      </c>
      <c r="AF196" s="599" t="str">
        <f t="shared" si="62"/>
        <v>Leve</v>
      </c>
      <c r="AG196" s="600">
        <f>IFERROR(IF(AND(V195="Impacto",V196="Impacto"),(AG195-(+AG195*Y196)),IF(AND(V195="Probabilidad",V196="Impacto"),(AG194-(+AG194*Y196)),IF(V196="Probabilidad",AG195,""))),"")</f>
        <v>0.2</v>
      </c>
      <c r="AH196" s="601" t="str">
        <f t="shared" si="63"/>
        <v>Bajo</v>
      </c>
      <c r="AI196" s="602" t="s">
        <v>202</v>
      </c>
      <c r="AJ196" s="603" t="s">
        <v>719</v>
      </c>
      <c r="AK196" s="603" t="s">
        <v>719</v>
      </c>
      <c r="AL196" s="708" t="s">
        <v>1420</v>
      </c>
      <c r="AM196" s="709">
        <v>46017</v>
      </c>
      <c r="AN196" s="937" t="s">
        <v>1435</v>
      </c>
      <c r="AO196" s="607"/>
      <c r="AP196" s="608">
        <v>45757</v>
      </c>
      <c r="AQ196" s="609" t="s">
        <v>1420</v>
      </c>
      <c r="AR196" s="286" t="s">
        <v>1436</v>
      </c>
      <c r="AS196" s="611" t="s">
        <v>205</v>
      </c>
      <c r="AT196" s="612" t="s">
        <v>206</v>
      </c>
      <c r="AU196" s="283" t="s">
        <v>206</v>
      </c>
      <c r="AV196" s="613"/>
      <c r="AW196" s="614">
        <v>45782</v>
      </c>
      <c r="AX196" s="615" t="s">
        <v>207</v>
      </c>
      <c r="AY196" s="635" t="s">
        <v>578</v>
      </c>
      <c r="BA196" s="617"/>
      <c r="BB196" s="617"/>
      <c r="BC196" s="618" t="s">
        <v>209</v>
      </c>
      <c r="BE196" s="608">
        <v>45853</v>
      </c>
      <c r="BF196" s="616" t="s">
        <v>1420</v>
      </c>
      <c r="BG196" s="286" t="s">
        <v>1437</v>
      </c>
      <c r="BH196" s="449" t="s">
        <v>205</v>
      </c>
      <c r="BI196" s="449" t="s">
        <v>206</v>
      </c>
      <c r="BJ196" s="449" t="s">
        <v>206</v>
      </c>
      <c r="BL196" s="450">
        <v>45861</v>
      </c>
      <c r="BM196" s="676" t="s">
        <v>215</v>
      </c>
      <c r="BN196" s="283" t="s">
        <v>1228</v>
      </c>
      <c r="BP196" s="617"/>
      <c r="BQ196" s="617"/>
      <c r="BR196" s="618" t="s">
        <v>209</v>
      </c>
      <c r="BT196" s="608">
        <v>45853</v>
      </c>
      <c r="BU196" s="616" t="s">
        <v>1420</v>
      </c>
      <c r="BV196" s="286" t="s">
        <v>1438</v>
      </c>
      <c r="BW196" s="641" t="s">
        <v>205</v>
      </c>
      <c r="BX196" s="612" t="s">
        <v>206</v>
      </c>
      <c r="BY196" s="283" t="s">
        <v>206</v>
      </c>
      <c r="CA196" s="614">
        <v>45986</v>
      </c>
      <c r="CB196" s="616" t="s">
        <v>218</v>
      </c>
      <c r="CC196" s="643" t="s">
        <v>1282</v>
      </c>
      <c r="CE196" s="617"/>
      <c r="CF196" s="617"/>
      <c r="CG196" s="618" t="s">
        <v>209</v>
      </c>
      <c r="CH196" s="192"/>
      <c r="CI196" s="558"/>
      <c r="CJ196" s="558"/>
      <c r="CK196" s="559" t="s">
        <v>209</v>
      </c>
      <c r="CL196" s="558"/>
      <c r="CM196" s="558"/>
      <c r="CN196" s="558"/>
      <c r="CO196" s="553"/>
      <c r="CP196" s="558"/>
      <c r="CQ196" s="558"/>
      <c r="CR196" s="559" t="s">
        <v>209</v>
      </c>
      <c r="CS196" s="553"/>
      <c r="CT196" s="558"/>
      <c r="CU196" s="558"/>
      <c r="CV196" s="559" t="s">
        <v>209</v>
      </c>
    </row>
    <row r="197" spans="1:100" ht="151.5" customHeight="1" x14ac:dyDescent="0.3">
      <c r="A197" s="622">
        <v>88</v>
      </c>
      <c r="B197" s="622" t="s">
        <v>1414</v>
      </c>
      <c r="C197" s="623" t="s">
        <v>1378</v>
      </c>
      <c r="D197" s="585" t="str">
        <f>IFERROR(INDEX('Base de datos gestión'!$D$28:$D$50,MATCH(C196,'Base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7" s="585" t="str">
        <f>IFERROR(INDEX('Base de datos gestión'!$E$28:$E$50,MATCH(C196,'Base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7" s="628" t="s">
        <v>276</v>
      </c>
      <c r="G197" s="629" t="s">
        <v>1415</v>
      </c>
      <c r="H197" s="628" t="s">
        <v>1416</v>
      </c>
      <c r="I197" s="628" t="s">
        <v>1417</v>
      </c>
      <c r="J197" s="637" t="s">
        <v>192</v>
      </c>
      <c r="K197" s="630" t="s">
        <v>522</v>
      </c>
      <c r="L197" s="630">
        <v>501</v>
      </c>
      <c r="M197" s="588" t="str">
        <f t="shared" si="56"/>
        <v>Alta</v>
      </c>
      <c r="N197" s="589">
        <f t="shared" si="55"/>
        <v>0.8</v>
      </c>
      <c r="O197" s="590" t="s">
        <v>1418</v>
      </c>
      <c r="P197" s="589" t="str">
        <f>IF(NOT(ISERROR(MATCH(O197,'Tabla Impacto'!$B$222:$B$224,0))),'Tabla Impacto'!$F$224&amp;"Por favor no seleccionar los criterios de impacto(Afectación Económica o presupuestal y Pérdida Reputacional)",O197)</f>
        <v xml:space="preserve">     Mayor a 500 SMLMV </v>
      </c>
      <c r="Q197" s="591" t="str">
        <f>IF(OR(P197='[8]Tabla Impacto'!$C$12,P197='[8]Tabla Impacto'!$D$12),"Leve",IF(OR(P197='[8]Tabla Impacto'!$C$13,P197='[8]Tabla Impacto'!$D$13),"Menor",IF(OR(P197='[8]Tabla Impacto'!$C$14,P197='[8]Tabla Impacto'!$D$14),"Moderado",IF(OR(P197='[8]Tabla Impacto'!$C$15,P197='[8]Tabla Impacto'!$D$15),"Mayor",IF(OR(P197='[8]Tabla Impacto'!$C$16,P197='[8]Tabla Impacto'!$D$16),"Catastrófico","")))))</f>
        <v>Catastrófico</v>
      </c>
      <c r="R197" s="590">
        <f t="shared" si="57"/>
        <v>1</v>
      </c>
      <c r="S197" s="592" t="str">
        <f t="shared" si="58"/>
        <v>Extremo</v>
      </c>
      <c r="T197" s="595">
        <v>6</v>
      </c>
      <c r="U197" s="631" t="s">
        <v>1439</v>
      </c>
      <c r="V197" s="595" t="str">
        <f t="shared" si="54"/>
        <v>Probabilidad</v>
      </c>
      <c r="W197" s="596" t="s">
        <v>197</v>
      </c>
      <c r="X197" s="596" t="s">
        <v>198</v>
      </c>
      <c r="Y197" s="597" t="str">
        <f t="shared" si="59"/>
        <v>40%</v>
      </c>
      <c r="Z197" s="596" t="s">
        <v>259</v>
      </c>
      <c r="AA197" s="596" t="s">
        <v>200</v>
      </c>
      <c r="AB197" s="596" t="s">
        <v>201</v>
      </c>
      <c r="AC197" s="598">
        <f>IFERROR(IF(AND(V196="Probabilidad",V197="Probabilidad"),(AE196-(+AE196*Y197)),IF(AND(V196="Impacto",V197="Probabilidad"),(AE195-(+AE195*Y197)),IF(V197="Impacto",AE196,""))),"")</f>
        <v>6.2207999999999986E-2</v>
      </c>
      <c r="AD197" s="599" t="str">
        <f t="shared" si="60"/>
        <v>Muy Baja</v>
      </c>
      <c r="AE197" s="600">
        <f t="shared" si="61"/>
        <v>6.2207999999999986E-2</v>
      </c>
      <c r="AF197" s="599" t="str">
        <f t="shared" si="62"/>
        <v>Leve</v>
      </c>
      <c r="AG197" s="600">
        <f>IFERROR(IF(AND(V196="Impacto",V197="Impacto"),(AG196-(+AG196*Y197)),IF(AND(V196="Probabilidad",V197="Impacto"),(AG195-(+AG195*Y197)),IF(V197="Probabilidad",AG196,""))),"")</f>
        <v>0.2</v>
      </c>
      <c r="AH197" s="601" t="str">
        <f t="shared" si="63"/>
        <v>Bajo</v>
      </c>
      <c r="AI197" s="602" t="s">
        <v>202</v>
      </c>
      <c r="AJ197" s="603" t="s">
        <v>729</v>
      </c>
      <c r="AK197" s="603" t="s">
        <v>729</v>
      </c>
      <c r="AL197" s="708" t="s">
        <v>1420</v>
      </c>
      <c r="AM197" s="709">
        <v>46017</v>
      </c>
      <c r="AN197" s="938"/>
      <c r="AO197" s="607"/>
      <c r="AP197" s="608">
        <v>45757</v>
      </c>
      <c r="AQ197" s="609" t="s">
        <v>1420</v>
      </c>
      <c r="AR197" s="286" t="s">
        <v>1440</v>
      </c>
      <c r="AS197" s="611" t="s">
        <v>205</v>
      </c>
      <c r="AT197" s="612" t="s">
        <v>206</v>
      </c>
      <c r="AU197" s="283" t="s">
        <v>206</v>
      </c>
      <c r="AV197" s="613"/>
      <c r="AW197" s="614">
        <v>45782</v>
      </c>
      <c r="AX197" s="615" t="s">
        <v>207</v>
      </c>
      <c r="AY197" s="635" t="s">
        <v>578</v>
      </c>
      <c r="BA197" s="617"/>
      <c r="BB197" s="617"/>
      <c r="BC197" s="618" t="s">
        <v>209</v>
      </c>
      <c r="BE197" s="608">
        <v>45853</v>
      </c>
      <c r="BF197" s="616" t="s">
        <v>1420</v>
      </c>
      <c r="BG197" s="286" t="s">
        <v>1441</v>
      </c>
      <c r="BH197" s="449" t="s">
        <v>205</v>
      </c>
      <c r="BI197" s="449" t="s">
        <v>206</v>
      </c>
      <c r="BJ197" s="449" t="s">
        <v>206</v>
      </c>
      <c r="BL197" s="450">
        <v>45861</v>
      </c>
      <c r="BM197" s="676" t="s">
        <v>215</v>
      </c>
      <c r="BN197" s="283" t="s">
        <v>1228</v>
      </c>
      <c r="BP197" s="617"/>
      <c r="BQ197" s="617"/>
      <c r="BR197" s="618" t="s">
        <v>209</v>
      </c>
      <c r="BT197" s="608">
        <v>45853</v>
      </c>
      <c r="BU197" s="616" t="s">
        <v>1420</v>
      </c>
      <c r="BV197" s="286" t="s">
        <v>1442</v>
      </c>
      <c r="BW197" s="641" t="s">
        <v>205</v>
      </c>
      <c r="BX197" s="612" t="s">
        <v>206</v>
      </c>
      <c r="BY197" s="283" t="s">
        <v>206</v>
      </c>
      <c r="CA197" s="614">
        <v>45986</v>
      </c>
      <c r="CB197" s="616" t="s">
        <v>218</v>
      </c>
      <c r="CC197" s="643" t="s">
        <v>1282</v>
      </c>
      <c r="CE197" s="617"/>
      <c r="CF197" s="617"/>
      <c r="CG197" s="618" t="s">
        <v>209</v>
      </c>
      <c r="CH197" s="192"/>
      <c r="CI197" s="558"/>
      <c r="CJ197" s="558"/>
      <c r="CK197" s="559" t="s">
        <v>209</v>
      </c>
      <c r="CL197" s="558"/>
      <c r="CM197" s="558"/>
      <c r="CN197" s="558"/>
      <c r="CO197" s="553"/>
      <c r="CP197" s="558"/>
      <c r="CQ197" s="558"/>
      <c r="CR197" s="559" t="s">
        <v>209</v>
      </c>
      <c r="CS197" s="553"/>
      <c r="CT197" s="558"/>
      <c r="CU197" s="558"/>
      <c r="CV197" s="559" t="s">
        <v>209</v>
      </c>
    </row>
    <row r="198" spans="1:100" ht="151.5" customHeight="1" x14ac:dyDescent="0.3">
      <c r="A198" s="632">
        <v>88</v>
      </c>
      <c r="B198" s="632" t="s">
        <v>1414</v>
      </c>
      <c r="C198" s="633" t="s">
        <v>1378</v>
      </c>
      <c r="D198" s="585" t="str">
        <f>IFERROR(INDEX('Base de datos gestión'!$D$28:$D$50,MATCH(C197,'Base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8" s="585" t="str">
        <f>IFERROR(INDEX('Base de datos gestión'!$E$28:$E$50,MATCH(C197,'Base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8" s="628" t="s">
        <v>276</v>
      </c>
      <c r="G198" s="629" t="s">
        <v>1415</v>
      </c>
      <c r="H198" s="628" t="s">
        <v>1416</v>
      </c>
      <c r="I198" s="628" t="s">
        <v>1417</v>
      </c>
      <c r="J198" s="637" t="s">
        <v>192</v>
      </c>
      <c r="K198" s="630" t="s">
        <v>522</v>
      </c>
      <c r="L198" s="630">
        <v>501</v>
      </c>
      <c r="M198" s="588" t="str">
        <f t="shared" si="56"/>
        <v>Alta</v>
      </c>
      <c r="N198" s="589">
        <f t="shared" si="55"/>
        <v>0.8</v>
      </c>
      <c r="O198" s="590" t="s">
        <v>1418</v>
      </c>
      <c r="P198" s="589" t="str">
        <f>IF(NOT(ISERROR(MATCH(O198,'Tabla Impacto'!$B$222:$B$224,0))),'Tabla Impacto'!$F$224&amp;"Por favor no seleccionar los criterios de impacto(Afectación Económica o presupuestal y Pérdida Reputacional)",O198)</f>
        <v xml:space="preserve">     Mayor a 500 SMLMV </v>
      </c>
      <c r="Q198" s="591" t="str">
        <f>IF(OR(P198='[8]Tabla Impacto'!$C$12,P198='[8]Tabla Impacto'!$D$12),"Leve",IF(OR(P198='[8]Tabla Impacto'!$C$13,P198='[8]Tabla Impacto'!$D$13),"Menor",IF(OR(P198='[8]Tabla Impacto'!$C$14,P198='[8]Tabla Impacto'!$D$14),"Moderado",IF(OR(P198='[8]Tabla Impacto'!$C$15,P198='[8]Tabla Impacto'!$D$15),"Mayor",IF(OR(P198='[8]Tabla Impacto'!$C$16,P198='[8]Tabla Impacto'!$D$16),"Catastrófico","")))))</f>
        <v>Catastrófico</v>
      </c>
      <c r="R198" s="590">
        <f t="shared" si="57"/>
        <v>1</v>
      </c>
      <c r="S198" s="592" t="str">
        <f t="shared" si="58"/>
        <v>Extremo</v>
      </c>
      <c r="T198" s="595">
        <v>7</v>
      </c>
      <c r="U198" s="631" t="s">
        <v>1443</v>
      </c>
      <c r="V198" s="595" t="str">
        <f t="shared" si="54"/>
        <v>Probabilidad</v>
      </c>
      <c r="W198" s="596" t="s">
        <v>197</v>
      </c>
      <c r="X198" s="596" t="s">
        <v>198</v>
      </c>
      <c r="Y198" s="597" t="str">
        <f t="shared" si="59"/>
        <v>40%</v>
      </c>
      <c r="Z198" s="596" t="s">
        <v>259</v>
      </c>
      <c r="AA198" s="596" t="s">
        <v>200</v>
      </c>
      <c r="AB198" s="596" t="s">
        <v>201</v>
      </c>
      <c r="AC198" s="598">
        <f>IFERROR(IF(AND(V197="Probabilidad",V198="Probabilidad"),(AE197-(+AE197*Y198)),IF(AND(V197="Impacto",V198="Probabilidad"),(AE196-(+AE196*Y198)),IF(V198="Impacto",AE197,""))),"")</f>
        <v>3.7324799999999991E-2</v>
      </c>
      <c r="AD198" s="599" t="str">
        <f t="shared" si="60"/>
        <v>Muy Baja</v>
      </c>
      <c r="AE198" s="600">
        <f t="shared" si="61"/>
        <v>3.7324799999999991E-2</v>
      </c>
      <c r="AF198" s="599" t="str">
        <f t="shared" si="62"/>
        <v>Leve</v>
      </c>
      <c r="AG198" s="600">
        <f>IFERROR(IF(AND(V197="Impacto",V198="Impacto"),(AG197-(+AG197*Y198)),IF(AND(V197="Probabilidad",V198="Impacto"),(AG196-(+AG196*Y198)),IF(V198="Probabilidad",AG197,""))),"")</f>
        <v>0.2</v>
      </c>
      <c r="AH198" s="601" t="str">
        <f t="shared" si="63"/>
        <v>Bajo</v>
      </c>
      <c r="AI198" s="602" t="s">
        <v>202</v>
      </c>
      <c r="AJ198" s="603"/>
      <c r="AK198" s="603" t="s">
        <v>736</v>
      </c>
      <c r="AL198" s="708"/>
      <c r="AM198" s="709"/>
      <c r="AN198" s="606"/>
      <c r="AO198" s="607"/>
      <c r="AP198" s="608">
        <v>45757</v>
      </c>
      <c r="AQ198" s="609" t="s">
        <v>1420</v>
      </c>
      <c r="AR198" s="286" t="s">
        <v>1444</v>
      </c>
      <c r="AS198" s="611" t="s">
        <v>205</v>
      </c>
      <c r="AT198" s="612" t="s">
        <v>206</v>
      </c>
      <c r="AU198" s="283" t="s">
        <v>206</v>
      </c>
      <c r="AV198" s="613"/>
      <c r="AW198" s="614">
        <v>45782</v>
      </c>
      <c r="AX198" s="615" t="s">
        <v>207</v>
      </c>
      <c r="AY198" s="635" t="s">
        <v>578</v>
      </c>
      <c r="BA198" s="617"/>
      <c r="BB198" s="617"/>
      <c r="BC198" s="618" t="s">
        <v>209</v>
      </c>
      <c r="BE198" s="608">
        <v>45853</v>
      </c>
      <c r="BF198" s="616" t="s">
        <v>1420</v>
      </c>
      <c r="BG198" s="286" t="s">
        <v>1445</v>
      </c>
      <c r="BH198" s="449" t="s">
        <v>205</v>
      </c>
      <c r="BI198" s="449" t="s">
        <v>206</v>
      </c>
      <c r="BJ198" s="449" t="s">
        <v>206</v>
      </c>
      <c r="BL198" s="450">
        <v>45861</v>
      </c>
      <c r="BM198" s="676" t="s">
        <v>215</v>
      </c>
      <c r="BN198" s="283" t="s">
        <v>1228</v>
      </c>
      <c r="BP198" s="617"/>
      <c r="BQ198" s="617"/>
      <c r="BR198" s="618" t="s">
        <v>209</v>
      </c>
      <c r="BT198" s="608">
        <v>45853</v>
      </c>
      <c r="BU198" s="616" t="s">
        <v>1420</v>
      </c>
      <c r="BV198" s="286" t="s">
        <v>1446</v>
      </c>
      <c r="BW198" s="641" t="s">
        <v>205</v>
      </c>
      <c r="BX198" s="612" t="s">
        <v>206</v>
      </c>
      <c r="BY198" s="283" t="s">
        <v>206</v>
      </c>
      <c r="CA198" s="614">
        <v>45986</v>
      </c>
      <c r="CB198" s="616" t="s">
        <v>218</v>
      </c>
      <c r="CC198" s="643" t="s">
        <v>1282</v>
      </c>
      <c r="CE198" s="617"/>
      <c r="CF198" s="617"/>
      <c r="CG198" s="618" t="s">
        <v>209</v>
      </c>
      <c r="CH198" s="192"/>
      <c r="CI198" s="558"/>
      <c r="CJ198" s="558"/>
      <c r="CK198" s="559" t="s">
        <v>209</v>
      </c>
      <c r="CL198" s="558"/>
      <c r="CM198" s="558"/>
      <c r="CN198" s="558"/>
      <c r="CO198" s="553"/>
      <c r="CP198" s="558"/>
      <c r="CQ198" s="558"/>
      <c r="CR198" s="559" t="s">
        <v>209</v>
      </c>
      <c r="CS198" s="553"/>
      <c r="CT198" s="558"/>
      <c r="CU198" s="558"/>
      <c r="CV198" s="559" t="s">
        <v>209</v>
      </c>
    </row>
    <row r="199" spans="1:100" ht="231" customHeight="1" x14ac:dyDescent="0.3">
      <c r="A199" s="584">
        <v>89</v>
      </c>
      <c r="B199" s="584" t="s">
        <v>1447</v>
      </c>
      <c r="C199" s="585" t="s">
        <v>1448</v>
      </c>
      <c r="D199" s="585" t="str">
        <f>IFERROR(INDEX('Base de datos gestión'!$D$28:$D$50,MATCH(C198,'Base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E199" s="585" t="str">
        <f>IFERROR(INDEX('Base de datos gestión'!$E$28:$E$50,MATCH(C198,'Base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F199" s="628" t="s">
        <v>276</v>
      </c>
      <c r="G199" s="629" t="s">
        <v>1449</v>
      </c>
      <c r="H199" s="628" t="s">
        <v>1450</v>
      </c>
      <c r="I199" s="628" t="s">
        <v>1451</v>
      </c>
      <c r="J199" s="630" t="s">
        <v>574</v>
      </c>
      <c r="K199" s="630" t="s">
        <v>193</v>
      </c>
      <c r="L199" s="630">
        <v>2</v>
      </c>
      <c r="M199" s="588" t="str">
        <f t="shared" si="56"/>
        <v>Muy Baja</v>
      </c>
      <c r="N199" s="589">
        <f t="shared" si="55"/>
        <v>0.2</v>
      </c>
      <c r="O199" s="590" t="s">
        <v>248</v>
      </c>
      <c r="P199" s="589" t="str">
        <f>IF(NOT(ISERROR(MATCH(O199,'Tabla Impacto'!$B$222:$B$224,0))),'Tabla Impacto'!$F$224&amp;"Por favor no seleccionar los criterios de impacto(Afectación Económica o presupuestal y Pérdida Reputacional)",O199)</f>
        <v xml:space="preserve">     El riesgo afecta la imagen de la entidad con algunos usuarios de relevancia frente al logro de los objetivos</v>
      </c>
      <c r="Q199" s="591" t="str">
        <f>IF(OR(P199='[8]Tabla Impacto'!$C$12,P199='[8]Tabla Impacto'!$D$12),"Leve",IF(OR(P199='[8]Tabla Impacto'!$C$13,P199='[8]Tabla Impacto'!$D$13),"Menor",IF(OR(P199='[8]Tabla Impacto'!$C$14,P199='[8]Tabla Impacto'!$D$14),"Moderado",IF(OR(P199='[8]Tabla Impacto'!$C$15,P199='[8]Tabla Impacto'!$D$15),"Mayor",IF(OR(P199='[8]Tabla Impacto'!$C$16,P199='[8]Tabla Impacto'!$D$16),"Catastrófico","")))))</f>
        <v>Moderado</v>
      </c>
      <c r="R199" s="590">
        <f t="shared" si="57"/>
        <v>0.6</v>
      </c>
      <c r="S199" s="592" t="str">
        <f t="shared" si="58"/>
        <v>Moderado</v>
      </c>
      <c r="T199" s="595">
        <v>1</v>
      </c>
      <c r="U199" s="631" t="s">
        <v>1452</v>
      </c>
      <c r="V199" s="595" t="str">
        <f t="shared" si="54"/>
        <v>Probabilidad</v>
      </c>
      <c r="W199" s="596" t="s">
        <v>197</v>
      </c>
      <c r="X199" s="596" t="s">
        <v>198</v>
      </c>
      <c r="Y199" s="597" t="str">
        <f t="shared" si="59"/>
        <v>40%</v>
      </c>
      <c r="Z199" s="596" t="s">
        <v>259</v>
      </c>
      <c r="AA199" s="596" t="s">
        <v>200</v>
      </c>
      <c r="AB199" s="596" t="s">
        <v>201</v>
      </c>
      <c r="AC199" s="598">
        <f>IFERROR(IF(V199="Probabilidad",(N199-(+N199*Y199)),IF(V199="Impacto",N199,"")),"")</f>
        <v>0.12</v>
      </c>
      <c r="AD199" s="599" t="str">
        <f t="shared" si="60"/>
        <v>Muy Baja</v>
      </c>
      <c r="AE199" s="600">
        <f t="shared" si="61"/>
        <v>0.12</v>
      </c>
      <c r="AF199" s="599" t="str">
        <f t="shared" si="62"/>
        <v>Moderado</v>
      </c>
      <c r="AG199" s="600">
        <f>IFERROR(IF(V199="Impacto",(R199-(+R199*Y199)),IF(V199="Probabilidad",R199,"")),"")</f>
        <v>0.6</v>
      </c>
      <c r="AH199" s="601" t="str">
        <f t="shared" si="63"/>
        <v>Moderado</v>
      </c>
      <c r="AI199" s="602" t="s">
        <v>202</v>
      </c>
      <c r="AJ199" s="603" t="s">
        <v>736</v>
      </c>
      <c r="AK199" s="681" t="s">
        <v>744</v>
      </c>
      <c r="AL199" s="603"/>
      <c r="AM199" s="604"/>
      <c r="AN199" s="606"/>
      <c r="AO199" s="607"/>
      <c r="AP199" s="608">
        <v>45756</v>
      </c>
      <c r="AQ199" s="609" t="s">
        <v>1453</v>
      </c>
      <c r="AR199" s="283" t="s">
        <v>1454</v>
      </c>
      <c r="AS199" s="611" t="s">
        <v>205</v>
      </c>
      <c r="AT199" s="612" t="s">
        <v>206</v>
      </c>
      <c r="AU199" s="283" t="s">
        <v>1455</v>
      </c>
      <c r="AV199" s="613"/>
      <c r="AW199" s="614">
        <v>45782</v>
      </c>
      <c r="AX199" s="615" t="s">
        <v>207</v>
      </c>
      <c r="AY199" s="635" t="s">
        <v>1456</v>
      </c>
      <c r="BA199" s="617"/>
      <c r="BB199" s="617"/>
      <c r="BC199" s="618" t="s">
        <v>209</v>
      </c>
      <c r="BE199" s="608">
        <v>45856</v>
      </c>
      <c r="BF199" s="609" t="s">
        <v>1457</v>
      </c>
      <c r="BG199" s="283" t="s">
        <v>1458</v>
      </c>
      <c r="BH199" s="641" t="s">
        <v>212</v>
      </c>
      <c r="BI199" s="612" t="s">
        <v>213</v>
      </c>
      <c r="BJ199" s="471" t="s">
        <v>1459</v>
      </c>
      <c r="BL199" s="450">
        <v>45861</v>
      </c>
      <c r="BM199" s="676" t="s">
        <v>215</v>
      </c>
      <c r="BN199" s="283" t="s">
        <v>1460</v>
      </c>
      <c r="BP199" s="617"/>
      <c r="BQ199" s="617"/>
      <c r="BR199" s="618" t="s">
        <v>209</v>
      </c>
      <c r="BT199" s="621">
        <v>45940</v>
      </c>
      <c r="BU199" s="616" t="s">
        <v>1461</v>
      </c>
      <c r="BV199" s="286" t="s">
        <v>1462</v>
      </c>
      <c r="BW199" s="611" t="s">
        <v>205</v>
      </c>
      <c r="BX199" s="612" t="s">
        <v>206</v>
      </c>
      <c r="BY199" s="283" t="s">
        <v>1455</v>
      </c>
      <c r="CA199" s="614">
        <v>45986</v>
      </c>
      <c r="CB199" s="616" t="s">
        <v>218</v>
      </c>
      <c r="CC199" s="643" t="s">
        <v>1463</v>
      </c>
      <c r="CE199" s="617"/>
      <c r="CF199" s="617"/>
      <c r="CG199" s="618" t="s">
        <v>209</v>
      </c>
      <c r="CH199" s="192"/>
      <c r="CI199" s="558"/>
      <c r="CJ199" s="558"/>
      <c r="CK199" s="559" t="s">
        <v>209</v>
      </c>
      <c r="CL199" s="558"/>
      <c r="CM199" s="558"/>
      <c r="CN199" s="558"/>
      <c r="CO199" s="553"/>
      <c r="CP199" s="558"/>
      <c r="CQ199" s="558"/>
      <c r="CR199" s="559" t="s">
        <v>209</v>
      </c>
      <c r="CS199" s="553"/>
      <c r="CT199" s="558"/>
      <c r="CU199" s="558"/>
      <c r="CV199" s="559" t="s">
        <v>209</v>
      </c>
    </row>
    <row r="200" spans="1:100" ht="151.5" customHeight="1" x14ac:dyDescent="0.3">
      <c r="A200" s="622">
        <v>89</v>
      </c>
      <c r="B200" s="622" t="s">
        <v>1447</v>
      </c>
      <c r="C200" s="623" t="s">
        <v>1448</v>
      </c>
      <c r="D200" s="585" t="str">
        <f>IFERROR(INDEX('Base de datos gestión'!$D$28:$D$50,MATCH(C199,'Base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0" s="585" t="str">
        <f>IFERROR(INDEX('Base de datos gestión'!$E$28:$E$50,MATCH(C199,'Base de datos gestión'!$C$28:$C$50,0)), 0)</f>
        <v>Inicia con los requerimientos institucionales y termina con la atención de las necesidades presentadas por las diferentes áreas del INM.</v>
      </c>
      <c r="F200" s="628" t="s">
        <v>276</v>
      </c>
      <c r="G200" s="629" t="s">
        <v>1449</v>
      </c>
      <c r="H200" s="628" t="s">
        <v>1450</v>
      </c>
      <c r="I200" s="628" t="s">
        <v>1451</v>
      </c>
      <c r="J200" s="630" t="s">
        <v>574</v>
      </c>
      <c r="K200" s="630" t="s">
        <v>193</v>
      </c>
      <c r="L200" s="630">
        <v>2</v>
      </c>
      <c r="M200" s="588" t="str">
        <f t="shared" si="56"/>
        <v>Muy Baja</v>
      </c>
      <c r="N200" s="589">
        <f t="shared" si="55"/>
        <v>0.2</v>
      </c>
      <c r="O200" s="590" t="s">
        <v>248</v>
      </c>
      <c r="P200" s="589" t="str">
        <f>IF(NOT(ISERROR(MATCH(O200,'Tabla Impacto'!$B$222:$B$224,0))),'Tabla Impacto'!$F$224&amp;"Por favor no seleccionar los criterios de impacto(Afectación Económica o presupuestal y Pérdida Reputacional)",O200)</f>
        <v xml:space="preserve">     El riesgo afecta la imagen de la entidad con algunos usuarios de relevancia frente al logro de los objetivos</v>
      </c>
      <c r="Q200" s="591" t="str">
        <f>IF(OR(P200='[8]Tabla Impacto'!$C$12,P200='[8]Tabla Impacto'!$D$12),"Leve",IF(OR(P200='[8]Tabla Impacto'!$C$13,P200='[8]Tabla Impacto'!$D$13),"Menor",IF(OR(P200='[8]Tabla Impacto'!$C$14,P200='[8]Tabla Impacto'!$D$14),"Moderado",IF(OR(P200='[8]Tabla Impacto'!$C$15,P200='[8]Tabla Impacto'!$D$15),"Mayor",IF(OR(P200='[8]Tabla Impacto'!$C$16,P200='[8]Tabla Impacto'!$D$16),"Catastrófico","")))))</f>
        <v>Moderado</v>
      </c>
      <c r="R200" s="590">
        <f t="shared" si="57"/>
        <v>0.6</v>
      </c>
      <c r="S200" s="592" t="str">
        <f t="shared" si="58"/>
        <v>Moderado</v>
      </c>
      <c r="T200" s="595">
        <v>2</v>
      </c>
      <c r="U200" s="631" t="s">
        <v>1464</v>
      </c>
      <c r="V200" s="595" t="str">
        <f t="shared" si="54"/>
        <v>Probabilidad</v>
      </c>
      <c r="W200" s="596" t="s">
        <v>269</v>
      </c>
      <c r="X200" s="596" t="s">
        <v>198</v>
      </c>
      <c r="Y200" s="597" t="str">
        <f t="shared" si="59"/>
        <v>30%</v>
      </c>
      <c r="Z200" s="596" t="s">
        <v>259</v>
      </c>
      <c r="AA200" s="596" t="s">
        <v>200</v>
      </c>
      <c r="AB200" s="596" t="s">
        <v>201</v>
      </c>
      <c r="AC200" s="598">
        <f>IFERROR(IF(AND(V199="Probabilidad",V200="Probabilidad"),(AE199-(+AE199*Y200)),IF(V200="Probabilidad",(N199-(+N199*Y200)),IF(V200="Impacto",AE199,""))),"")</f>
        <v>8.3999999999999991E-2</v>
      </c>
      <c r="AD200" s="599" t="str">
        <f t="shared" si="60"/>
        <v>Muy Baja</v>
      </c>
      <c r="AE200" s="600">
        <f t="shared" si="61"/>
        <v>8.3999999999999991E-2</v>
      </c>
      <c r="AF200" s="599" t="str">
        <f t="shared" si="62"/>
        <v>Catastrófico</v>
      </c>
      <c r="AG200" s="600">
        <f>IFERROR(IF(AND(V199="Impacto",V200="Impacto"),(AG193-(+AG193*Y200)),IF(V200="Impacto",($R$55-(+$R$55*Y200)),IF(V200="Probabilidad",AG193,""))),"")</f>
        <v>1</v>
      </c>
      <c r="AH200" s="601" t="str">
        <f t="shared" si="63"/>
        <v>Extremo</v>
      </c>
      <c r="AI200" s="602" t="s">
        <v>202</v>
      </c>
      <c r="AJ200" s="603"/>
      <c r="AK200" s="681" t="s">
        <v>744</v>
      </c>
      <c r="AL200" s="603"/>
      <c r="AM200" s="604"/>
      <c r="AN200" s="606"/>
      <c r="AO200" s="607"/>
      <c r="AP200" s="608">
        <v>45756</v>
      </c>
      <c r="AQ200" s="609" t="s">
        <v>1453</v>
      </c>
      <c r="AR200" s="283" t="s">
        <v>1465</v>
      </c>
      <c r="AS200" s="611" t="s">
        <v>205</v>
      </c>
      <c r="AT200" s="612" t="s">
        <v>206</v>
      </c>
      <c r="AU200" s="283" t="s">
        <v>1455</v>
      </c>
      <c r="AV200" s="613"/>
      <c r="AW200" s="614">
        <v>45782</v>
      </c>
      <c r="AX200" s="615" t="s">
        <v>207</v>
      </c>
      <c r="AY200" s="616" t="s">
        <v>722</v>
      </c>
      <c r="BA200" s="617"/>
      <c r="BB200" s="617"/>
      <c r="BC200" s="618" t="s">
        <v>209</v>
      </c>
      <c r="BE200" s="608">
        <v>45856</v>
      </c>
      <c r="BF200" s="609" t="s">
        <v>1457</v>
      </c>
      <c r="BG200" s="283" t="s">
        <v>1466</v>
      </c>
      <c r="BH200" s="449" t="s">
        <v>205</v>
      </c>
      <c r="BI200" s="612" t="s">
        <v>206</v>
      </c>
      <c r="BJ200" s="283" t="s">
        <v>206</v>
      </c>
      <c r="BL200" s="450">
        <v>45861</v>
      </c>
      <c r="BM200" s="676" t="s">
        <v>215</v>
      </c>
      <c r="BN200" s="283" t="s">
        <v>1460</v>
      </c>
      <c r="BP200" s="617"/>
      <c r="BQ200" s="617"/>
      <c r="BR200" s="618" t="s">
        <v>209</v>
      </c>
      <c r="BT200" s="621">
        <v>45940</v>
      </c>
      <c r="BU200" s="616" t="s">
        <v>1461</v>
      </c>
      <c r="BV200" s="283" t="s">
        <v>1467</v>
      </c>
      <c r="BW200" s="449" t="s">
        <v>205</v>
      </c>
      <c r="BX200" s="612" t="s">
        <v>206</v>
      </c>
      <c r="BY200" s="283" t="s">
        <v>206</v>
      </c>
      <c r="CA200" s="614">
        <v>45986</v>
      </c>
      <c r="CB200" s="616" t="s">
        <v>218</v>
      </c>
      <c r="CC200" s="643" t="s">
        <v>233</v>
      </c>
      <c r="CE200" s="617"/>
      <c r="CF200" s="617"/>
      <c r="CG200" s="618" t="s">
        <v>209</v>
      </c>
      <c r="CH200" s="192"/>
      <c r="CI200" s="558"/>
      <c r="CJ200" s="558"/>
      <c r="CK200" s="559" t="s">
        <v>209</v>
      </c>
      <c r="CL200" s="558"/>
      <c r="CM200" s="558"/>
      <c r="CN200" s="558"/>
      <c r="CO200" s="553"/>
      <c r="CP200" s="558"/>
      <c r="CQ200" s="558"/>
      <c r="CR200" s="559" t="s">
        <v>209</v>
      </c>
      <c r="CS200" s="553"/>
      <c r="CT200" s="558"/>
      <c r="CU200" s="558"/>
      <c r="CV200" s="559" t="s">
        <v>209</v>
      </c>
    </row>
    <row r="201" spans="1:100" ht="151.5" customHeight="1" x14ac:dyDescent="0.3">
      <c r="A201" s="622">
        <v>90</v>
      </c>
      <c r="B201" s="622" t="s">
        <v>1468</v>
      </c>
      <c r="C201" s="623" t="s">
        <v>1448</v>
      </c>
      <c r="D201" s="585" t="str">
        <f>IFERROR(INDEX('Base de datos gestión'!$D$28:$D$50,MATCH(C200,'Base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1" s="585" t="str">
        <f>IFERROR(INDEX('Base de datos gestión'!$E$28:$E$50,MATCH(C200,'Base de datos gestión'!$C$28:$C$50,0)), 0)</f>
        <v>Inicia con los requerimientos institucionales y termina con la atención de las necesidades presentadas por las diferentes áreas del INM.</v>
      </c>
      <c r="F201" s="628" t="s">
        <v>276</v>
      </c>
      <c r="G201" s="631" t="s">
        <v>1469</v>
      </c>
      <c r="H201" s="631" t="s">
        <v>1470</v>
      </c>
      <c r="I201" s="631" t="s">
        <v>1471</v>
      </c>
      <c r="J201" s="637" t="s">
        <v>280</v>
      </c>
      <c r="K201" s="630" t="s">
        <v>311</v>
      </c>
      <c r="L201" s="630">
        <v>120</v>
      </c>
      <c r="M201" s="588" t="str">
        <f t="shared" si="56"/>
        <v>Media</v>
      </c>
      <c r="N201" s="589">
        <f t="shared" si="55"/>
        <v>0.6</v>
      </c>
      <c r="O201" s="590" t="s">
        <v>440</v>
      </c>
      <c r="P201" s="589" t="str">
        <f>IF(NOT(ISERROR(MATCH(O201,'Tabla Impacto'!$B$222:$B$224,0))),'Tabla Impacto'!$F$224&amp;"Por favor no seleccionar los criterios de impacto(Afectación Económica o presupuestal y Pérdida Reputacional)",O201)</f>
        <v xml:space="preserve">     El riesgo afecta la imagen de alguna área de la organización</v>
      </c>
      <c r="Q201" s="591" t="str">
        <f>IF(OR(P201='[8]Tabla Impacto'!$C$12,P201='[8]Tabla Impacto'!$D$12),"Leve",IF(OR(P201='[8]Tabla Impacto'!$C$13,P201='[8]Tabla Impacto'!$D$13),"Menor",IF(OR(P201='[8]Tabla Impacto'!$C$14,P201='[8]Tabla Impacto'!$D$14),"Moderado",IF(OR(P201='[8]Tabla Impacto'!$C$15,P201='[8]Tabla Impacto'!$D$15),"Mayor",IF(OR(P201='[8]Tabla Impacto'!$C$16,P201='[8]Tabla Impacto'!$D$16),"Catastrófico","")))))</f>
        <v>Leve</v>
      </c>
      <c r="R201" s="590">
        <f t="shared" si="57"/>
        <v>0.2</v>
      </c>
      <c r="S201" s="592" t="str">
        <f t="shared" si="58"/>
        <v>Moderado</v>
      </c>
      <c r="T201" s="595">
        <v>1</v>
      </c>
      <c r="U201" s="631" t="s">
        <v>1472</v>
      </c>
      <c r="V201" s="595" t="str">
        <f t="shared" si="54"/>
        <v>Probabilidad</v>
      </c>
      <c r="W201" s="596" t="s">
        <v>197</v>
      </c>
      <c r="X201" s="710" t="s">
        <v>198</v>
      </c>
      <c r="Y201" s="597" t="str">
        <f t="shared" si="59"/>
        <v>40%</v>
      </c>
      <c r="Z201" s="711" t="s">
        <v>259</v>
      </c>
      <c r="AA201" s="596" t="s">
        <v>200</v>
      </c>
      <c r="AB201" s="711" t="s">
        <v>201</v>
      </c>
      <c r="AC201" s="598">
        <f>IFERROR(IF(AND(V200="Probabilidad",V201="Probabilidad"),(AE200-(+AE200*Y201)),IF(AND(V200="Impacto",V201="Probabilidad"),(AE199-(+AE199*Y201)),IF(V201="Impacto",AE200,""))),"")</f>
        <v>5.0399999999999993E-2</v>
      </c>
      <c r="AD201" s="599" t="str">
        <f t="shared" si="60"/>
        <v>Muy Baja</v>
      </c>
      <c r="AE201" s="600">
        <f t="shared" si="61"/>
        <v>5.0399999999999993E-2</v>
      </c>
      <c r="AF201" s="599" t="str">
        <f t="shared" si="62"/>
        <v>Catastrófico</v>
      </c>
      <c r="AG201" s="600">
        <f>IFERROR(IF(AND(V200="Impacto",V201="Impacto"),(AG200-(+AG200*Y201)),IF(AND(V200="Probabilidad",V201="Impacto"),(AG199-(+AG199*Y201)),IF(V201="Probabilidad",AG200,""))),"")</f>
        <v>1</v>
      </c>
      <c r="AH201" s="601" t="str">
        <f t="shared" si="63"/>
        <v>Extremo</v>
      </c>
      <c r="AI201" s="602" t="s">
        <v>202</v>
      </c>
      <c r="AJ201" s="603"/>
      <c r="AK201" s="603" t="s">
        <v>754</v>
      </c>
      <c r="AL201" s="603"/>
      <c r="AM201" s="604"/>
      <c r="AN201" s="606"/>
      <c r="AO201" s="607"/>
      <c r="AP201" s="608">
        <v>45757</v>
      </c>
      <c r="AQ201" s="609" t="s">
        <v>1314</v>
      </c>
      <c r="AR201" s="283" t="s">
        <v>1473</v>
      </c>
      <c r="AS201" s="611" t="s">
        <v>205</v>
      </c>
      <c r="AT201" s="612" t="s">
        <v>206</v>
      </c>
      <c r="AU201" s="283" t="s">
        <v>206</v>
      </c>
      <c r="AV201" s="613"/>
      <c r="AW201" s="614">
        <v>45782</v>
      </c>
      <c r="AX201" s="615" t="s">
        <v>207</v>
      </c>
      <c r="AY201" s="635" t="s">
        <v>578</v>
      </c>
      <c r="BA201" s="617"/>
      <c r="BB201" s="617"/>
      <c r="BC201" s="618" t="s">
        <v>209</v>
      </c>
      <c r="BE201" s="608">
        <v>45855</v>
      </c>
      <c r="BF201" s="609" t="s">
        <v>1314</v>
      </c>
      <c r="BG201" s="283" t="s">
        <v>1474</v>
      </c>
      <c r="BH201" s="641" t="s">
        <v>205</v>
      </c>
      <c r="BI201" s="612" t="s">
        <v>206</v>
      </c>
      <c r="BJ201" s="283" t="s">
        <v>206</v>
      </c>
      <c r="BL201" s="450">
        <v>45861</v>
      </c>
      <c r="BM201" s="676" t="s">
        <v>215</v>
      </c>
      <c r="BN201" s="283" t="s">
        <v>1228</v>
      </c>
      <c r="BP201" s="617"/>
      <c r="BQ201" s="617"/>
      <c r="BR201" s="618" t="s">
        <v>209</v>
      </c>
      <c r="BT201" s="608">
        <v>45954</v>
      </c>
      <c r="BU201" s="609" t="s">
        <v>1314</v>
      </c>
      <c r="BV201" s="283" t="s">
        <v>1475</v>
      </c>
      <c r="BW201" s="641" t="s">
        <v>205</v>
      </c>
      <c r="BX201" s="612" t="s">
        <v>206</v>
      </c>
      <c r="BY201" s="283" t="s">
        <v>206</v>
      </c>
      <c r="CA201" s="614">
        <v>45986</v>
      </c>
      <c r="CB201" s="616" t="s">
        <v>218</v>
      </c>
      <c r="CC201" s="643" t="s">
        <v>233</v>
      </c>
      <c r="CE201" s="617"/>
      <c r="CF201" s="617"/>
      <c r="CG201" s="618" t="s">
        <v>209</v>
      </c>
      <c r="CH201" s="192"/>
      <c r="CI201" s="558"/>
      <c r="CJ201" s="558"/>
      <c r="CK201" s="559" t="s">
        <v>209</v>
      </c>
      <c r="CL201" s="558"/>
      <c r="CM201" s="558"/>
      <c r="CN201" s="558"/>
      <c r="CO201" s="553"/>
      <c r="CP201" s="558"/>
      <c r="CQ201" s="558"/>
      <c r="CR201" s="559" t="s">
        <v>209</v>
      </c>
      <c r="CS201" s="553"/>
      <c r="CT201" s="558"/>
      <c r="CU201" s="558"/>
      <c r="CV201" s="559" t="s">
        <v>209</v>
      </c>
    </row>
    <row r="202" spans="1:100" ht="151.5" customHeight="1" x14ac:dyDescent="0.3">
      <c r="A202" s="622">
        <v>91</v>
      </c>
      <c r="B202" s="622" t="s">
        <v>1476</v>
      </c>
      <c r="C202" s="623" t="s">
        <v>1448</v>
      </c>
      <c r="D202" s="585" t="str">
        <f>IFERROR(INDEX('Base de datos gestión'!$D$28:$D$50,MATCH(C201,'Base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2" s="585" t="str">
        <f>IFERROR(INDEX('Base de datos gestión'!$E$28:$E$50,MATCH(C201,'Base de datos gestión'!$C$28:$C$50,0)), 0)</f>
        <v>Inicia con los requerimientos institucionales y termina con la atención de las necesidades presentadas por las diferentes áreas del INM.</v>
      </c>
      <c r="F202" s="628" t="s">
        <v>276</v>
      </c>
      <c r="G202" s="631" t="s">
        <v>1477</v>
      </c>
      <c r="H202" s="631" t="s">
        <v>1478</v>
      </c>
      <c r="I202" s="631" t="s">
        <v>1479</v>
      </c>
      <c r="J202" s="637" t="s">
        <v>192</v>
      </c>
      <c r="K202" s="630" t="s">
        <v>193</v>
      </c>
      <c r="L202" s="630">
        <v>12</v>
      </c>
      <c r="M202" s="588" t="str">
        <f t="shared" si="56"/>
        <v>Baja</v>
      </c>
      <c r="N202" s="589">
        <f t="shared" si="55"/>
        <v>0.4</v>
      </c>
      <c r="O202" s="590" t="s">
        <v>281</v>
      </c>
      <c r="P202" s="589" t="str">
        <f>IF(NOT(ISERROR(MATCH(O202,'Tabla Impacto'!$B$222:$B$224,0))),'Tabla Impacto'!$F$224&amp;"Por favor no seleccionar los criterios de impacto(Afectación Económica o presupuestal y Pérdida Reputacional)",O202)</f>
        <v xml:space="preserve">     El riesgo afecta la imagen de de la entidad con efecto publicitario sostenido a nivel de sector administrativo, nivel departamental o municipal</v>
      </c>
      <c r="Q202" s="591" t="str">
        <f>IF(OR(P202='[8]Tabla Impacto'!$C$12,P202='[8]Tabla Impacto'!$D$12),"Leve",IF(OR(P202='[8]Tabla Impacto'!$C$13,P202='[8]Tabla Impacto'!$D$13),"Menor",IF(OR(P202='[8]Tabla Impacto'!$C$14,P202='[8]Tabla Impacto'!$D$14),"Moderado",IF(OR(P202='[8]Tabla Impacto'!$C$15,P202='[8]Tabla Impacto'!$D$15),"Mayor",IF(OR(P202='[8]Tabla Impacto'!$C$16,P202='[8]Tabla Impacto'!$D$16),"Catastrófico","")))))</f>
        <v>Mayor</v>
      </c>
      <c r="R202" s="590">
        <f t="shared" si="57"/>
        <v>0.8</v>
      </c>
      <c r="S202" s="592" t="str">
        <f t="shared" si="58"/>
        <v>Alto</v>
      </c>
      <c r="T202" s="595">
        <v>1</v>
      </c>
      <c r="U202" s="712" t="s">
        <v>1480</v>
      </c>
      <c r="V202" s="595" t="str">
        <f t="shared" si="54"/>
        <v>Probabilidad</v>
      </c>
      <c r="W202" s="596" t="s">
        <v>197</v>
      </c>
      <c r="X202" s="596" t="s">
        <v>198</v>
      </c>
      <c r="Y202" s="597" t="str">
        <f t="shared" si="59"/>
        <v>40%</v>
      </c>
      <c r="Z202" s="596" t="s">
        <v>259</v>
      </c>
      <c r="AA202" s="596" t="s">
        <v>200</v>
      </c>
      <c r="AB202" s="596" t="s">
        <v>201</v>
      </c>
      <c r="AC202" s="598">
        <f>IFERROR(IF(AND(V201="Probabilidad",V202="Probabilidad"),(AE201-(+AE201*Y202)),IF(AND(V201="Impacto",V202="Probabilidad"),(AE200-(+AE200*Y202)),IF(V202="Impacto",AE201,""))),"")</f>
        <v>3.0239999999999996E-2</v>
      </c>
      <c r="AD202" s="599" t="str">
        <f t="shared" si="60"/>
        <v>Muy Baja</v>
      </c>
      <c r="AE202" s="600">
        <f t="shared" si="61"/>
        <v>3.0239999999999996E-2</v>
      </c>
      <c r="AF202" s="599" t="str">
        <f t="shared" si="62"/>
        <v>Catastrófico</v>
      </c>
      <c r="AG202" s="600">
        <f>IFERROR(IF(AND(V201="Impacto",V202="Impacto"),(AG201-(+AG201*Y202)),IF(AND(V201="Probabilidad",V202="Impacto"),(AG200-(+AG200*Y202)),IF(V202="Probabilidad",AG201,""))),"")</f>
        <v>1</v>
      </c>
      <c r="AH202" s="601" t="str">
        <f t="shared" si="63"/>
        <v>Extremo</v>
      </c>
      <c r="AI202" s="602" t="s">
        <v>202</v>
      </c>
      <c r="AJ202" s="681" t="s">
        <v>744</v>
      </c>
      <c r="AK202" s="681" t="s">
        <v>744</v>
      </c>
      <c r="AL202" s="603" t="s">
        <v>1481</v>
      </c>
      <c r="AM202" s="604" t="s">
        <v>1482</v>
      </c>
      <c r="AN202" s="939" t="s">
        <v>1483</v>
      </c>
      <c r="AO202" s="607"/>
      <c r="AP202" s="608">
        <v>45768</v>
      </c>
      <c r="AQ202" s="609" t="s">
        <v>1484</v>
      </c>
      <c r="AR202" s="643" t="s">
        <v>1485</v>
      </c>
      <c r="AS202" s="611" t="s">
        <v>205</v>
      </c>
      <c r="AT202" s="612" t="s">
        <v>206</v>
      </c>
      <c r="AU202" s="283" t="s">
        <v>206</v>
      </c>
      <c r="AV202" s="613"/>
      <c r="AW202" s="614">
        <v>45782</v>
      </c>
      <c r="AX202" s="615" t="s">
        <v>207</v>
      </c>
      <c r="AY202" s="635" t="s">
        <v>578</v>
      </c>
      <c r="BA202" s="617"/>
      <c r="BB202" s="617"/>
      <c r="BC202" s="618" t="s">
        <v>209</v>
      </c>
      <c r="BE202" s="608">
        <v>45854</v>
      </c>
      <c r="BF202" s="616" t="s">
        <v>1484</v>
      </c>
      <c r="BG202" s="283" t="s">
        <v>1486</v>
      </c>
      <c r="BH202" s="449" t="s">
        <v>205</v>
      </c>
      <c r="BI202" s="449" t="s">
        <v>206</v>
      </c>
      <c r="BJ202" s="449" t="s">
        <v>206</v>
      </c>
      <c r="BL202" s="450">
        <v>45861</v>
      </c>
      <c r="BM202" s="676" t="s">
        <v>215</v>
      </c>
      <c r="BN202" s="713" t="s">
        <v>1487</v>
      </c>
      <c r="BP202" s="617"/>
      <c r="BQ202" s="617"/>
      <c r="BR202" s="618" t="s">
        <v>209</v>
      </c>
      <c r="BT202" s="627">
        <v>45944</v>
      </c>
      <c r="BU202" s="616" t="s">
        <v>1484</v>
      </c>
      <c r="BV202" s="286" t="s">
        <v>1488</v>
      </c>
      <c r="BW202" s="449" t="s">
        <v>205</v>
      </c>
      <c r="BX202" s="449" t="s">
        <v>206</v>
      </c>
      <c r="BY202" s="449" t="s">
        <v>206</v>
      </c>
      <c r="CA202" s="614">
        <v>45986</v>
      </c>
      <c r="CB202" s="616" t="s">
        <v>218</v>
      </c>
      <c r="CC202" s="643" t="s">
        <v>233</v>
      </c>
      <c r="CE202" s="617"/>
      <c r="CF202" s="617"/>
      <c r="CG202" s="618" t="s">
        <v>209</v>
      </c>
      <c r="CH202" s="192"/>
      <c r="CI202" s="558"/>
      <c r="CJ202" s="558"/>
      <c r="CK202" s="559" t="s">
        <v>209</v>
      </c>
      <c r="CL202" s="558"/>
      <c r="CM202" s="558"/>
      <c r="CN202" s="558"/>
      <c r="CO202" s="553"/>
      <c r="CP202" s="558"/>
      <c r="CQ202" s="558"/>
      <c r="CR202" s="559" t="s">
        <v>209</v>
      </c>
      <c r="CS202" s="553"/>
      <c r="CT202" s="558"/>
      <c r="CU202" s="558"/>
      <c r="CV202" s="559" t="s">
        <v>209</v>
      </c>
    </row>
    <row r="203" spans="1:100" ht="151.5" customHeight="1" x14ac:dyDescent="0.3">
      <c r="A203" s="622">
        <v>91</v>
      </c>
      <c r="B203" s="622" t="s">
        <v>1476</v>
      </c>
      <c r="C203" s="623" t="s">
        <v>1448</v>
      </c>
      <c r="D203" s="585" t="str">
        <f>IFERROR(INDEX('Base de datos gestión'!$D$28:$D$50,MATCH(C202,'Base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3" s="585" t="str">
        <f>IFERROR(INDEX('Base de datos gestión'!$E$28:$E$50,MATCH(C202,'Base de datos gestión'!$C$28:$C$50,0)), 0)</f>
        <v>Inicia con los requerimientos institucionales y termina con la atención de las necesidades presentadas por las diferentes áreas del INM.</v>
      </c>
      <c r="F203" s="628" t="s">
        <v>276</v>
      </c>
      <c r="G203" s="631" t="s">
        <v>1477</v>
      </c>
      <c r="H203" s="631" t="s">
        <v>1478</v>
      </c>
      <c r="I203" s="631" t="s">
        <v>1479</v>
      </c>
      <c r="J203" s="637" t="s">
        <v>192</v>
      </c>
      <c r="K203" s="630" t="s">
        <v>193</v>
      </c>
      <c r="L203" s="630">
        <v>12</v>
      </c>
      <c r="M203" s="588" t="str">
        <f t="shared" si="56"/>
        <v>Baja</v>
      </c>
      <c r="N203" s="589">
        <f t="shared" si="55"/>
        <v>0.4</v>
      </c>
      <c r="O203" s="590" t="s">
        <v>281</v>
      </c>
      <c r="P203" s="589" t="str">
        <f>IF(NOT(ISERROR(MATCH(O203,'Tabla Impacto'!$B$222:$B$224,0))),'Tabla Impacto'!$F$224&amp;"Por favor no seleccionar los criterios de impacto(Afectación Económica o presupuestal y Pérdida Reputacional)",O203)</f>
        <v xml:space="preserve">     El riesgo afecta la imagen de de la entidad con efecto publicitario sostenido a nivel de sector administrativo, nivel departamental o municipal</v>
      </c>
      <c r="Q203" s="591" t="str">
        <f>IF(OR(P203='[8]Tabla Impacto'!$C$12,P203='[8]Tabla Impacto'!$D$12),"Leve",IF(OR(P203='[8]Tabla Impacto'!$C$13,P203='[8]Tabla Impacto'!$D$13),"Menor",IF(OR(P203='[8]Tabla Impacto'!$C$14,P203='[8]Tabla Impacto'!$D$14),"Moderado",IF(OR(P203='[8]Tabla Impacto'!$C$15,P203='[8]Tabla Impacto'!$D$15),"Mayor",IF(OR(P203='[8]Tabla Impacto'!$C$16,P203='[8]Tabla Impacto'!$D$16),"Catastrófico","")))))</f>
        <v>Mayor</v>
      </c>
      <c r="R203" s="590">
        <f t="shared" si="57"/>
        <v>0.8</v>
      </c>
      <c r="S203" s="592" t="str">
        <f t="shared" si="58"/>
        <v>Alto</v>
      </c>
      <c r="T203" s="595">
        <v>2</v>
      </c>
      <c r="U203" s="712" t="s">
        <v>1489</v>
      </c>
      <c r="V203" s="595" t="str">
        <f t="shared" si="54"/>
        <v>Probabilidad</v>
      </c>
      <c r="W203" s="596" t="s">
        <v>269</v>
      </c>
      <c r="X203" s="596" t="s">
        <v>198</v>
      </c>
      <c r="Y203" s="597" t="str">
        <f t="shared" si="59"/>
        <v>30%</v>
      </c>
      <c r="Z203" s="596" t="s">
        <v>259</v>
      </c>
      <c r="AA203" s="596" t="s">
        <v>200</v>
      </c>
      <c r="AB203" s="596" t="s">
        <v>201</v>
      </c>
      <c r="AC203" s="598">
        <f>IFERROR(IF(AND(V202="Probabilidad",V203="Probabilidad"),(AE202-(+AE202*Y203)),IF(AND(V202="Impacto",V203="Probabilidad"),(AE201-(+AE201*Y203)),IF(V203="Impacto",AE202,""))),"")</f>
        <v>2.1167999999999999E-2</v>
      </c>
      <c r="AD203" s="599" t="str">
        <f t="shared" si="60"/>
        <v>Muy Baja</v>
      </c>
      <c r="AE203" s="600">
        <f t="shared" si="61"/>
        <v>2.1167999999999999E-2</v>
      </c>
      <c r="AF203" s="599" t="str">
        <f t="shared" si="62"/>
        <v>Catastrófico</v>
      </c>
      <c r="AG203" s="600">
        <f>IFERROR(IF(AND(V202="Impacto",V203="Impacto"),(AG202-(+AG202*Y203)),IF(AND(V202="Probabilidad",V203="Impacto"),(AG201-(+AG201*Y203)),IF(V203="Probabilidad",AG202,""))),"")</f>
        <v>1</v>
      </c>
      <c r="AH203" s="601" t="str">
        <f t="shared" si="63"/>
        <v>Extremo</v>
      </c>
      <c r="AI203" s="602" t="s">
        <v>202</v>
      </c>
      <c r="AJ203" s="681" t="s">
        <v>744</v>
      </c>
      <c r="AK203" s="681" t="s">
        <v>744</v>
      </c>
      <c r="AL203" s="603" t="s">
        <v>1481</v>
      </c>
      <c r="AM203" s="604" t="s">
        <v>1482</v>
      </c>
      <c r="AN203" s="940"/>
      <c r="AO203" s="607"/>
      <c r="AP203" s="608">
        <v>45768</v>
      </c>
      <c r="AQ203" s="609" t="s">
        <v>1484</v>
      </c>
      <c r="AR203" s="643" t="s">
        <v>1485</v>
      </c>
      <c r="AS203" s="611" t="s">
        <v>205</v>
      </c>
      <c r="AT203" s="612" t="s">
        <v>206</v>
      </c>
      <c r="AU203" s="283" t="s">
        <v>206</v>
      </c>
      <c r="AV203" s="613"/>
      <c r="AW203" s="614">
        <v>45782</v>
      </c>
      <c r="AX203" s="615" t="s">
        <v>207</v>
      </c>
      <c r="AY203" s="635" t="s">
        <v>578</v>
      </c>
      <c r="BA203" s="617"/>
      <c r="BB203" s="617"/>
      <c r="BC203" s="618" t="s">
        <v>209</v>
      </c>
      <c r="BE203" s="608">
        <v>45854</v>
      </c>
      <c r="BF203" s="616" t="s">
        <v>1484</v>
      </c>
      <c r="BG203" s="283" t="s">
        <v>1490</v>
      </c>
      <c r="BH203" s="449" t="s">
        <v>205</v>
      </c>
      <c r="BI203" s="449" t="s">
        <v>206</v>
      </c>
      <c r="BJ203" s="449" t="s">
        <v>206</v>
      </c>
      <c r="BL203" s="450">
        <v>45861</v>
      </c>
      <c r="BM203" s="676" t="s">
        <v>215</v>
      </c>
      <c r="BN203" s="713" t="s">
        <v>1491</v>
      </c>
      <c r="BP203" s="617"/>
      <c r="BQ203" s="617"/>
      <c r="BR203" s="618" t="s">
        <v>209</v>
      </c>
      <c r="BT203" s="627">
        <v>45944</v>
      </c>
      <c r="BU203" s="616" t="s">
        <v>1484</v>
      </c>
      <c r="BV203" s="286" t="s">
        <v>1492</v>
      </c>
      <c r="BW203" s="449" t="s">
        <v>205</v>
      </c>
      <c r="BX203" s="449" t="s">
        <v>206</v>
      </c>
      <c r="BY203" s="449" t="s">
        <v>206</v>
      </c>
      <c r="CA203" s="614">
        <v>45986</v>
      </c>
      <c r="CB203" s="616" t="s">
        <v>218</v>
      </c>
      <c r="CC203" s="643" t="s">
        <v>233</v>
      </c>
      <c r="CE203" s="617"/>
      <c r="CF203" s="617"/>
      <c r="CG203" s="618" t="s">
        <v>209</v>
      </c>
      <c r="CH203" s="192"/>
      <c r="CI203" s="558"/>
      <c r="CJ203" s="558"/>
      <c r="CK203" s="559" t="s">
        <v>209</v>
      </c>
      <c r="CL203" s="558"/>
      <c r="CM203" s="558"/>
      <c r="CN203" s="558"/>
      <c r="CO203" s="553"/>
      <c r="CP203" s="558"/>
      <c r="CQ203" s="558"/>
      <c r="CR203" s="559" t="s">
        <v>209</v>
      </c>
      <c r="CS203" s="553"/>
      <c r="CT203" s="558"/>
      <c r="CU203" s="558"/>
      <c r="CV203" s="559" t="s">
        <v>209</v>
      </c>
    </row>
    <row r="204" spans="1:100" ht="151.5" customHeight="1" x14ac:dyDescent="0.3">
      <c r="A204" s="632">
        <v>91</v>
      </c>
      <c r="B204" s="632" t="s">
        <v>1476</v>
      </c>
      <c r="C204" s="633" t="s">
        <v>1448</v>
      </c>
      <c r="D204" s="585" t="str">
        <f>IFERROR(INDEX('Base de datos gestión'!$D$28:$D$50,MATCH(C203,'Base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4" s="585" t="str">
        <f>IFERROR(INDEX('Base de datos gestión'!$E$28:$E$50,MATCH(C203,'Base de datos gestión'!$C$28:$C$50,0)), 0)</f>
        <v>Inicia con los requerimientos institucionales y termina con la atención de las necesidades presentadas por las diferentes áreas del INM.</v>
      </c>
      <c r="F204" s="628" t="s">
        <v>276</v>
      </c>
      <c r="G204" s="631" t="s">
        <v>1477</v>
      </c>
      <c r="H204" s="631" t="s">
        <v>1478</v>
      </c>
      <c r="I204" s="631" t="s">
        <v>1479</v>
      </c>
      <c r="J204" s="637" t="s">
        <v>192</v>
      </c>
      <c r="K204" s="630" t="s">
        <v>193</v>
      </c>
      <c r="L204" s="630">
        <v>12</v>
      </c>
      <c r="M204" s="588" t="str">
        <f t="shared" si="56"/>
        <v>Baja</v>
      </c>
      <c r="N204" s="589">
        <f t="shared" si="55"/>
        <v>0.4</v>
      </c>
      <c r="O204" s="590" t="s">
        <v>281</v>
      </c>
      <c r="P204" s="589" t="str">
        <f>IF(NOT(ISERROR(MATCH(O204,'Tabla Impacto'!$B$222:$B$224,0))),'Tabla Impacto'!$F$224&amp;"Por favor no seleccionar los criterios de impacto(Afectación Económica o presupuestal y Pérdida Reputacional)",O204)</f>
        <v xml:space="preserve">     El riesgo afecta la imagen de de la entidad con efecto publicitario sostenido a nivel de sector administrativo, nivel departamental o municipal</v>
      </c>
      <c r="Q204" s="591" t="str">
        <f>IF(OR(P204='[8]Tabla Impacto'!$C$12,P204='[8]Tabla Impacto'!$D$12),"Leve",IF(OR(P204='[8]Tabla Impacto'!$C$13,P204='[8]Tabla Impacto'!$D$13),"Menor",IF(OR(P204='[8]Tabla Impacto'!$C$14,P204='[8]Tabla Impacto'!$D$14),"Moderado",IF(OR(P204='[8]Tabla Impacto'!$C$15,P204='[8]Tabla Impacto'!$D$15),"Mayor",IF(OR(P204='[8]Tabla Impacto'!$C$16,P204='[8]Tabla Impacto'!$D$16),"Catastrófico","")))))</f>
        <v>Mayor</v>
      </c>
      <c r="R204" s="590">
        <f t="shared" si="57"/>
        <v>0.8</v>
      </c>
      <c r="S204" s="592" t="str">
        <f t="shared" si="58"/>
        <v>Alto</v>
      </c>
      <c r="T204" s="595">
        <v>3</v>
      </c>
      <c r="U204" s="712" t="s">
        <v>1493</v>
      </c>
      <c r="V204" s="595" t="str">
        <f t="shared" si="54"/>
        <v>Probabilidad</v>
      </c>
      <c r="W204" s="596" t="s">
        <v>197</v>
      </c>
      <c r="X204" s="596" t="s">
        <v>198</v>
      </c>
      <c r="Y204" s="597" t="str">
        <f t="shared" si="59"/>
        <v>40%</v>
      </c>
      <c r="Z204" s="596" t="s">
        <v>259</v>
      </c>
      <c r="AA204" s="596" t="s">
        <v>200</v>
      </c>
      <c r="AB204" s="596" t="s">
        <v>201</v>
      </c>
      <c r="AC204" s="598">
        <f>IFERROR(IF(AND(V203="Probabilidad",V204="Probabilidad"),(AE203-(+AE203*Y204)),IF(AND(V203="Impacto",V204="Probabilidad"),(AE202-(+AE202*Y204)),IF(V204="Impacto",AE203,""))),"")</f>
        <v>1.27008E-2</v>
      </c>
      <c r="AD204" s="599" t="str">
        <f t="shared" si="60"/>
        <v>Muy Baja</v>
      </c>
      <c r="AE204" s="600">
        <f t="shared" si="61"/>
        <v>1.27008E-2</v>
      </c>
      <c r="AF204" s="599" t="str">
        <f t="shared" si="62"/>
        <v>Catastrófico</v>
      </c>
      <c r="AG204" s="600">
        <f>IFERROR(IF(AND(V203="Impacto",V204="Impacto"),(AG203-(+AG203*Y204)),IF(AND(V203="Probabilidad",V204="Impacto"),(AG202-(+AG202*Y204)),IF(V204="Probabilidad",AG203,""))),"")</f>
        <v>1</v>
      </c>
      <c r="AH204" s="601" t="str">
        <f t="shared" si="63"/>
        <v>Extremo</v>
      </c>
      <c r="AI204" s="602" t="s">
        <v>202</v>
      </c>
      <c r="AJ204" s="603"/>
      <c r="AK204" s="603" t="s">
        <v>754</v>
      </c>
      <c r="AL204" s="603"/>
      <c r="AM204" s="604"/>
      <c r="AN204" s="606"/>
      <c r="AO204" s="607"/>
      <c r="AP204" s="608">
        <v>45768</v>
      </c>
      <c r="AQ204" s="609" t="s">
        <v>1484</v>
      </c>
      <c r="AR204" s="714" t="s">
        <v>1494</v>
      </c>
      <c r="AS204" s="611" t="s">
        <v>205</v>
      </c>
      <c r="AT204" s="612" t="s">
        <v>206</v>
      </c>
      <c r="AU204" s="283" t="s">
        <v>206</v>
      </c>
      <c r="AV204" s="613"/>
      <c r="AW204" s="614">
        <v>45782</v>
      </c>
      <c r="AX204" s="615" t="s">
        <v>207</v>
      </c>
      <c r="AY204" s="635" t="s">
        <v>578</v>
      </c>
      <c r="BA204" s="617"/>
      <c r="BB204" s="617"/>
      <c r="BC204" s="618" t="s">
        <v>209</v>
      </c>
      <c r="BE204" s="608">
        <v>45854</v>
      </c>
      <c r="BF204" s="616" t="s">
        <v>1484</v>
      </c>
      <c r="BG204" s="283" t="s">
        <v>1495</v>
      </c>
      <c r="BH204" s="449" t="s">
        <v>205</v>
      </c>
      <c r="BI204" s="449" t="s">
        <v>206</v>
      </c>
      <c r="BJ204" s="449" t="s">
        <v>206</v>
      </c>
      <c r="BL204" s="450">
        <v>45861</v>
      </c>
      <c r="BM204" s="676" t="s">
        <v>215</v>
      </c>
      <c r="BN204" s="283" t="s">
        <v>1228</v>
      </c>
      <c r="BP204" s="617"/>
      <c r="BQ204" s="617"/>
      <c r="BR204" s="618" t="s">
        <v>209</v>
      </c>
      <c r="BT204" s="627">
        <v>45944</v>
      </c>
      <c r="BU204" s="616" t="s">
        <v>1484</v>
      </c>
      <c r="BV204" s="283" t="s">
        <v>1495</v>
      </c>
      <c r="BW204" s="715" t="s">
        <v>205</v>
      </c>
      <c r="BX204" s="715" t="s">
        <v>206</v>
      </c>
      <c r="BY204" s="715" t="s">
        <v>206</v>
      </c>
      <c r="CA204" s="614">
        <v>45986</v>
      </c>
      <c r="CB204" s="616" t="s">
        <v>218</v>
      </c>
      <c r="CC204" s="643" t="s">
        <v>233</v>
      </c>
      <c r="CE204" s="617"/>
      <c r="CF204" s="617"/>
      <c r="CG204" s="618" t="s">
        <v>209</v>
      </c>
      <c r="CH204" s="192"/>
      <c r="CI204" s="558"/>
      <c r="CJ204" s="558"/>
      <c r="CK204" s="559" t="s">
        <v>209</v>
      </c>
      <c r="CL204" s="558"/>
      <c r="CM204" s="558"/>
      <c r="CN204" s="558"/>
      <c r="CO204" s="553"/>
      <c r="CP204" s="558"/>
      <c r="CQ204" s="558"/>
      <c r="CR204" s="559" t="s">
        <v>209</v>
      </c>
      <c r="CS204" s="553"/>
      <c r="CT204" s="558"/>
      <c r="CU204" s="558"/>
      <c r="CV204" s="559" t="s">
        <v>209</v>
      </c>
    </row>
    <row r="205" spans="1:100" ht="151.5" customHeight="1" x14ac:dyDescent="0.3">
      <c r="A205" s="584">
        <v>91</v>
      </c>
      <c r="B205" s="584" t="s">
        <v>1476</v>
      </c>
      <c r="C205" s="585" t="s">
        <v>1448</v>
      </c>
      <c r="D205" s="585" t="str">
        <f>IFERROR(INDEX('Base de datos gestión'!$D$28:$D$50,MATCH(C204,'Base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5" s="585" t="str">
        <f>IFERROR(INDEX('Base de datos gestión'!$E$28:$E$50,MATCH(C204,'Base de datos gestión'!$C$28:$C$50,0)), 0)</f>
        <v>Inicia con los requerimientos institucionales y termina con la atención de las necesidades presentadas por las diferentes áreas del INM.</v>
      </c>
      <c r="F205" s="628" t="s">
        <v>276</v>
      </c>
      <c r="G205" s="631" t="s">
        <v>1477</v>
      </c>
      <c r="H205" s="631" t="s">
        <v>1478</v>
      </c>
      <c r="I205" s="631" t="s">
        <v>1479</v>
      </c>
      <c r="J205" s="637" t="s">
        <v>192</v>
      </c>
      <c r="K205" s="630" t="s">
        <v>193</v>
      </c>
      <c r="L205" s="630">
        <v>12</v>
      </c>
      <c r="M205" s="588" t="str">
        <f t="shared" si="56"/>
        <v>Baja</v>
      </c>
      <c r="N205" s="589">
        <f t="shared" si="55"/>
        <v>0.4</v>
      </c>
      <c r="O205" s="590" t="s">
        <v>281</v>
      </c>
      <c r="P205" s="589" t="str">
        <f>IF(NOT(ISERROR(MATCH(O205,'Tabla Impacto'!$B$222:$B$224,0))),'Tabla Impacto'!$F$224&amp;"Por favor no seleccionar los criterios de impacto(Afectación Económica o presupuestal y Pérdida Reputacional)",O205)</f>
        <v xml:space="preserve">     El riesgo afecta la imagen de de la entidad con efecto publicitario sostenido a nivel de sector administrativo, nivel departamental o municipal</v>
      </c>
      <c r="Q205" s="591" t="str">
        <f>IF(OR(P205='[8]Tabla Impacto'!$C$12,P205='[8]Tabla Impacto'!$D$12),"Leve",IF(OR(P205='[8]Tabla Impacto'!$C$13,P205='[8]Tabla Impacto'!$D$13),"Menor",IF(OR(P205='[8]Tabla Impacto'!$C$14,P205='[8]Tabla Impacto'!$D$14),"Moderado",IF(OR(P205='[8]Tabla Impacto'!$C$15,P205='[8]Tabla Impacto'!$D$15),"Mayor",IF(OR(P205='[8]Tabla Impacto'!$C$16,P205='[8]Tabla Impacto'!$D$16),"Catastrófico","")))))</f>
        <v>Mayor</v>
      </c>
      <c r="R205" s="590">
        <f t="shared" si="57"/>
        <v>0.8</v>
      </c>
      <c r="S205" s="592" t="str">
        <f t="shared" si="58"/>
        <v>Alto</v>
      </c>
      <c r="T205" s="595">
        <v>4</v>
      </c>
      <c r="U205" s="712" t="s">
        <v>1496</v>
      </c>
      <c r="V205" s="595" t="str">
        <f t="shared" si="54"/>
        <v>Probabilidad</v>
      </c>
      <c r="W205" s="596" t="s">
        <v>197</v>
      </c>
      <c r="X205" s="596" t="s">
        <v>198</v>
      </c>
      <c r="Y205" s="597" t="str">
        <f t="shared" si="59"/>
        <v>40%</v>
      </c>
      <c r="Z205" s="596" t="s">
        <v>259</v>
      </c>
      <c r="AA205" s="596" t="s">
        <v>200</v>
      </c>
      <c r="AB205" s="596" t="s">
        <v>201</v>
      </c>
      <c r="AC205" s="598">
        <f>IFERROR(IF(V205="Probabilidad",(N205-(+N205*Y205)),IF(V205="Impacto",N205,"")),"")</f>
        <v>0.24</v>
      </c>
      <c r="AD205" s="599" t="str">
        <f t="shared" si="60"/>
        <v>Baja</v>
      </c>
      <c r="AE205" s="600">
        <f t="shared" si="61"/>
        <v>0.24</v>
      </c>
      <c r="AF205" s="599" t="str">
        <f t="shared" si="62"/>
        <v>Mayor</v>
      </c>
      <c r="AG205" s="600">
        <f>IFERROR(IF(V205="Impacto",(R205-(+R205*Y205)),IF(V205="Probabilidad",R205,"")),"")</f>
        <v>0.8</v>
      </c>
      <c r="AH205" s="601" t="str">
        <f t="shared" si="63"/>
        <v>Alto</v>
      </c>
      <c r="AI205" s="602" t="s">
        <v>202</v>
      </c>
      <c r="AJ205" s="603"/>
      <c r="AK205" s="192"/>
      <c r="AL205" s="603"/>
      <c r="AM205" s="605"/>
      <c r="AN205" s="606"/>
      <c r="AO205" s="607"/>
      <c r="AP205" s="608">
        <v>45768</v>
      </c>
      <c r="AQ205" s="609" t="s">
        <v>1484</v>
      </c>
      <c r="AR205" s="714" t="s">
        <v>1497</v>
      </c>
      <c r="AS205" s="611" t="s">
        <v>205</v>
      </c>
      <c r="AT205" s="612" t="s">
        <v>206</v>
      </c>
      <c r="AU205" s="283" t="s">
        <v>206</v>
      </c>
      <c r="AV205" s="613"/>
      <c r="AW205" s="614">
        <v>45782</v>
      </c>
      <c r="AX205" s="615" t="s">
        <v>207</v>
      </c>
      <c r="AY205" s="635" t="s">
        <v>578</v>
      </c>
      <c r="BA205" s="617"/>
      <c r="BB205" s="617"/>
      <c r="BC205" s="618" t="s">
        <v>209</v>
      </c>
      <c r="BE205" s="608">
        <v>45854</v>
      </c>
      <c r="BF205" s="616" t="s">
        <v>1484</v>
      </c>
      <c r="BG205" s="283" t="s">
        <v>1498</v>
      </c>
      <c r="BH205" s="449" t="s">
        <v>205</v>
      </c>
      <c r="BI205" s="449" t="s">
        <v>206</v>
      </c>
      <c r="BJ205" s="449" t="s">
        <v>206</v>
      </c>
      <c r="BL205" s="450">
        <v>45861</v>
      </c>
      <c r="BM205" s="676" t="s">
        <v>215</v>
      </c>
      <c r="BN205" s="283" t="s">
        <v>1228</v>
      </c>
      <c r="BP205" s="617"/>
      <c r="BQ205" s="617"/>
      <c r="BR205" s="618" t="s">
        <v>209</v>
      </c>
      <c r="BT205" s="627">
        <v>45944</v>
      </c>
      <c r="BU205" s="616" t="s">
        <v>1484</v>
      </c>
      <c r="BV205" s="283" t="s">
        <v>1499</v>
      </c>
      <c r="BW205" s="715" t="s">
        <v>205</v>
      </c>
      <c r="BX205" s="715" t="s">
        <v>206</v>
      </c>
      <c r="BY205" s="715" t="s">
        <v>206</v>
      </c>
      <c r="CA205" s="614">
        <v>45986</v>
      </c>
      <c r="CB205" s="616" t="s">
        <v>218</v>
      </c>
      <c r="CC205" s="643" t="s">
        <v>233</v>
      </c>
      <c r="CE205" s="617"/>
      <c r="CF205" s="617"/>
      <c r="CG205" s="618" t="s">
        <v>209</v>
      </c>
      <c r="CH205" s="192"/>
      <c r="CI205" s="558"/>
      <c r="CJ205" s="558"/>
      <c r="CK205" s="559" t="s">
        <v>209</v>
      </c>
      <c r="CL205" s="558"/>
      <c r="CM205" s="558"/>
      <c r="CN205" s="558"/>
      <c r="CO205" s="553"/>
      <c r="CP205" s="558"/>
      <c r="CQ205" s="558"/>
      <c r="CR205" s="559" t="s">
        <v>209</v>
      </c>
      <c r="CS205" s="553"/>
      <c r="CT205" s="558"/>
      <c r="CU205" s="558"/>
      <c r="CV205" s="559" t="s">
        <v>209</v>
      </c>
    </row>
    <row r="206" spans="1:100" ht="151.5" customHeight="1" x14ac:dyDescent="0.3">
      <c r="A206" s="622">
        <v>92</v>
      </c>
      <c r="B206" s="622" t="s">
        <v>1500</v>
      </c>
      <c r="C206" s="623" t="s">
        <v>1448</v>
      </c>
      <c r="D206" s="640" t="str">
        <f>IFERROR(INDEX('Base de datos gestión'!$D$28:$D$50,MATCH(C205,'Base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6" s="585" t="str">
        <f>IFERROR(INDEX('Base de datos gestión'!$E$28:$E$50,MATCH(C205,'Base de datos gestión'!$C$28:$C$50,0)), 0)</f>
        <v>Inicia con los requerimientos institucionales y termina con la atención de las necesidades presentadas por las diferentes áreas del INM.</v>
      </c>
      <c r="F206" s="628" t="s">
        <v>188</v>
      </c>
      <c r="G206" s="631" t="s">
        <v>1501</v>
      </c>
      <c r="H206" s="631" t="s">
        <v>1502</v>
      </c>
      <c r="I206" s="631" t="s">
        <v>1503</v>
      </c>
      <c r="J206" s="637" t="s">
        <v>280</v>
      </c>
      <c r="K206" s="630" t="s">
        <v>311</v>
      </c>
      <c r="L206" s="630">
        <v>12</v>
      </c>
      <c r="M206" s="588" t="str">
        <f t="shared" si="56"/>
        <v>Baja</v>
      </c>
      <c r="N206" s="589">
        <f t="shared" si="55"/>
        <v>0.4</v>
      </c>
      <c r="O206" s="590" t="s">
        <v>248</v>
      </c>
      <c r="P206" s="589" t="str">
        <f>IF(NOT(ISERROR(MATCH(O206,'Tabla Impacto'!$B$222:$B$224,0))),'Tabla Impacto'!$F$224&amp;"Por favor no seleccionar los criterios de impacto(Afectación Económica o presupuestal y Pérdida Reputacional)",O206)</f>
        <v xml:space="preserve">     El riesgo afecta la imagen de la entidad con algunos usuarios de relevancia frente al logro de los objetivos</v>
      </c>
      <c r="Q206" s="591" t="str">
        <f>IF(OR(P206='[8]Tabla Impacto'!$C$12,P206='[8]Tabla Impacto'!$D$12),"Leve",IF(OR(P206='[8]Tabla Impacto'!$C$13,P206='[8]Tabla Impacto'!$D$13),"Menor",IF(OR(P206='[8]Tabla Impacto'!$C$14,P206='[8]Tabla Impacto'!$D$14),"Moderado",IF(OR(P206='[8]Tabla Impacto'!$C$15,P206='[8]Tabla Impacto'!$D$15),"Mayor",IF(OR(P206='[8]Tabla Impacto'!$C$16,P206='[8]Tabla Impacto'!$D$16),"Catastrófico","")))))</f>
        <v>Moderado</v>
      </c>
      <c r="R206" s="590">
        <f t="shared" si="57"/>
        <v>0.6</v>
      </c>
      <c r="S206" s="592" t="str">
        <f t="shared" si="58"/>
        <v>Moderado</v>
      </c>
      <c r="T206" s="595">
        <v>1</v>
      </c>
      <c r="U206" s="716" t="s">
        <v>1504</v>
      </c>
      <c r="V206" s="595" t="str">
        <f t="shared" si="54"/>
        <v>Probabilidad</v>
      </c>
      <c r="W206" s="596" t="s">
        <v>197</v>
      </c>
      <c r="X206" s="596" t="s">
        <v>198</v>
      </c>
      <c r="Y206" s="597" t="str">
        <f t="shared" si="59"/>
        <v>40%</v>
      </c>
      <c r="Z206" s="596" t="s">
        <v>259</v>
      </c>
      <c r="AA206" s="596" t="s">
        <v>200</v>
      </c>
      <c r="AB206" s="596" t="s">
        <v>201</v>
      </c>
      <c r="AC206" s="598">
        <f>IFERROR(IF(AND(V205="Probabilidad",V206="Probabilidad"),(AE205-(+AE205*Y206)),IF(V206="Probabilidad",(N205-(+N205*Y206)),IF(V206="Impacto",AE205,""))),"")</f>
        <v>0.14399999999999999</v>
      </c>
      <c r="AD206" s="599" t="str">
        <f t="shared" si="60"/>
        <v>Muy Baja</v>
      </c>
      <c r="AE206" s="600">
        <f t="shared" si="61"/>
        <v>0.14399999999999999</v>
      </c>
      <c r="AF206" s="599" t="str">
        <f t="shared" si="62"/>
        <v>Moderado</v>
      </c>
      <c r="AG206" s="600">
        <f>IFERROR(IF(AND(V205="Impacto",V206="Impacto"),(AG199-(+AG199*Y206)),IF(V206="Impacto",($R$49-(+$R$49*Y206)),IF(V206="Probabilidad",AG199,""))),"")</f>
        <v>0.6</v>
      </c>
      <c r="AH206" s="601" t="str">
        <f t="shared" si="63"/>
        <v>Moderado</v>
      </c>
      <c r="AI206" s="602" t="s">
        <v>202</v>
      </c>
      <c r="AJ206" s="603" t="s">
        <v>754</v>
      </c>
      <c r="AK206" s="603" t="s">
        <v>754</v>
      </c>
      <c r="AL206" s="603" t="s">
        <v>1505</v>
      </c>
      <c r="AM206" s="605" t="s">
        <v>1506</v>
      </c>
      <c r="AN206" s="605" t="s">
        <v>1507</v>
      </c>
      <c r="AO206" s="607"/>
      <c r="AP206" s="608">
        <v>45768</v>
      </c>
      <c r="AQ206" s="609" t="s">
        <v>1484</v>
      </c>
      <c r="AR206" s="717" t="s">
        <v>1508</v>
      </c>
      <c r="AS206" s="611" t="s">
        <v>205</v>
      </c>
      <c r="AT206" s="612" t="s">
        <v>206</v>
      </c>
      <c r="AU206" s="283" t="s">
        <v>206</v>
      </c>
      <c r="AV206" s="613"/>
      <c r="AW206" s="614">
        <v>45782</v>
      </c>
      <c r="AX206" s="615" t="s">
        <v>207</v>
      </c>
      <c r="AY206" s="635" t="s">
        <v>578</v>
      </c>
      <c r="BA206" s="617"/>
      <c r="BB206" s="617"/>
      <c r="BC206" s="618" t="s">
        <v>209</v>
      </c>
      <c r="BE206" s="608">
        <v>45854</v>
      </c>
      <c r="BF206" s="616" t="s">
        <v>1484</v>
      </c>
      <c r="BG206" s="283" t="s">
        <v>1509</v>
      </c>
      <c r="BH206" s="449" t="s">
        <v>205</v>
      </c>
      <c r="BI206" s="449" t="s">
        <v>206</v>
      </c>
      <c r="BJ206" s="449" t="s">
        <v>206</v>
      </c>
      <c r="BL206" s="450">
        <v>45861</v>
      </c>
      <c r="BM206" s="676" t="s">
        <v>215</v>
      </c>
      <c r="BN206" s="283" t="s">
        <v>1228</v>
      </c>
      <c r="BP206" s="617"/>
      <c r="BQ206" s="617"/>
      <c r="BR206" s="618" t="s">
        <v>209</v>
      </c>
      <c r="BT206" s="627">
        <v>45944</v>
      </c>
      <c r="BU206" s="616" t="s">
        <v>1484</v>
      </c>
      <c r="BV206" s="283" t="s">
        <v>1510</v>
      </c>
      <c r="BW206" s="449" t="s">
        <v>205</v>
      </c>
      <c r="BX206" s="449" t="s">
        <v>206</v>
      </c>
      <c r="BY206" s="449" t="s">
        <v>206</v>
      </c>
      <c r="CA206" s="614">
        <v>45986</v>
      </c>
      <c r="CB206" s="616" t="s">
        <v>218</v>
      </c>
      <c r="CC206" s="643" t="s">
        <v>233</v>
      </c>
      <c r="CE206" s="617"/>
      <c r="CF206" s="617"/>
      <c r="CG206" s="618" t="s">
        <v>209</v>
      </c>
      <c r="CH206" s="192"/>
      <c r="CI206" s="558"/>
      <c r="CJ206" s="558"/>
      <c r="CK206" s="559" t="s">
        <v>209</v>
      </c>
      <c r="CL206" s="558"/>
      <c r="CM206" s="558"/>
      <c r="CN206" s="558"/>
      <c r="CO206" s="553"/>
      <c r="CP206" s="558"/>
      <c r="CQ206" s="558"/>
      <c r="CR206" s="559" t="s">
        <v>209</v>
      </c>
      <c r="CS206" s="553"/>
      <c r="CT206" s="558"/>
      <c r="CU206" s="558"/>
      <c r="CV206" s="559" t="s">
        <v>209</v>
      </c>
    </row>
    <row r="207" spans="1:100" ht="151.5" customHeight="1" x14ac:dyDescent="0.3">
      <c r="A207" s="622">
        <v>93</v>
      </c>
      <c r="B207" s="622" t="s">
        <v>1511</v>
      </c>
      <c r="C207" s="623" t="s">
        <v>1512</v>
      </c>
      <c r="D207" s="585" t="str">
        <f>IFERROR(INDEX('Base de datos gestión'!$D$28:$D$50,MATCH(C206,'Base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E207" s="585" t="str">
        <f>IFERROR(INDEX('Base de datos gestión'!$E$28:$E$50,MATCH(C206,'Base de datos gestión'!$C$28:$C$50,0)), 0)</f>
        <v>Inicia con los requerimientos institucionales y termina con la atención de las necesidades presentadas por las diferentes áreas del INM.</v>
      </c>
      <c r="F207" s="628" t="s">
        <v>276</v>
      </c>
      <c r="G207" s="631" t="s">
        <v>1513</v>
      </c>
      <c r="H207" s="603" t="s">
        <v>654</v>
      </c>
      <c r="I207" s="631" t="s">
        <v>1514</v>
      </c>
      <c r="J207" s="637" t="s">
        <v>192</v>
      </c>
      <c r="K207" s="630" t="s">
        <v>311</v>
      </c>
      <c r="L207" s="630">
        <v>1</v>
      </c>
      <c r="M207" s="588" t="str">
        <f t="shared" si="56"/>
        <v>Muy Baja</v>
      </c>
      <c r="N207" s="589">
        <f t="shared" si="55"/>
        <v>0.2</v>
      </c>
      <c r="O207" s="590" t="s">
        <v>248</v>
      </c>
      <c r="P207" s="589" t="str">
        <f>IF(NOT(ISERROR(MATCH(O207,'Tabla Impacto'!$B$222:$B$224,0))),'Tabla Impacto'!$F$224&amp;"Por favor no seleccionar los criterios de impacto(Afectación Económica o presupuestal y Pérdida Reputacional)",O207)</f>
        <v xml:space="preserve">     El riesgo afecta la imagen de la entidad con algunos usuarios de relevancia frente al logro de los objetivos</v>
      </c>
      <c r="Q207" s="591" t="str">
        <f>IF(OR(P207='[8]Tabla Impacto'!$C$12,P207='[8]Tabla Impacto'!$D$12),"Leve",IF(OR(P207='[8]Tabla Impacto'!$C$13,P207='[8]Tabla Impacto'!$D$13),"Menor",IF(OR(P207='[8]Tabla Impacto'!$C$14,P207='[8]Tabla Impacto'!$D$14),"Moderado",IF(OR(P207='[8]Tabla Impacto'!$C$15,P207='[8]Tabla Impacto'!$D$15),"Mayor",IF(OR(P207='[8]Tabla Impacto'!$C$16,P207='[8]Tabla Impacto'!$D$16),"Catastrófico","")))))</f>
        <v>Moderado</v>
      </c>
      <c r="R207" s="590">
        <f t="shared" si="57"/>
        <v>0.6</v>
      </c>
      <c r="S207" s="592" t="str">
        <f t="shared" si="58"/>
        <v>Moderado</v>
      </c>
      <c r="T207" s="595">
        <v>1</v>
      </c>
      <c r="U207" s="631" t="s">
        <v>1515</v>
      </c>
      <c r="V207" s="595" t="str">
        <f t="shared" si="54"/>
        <v>Probabilidad</v>
      </c>
      <c r="W207" s="596" t="s">
        <v>197</v>
      </c>
      <c r="X207" s="596" t="s">
        <v>198</v>
      </c>
      <c r="Y207" s="597" t="str">
        <f t="shared" si="59"/>
        <v>40%</v>
      </c>
      <c r="Z207" s="596" t="s">
        <v>259</v>
      </c>
      <c r="AA207" s="596" t="s">
        <v>200</v>
      </c>
      <c r="AB207" s="596" t="s">
        <v>201</v>
      </c>
      <c r="AC207" s="598">
        <f>IFERROR(IF(AND(V206="Probabilidad",V207="Probabilidad"),(AE206-(+AE206*Y207)),IF(AND(V206="Impacto",V207="Probabilidad"),(AE205-(+AE205*Y207)),IF(V207="Impacto",AE206,""))),"")</f>
        <v>8.6399999999999991E-2</v>
      </c>
      <c r="AD207" s="599" t="str">
        <f t="shared" si="60"/>
        <v>Muy Baja</v>
      </c>
      <c r="AE207" s="600">
        <f t="shared" si="61"/>
        <v>8.6399999999999991E-2</v>
      </c>
      <c r="AF207" s="599" t="str">
        <f t="shared" si="62"/>
        <v>Moderado</v>
      </c>
      <c r="AG207" s="600">
        <f>IFERROR(IF(AND(V206="Impacto",V207="Impacto"),(AG206-(+AG206*Y207)),IF(AND(V206="Probabilidad",V207="Impacto"),(AG205-(+AG205*Y207)),IF(V207="Probabilidad",AG206,""))),"")</f>
        <v>0.6</v>
      </c>
      <c r="AH207" s="601" t="str">
        <f t="shared" si="63"/>
        <v>Moderado</v>
      </c>
      <c r="AI207" s="602" t="s">
        <v>202</v>
      </c>
      <c r="AJ207" s="603"/>
      <c r="AK207" s="603"/>
      <c r="AL207" s="604"/>
      <c r="AM207" s="605"/>
      <c r="AN207" s="606"/>
      <c r="AO207" s="607"/>
      <c r="AP207" s="608">
        <v>45751</v>
      </c>
      <c r="AQ207" s="609" t="s">
        <v>1516</v>
      </c>
      <c r="AR207" s="286" t="s">
        <v>1517</v>
      </c>
      <c r="AS207" s="611" t="s">
        <v>205</v>
      </c>
      <c r="AT207" s="612" t="s">
        <v>206</v>
      </c>
      <c r="AU207" s="283" t="s">
        <v>206</v>
      </c>
      <c r="AV207" s="613"/>
      <c r="AW207" s="614">
        <v>45782</v>
      </c>
      <c r="AX207" s="615" t="s">
        <v>207</v>
      </c>
      <c r="AY207" s="635" t="s">
        <v>578</v>
      </c>
      <c r="BA207" s="617"/>
      <c r="BB207" s="617"/>
      <c r="BC207" s="618" t="s">
        <v>209</v>
      </c>
      <c r="BE207" s="621">
        <v>45854</v>
      </c>
      <c r="BF207" s="616" t="s">
        <v>1518</v>
      </c>
      <c r="BG207" s="283" t="s">
        <v>1519</v>
      </c>
      <c r="BH207" s="619" t="s">
        <v>205</v>
      </c>
      <c r="BI207" s="616" t="s">
        <v>206</v>
      </c>
      <c r="BJ207" s="616" t="s">
        <v>206</v>
      </c>
      <c r="BL207" s="450">
        <v>45861</v>
      </c>
      <c r="BM207" s="676" t="s">
        <v>215</v>
      </c>
      <c r="BN207" s="283" t="s">
        <v>1228</v>
      </c>
      <c r="BP207" s="617"/>
      <c r="BQ207" s="617"/>
      <c r="BR207" s="618" t="s">
        <v>209</v>
      </c>
      <c r="BT207" s="621">
        <v>45945</v>
      </c>
      <c r="BU207" s="616" t="s">
        <v>1518</v>
      </c>
      <c r="BV207" s="283" t="s">
        <v>1520</v>
      </c>
      <c r="BW207" s="619" t="s">
        <v>205</v>
      </c>
      <c r="BX207" s="616" t="s">
        <v>206</v>
      </c>
      <c r="BY207" s="616" t="s">
        <v>206</v>
      </c>
      <c r="CA207" s="659">
        <v>45986</v>
      </c>
      <c r="CB207" s="286" t="s">
        <v>218</v>
      </c>
      <c r="CC207" s="643" t="s">
        <v>233</v>
      </c>
      <c r="CE207" s="617"/>
      <c r="CF207" s="617"/>
      <c r="CG207" s="618" t="s">
        <v>209</v>
      </c>
      <c r="CH207" s="192"/>
      <c r="CI207" s="558"/>
      <c r="CJ207" s="558"/>
      <c r="CK207" s="559" t="s">
        <v>209</v>
      </c>
      <c r="CL207" s="558"/>
      <c r="CM207" s="558"/>
      <c r="CN207" s="558"/>
      <c r="CO207" s="553"/>
      <c r="CP207" s="558"/>
      <c r="CQ207" s="558"/>
      <c r="CR207" s="559" t="s">
        <v>209</v>
      </c>
      <c r="CS207" s="553"/>
      <c r="CT207" s="558"/>
      <c r="CU207" s="558"/>
      <c r="CV207" s="559" t="s">
        <v>209</v>
      </c>
    </row>
    <row r="208" spans="1:100" ht="151.5" customHeight="1" x14ac:dyDescent="0.3">
      <c r="A208" s="622">
        <v>93</v>
      </c>
      <c r="B208" s="622" t="s">
        <v>1511</v>
      </c>
      <c r="C208" s="623" t="s">
        <v>1512</v>
      </c>
      <c r="D208" s="585" t="str">
        <f>IFERROR(INDEX('Base de datos gestión'!$D$28:$D$50,MATCH(C207,'Base de datos gestión'!$C$28:$C$50,0)), 0)</f>
        <v>Determinar la responsabilidad de los servidores públicos del INM en relación con conductas disciplinarias establecidas en las Leyes 1952 de 2019 y 2094 de 2021 (Código General Disciplinario y Reforma) adelantando oportuna y eficazmente las indagaciones o investigaciones a que haya lugar e imponiendo las sanciones legales que correspondan, para asegurar el comportamiento ético, la moralidad y la eficiencia de los servidores públicos redundando en el buen funcionamiento de los diferentes servicios a su cargo
El proceso se relaciona con el objetivo estratégico: Fortalecer la capacidad administrativa y de desempeño institucional para garantizar la eficiencia y calidad a los procesos de la entidad</v>
      </c>
      <c r="E208" s="585" t="str">
        <f>IFERROR(INDEX('Base de datos gestión'!$E$28:$E$50,MATCH(C207,'Base de datos gestión'!$C$28:$C$50,0)), 0)</f>
        <v>Inicia con una queja, solicitud o informe respecto a la presunta conducta irregular de un servidor público y termina con una decisión inhibitoria, de archivo, absolutoria o sancionatoria.</v>
      </c>
      <c r="F208" s="628" t="s">
        <v>276</v>
      </c>
      <c r="G208" s="631" t="s">
        <v>1513</v>
      </c>
      <c r="H208" s="603" t="s">
        <v>654</v>
      </c>
      <c r="I208" s="631" t="s">
        <v>1514</v>
      </c>
      <c r="J208" s="637" t="s">
        <v>192</v>
      </c>
      <c r="K208" s="630" t="s">
        <v>311</v>
      </c>
      <c r="L208" s="630">
        <v>1</v>
      </c>
      <c r="M208" s="588" t="str">
        <f t="shared" si="56"/>
        <v>Muy Baja</v>
      </c>
      <c r="N208" s="589">
        <f t="shared" si="55"/>
        <v>0.2</v>
      </c>
      <c r="O208" s="590" t="s">
        <v>248</v>
      </c>
      <c r="P208" s="589" t="str">
        <f>IF(NOT(ISERROR(MATCH(O208,'Tabla Impacto'!$B$222:$B$224,0))),'Tabla Impacto'!$F$224&amp;"Por favor no seleccionar los criterios de impacto(Afectación Económica o presupuestal y Pérdida Reputacional)",O208)</f>
        <v xml:space="preserve">     El riesgo afecta la imagen de la entidad con algunos usuarios de relevancia frente al logro de los objetivos</v>
      </c>
      <c r="Q208" s="591" t="str">
        <f>IF(OR(P208='[8]Tabla Impacto'!$C$12,P208='[8]Tabla Impacto'!$D$12),"Leve",IF(OR(P208='[8]Tabla Impacto'!$C$13,P208='[8]Tabla Impacto'!$D$13),"Menor",IF(OR(P208='[8]Tabla Impacto'!$C$14,P208='[8]Tabla Impacto'!$D$14),"Moderado",IF(OR(P208='[8]Tabla Impacto'!$C$15,P208='[8]Tabla Impacto'!$D$15),"Mayor",IF(OR(P208='[8]Tabla Impacto'!$C$16,P208='[8]Tabla Impacto'!$D$16),"Catastrófico","")))))</f>
        <v>Moderado</v>
      </c>
      <c r="R208" s="590">
        <f t="shared" si="57"/>
        <v>0.6</v>
      </c>
      <c r="S208" s="592" t="str">
        <f t="shared" si="58"/>
        <v>Moderado</v>
      </c>
      <c r="T208" s="595">
        <v>2</v>
      </c>
      <c r="U208" s="631" t="s">
        <v>1521</v>
      </c>
      <c r="V208" s="595" t="s">
        <v>2</v>
      </c>
      <c r="W208" s="596" t="s">
        <v>197</v>
      </c>
      <c r="X208" s="596" t="s">
        <v>198</v>
      </c>
      <c r="Y208" s="597" t="str">
        <f t="shared" si="59"/>
        <v>40%</v>
      </c>
      <c r="Z208" s="596" t="s">
        <v>259</v>
      </c>
      <c r="AA208" s="596" t="s">
        <v>200</v>
      </c>
      <c r="AB208" s="596" t="s">
        <v>201</v>
      </c>
      <c r="AC208" s="598">
        <f>IFERROR(IF(AND(V207="Probabilidad",V208="Probabilidad"),(AE207-(+AE207*Y208)),IF(AND(V207="Impacto",V208="Probabilidad"),(AE206-(+AE206*Y208)),IF(V208="Impacto",AE207,""))),"")</f>
        <v>5.183999999999999E-2</v>
      </c>
      <c r="AD208" s="599" t="str">
        <f t="shared" si="60"/>
        <v>Muy Baja</v>
      </c>
      <c r="AE208" s="600">
        <f t="shared" si="61"/>
        <v>5.183999999999999E-2</v>
      </c>
      <c r="AF208" s="599" t="str">
        <f t="shared" si="62"/>
        <v>Moderado</v>
      </c>
      <c r="AG208" s="600">
        <f>IFERROR(IF(AND(V207="Impacto",V208="Impacto"),(AG207-(+AG207*Y208)),IF(AND(V207="Probabilidad",V208="Impacto"),(AG206-(+AG206*Y208)),IF(V208="Probabilidad",AG207,""))),"")</f>
        <v>0.6</v>
      </c>
      <c r="AH208" s="601" t="str">
        <f t="shared" si="63"/>
        <v>Moderado</v>
      </c>
      <c r="AI208" s="602" t="s">
        <v>202</v>
      </c>
      <c r="AJ208" s="603"/>
      <c r="AK208" s="603"/>
      <c r="AL208" s="604"/>
      <c r="AM208" s="605"/>
      <c r="AN208" s="606"/>
      <c r="AO208" s="607"/>
      <c r="AP208" s="608">
        <v>45751</v>
      </c>
      <c r="AQ208" s="609" t="s">
        <v>1516</v>
      </c>
      <c r="AR208" s="286" t="s">
        <v>1522</v>
      </c>
      <c r="AS208" s="611" t="s">
        <v>205</v>
      </c>
      <c r="AT208" s="612" t="s">
        <v>206</v>
      </c>
      <c r="AU208" s="283" t="s">
        <v>206</v>
      </c>
      <c r="AV208" s="613"/>
      <c r="AW208" s="614">
        <v>45782</v>
      </c>
      <c r="AX208" s="615" t="s">
        <v>207</v>
      </c>
      <c r="AY208" s="635" t="s">
        <v>578</v>
      </c>
      <c r="BA208" s="617"/>
      <c r="BB208" s="617"/>
      <c r="BC208" s="618" t="s">
        <v>209</v>
      </c>
      <c r="BE208" s="621">
        <v>45854</v>
      </c>
      <c r="BF208" s="616" t="s">
        <v>1518</v>
      </c>
      <c r="BG208" s="283" t="s">
        <v>1523</v>
      </c>
      <c r="BH208" s="619" t="s">
        <v>205</v>
      </c>
      <c r="BI208" s="616" t="s">
        <v>206</v>
      </c>
      <c r="BJ208" s="616" t="s">
        <v>206</v>
      </c>
      <c r="BL208" s="450">
        <v>45861</v>
      </c>
      <c r="BM208" s="676" t="s">
        <v>215</v>
      </c>
      <c r="BN208" s="283" t="s">
        <v>1228</v>
      </c>
      <c r="BP208" s="617"/>
      <c r="BQ208" s="617"/>
      <c r="BR208" s="618" t="s">
        <v>209</v>
      </c>
      <c r="BT208" s="621">
        <v>45945</v>
      </c>
      <c r="BU208" s="616" t="s">
        <v>1518</v>
      </c>
      <c r="BV208" s="283" t="s">
        <v>1524</v>
      </c>
      <c r="BW208" s="619" t="s">
        <v>205</v>
      </c>
      <c r="BX208" s="616" t="s">
        <v>206</v>
      </c>
      <c r="BY208" s="616" t="s">
        <v>206</v>
      </c>
      <c r="CA208" s="659">
        <v>45986</v>
      </c>
      <c r="CB208" s="286" t="s">
        <v>218</v>
      </c>
      <c r="CC208" s="643" t="s">
        <v>233</v>
      </c>
      <c r="CE208" s="617"/>
      <c r="CF208" s="617"/>
      <c r="CG208" s="618" t="s">
        <v>209</v>
      </c>
      <c r="CH208" s="192"/>
      <c r="CI208" s="558"/>
      <c r="CJ208" s="558"/>
      <c r="CK208" s="559" t="s">
        <v>209</v>
      </c>
      <c r="CL208" s="558"/>
      <c r="CM208" s="558"/>
      <c r="CN208" s="558"/>
      <c r="CO208" s="553"/>
      <c r="CP208" s="558"/>
      <c r="CQ208" s="558"/>
      <c r="CR208" s="559" t="s">
        <v>209</v>
      </c>
      <c r="CS208" s="553"/>
      <c r="CT208" s="558"/>
      <c r="CU208" s="558"/>
      <c r="CV208" s="559" t="s">
        <v>209</v>
      </c>
    </row>
    <row r="209" spans="1:100" ht="151.5" customHeight="1" x14ac:dyDescent="0.3">
      <c r="A209" s="622">
        <v>94</v>
      </c>
      <c r="B209" s="622" t="s">
        <v>1525</v>
      </c>
      <c r="C209" s="623" t="s">
        <v>1526</v>
      </c>
      <c r="D209" s="585" t="str">
        <f>IFERROR(INDEX('Base de datos gestión'!$D$28:$D$50,MATCH(C208,'Base de datos gestión'!$C$28:$C$50,0)), 0)</f>
        <v>Determinar la responsabilidad de los servidores públicos del INM en relación con conductas disciplinarias establecidas en las Leyes 1952 de 2019 y 2094 de 2021 (Código General Disciplinario y Reforma) adelantando oportuna y eficazmente las indagaciones o investigaciones a que haya lugar e imponiendo las sanciones legales que correspondan, para asegurar el comportamiento ético, la moralidad y la eficiencia de los servidores públicos redundando en el buen funcionamiento de los diferentes servicios a su cargo
El proceso se relaciona con el objetivo estratégico: Fortalecer la capacidad administrativa y de desempeño institucional para garantizar la eficiencia y calidad a los procesos de la entidad</v>
      </c>
      <c r="E209" s="585" t="str">
        <f>IFERROR(INDEX('Base de datos gestión'!$E$28:$E$50,MATCH(C208,'Base de datos gestión'!$C$28:$C$50,0)), 0)</f>
        <v>Inicia con una queja, solicitud o informe respecto a la presunta conducta irregular de un servidor público y termina con una decisión inhibitoria, de archivo, absolutoria o sancionatoria.</v>
      </c>
      <c r="F209" s="628" t="s">
        <v>188</v>
      </c>
      <c r="G209" s="629" t="s">
        <v>1527</v>
      </c>
      <c r="H209" s="628" t="s">
        <v>1528</v>
      </c>
      <c r="I209" s="628" t="s">
        <v>1529</v>
      </c>
      <c r="J209" s="637" t="s">
        <v>280</v>
      </c>
      <c r="K209" s="630" t="s">
        <v>193</v>
      </c>
      <c r="L209" s="630">
        <v>200</v>
      </c>
      <c r="M209" s="588" t="str">
        <f t="shared" si="56"/>
        <v>Media</v>
      </c>
      <c r="N209" s="589">
        <f t="shared" si="55"/>
        <v>0.6</v>
      </c>
      <c r="O209" s="590" t="s">
        <v>238</v>
      </c>
      <c r="P209" s="589" t="str">
        <f>IF(NOT(ISERROR(MATCH(O209,'Tabla Impacto'!$B$222:$B$224,0))),'Tabla Impacto'!$F$224&amp;"Por favor no seleccionar los criterios de impacto(Afectación Económica o presupuestal y Pérdida Reputacional)",O209)</f>
        <v xml:space="preserve">     El riesgo afecta la imagen de la entidad internamente, de conocimiento general, nivel interno, de junta directiva y accionistas y/o de proveedores</v>
      </c>
      <c r="Q209" s="591" t="s">
        <v>8</v>
      </c>
      <c r="R209" s="590">
        <v>0.6</v>
      </c>
      <c r="S209" s="592" t="s">
        <v>8</v>
      </c>
      <c r="T209" s="595">
        <v>1</v>
      </c>
      <c r="U209" s="631" t="s">
        <v>1530</v>
      </c>
      <c r="V209" s="595" t="str">
        <f t="shared" si="54"/>
        <v>Probabilidad</v>
      </c>
      <c r="W209" s="596" t="s">
        <v>269</v>
      </c>
      <c r="X209" s="596" t="s">
        <v>198</v>
      </c>
      <c r="Y209" s="597" t="str">
        <f t="shared" si="59"/>
        <v>30%</v>
      </c>
      <c r="Z209" s="596" t="s">
        <v>259</v>
      </c>
      <c r="AA209" s="596" t="s">
        <v>200</v>
      </c>
      <c r="AB209" s="596" t="s">
        <v>201</v>
      </c>
      <c r="AC209" s="598">
        <f>IFERROR(IF(AND(V208="Probabilidad",V209="Probabilidad"),(AE208-(+AE208*Y209)),IF(AND(V208="Impacto",V209="Probabilidad"),(AE207-(+AE207*Y209)),IF(V209="Impacto",AE208,""))),"")</f>
        <v>3.6287999999999994E-2</v>
      </c>
      <c r="AD209" s="599" t="str">
        <f t="shared" si="60"/>
        <v>Muy Baja</v>
      </c>
      <c r="AE209" s="600">
        <f t="shared" si="61"/>
        <v>3.6287999999999994E-2</v>
      </c>
      <c r="AF209" s="599" t="str">
        <f t="shared" si="62"/>
        <v>Moderado</v>
      </c>
      <c r="AG209" s="600">
        <f>IFERROR(IF(AND(V208="Impacto",V209="Impacto"),(AG208-(+AG208*Y209)),IF(AND(V208="Probabilidad",V209="Impacto"),(AG207-(+AG207*Y209)),IF(V209="Probabilidad",AG208,""))),"")</f>
        <v>0.6</v>
      </c>
      <c r="AH209" s="601" t="str">
        <f t="shared" si="63"/>
        <v>Moderado</v>
      </c>
      <c r="AI209" s="602" t="s">
        <v>789</v>
      </c>
      <c r="AJ209" s="603"/>
      <c r="AK209" s="603"/>
      <c r="AL209" s="604"/>
      <c r="AM209" s="605"/>
      <c r="AN209" s="606"/>
      <c r="AO209" s="607"/>
      <c r="AP209" s="608">
        <v>45768</v>
      </c>
      <c r="AQ209" s="609" t="s">
        <v>1531</v>
      </c>
      <c r="AR209" s="286" t="s">
        <v>1532</v>
      </c>
      <c r="AS209" s="698" t="s">
        <v>205</v>
      </c>
      <c r="AT209" s="612" t="s">
        <v>206</v>
      </c>
      <c r="AU209" s="283" t="s">
        <v>535</v>
      </c>
      <c r="AV209" s="613"/>
      <c r="AW209" s="614">
        <v>45782</v>
      </c>
      <c r="AX209" s="615" t="s">
        <v>207</v>
      </c>
      <c r="AY209" s="635" t="s">
        <v>578</v>
      </c>
      <c r="BA209" s="617"/>
      <c r="BB209" s="617"/>
      <c r="BC209" s="618" t="s">
        <v>209</v>
      </c>
      <c r="BE209" s="608">
        <v>45862</v>
      </c>
      <c r="BF209" s="609" t="s">
        <v>1533</v>
      </c>
      <c r="BG209" s="286" t="s">
        <v>1534</v>
      </c>
      <c r="BH209" s="718" t="s">
        <v>205</v>
      </c>
      <c r="BI209" s="612" t="s">
        <v>206</v>
      </c>
      <c r="BJ209" s="283" t="s">
        <v>535</v>
      </c>
      <c r="BL209" s="450">
        <v>45869</v>
      </c>
      <c r="BM209" s="449" t="s">
        <v>215</v>
      </c>
      <c r="BN209" s="283" t="s">
        <v>231</v>
      </c>
      <c r="BP209" s="617"/>
      <c r="BQ209" s="617"/>
      <c r="BR209" s="618" t="s">
        <v>209</v>
      </c>
      <c r="BT209" s="608">
        <v>45946</v>
      </c>
      <c r="BU209" s="609" t="s">
        <v>1535</v>
      </c>
      <c r="BV209" s="286" t="s">
        <v>1536</v>
      </c>
      <c r="BW209" s="705" t="s">
        <v>205</v>
      </c>
      <c r="BX209" s="612" t="s">
        <v>206</v>
      </c>
      <c r="BY209" s="283" t="s">
        <v>535</v>
      </c>
      <c r="CA209" s="614">
        <v>45986</v>
      </c>
      <c r="CB209" s="616" t="s">
        <v>218</v>
      </c>
      <c r="CC209" s="643" t="s">
        <v>233</v>
      </c>
      <c r="CE209" s="617"/>
      <c r="CF209" s="617"/>
      <c r="CG209" s="618" t="s">
        <v>209</v>
      </c>
      <c r="CH209" s="192"/>
      <c r="CI209" s="558"/>
      <c r="CJ209" s="558"/>
      <c r="CK209" s="559" t="s">
        <v>209</v>
      </c>
      <c r="CL209" s="558"/>
      <c r="CM209" s="558"/>
      <c r="CN209" s="558"/>
      <c r="CO209" s="553"/>
      <c r="CP209" s="558"/>
      <c r="CQ209" s="558"/>
      <c r="CR209" s="559" t="s">
        <v>209</v>
      </c>
      <c r="CS209" s="553"/>
      <c r="CT209" s="558"/>
      <c r="CU209" s="558"/>
      <c r="CV209" s="559" t="s">
        <v>209</v>
      </c>
    </row>
    <row r="210" spans="1:100" ht="151.5" customHeight="1" x14ac:dyDescent="0.3">
      <c r="A210" s="632">
        <v>94</v>
      </c>
      <c r="B210" s="632" t="s">
        <v>1525</v>
      </c>
      <c r="C210" s="633" t="s">
        <v>1526</v>
      </c>
      <c r="D210" s="585" t="str">
        <f>IFERROR(INDEX('Base de datos gestión'!$D$28:$D$50,MATCH(C209,'Base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0" s="585" t="str">
        <f>IFERROR(INDEX('Base de datos gestión'!$E$28:$E$50,MATCH(C209,'Base de datos gestión'!$C$28:$C$50,0)), 0)</f>
        <v>Inicia con la radicación de solicitud de contratación y finaliza con la terminación de la relación contractual.</v>
      </c>
      <c r="F210" s="628" t="s">
        <v>188</v>
      </c>
      <c r="G210" s="629" t="s">
        <v>1527</v>
      </c>
      <c r="H210" s="628" t="s">
        <v>1528</v>
      </c>
      <c r="I210" s="628" t="s">
        <v>1529</v>
      </c>
      <c r="J210" s="637" t="s">
        <v>280</v>
      </c>
      <c r="K210" s="702" t="s">
        <v>193</v>
      </c>
      <c r="L210" s="630">
        <v>200</v>
      </c>
      <c r="M210" s="588" t="str">
        <f t="shared" si="56"/>
        <v>Media</v>
      </c>
      <c r="N210" s="589">
        <f t="shared" si="55"/>
        <v>0.6</v>
      </c>
      <c r="O210" s="590" t="s">
        <v>238</v>
      </c>
      <c r="P210" s="589" t="str">
        <f>IF(NOT(ISERROR(MATCH(O210,'Tabla Impacto'!$B$222:$B$224,0))),'Tabla Impacto'!$F$224&amp;"Por favor no seleccionar los criterios de impacto(Afectación Económica o presupuestal y Pérdida Reputacional)",O210)</f>
        <v xml:space="preserve">     El riesgo afecta la imagen de la entidad internamente, de conocimiento general, nivel interno, de junta directiva y accionistas y/o de proveedores</v>
      </c>
      <c r="Q210" s="591" t="s">
        <v>8</v>
      </c>
      <c r="R210" s="590">
        <v>0.6</v>
      </c>
      <c r="S210" s="592" t="s">
        <v>8</v>
      </c>
      <c r="T210" s="595">
        <v>2</v>
      </c>
      <c r="U210" s="631" t="s">
        <v>1537</v>
      </c>
      <c r="V210" s="595" t="str">
        <f t="shared" si="54"/>
        <v>Probabilidad</v>
      </c>
      <c r="W210" s="596" t="s">
        <v>269</v>
      </c>
      <c r="X210" s="596" t="s">
        <v>198</v>
      </c>
      <c r="Y210" s="597" t="str">
        <f t="shared" si="59"/>
        <v>30%</v>
      </c>
      <c r="Z210" s="596" t="s">
        <v>259</v>
      </c>
      <c r="AA210" s="596" t="s">
        <v>200</v>
      </c>
      <c r="AB210" s="596" t="s">
        <v>201</v>
      </c>
      <c r="AC210" s="598">
        <f>IFERROR(IF(AND(V209="Probabilidad",V210="Probabilidad"),(AE209-(+AE209*Y210)),IF(AND(V209="Impacto",V210="Probabilidad"),(AE208-(+AE208*Y210)),IF(V210="Impacto",AE209,""))),"")</f>
        <v>2.5401599999999996E-2</v>
      </c>
      <c r="AD210" s="599" t="str">
        <f t="shared" si="60"/>
        <v>Muy Baja</v>
      </c>
      <c r="AE210" s="600">
        <f t="shared" si="61"/>
        <v>2.5401599999999996E-2</v>
      </c>
      <c r="AF210" s="599" t="str">
        <f t="shared" si="62"/>
        <v>Moderado</v>
      </c>
      <c r="AG210" s="600">
        <f>IFERROR(IF(AND(V209="Impacto",V210="Impacto"),(AG209-(+AG209*Y210)),IF(AND(V209="Probabilidad",V210="Impacto"),(AG208-(+AG208*Y210)),IF(V210="Probabilidad",AG209,""))),"")</f>
        <v>0.6</v>
      </c>
      <c r="AH210" s="601" t="str">
        <f t="shared" si="63"/>
        <v>Moderado</v>
      </c>
      <c r="AI210" s="602" t="s">
        <v>202</v>
      </c>
      <c r="AJ210" s="603"/>
      <c r="AK210" s="603"/>
      <c r="AL210" s="604"/>
      <c r="AM210" s="605"/>
      <c r="AN210" s="606"/>
      <c r="AO210" s="607"/>
      <c r="AP210" s="608">
        <v>45768</v>
      </c>
      <c r="AQ210" s="609" t="s">
        <v>1531</v>
      </c>
      <c r="AR210" s="286" t="s">
        <v>1538</v>
      </c>
      <c r="AS210" s="698" t="s">
        <v>205</v>
      </c>
      <c r="AT210" s="612" t="s">
        <v>206</v>
      </c>
      <c r="AU210" s="283" t="s">
        <v>535</v>
      </c>
      <c r="AV210" s="613"/>
      <c r="AW210" s="614">
        <v>45782</v>
      </c>
      <c r="AX210" s="615" t="s">
        <v>207</v>
      </c>
      <c r="AY210" s="635" t="s">
        <v>578</v>
      </c>
      <c r="BA210" s="617"/>
      <c r="BB210" s="617"/>
      <c r="BC210" s="618" t="s">
        <v>209</v>
      </c>
      <c r="BE210" s="608">
        <v>45862</v>
      </c>
      <c r="BF210" s="609" t="s">
        <v>1533</v>
      </c>
      <c r="BG210" s="286" t="s">
        <v>1539</v>
      </c>
      <c r="BH210" s="718" t="s">
        <v>205</v>
      </c>
      <c r="BI210" s="612" t="s">
        <v>206</v>
      </c>
      <c r="BJ210" s="283" t="s">
        <v>535</v>
      </c>
      <c r="BL210" s="450">
        <v>45869</v>
      </c>
      <c r="BM210" s="449" t="s">
        <v>215</v>
      </c>
      <c r="BN210" s="283" t="s">
        <v>231</v>
      </c>
      <c r="BP210" s="617"/>
      <c r="BQ210" s="617"/>
      <c r="BR210" s="618" t="s">
        <v>209</v>
      </c>
      <c r="BT210" s="608">
        <v>45946</v>
      </c>
      <c r="BU210" s="609" t="s">
        <v>1535</v>
      </c>
      <c r="BV210" s="286" t="s">
        <v>1540</v>
      </c>
      <c r="BW210" s="705" t="s">
        <v>205</v>
      </c>
      <c r="BX210" s="612" t="s">
        <v>206</v>
      </c>
      <c r="BY210" s="283" t="s">
        <v>535</v>
      </c>
      <c r="CA210" s="614">
        <v>45986</v>
      </c>
      <c r="CB210" s="616" t="s">
        <v>218</v>
      </c>
      <c r="CC210" s="643" t="s">
        <v>233</v>
      </c>
      <c r="CE210" s="617"/>
      <c r="CF210" s="617"/>
      <c r="CG210" s="618" t="s">
        <v>209</v>
      </c>
      <c r="CH210" s="192"/>
      <c r="CI210" s="558"/>
      <c r="CJ210" s="558"/>
      <c r="CK210" s="559" t="s">
        <v>209</v>
      </c>
      <c r="CL210" s="558"/>
      <c r="CM210" s="558"/>
      <c r="CN210" s="558"/>
      <c r="CO210" s="553"/>
      <c r="CP210" s="558"/>
      <c r="CQ210" s="558"/>
      <c r="CR210" s="559" t="s">
        <v>209</v>
      </c>
      <c r="CS210" s="553"/>
      <c r="CT210" s="558"/>
      <c r="CU210" s="558"/>
      <c r="CV210" s="559" t="s">
        <v>209</v>
      </c>
    </row>
    <row r="211" spans="1:100" ht="151.5" customHeight="1" x14ac:dyDescent="0.3">
      <c r="A211" s="584">
        <v>94</v>
      </c>
      <c r="B211" s="584" t="s">
        <v>1525</v>
      </c>
      <c r="C211" s="585" t="s">
        <v>1526</v>
      </c>
      <c r="D211" s="585" t="str">
        <f>IFERROR(INDEX('Base de datos gestión'!$D$28:$D$50,MATCH(C210,'Base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1" s="585" t="str">
        <f>IFERROR(INDEX('Base de datos gestión'!$E$28:$E$50,MATCH(C210,'Base de datos gestión'!$C$28:$C$50,0)), 0)</f>
        <v>Inicia con la radicación de solicitud de contratación y finaliza con la terminación de la relación contractual.</v>
      </c>
      <c r="F211" s="628" t="s">
        <v>188</v>
      </c>
      <c r="G211" s="629" t="s">
        <v>1527</v>
      </c>
      <c r="H211" s="628" t="s">
        <v>1528</v>
      </c>
      <c r="I211" s="628" t="s">
        <v>1529</v>
      </c>
      <c r="J211" s="637" t="s">
        <v>280</v>
      </c>
      <c r="K211" s="702" t="s">
        <v>193</v>
      </c>
      <c r="L211" s="630">
        <v>200</v>
      </c>
      <c r="M211" s="588" t="str">
        <f t="shared" si="56"/>
        <v>Media</v>
      </c>
      <c r="N211" s="589">
        <f t="shared" si="55"/>
        <v>0.6</v>
      </c>
      <c r="O211" s="590" t="s">
        <v>238</v>
      </c>
      <c r="P211" s="589" t="str">
        <f>IF(NOT(ISERROR(MATCH(O211,'Tabla Impacto'!$B$222:$B$224,0))),'Tabla Impacto'!$F$224&amp;"Por favor no seleccionar los criterios de impacto(Afectación Económica o presupuestal y Pérdida Reputacional)",O211)</f>
        <v xml:space="preserve">     El riesgo afecta la imagen de la entidad internamente, de conocimiento general, nivel interno, de junta directiva y accionistas y/o de proveedores</v>
      </c>
      <c r="Q211" s="591" t="s">
        <v>8</v>
      </c>
      <c r="R211" s="590">
        <v>0.6</v>
      </c>
      <c r="S211" s="592" t="s">
        <v>8</v>
      </c>
      <c r="T211" s="595">
        <v>3</v>
      </c>
      <c r="U211" s="631" t="s">
        <v>1541</v>
      </c>
      <c r="V211" s="595" t="str">
        <f t="shared" si="54"/>
        <v>Probabilidad</v>
      </c>
      <c r="W211" s="596" t="s">
        <v>269</v>
      </c>
      <c r="X211" s="596" t="s">
        <v>198</v>
      </c>
      <c r="Y211" s="597" t="str">
        <f t="shared" si="59"/>
        <v>30%</v>
      </c>
      <c r="Z211" s="596" t="s">
        <v>259</v>
      </c>
      <c r="AA211" s="596" t="s">
        <v>200</v>
      </c>
      <c r="AB211" s="596" t="s">
        <v>201</v>
      </c>
      <c r="AC211" s="598">
        <f>IFERROR(IF(V211="Probabilidad",(N211-(+N211*Y211)),IF(V211="Impacto",N211,"")),"")</f>
        <v>0.42</v>
      </c>
      <c r="AD211" s="599" t="str">
        <f t="shared" si="60"/>
        <v>Media</v>
      </c>
      <c r="AE211" s="600">
        <f t="shared" si="61"/>
        <v>0.42</v>
      </c>
      <c r="AF211" s="599" t="str">
        <f t="shared" si="62"/>
        <v>Moderado</v>
      </c>
      <c r="AG211" s="600">
        <f>IFERROR(IF(V211="Impacto",(R211-(+R211*Y211)),IF(V211="Probabilidad",R211,"")),"")</f>
        <v>0.6</v>
      </c>
      <c r="AH211" s="601" t="str">
        <f t="shared" si="63"/>
        <v>Moderado</v>
      </c>
      <c r="AI211" s="602" t="s">
        <v>202</v>
      </c>
      <c r="AJ211" s="603"/>
      <c r="AK211" s="603"/>
      <c r="AL211" s="604"/>
      <c r="AM211" s="605"/>
      <c r="AN211" s="606"/>
      <c r="AO211" s="607"/>
      <c r="AP211" s="608">
        <v>45768</v>
      </c>
      <c r="AQ211" s="609" t="s">
        <v>1531</v>
      </c>
      <c r="AR211" s="286" t="s">
        <v>1542</v>
      </c>
      <c r="AS211" s="698" t="s">
        <v>205</v>
      </c>
      <c r="AT211" s="612" t="s">
        <v>206</v>
      </c>
      <c r="AU211" s="283" t="s">
        <v>535</v>
      </c>
      <c r="AV211" s="613"/>
      <c r="AW211" s="614">
        <v>45782</v>
      </c>
      <c r="AX211" s="615" t="s">
        <v>207</v>
      </c>
      <c r="AY211" s="635" t="s">
        <v>578</v>
      </c>
      <c r="BA211" s="617"/>
      <c r="BB211" s="617"/>
      <c r="BC211" s="618" t="s">
        <v>209</v>
      </c>
      <c r="BE211" s="608">
        <v>45862</v>
      </c>
      <c r="BF211" s="609" t="s">
        <v>1533</v>
      </c>
      <c r="BG211" s="286" t="s">
        <v>1543</v>
      </c>
      <c r="BH211" s="718" t="s">
        <v>205</v>
      </c>
      <c r="BI211" s="612" t="s">
        <v>206</v>
      </c>
      <c r="BJ211" s="283" t="s">
        <v>535</v>
      </c>
      <c r="BL211" s="450">
        <v>45869</v>
      </c>
      <c r="BM211" s="449" t="s">
        <v>215</v>
      </c>
      <c r="BN211" s="283" t="s">
        <v>231</v>
      </c>
      <c r="BP211" s="617"/>
      <c r="BQ211" s="617"/>
      <c r="BR211" s="618" t="s">
        <v>209</v>
      </c>
      <c r="BT211" s="483">
        <v>45946</v>
      </c>
      <c r="BU211" s="484" t="s">
        <v>1535</v>
      </c>
      <c r="BV211" s="286" t="s">
        <v>1544</v>
      </c>
      <c r="BW211" s="705" t="s">
        <v>205</v>
      </c>
      <c r="BX211" s="612" t="s">
        <v>206</v>
      </c>
      <c r="BY211" s="283" t="s">
        <v>535</v>
      </c>
      <c r="CA211" s="614">
        <v>45986</v>
      </c>
      <c r="CB211" s="616" t="s">
        <v>218</v>
      </c>
      <c r="CC211" s="643" t="s">
        <v>233</v>
      </c>
      <c r="CE211" s="617"/>
      <c r="CF211" s="617"/>
      <c r="CG211" s="618" t="s">
        <v>209</v>
      </c>
      <c r="CH211" s="192"/>
      <c r="CI211" s="558"/>
      <c r="CJ211" s="558"/>
      <c r="CK211" s="559" t="s">
        <v>209</v>
      </c>
      <c r="CL211" s="558"/>
      <c r="CM211" s="558"/>
      <c r="CN211" s="558"/>
      <c r="CO211" s="553"/>
      <c r="CP211" s="558"/>
      <c r="CQ211" s="558"/>
      <c r="CR211" s="559" t="s">
        <v>209</v>
      </c>
      <c r="CS211" s="553"/>
      <c r="CT211" s="558"/>
      <c r="CU211" s="558"/>
      <c r="CV211" s="559" t="s">
        <v>209</v>
      </c>
    </row>
    <row r="212" spans="1:100" ht="151.5" customHeight="1" x14ac:dyDescent="0.3">
      <c r="A212" s="622">
        <v>95</v>
      </c>
      <c r="B212" s="622" t="s">
        <v>1545</v>
      </c>
      <c r="C212" s="623" t="s">
        <v>1526</v>
      </c>
      <c r="D212" s="585" t="str">
        <f>IFERROR(INDEX('Base de datos gestión'!$D$28:$D$50,MATCH(C211,'Base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2" s="585" t="str">
        <f>IFERROR(INDEX('Base de datos gestión'!$E$28:$E$50,MATCH(C211,'Base de datos gestión'!$C$28:$C$50,0)), 0)</f>
        <v>Inicia con la radicación de solicitud de contratación y finaliza con la terminación de la relación contractual.</v>
      </c>
      <c r="F212" s="628" t="s">
        <v>652</v>
      </c>
      <c r="G212" s="629" t="s">
        <v>1546</v>
      </c>
      <c r="H212" s="628" t="s">
        <v>1547</v>
      </c>
      <c r="I212" s="628" t="s">
        <v>1548</v>
      </c>
      <c r="J212" s="637" t="s">
        <v>280</v>
      </c>
      <c r="K212" s="702" t="s">
        <v>311</v>
      </c>
      <c r="L212" s="630">
        <v>200</v>
      </c>
      <c r="M212" s="588" t="str">
        <f t="shared" si="56"/>
        <v>Media</v>
      </c>
      <c r="N212" s="589">
        <f t="shared" ref="N212:N260" si="64">IF(M212="","",IF(M212="Muy Baja",0.2,IF(M212="Baja",0.4,IF(M212="Media",0.6,IF(M212="Alta",0.8,IF(M212="Muy Alta",1,))))))</f>
        <v>0.6</v>
      </c>
      <c r="O212" s="590" t="s">
        <v>1296</v>
      </c>
      <c r="P212" s="589" t="str">
        <f>IF(NOT(ISERROR(MATCH(O212,'Tabla Impacto'!$B$222:$B$224,0))),'Tabla Impacto'!$F$224&amp;"Por favor no seleccionar los criterios de impacto(Afectación Económica o presupuestal y Pérdida Reputacional)",O212)</f>
        <v xml:space="preserve">     Entre 100 y 500 SMLMV </v>
      </c>
      <c r="Q212" s="591" t="str">
        <f>IF(OR(P212='[8]Tabla Impacto'!$C$12,P212='[8]Tabla Impacto'!$D$12),"Leve",IF(OR(P212='[8]Tabla Impacto'!$C$13,P212='[8]Tabla Impacto'!$D$13),"Menor",IF(OR(P212='[8]Tabla Impacto'!$C$14,P212='[8]Tabla Impacto'!$D$14),"Moderado",IF(OR(P212='[8]Tabla Impacto'!$C$15,P212='[8]Tabla Impacto'!$D$15),"Mayor",IF(OR(P212='[8]Tabla Impacto'!$C$16,P212='[8]Tabla Impacto'!$D$16),"Catastrófico","")))))</f>
        <v>Mayor</v>
      </c>
      <c r="R212" s="590">
        <f t="shared" si="57"/>
        <v>0.8</v>
      </c>
      <c r="S212" s="592" t="str">
        <f t="shared" si="58"/>
        <v>Alto</v>
      </c>
      <c r="T212" s="595">
        <v>1</v>
      </c>
      <c r="U212" s="631" t="s">
        <v>1549</v>
      </c>
      <c r="V212" s="595" t="str">
        <f t="shared" si="54"/>
        <v>Probabilidad</v>
      </c>
      <c r="W212" s="596" t="s">
        <v>269</v>
      </c>
      <c r="X212" s="596" t="s">
        <v>198</v>
      </c>
      <c r="Y212" s="597" t="str">
        <f t="shared" si="59"/>
        <v>30%</v>
      </c>
      <c r="Z212" s="596" t="s">
        <v>199</v>
      </c>
      <c r="AA212" s="596" t="s">
        <v>200</v>
      </c>
      <c r="AB212" s="596" t="s">
        <v>201</v>
      </c>
      <c r="AC212" s="598">
        <f>IFERROR(IF(AND(V211="Probabilidad",V212="Probabilidad"),(AE211-(+AE211*Y212)),IF(V212="Probabilidad",(N211-(+N211*Y212)),IF(V212="Impacto",AE211,""))),"")</f>
        <v>0.29399999999999998</v>
      </c>
      <c r="AD212" s="599" t="str">
        <f t="shared" si="60"/>
        <v>Baja</v>
      </c>
      <c r="AE212" s="600">
        <f t="shared" si="61"/>
        <v>0.29399999999999998</v>
      </c>
      <c r="AF212" s="599" t="str">
        <f t="shared" si="62"/>
        <v>Mayor</v>
      </c>
      <c r="AG212" s="600">
        <f>IFERROR(IF(AND(V211="Impacto",V212="Impacto"),(AG205-(+AG205*Y212)),IF(V212="Impacto",($R$55-(+$R$55*Y212)),IF(V212="Probabilidad",AG205,""))),"")</f>
        <v>0.8</v>
      </c>
      <c r="AH212" s="601" t="str">
        <f t="shared" si="63"/>
        <v>Alto</v>
      </c>
      <c r="AI212" s="602" t="s">
        <v>202</v>
      </c>
      <c r="AJ212" s="603"/>
      <c r="AK212" s="603"/>
      <c r="AL212" s="605"/>
      <c r="AM212" s="605"/>
      <c r="AN212" s="606"/>
      <c r="AO212" s="607"/>
      <c r="AP212" s="608">
        <v>45768</v>
      </c>
      <c r="AQ212" s="609" t="s">
        <v>1531</v>
      </c>
      <c r="AR212" s="286" t="s">
        <v>1550</v>
      </c>
      <c r="AS212" s="698" t="s">
        <v>205</v>
      </c>
      <c r="AT212" s="612" t="s">
        <v>206</v>
      </c>
      <c r="AU212" s="283" t="s">
        <v>535</v>
      </c>
      <c r="AV212" s="613"/>
      <c r="AW212" s="614">
        <v>45782</v>
      </c>
      <c r="AX212" s="615" t="s">
        <v>207</v>
      </c>
      <c r="AY212" s="635" t="s">
        <v>578</v>
      </c>
      <c r="BA212" s="617"/>
      <c r="BB212" s="617"/>
      <c r="BC212" s="618" t="s">
        <v>209</v>
      </c>
      <c r="BE212" s="719">
        <v>45862</v>
      </c>
      <c r="BF212" s="720" t="s">
        <v>1533</v>
      </c>
      <c r="BG212" s="286" t="s">
        <v>1551</v>
      </c>
      <c r="BH212" s="718" t="s">
        <v>212</v>
      </c>
      <c r="BI212" s="285" t="s">
        <v>213</v>
      </c>
      <c r="BJ212" s="471" t="s">
        <v>1552</v>
      </c>
      <c r="BL212" s="450">
        <v>45869</v>
      </c>
      <c r="BM212" s="449" t="s">
        <v>215</v>
      </c>
      <c r="BN212" s="283" t="s">
        <v>231</v>
      </c>
      <c r="BP212" s="617"/>
      <c r="BQ212" s="617"/>
      <c r="BR212" s="618" t="s">
        <v>209</v>
      </c>
      <c r="BT212" s="483">
        <v>45947</v>
      </c>
      <c r="BU212" s="484" t="s">
        <v>1535</v>
      </c>
      <c r="BV212" s="286" t="s">
        <v>1553</v>
      </c>
      <c r="BW212" s="718" t="s">
        <v>212</v>
      </c>
      <c r="BX212" s="285" t="s">
        <v>213</v>
      </c>
      <c r="BY212" s="471" t="s">
        <v>1552</v>
      </c>
      <c r="CA212" s="614">
        <v>45953</v>
      </c>
      <c r="CB212" s="616" t="s">
        <v>218</v>
      </c>
      <c r="CC212" s="283" t="s">
        <v>1554</v>
      </c>
      <c r="CE212" s="617"/>
      <c r="CF212" s="617"/>
      <c r="CG212" s="618" t="s">
        <v>209</v>
      </c>
      <c r="CH212" s="192"/>
      <c r="CI212" s="558"/>
      <c r="CJ212" s="558"/>
      <c r="CK212" s="559" t="s">
        <v>209</v>
      </c>
      <c r="CL212" s="558"/>
      <c r="CM212" s="558"/>
      <c r="CN212" s="558"/>
      <c r="CO212" s="553"/>
      <c r="CP212" s="558"/>
      <c r="CQ212" s="558"/>
      <c r="CR212" s="559" t="s">
        <v>209</v>
      </c>
      <c r="CS212" s="553"/>
      <c r="CT212" s="558"/>
      <c r="CU212" s="558"/>
      <c r="CV212" s="559" t="s">
        <v>209</v>
      </c>
    </row>
    <row r="213" spans="1:100" ht="151.5" customHeight="1" x14ac:dyDescent="0.3">
      <c r="A213" s="622">
        <v>95</v>
      </c>
      <c r="B213" s="622" t="s">
        <v>1545</v>
      </c>
      <c r="C213" s="623" t="s">
        <v>1526</v>
      </c>
      <c r="D213" s="585" t="str">
        <f>IFERROR(INDEX('Base de datos gestión'!$D$28:$D$50,MATCH(C212,'Base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3" s="585" t="str">
        <f>IFERROR(INDEX('Base de datos gestión'!$E$28:$E$50,MATCH(C212,'Base de datos gestión'!$C$28:$C$50,0)), 0)</f>
        <v>Inicia con la radicación de solicitud de contratación y finaliza con la terminación de la relación contractual.</v>
      </c>
      <c r="F213" s="628" t="s">
        <v>652</v>
      </c>
      <c r="G213" s="629" t="s">
        <v>1546</v>
      </c>
      <c r="H213" s="628" t="s">
        <v>1547</v>
      </c>
      <c r="I213" s="628" t="s">
        <v>1548</v>
      </c>
      <c r="J213" s="637" t="s">
        <v>280</v>
      </c>
      <c r="K213" s="702" t="s">
        <v>311</v>
      </c>
      <c r="L213" s="630">
        <v>200</v>
      </c>
      <c r="M213" s="588" t="str">
        <f t="shared" si="56"/>
        <v>Media</v>
      </c>
      <c r="N213" s="589">
        <f t="shared" si="64"/>
        <v>0.6</v>
      </c>
      <c r="O213" s="590" t="s">
        <v>1296</v>
      </c>
      <c r="P213" s="589" t="str">
        <f>IF(NOT(ISERROR(MATCH(O213,'Tabla Impacto'!$B$222:$B$224,0))),'Tabla Impacto'!$F$224&amp;"Por favor no seleccionar los criterios de impacto(Afectación Económica o presupuestal y Pérdida Reputacional)",O213)</f>
        <v xml:space="preserve">     Entre 100 y 500 SMLMV </v>
      </c>
      <c r="Q213" s="591" t="str">
        <f>IF(OR(P213='[8]Tabla Impacto'!$C$12,P213='[8]Tabla Impacto'!$D$12),"Leve",IF(OR(P213='[8]Tabla Impacto'!$C$13,P213='[8]Tabla Impacto'!$D$13),"Menor",IF(OR(P213='[8]Tabla Impacto'!$C$14,P213='[8]Tabla Impacto'!$D$14),"Moderado",IF(OR(P213='[8]Tabla Impacto'!$C$15,P213='[8]Tabla Impacto'!$D$15),"Mayor",IF(OR(P213='[8]Tabla Impacto'!$C$16,P213='[8]Tabla Impacto'!$D$16),"Catastrófico","")))))</f>
        <v>Mayor</v>
      </c>
      <c r="R213" s="590">
        <f t="shared" si="57"/>
        <v>0.8</v>
      </c>
      <c r="S213" s="592" t="str">
        <f t="shared" si="58"/>
        <v>Alto</v>
      </c>
      <c r="T213" s="595">
        <v>2</v>
      </c>
      <c r="U213" s="631" t="s">
        <v>1555</v>
      </c>
      <c r="V213" s="595" t="str">
        <f t="shared" si="54"/>
        <v>Probabilidad</v>
      </c>
      <c r="W213" s="596" t="s">
        <v>197</v>
      </c>
      <c r="X213" s="596" t="s">
        <v>198</v>
      </c>
      <c r="Y213" s="597" t="str">
        <f t="shared" ref="Y213:Y260" si="65">IF(AND(W213="Preventivo",X213="Automático"),"50%",IF(AND(W213="Preventivo",X213="Manual"),"40%",IF(AND(W213="Detectivo",X213="Automático"),"40%",IF(AND(W213="Detectivo",X213="Manual"),"30%",IF(AND(W213="Correctivo",X213="Automático"),"35%",IF(AND(W213="Correctivo",X213="Manual"),"25%",""))))))</f>
        <v>40%</v>
      </c>
      <c r="Z213" s="596" t="s">
        <v>259</v>
      </c>
      <c r="AA213" s="596" t="s">
        <v>225</v>
      </c>
      <c r="AB213" s="596" t="s">
        <v>201</v>
      </c>
      <c r="AC213" s="598">
        <f>IFERROR(IF(AND(V212="Probabilidad",V213="Probabilidad"),(AE212-(+AE212*Y213)),IF(AND(V212="Impacto",V213="Probabilidad"),(AE211-(+AE211*Y213)),IF(V213="Impacto",AE212,""))),"")</f>
        <v>0.1764</v>
      </c>
      <c r="AD213" s="599" t="str">
        <f t="shared" ref="AD213:AD260" si="66">IFERROR(IF(AC213="","",IF(AC213&lt;=0.2,"Muy Baja",IF(AC213&lt;=0.4,"Baja",IF(AC213&lt;=0.6,"Media",IF(AC213&lt;=0.8,"Alta","Muy Alta"))))),"")</f>
        <v>Muy Baja</v>
      </c>
      <c r="AE213" s="600">
        <f t="shared" ref="AE213:AE260" si="67">+AC213</f>
        <v>0.1764</v>
      </c>
      <c r="AF213" s="599" t="str">
        <f t="shared" ref="AF213:AF260" si="68">IFERROR(IF(AG213="","",IF(AG213&lt;=0.2,"Leve",IF(AG213&lt;=0.4,"Menor",IF(AG213&lt;=0.6,"Moderado",IF(AG213&lt;=0.8,"Mayor","Catastrófico"))))),"")</f>
        <v>Mayor</v>
      </c>
      <c r="AG213" s="600">
        <f>IFERROR(IF(AND(V212="Impacto",V213="Impacto"),(AG212-(+AG212*Y213)),IF(AND(V212="Probabilidad",V213="Impacto"),(AG211-(+AG211*Y213)),IF(V213="Probabilidad",AG212,""))),"")</f>
        <v>0.8</v>
      </c>
      <c r="AH213" s="601" t="str">
        <f t="shared" ref="AH213:AH260" si="69">IFERROR(IF(OR(AND(AD213="Muy Baja",AF213="Leve"),AND(AD213="Muy Baja",AF213="Menor"),AND(AD213="Baja",AF213="Leve")),"Bajo",IF(OR(AND(AD213="Muy baja",AF213="Moderado"),AND(AD213="Baja",AF213="Menor"),AND(AD213="Baja",AF213="Moderado"),AND(AD213="Media",AF213="Leve"),AND(AD213="Media",AF213="Menor"),AND(AD213="Media",AF213="Moderado"),AND(AD213="Alta",AF213="Leve"),AND(AD213="Alta",AF213="Menor")),"Moderado",IF(OR(AND(AD213="Muy Baja",AF213="Mayor"),AND(AD213="Baja",AF213="Mayor"),AND(AD213="Media",AF213="Mayor"),AND(AD213="Alta",AF213="Moderado"),AND(AD213="Alta",AF213="Mayor"),AND(AD213="Muy Alta",AF213="Leve"),AND(AD213="Muy Alta",AF213="Menor"),AND(AD213="Muy Alta",AF213="Moderado"),AND(AD213="Muy Alta",AF213="Mayor")),"Alto",IF(OR(AND(AD213="Muy Baja",AF213="Catastrófico"),AND(AD213="Baja",AF213="Catastrófico"),AND(AD213="Media",AF213="Catastrófico"),AND(AD213="Alta",AF213="Catastrófico"),AND(AD213="Muy Alta",AF213="Catastrófico")),"Extremo","")))),"")</f>
        <v>Alto</v>
      </c>
      <c r="AI213" s="602" t="s">
        <v>202</v>
      </c>
      <c r="AJ213" s="603"/>
      <c r="AK213" s="603"/>
      <c r="AL213" s="604"/>
      <c r="AM213" s="605"/>
      <c r="AN213" s="606"/>
      <c r="AO213" s="607"/>
      <c r="AP213" s="608">
        <v>45768</v>
      </c>
      <c r="AQ213" s="609" t="s">
        <v>1531</v>
      </c>
      <c r="AR213" s="286" t="s">
        <v>1556</v>
      </c>
      <c r="AS213" s="698" t="s">
        <v>205</v>
      </c>
      <c r="AT213" s="612" t="s">
        <v>206</v>
      </c>
      <c r="AU213" s="283" t="s">
        <v>535</v>
      </c>
      <c r="AV213" s="613"/>
      <c r="AW213" s="614">
        <v>45782</v>
      </c>
      <c r="AX213" s="615" t="s">
        <v>207</v>
      </c>
      <c r="AY213" s="635" t="s">
        <v>578</v>
      </c>
      <c r="BA213" s="617"/>
      <c r="BB213" s="617"/>
      <c r="BC213" s="618" t="s">
        <v>209</v>
      </c>
      <c r="BE213" s="608">
        <v>45862</v>
      </c>
      <c r="BF213" s="609" t="s">
        <v>1533</v>
      </c>
      <c r="BG213" s="286" t="s">
        <v>1557</v>
      </c>
      <c r="BH213" s="718" t="s">
        <v>205</v>
      </c>
      <c r="BI213" s="612"/>
      <c r="BJ213" s="283"/>
      <c r="BL213" s="450">
        <v>45869</v>
      </c>
      <c r="BM213" s="449" t="s">
        <v>215</v>
      </c>
      <c r="BN213" s="283" t="s">
        <v>231</v>
      </c>
      <c r="BP213" s="617"/>
      <c r="BQ213" s="617"/>
      <c r="BR213" s="618" t="s">
        <v>209</v>
      </c>
      <c r="BT213" s="483">
        <v>45947</v>
      </c>
      <c r="BU213" s="484" t="s">
        <v>1535</v>
      </c>
      <c r="BV213" s="286" t="s">
        <v>1558</v>
      </c>
      <c r="BW213" s="705" t="s">
        <v>205</v>
      </c>
      <c r="BX213" s="612" t="s">
        <v>206</v>
      </c>
      <c r="BY213" s="283" t="s">
        <v>535</v>
      </c>
      <c r="CA213" s="614">
        <v>45986</v>
      </c>
      <c r="CB213" s="616" t="s">
        <v>218</v>
      </c>
      <c r="CC213" s="643" t="s">
        <v>233</v>
      </c>
      <c r="CE213" s="617"/>
      <c r="CF213" s="617"/>
      <c r="CG213" s="618" t="s">
        <v>209</v>
      </c>
      <c r="CH213" s="192"/>
      <c r="CI213" s="558"/>
      <c r="CJ213" s="558"/>
      <c r="CK213" s="559" t="s">
        <v>209</v>
      </c>
      <c r="CL213" s="558"/>
      <c r="CM213" s="558"/>
      <c r="CN213" s="558"/>
      <c r="CO213" s="553"/>
      <c r="CP213" s="558"/>
      <c r="CQ213" s="558"/>
      <c r="CR213" s="559" t="s">
        <v>209</v>
      </c>
      <c r="CS213" s="553"/>
      <c r="CT213" s="558"/>
      <c r="CU213" s="558"/>
      <c r="CV213" s="559" t="s">
        <v>209</v>
      </c>
    </row>
    <row r="214" spans="1:100" ht="151.5" customHeight="1" x14ac:dyDescent="0.3">
      <c r="A214" s="622">
        <v>96</v>
      </c>
      <c r="B214" s="622" t="s">
        <v>1559</v>
      </c>
      <c r="C214" s="623" t="s">
        <v>1526</v>
      </c>
      <c r="D214" s="585" t="str">
        <f>IFERROR(INDEX('Base de datos gestión'!$D$28:$D$50,MATCH(C213,'Base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4" s="585" t="str">
        <f>IFERROR(INDEX('Base de datos gestión'!$E$28:$E$50,MATCH(C213,'Base de datos gestión'!$C$28:$C$50,0)), 0)</f>
        <v>Inicia con la radicación de solicitud de contratación y finaliza con la terminación de la relación contractual.</v>
      </c>
      <c r="F214" s="630" t="s">
        <v>276</v>
      </c>
      <c r="G214" s="721" t="s">
        <v>1560</v>
      </c>
      <c r="H214" s="721" t="s">
        <v>1561</v>
      </c>
      <c r="I214" s="721" t="s">
        <v>1562</v>
      </c>
      <c r="J214" s="637" t="s">
        <v>280</v>
      </c>
      <c r="K214" s="700" t="s">
        <v>311</v>
      </c>
      <c r="L214" s="630">
        <v>20</v>
      </c>
      <c r="M214" s="588" t="str">
        <f t="shared" si="56"/>
        <v>Baja</v>
      </c>
      <c r="N214" s="589">
        <f t="shared" si="64"/>
        <v>0.4</v>
      </c>
      <c r="O214" s="590" t="s">
        <v>950</v>
      </c>
      <c r="P214" s="589" t="str">
        <f>IF(NOT(ISERROR(MATCH(O214,'Tabla Impacto'!$B$222:$B$224,0))),'Tabla Impacto'!$F$224&amp;"Por favor no seleccionar los criterios de impacto(Afectación Económica o presupuestal y Pérdida Reputacional)",O214)</f>
        <v xml:space="preserve">     Entre 10 y 50 SMLMV </v>
      </c>
      <c r="Q214" s="591" t="str">
        <f>IF(OR(P214='[8]Tabla Impacto'!$C$12,P214='[8]Tabla Impacto'!$D$12),"Leve",IF(OR(P214='[8]Tabla Impacto'!$C$13,P214='[8]Tabla Impacto'!$D$13),"Menor",IF(OR(P214='[8]Tabla Impacto'!$C$14,P214='[8]Tabla Impacto'!$D$14),"Moderado",IF(OR(P214='[8]Tabla Impacto'!$C$15,P214='[8]Tabla Impacto'!$D$15),"Mayor",IF(OR(P214='[8]Tabla Impacto'!$C$16,P214='[8]Tabla Impacto'!$D$16),"Catastrófico","")))))</f>
        <v>Menor</v>
      </c>
      <c r="R214" s="590">
        <f t="shared" si="57"/>
        <v>0.4</v>
      </c>
      <c r="S214" s="592" t="str">
        <f t="shared" si="58"/>
        <v>Moderado</v>
      </c>
      <c r="T214" s="595">
        <v>1</v>
      </c>
      <c r="U214" s="631" t="s">
        <v>1563</v>
      </c>
      <c r="V214" s="595" t="str">
        <f t="shared" si="54"/>
        <v>Probabilidad</v>
      </c>
      <c r="W214" s="596" t="s">
        <v>197</v>
      </c>
      <c r="X214" s="596" t="s">
        <v>198</v>
      </c>
      <c r="Y214" s="597" t="str">
        <f t="shared" si="65"/>
        <v>40%</v>
      </c>
      <c r="Z214" s="596" t="s">
        <v>199</v>
      </c>
      <c r="AA214" s="596" t="s">
        <v>200</v>
      </c>
      <c r="AB214" s="596" t="s">
        <v>201</v>
      </c>
      <c r="AC214" s="598">
        <f>IFERROR(IF(AND(V213="Probabilidad",V214="Probabilidad"),(AE213-(+AE213*Y214)),IF(AND(V213="Impacto",V214="Probabilidad"),(AE212-(+AE212*Y214)),IF(V214="Impacto",AE213,""))),"")</f>
        <v>0.10584</v>
      </c>
      <c r="AD214" s="599" t="str">
        <f t="shared" si="66"/>
        <v>Muy Baja</v>
      </c>
      <c r="AE214" s="600">
        <f t="shared" si="67"/>
        <v>0.10584</v>
      </c>
      <c r="AF214" s="599" t="str">
        <f t="shared" si="68"/>
        <v>Mayor</v>
      </c>
      <c r="AG214" s="600">
        <f>IFERROR(IF(AND(V213="Impacto",V214="Impacto"),(AG213-(+AG213*Y214)),IF(AND(V213="Probabilidad",V214="Impacto"),(AG212-(+AG212*Y214)),IF(V214="Probabilidad",AG213,""))),"")</f>
        <v>0.8</v>
      </c>
      <c r="AH214" s="601" t="str">
        <f t="shared" si="69"/>
        <v>Alto</v>
      </c>
      <c r="AI214" s="602" t="s">
        <v>202</v>
      </c>
      <c r="AJ214" s="603"/>
      <c r="AK214" s="603"/>
      <c r="AL214" s="604"/>
      <c r="AM214" s="605"/>
      <c r="AN214" s="606"/>
      <c r="AO214" s="607"/>
      <c r="AP214" s="608">
        <v>45768</v>
      </c>
      <c r="AQ214" s="609" t="s">
        <v>1531</v>
      </c>
      <c r="AR214" s="286" t="s">
        <v>1564</v>
      </c>
      <c r="AS214" s="698" t="s">
        <v>205</v>
      </c>
      <c r="AT214" s="612" t="s">
        <v>206</v>
      </c>
      <c r="AU214" s="283" t="s">
        <v>535</v>
      </c>
      <c r="AV214" s="613"/>
      <c r="AW214" s="614">
        <v>45782</v>
      </c>
      <c r="AX214" s="615" t="s">
        <v>207</v>
      </c>
      <c r="AY214" s="635" t="s">
        <v>578</v>
      </c>
      <c r="BA214" s="617"/>
      <c r="BB214" s="617"/>
      <c r="BC214" s="618" t="s">
        <v>209</v>
      </c>
      <c r="BE214" s="608">
        <v>45862</v>
      </c>
      <c r="BF214" s="609" t="s">
        <v>1533</v>
      </c>
      <c r="BG214" s="286" t="s">
        <v>1565</v>
      </c>
      <c r="BH214" s="698" t="s">
        <v>205</v>
      </c>
      <c r="BI214" s="612" t="s">
        <v>206</v>
      </c>
      <c r="BJ214" s="283" t="s">
        <v>535</v>
      </c>
      <c r="BL214" s="450">
        <v>45869</v>
      </c>
      <c r="BM214" s="449" t="s">
        <v>215</v>
      </c>
      <c r="BN214" s="283" t="s">
        <v>231</v>
      </c>
      <c r="BP214" s="617"/>
      <c r="BQ214" s="617"/>
      <c r="BR214" s="618" t="s">
        <v>209</v>
      </c>
      <c r="BT214" s="483">
        <v>45947</v>
      </c>
      <c r="BU214" s="484" t="s">
        <v>1535</v>
      </c>
      <c r="BV214" s="286" t="s">
        <v>1566</v>
      </c>
      <c r="BW214" s="722" t="s">
        <v>205</v>
      </c>
      <c r="BX214" s="612" t="s">
        <v>206</v>
      </c>
      <c r="BY214" s="283" t="s">
        <v>535</v>
      </c>
      <c r="CA214" s="614">
        <v>45986</v>
      </c>
      <c r="CB214" s="616" t="s">
        <v>218</v>
      </c>
      <c r="CC214" s="643" t="s">
        <v>233</v>
      </c>
      <c r="CE214" s="617"/>
      <c r="CF214" s="617"/>
      <c r="CG214" s="618" t="s">
        <v>209</v>
      </c>
      <c r="CH214" s="192"/>
      <c r="CI214" s="558"/>
      <c r="CJ214" s="558"/>
      <c r="CK214" s="559" t="s">
        <v>209</v>
      </c>
      <c r="CL214" s="558"/>
      <c r="CM214" s="558"/>
      <c r="CN214" s="558"/>
      <c r="CO214" s="553"/>
      <c r="CP214" s="558"/>
      <c r="CQ214" s="558"/>
      <c r="CR214" s="559" t="s">
        <v>209</v>
      </c>
      <c r="CS214" s="553"/>
      <c r="CT214" s="558"/>
      <c r="CU214" s="558"/>
      <c r="CV214" s="559" t="s">
        <v>209</v>
      </c>
    </row>
    <row r="215" spans="1:100" ht="151.5" customHeight="1" x14ac:dyDescent="0.3">
      <c r="A215" s="622">
        <v>97</v>
      </c>
      <c r="B215" s="622" t="s">
        <v>1567</v>
      </c>
      <c r="C215" s="623" t="s">
        <v>1526</v>
      </c>
      <c r="D215" s="585" t="str">
        <f>IFERROR(INDEX('Base de datos gestión'!$D$28:$D$50,MATCH(C214,'Base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5" s="585" t="str">
        <f>IFERROR(INDEX('Base de datos gestión'!$E$28:$E$50,MATCH(C214,'Base de datos gestión'!$C$28:$C$50,0)), 0)</f>
        <v>Inicia con la radicación de solicitud de contratación y finaliza con la terminación de la relación contractual.</v>
      </c>
      <c r="F215" s="630" t="s">
        <v>276</v>
      </c>
      <c r="G215" s="723" t="s">
        <v>1568</v>
      </c>
      <c r="H215" s="723" t="s">
        <v>1569</v>
      </c>
      <c r="I215" s="721" t="s">
        <v>1570</v>
      </c>
      <c r="J215" s="637" t="s">
        <v>192</v>
      </c>
      <c r="K215" s="700" t="s">
        <v>522</v>
      </c>
      <c r="L215" s="630">
        <v>180</v>
      </c>
      <c r="M215" s="588" t="str">
        <f t="shared" si="56"/>
        <v>Media</v>
      </c>
      <c r="N215" s="589">
        <f t="shared" si="64"/>
        <v>0.6</v>
      </c>
      <c r="O215" s="590" t="s">
        <v>1296</v>
      </c>
      <c r="P215" s="589" t="str">
        <f>IF(NOT(ISERROR(MATCH(O215,'Tabla Impacto'!$B$222:$B$224,0))),'Tabla Impacto'!$F$224&amp;"Por favor no seleccionar los criterios de impacto(Afectación Económica o presupuestal y Pérdida Reputacional)",O215)</f>
        <v xml:space="preserve">     Entre 100 y 500 SMLMV </v>
      </c>
      <c r="Q215" s="591" t="str">
        <f>IF(OR(P215='[8]Tabla Impacto'!$C$12,P215='[8]Tabla Impacto'!$D$12),"Leve",IF(OR(P215='[8]Tabla Impacto'!$C$13,P215='[8]Tabla Impacto'!$D$13),"Menor",IF(OR(P215='[8]Tabla Impacto'!$C$14,P215='[8]Tabla Impacto'!$D$14),"Moderado",IF(OR(P215='[8]Tabla Impacto'!$C$15,P215='[8]Tabla Impacto'!$D$15),"Mayor",IF(OR(P215='[8]Tabla Impacto'!$C$16,P215='[8]Tabla Impacto'!$D$16),"Catastrófico","")))))</f>
        <v>Mayor</v>
      </c>
      <c r="R215" s="590">
        <f t="shared" si="57"/>
        <v>0.8</v>
      </c>
      <c r="S215" s="592" t="str">
        <f t="shared" si="58"/>
        <v>Alto</v>
      </c>
      <c r="T215" s="595">
        <v>1</v>
      </c>
      <c r="U215" s="631" t="s">
        <v>1571</v>
      </c>
      <c r="V215" s="595" t="str">
        <f t="shared" si="54"/>
        <v>Probabilidad</v>
      </c>
      <c r="W215" s="596" t="s">
        <v>197</v>
      </c>
      <c r="X215" s="596" t="s">
        <v>198</v>
      </c>
      <c r="Y215" s="597" t="str">
        <f t="shared" si="65"/>
        <v>40%</v>
      </c>
      <c r="Z215" s="596" t="s">
        <v>199</v>
      </c>
      <c r="AA215" s="596" t="s">
        <v>200</v>
      </c>
      <c r="AB215" s="596" t="s">
        <v>201</v>
      </c>
      <c r="AC215" s="598">
        <f>IFERROR(IF(AND(V214="Probabilidad",V215="Probabilidad"),(AE214-(+AE214*Y215)),IF(AND(V214="Impacto",V215="Probabilidad"),(AE213-(+AE213*Y215)),IF(V215="Impacto",AE214,""))),"")</f>
        <v>6.3504000000000005E-2</v>
      </c>
      <c r="AD215" s="599" t="str">
        <f t="shared" si="66"/>
        <v>Muy Baja</v>
      </c>
      <c r="AE215" s="600">
        <f t="shared" si="67"/>
        <v>6.3504000000000005E-2</v>
      </c>
      <c r="AF215" s="599" t="str">
        <f t="shared" si="68"/>
        <v>Mayor</v>
      </c>
      <c r="AG215" s="600">
        <f>IFERROR(IF(AND(V214="Impacto",V215="Impacto"),(AG214-(+AG214*Y215)),IF(AND(V214="Probabilidad",V215="Impacto"),(AG213-(+AG213*Y215)),IF(V215="Probabilidad",AG214,""))),"")</f>
        <v>0.8</v>
      </c>
      <c r="AH215" s="601" t="str">
        <f t="shared" si="69"/>
        <v>Alto</v>
      </c>
      <c r="AI215" s="602" t="s">
        <v>202</v>
      </c>
      <c r="AJ215" s="603"/>
      <c r="AK215" s="603"/>
      <c r="AL215" s="604"/>
      <c r="AM215" s="605"/>
      <c r="AN215" s="606"/>
      <c r="AO215" s="607"/>
      <c r="AP215" s="608">
        <v>45768</v>
      </c>
      <c r="AQ215" s="609" t="s">
        <v>1531</v>
      </c>
      <c r="AR215" s="286" t="s">
        <v>1572</v>
      </c>
      <c r="AS215" s="698" t="s">
        <v>205</v>
      </c>
      <c r="AT215" s="612" t="s">
        <v>206</v>
      </c>
      <c r="AU215" s="283" t="s">
        <v>535</v>
      </c>
      <c r="AV215" s="613"/>
      <c r="AW215" s="614">
        <v>45782</v>
      </c>
      <c r="AX215" s="615" t="s">
        <v>207</v>
      </c>
      <c r="AY215" s="635" t="s">
        <v>578</v>
      </c>
      <c r="BA215" s="617"/>
      <c r="BB215" s="617"/>
      <c r="BC215" s="618" t="s">
        <v>209</v>
      </c>
      <c r="BE215" s="608">
        <v>45862</v>
      </c>
      <c r="BF215" s="609" t="s">
        <v>1533</v>
      </c>
      <c r="BG215" s="286" t="s">
        <v>1573</v>
      </c>
      <c r="BH215" s="698" t="s">
        <v>205</v>
      </c>
      <c r="BI215" s="612" t="s">
        <v>206</v>
      </c>
      <c r="BJ215" s="283" t="s">
        <v>535</v>
      </c>
      <c r="BL215" s="450">
        <v>45869</v>
      </c>
      <c r="BM215" s="449" t="s">
        <v>215</v>
      </c>
      <c r="BN215" s="283" t="s">
        <v>231</v>
      </c>
      <c r="BP215" s="617"/>
      <c r="BQ215" s="617"/>
      <c r="BR215" s="618" t="s">
        <v>209</v>
      </c>
      <c r="BT215" s="483">
        <v>45947</v>
      </c>
      <c r="BU215" s="484" t="s">
        <v>1535</v>
      </c>
      <c r="BV215" s="286" t="s">
        <v>1574</v>
      </c>
      <c r="BW215" s="722" t="s">
        <v>205</v>
      </c>
      <c r="BX215" s="612" t="s">
        <v>206</v>
      </c>
      <c r="BY215" s="283" t="s">
        <v>535</v>
      </c>
      <c r="CA215" s="614">
        <v>45986</v>
      </c>
      <c r="CB215" s="616" t="s">
        <v>218</v>
      </c>
      <c r="CC215" s="643" t="s">
        <v>233</v>
      </c>
      <c r="CE215" s="617"/>
      <c r="CF215" s="617"/>
      <c r="CG215" s="618" t="s">
        <v>209</v>
      </c>
      <c r="CH215" s="192"/>
      <c r="CI215" s="558"/>
      <c r="CJ215" s="558"/>
      <c r="CK215" s="559" t="s">
        <v>209</v>
      </c>
      <c r="CL215" s="558"/>
      <c r="CM215" s="558"/>
      <c r="CN215" s="558"/>
      <c r="CO215" s="553"/>
      <c r="CP215" s="558"/>
      <c r="CQ215" s="558"/>
      <c r="CR215" s="559" t="s">
        <v>209</v>
      </c>
      <c r="CS215" s="553"/>
      <c r="CT215" s="558"/>
      <c r="CU215" s="558"/>
      <c r="CV215" s="559" t="s">
        <v>209</v>
      </c>
    </row>
    <row r="216" spans="1:100" ht="151.5" customHeight="1" x14ac:dyDescent="0.3">
      <c r="A216" s="632">
        <v>98</v>
      </c>
      <c r="B216" s="632" t="s">
        <v>1575</v>
      </c>
      <c r="C216" s="633" t="s">
        <v>1576</v>
      </c>
      <c r="D216" s="585" t="str">
        <f>IFERROR(INDEX('Base de datos gestión'!$D$28:$D$50,MATCH(C215,'Base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216" s="585" t="str">
        <f>IFERROR(INDEX('Base de datos gestión'!$E$28:$E$50,MATCH(C215,'Base de datos gestión'!$C$28:$C$50,0)), 0)</f>
        <v>Inicia con la radicación de solicitud de contratación y finaliza con la terminación de la relación contractual.</v>
      </c>
      <c r="F216" s="628" t="s">
        <v>276</v>
      </c>
      <c r="G216" s="629" t="s">
        <v>1577</v>
      </c>
      <c r="H216" s="628" t="s">
        <v>1578</v>
      </c>
      <c r="I216" s="631" t="s">
        <v>1579</v>
      </c>
      <c r="J216" s="637" t="s">
        <v>280</v>
      </c>
      <c r="K216" s="702" t="s">
        <v>311</v>
      </c>
      <c r="L216" s="630">
        <v>1500</v>
      </c>
      <c r="M216" s="588" t="str">
        <f t="shared" si="56"/>
        <v>Alta</v>
      </c>
      <c r="N216" s="589">
        <f t="shared" si="64"/>
        <v>0.8</v>
      </c>
      <c r="O216" s="590" t="s">
        <v>248</v>
      </c>
      <c r="P216" s="589" t="str">
        <f>IF(NOT(ISERROR(MATCH(O216,'Tabla Impacto'!$B$222:$B$224,0))),'Tabla Impacto'!$F$224&amp;"Por favor no seleccionar los criterios de impacto(Afectación Económica o presupuestal y Pérdida Reputacional)",O216)</f>
        <v xml:space="preserve">     El riesgo afecta la imagen de la entidad con algunos usuarios de relevancia frente al logro de los objetivos</v>
      </c>
      <c r="Q216" s="591" t="str">
        <f>IF(OR(P216='[8]Tabla Impacto'!$C$12,P216='[8]Tabla Impacto'!$D$12),"Leve",IF(OR(P216='[8]Tabla Impacto'!$C$13,P216='[8]Tabla Impacto'!$D$13),"Menor",IF(OR(P216='[8]Tabla Impacto'!$C$14,P216='[8]Tabla Impacto'!$D$14),"Moderado",IF(OR(P216='[8]Tabla Impacto'!$C$15,P216='[8]Tabla Impacto'!$D$15),"Mayor",IF(OR(P216='[8]Tabla Impacto'!$C$16,P216='[8]Tabla Impacto'!$D$16),"Catastrófico","")))))</f>
        <v>Moderado</v>
      </c>
      <c r="R216" s="590">
        <f t="shared" si="57"/>
        <v>0.6</v>
      </c>
      <c r="S216" s="592" t="str">
        <f t="shared" si="58"/>
        <v>Alto</v>
      </c>
      <c r="T216" s="595">
        <v>1</v>
      </c>
      <c r="U216" s="631" t="s">
        <v>1580</v>
      </c>
      <c r="V216" s="595" t="str">
        <f t="shared" si="54"/>
        <v>Probabilidad</v>
      </c>
      <c r="W216" s="596" t="s">
        <v>197</v>
      </c>
      <c r="X216" s="596" t="s">
        <v>454</v>
      </c>
      <c r="Y216" s="597" t="str">
        <f t="shared" si="65"/>
        <v>50%</v>
      </c>
      <c r="Z216" s="596" t="s">
        <v>259</v>
      </c>
      <c r="AA216" s="596" t="s">
        <v>200</v>
      </c>
      <c r="AB216" s="596" t="s">
        <v>201</v>
      </c>
      <c r="AC216" s="598">
        <f>IFERROR(IF(AND(V215="Probabilidad",V216="Probabilidad"),(AE215-(+AE215*Y216)),IF(AND(V215="Impacto",V216="Probabilidad"),(AE214-(+AE214*Y216)),IF(V216="Impacto",AE215,""))),"")</f>
        <v>3.1752000000000002E-2</v>
      </c>
      <c r="AD216" s="599" t="str">
        <f t="shared" si="66"/>
        <v>Muy Baja</v>
      </c>
      <c r="AE216" s="600">
        <f t="shared" si="67"/>
        <v>3.1752000000000002E-2</v>
      </c>
      <c r="AF216" s="599" t="str">
        <f t="shared" si="68"/>
        <v>Mayor</v>
      </c>
      <c r="AG216" s="600">
        <f>IFERROR(IF(AND(V215="Impacto",V216="Impacto"),(AG215-(+AG215*Y216)),IF(AND(V215="Probabilidad",V216="Impacto"),(AG214-(+AG214*Y216)),IF(V216="Probabilidad",AG215,""))),"")</f>
        <v>0.8</v>
      </c>
      <c r="AH216" s="601" t="str">
        <f t="shared" si="69"/>
        <v>Alto</v>
      </c>
      <c r="AI216" s="602" t="s">
        <v>202</v>
      </c>
      <c r="AJ216" s="603"/>
      <c r="AK216" s="603"/>
      <c r="AL216" s="604"/>
      <c r="AM216" s="605"/>
      <c r="AN216" s="606"/>
      <c r="AO216" s="607"/>
      <c r="AP216" s="608">
        <v>45757</v>
      </c>
      <c r="AQ216" s="609" t="s">
        <v>1174</v>
      </c>
      <c r="AR216" s="286" t="s">
        <v>1581</v>
      </c>
      <c r="AS216" s="698" t="s">
        <v>205</v>
      </c>
      <c r="AT216" s="612" t="s">
        <v>206</v>
      </c>
      <c r="AU216" s="283" t="s">
        <v>535</v>
      </c>
      <c r="AV216" s="613"/>
      <c r="AW216" s="614">
        <v>45782</v>
      </c>
      <c r="AX216" s="615" t="s">
        <v>207</v>
      </c>
      <c r="AY216" s="635" t="s">
        <v>578</v>
      </c>
      <c r="BA216" s="617"/>
      <c r="BB216" s="617"/>
      <c r="BC216" s="618" t="s">
        <v>209</v>
      </c>
      <c r="BE216" s="614">
        <v>45854</v>
      </c>
      <c r="BF216" s="609" t="s">
        <v>1174</v>
      </c>
      <c r="BG216" s="286" t="s">
        <v>1582</v>
      </c>
      <c r="BH216" s="615" t="s">
        <v>205</v>
      </c>
      <c r="BI216" s="612" t="s">
        <v>206</v>
      </c>
      <c r="BJ216" s="283" t="s">
        <v>535</v>
      </c>
      <c r="BL216" s="450">
        <v>45861</v>
      </c>
      <c r="BM216" s="676" t="s">
        <v>215</v>
      </c>
      <c r="BN216" s="283" t="s">
        <v>1228</v>
      </c>
      <c r="BP216" s="617"/>
      <c r="BQ216" s="617"/>
      <c r="BR216" s="618" t="s">
        <v>209</v>
      </c>
      <c r="BT216" s="668">
        <v>45945</v>
      </c>
      <c r="BU216" s="617" t="s">
        <v>1583</v>
      </c>
      <c r="BV216" s="286" t="s">
        <v>1582</v>
      </c>
      <c r="BW216" s="617" t="s">
        <v>205</v>
      </c>
      <c r="BX216" s="617" t="s">
        <v>206</v>
      </c>
      <c r="BY216" s="617" t="s">
        <v>206</v>
      </c>
      <c r="CA216" s="614">
        <v>45987</v>
      </c>
      <c r="CB216" s="616" t="s">
        <v>218</v>
      </c>
      <c r="CC216" s="283" t="s">
        <v>1584</v>
      </c>
      <c r="CE216" s="617"/>
      <c r="CF216" s="617"/>
      <c r="CG216" s="618" t="s">
        <v>209</v>
      </c>
      <c r="CH216" s="192"/>
      <c r="CI216" s="558"/>
      <c r="CJ216" s="558"/>
      <c r="CK216" s="559" t="s">
        <v>209</v>
      </c>
      <c r="CL216" s="558"/>
      <c r="CM216" s="558"/>
      <c r="CN216" s="558"/>
      <c r="CO216" s="553"/>
      <c r="CP216" s="558"/>
      <c r="CQ216" s="558"/>
      <c r="CR216" s="559" t="s">
        <v>209</v>
      </c>
      <c r="CS216" s="553"/>
      <c r="CT216" s="558"/>
      <c r="CU216" s="558"/>
      <c r="CV216" s="559" t="s">
        <v>209</v>
      </c>
    </row>
    <row r="217" spans="1:100" ht="151.5" customHeight="1" x14ac:dyDescent="0.3">
      <c r="A217" s="584">
        <v>98</v>
      </c>
      <c r="B217" s="584" t="s">
        <v>1575</v>
      </c>
      <c r="C217" s="585" t="s">
        <v>1576</v>
      </c>
      <c r="D217" s="585" t="str">
        <f>IFERROR(INDEX('Base de datos gestión'!$D$28:$D$50,MATCH(C216,'Base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17" s="585" t="str">
        <f>IFERROR(INDEX('Base de datos gestión'!$E$28:$E$50,MATCH(C216,'Base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17" s="628" t="s">
        <v>276</v>
      </c>
      <c r="G217" s="629" t="s">
        <v>1577</v>
      </c>
      <c r="H217" s="628" t="s">
        <v>1578</v>
      </c>
      <c r="I217" s="631" t="s">
        <v>1585</v>
      </c>
      <c r="J217" s="637" t="s">
        <v>280</v>
      </c>
      <c r="K217" s="702" t="s">
        <v>311</v>
      </c>
      <c r="L217" s="630">
        <v>1500</v>
      </c>
      <c r="M217" s="588" t="str">
        <f t="shared" si="56"/>
        <v>Alta</v>
      </c>
      <c r="N217" s="589">
        <f t="shared" si="64"/>
        <v>0.8</v>
      </c>
      <c r="O217" s="590" t="s">
        <v>248</v>
      </c>
      <c r="P217" s="589" t="str">
        <f>IF(NOT(ISERROR(MATCH(O217,'Tabla Impacto'!$B$222:$B$224,0))),'Tabla Impacto'!$F$224&amp;"Por favor no seleccionar los criterios de impacto(Afectación Económica o presupuestal y Pérdida Reputacional)",O217)</f>
        <v xml:space="preserve">     El riesgo afecta la imagen de la entidad con algunos usuarios de relevancia frente al logro de los objetivos</v>
      </c>
      <c r="Q217" s="591" t="str">
        <f>IF(OR(P217='[8]Tabla Impacto'!$C$12,P217='[8]Tabla Impacto'!$D$12),"Leve",IF(OR(P217='[8]Tabla Impacto'!$C$13,P217='[8]Tabla Impacto'!$D$13),"Menor",IF(OR(P217='[8]Tabla Impacto'!$C$14,P217='[8]Tabla Impacto'!$D$14),"Moderado",IF(OR(P217='[8]Tabla Impacto'!$C$15,P217='[8]Tabla Impacto'!$D$15),"Mayor",IF(OR(P217='[8]Tabla Impacto'!$C$16,P217='[8]Tabla Impacto'!$D$16),"Catastrófico","")))))</f>
        <v>Moderado</v>
      </c>
      <c r="R217" s="590">
        <f t="shared" si="57"/>
        <v>0.6</v>
      </c>
      <c r="S217" s="592" t="str">
        <f t="shared" si="58"/>
        <v>Alto</v>
      </c>
      <c r="T217" s="595">
        <v>2</v>
      </c>
      <c r="U217" s="631" t="s">
        <v>1586</v>
      </c>
      <c r="V217" s="595" t="str">
        <f t="shared" si="54"/>
        <v>Probabilidad</v>
      </c>
      <c r="W217" s="596" t="s">
        <v>269</v>
      </c>
      <c r="X217" s="596" t="s">
        <v>454</v>
      </c>
      <c r="Y217" s="597" t="str">
        <f t="shared" si="65"/>
        <v>40%</v>
      </c>
      <c r="Z217" s="596" t="s">
        <v>259</v>
      </c>
      <c r="AA217" s="596" t="s">
        <v>200</v>
      </c>
      <c r="AB217" s="596" t="s">
        <v>201</v>
      </c>
      <c r="AC217" s="598">
        <f>IFERROR(IF(V217="Probabilidad",(N217-(+N217*Y217)),IF(V217="Impacto",N217,"")),"")</f>
        <v>0.48</v>
      </c>
      <c r="AD217" s="599" t="str">
        <f t="shared" si="66"/>
        <v>Media</v>
      </c>
      <c r="AE217" s="600">
        <f t="shared" si="67"/>
        <v>0.48</v>
      </c>
      <c r="AF217" s="599" t="str">
        <f t="shared" si="68"/>
        <v>Moderado</v>
      </c>
      <c r="AG217" s="600">
        <f>IFERROR(IF(V217="Impacto",(R217-(+R217*Y217)),IF(V217="Probabilidad",R217,"")),"")</f>
        <v>0.6</v>
      </c>
      <c r="AH217" s="601" t="str">
        <f t="shared" si="69"/>
        <v>Moderado</v>
      </c>
      <c r="AI217" s="602" t="s">
        <v>202</v>
      </c>
      <c r="AJ217" s="603"/>
      <c r="AK217" s="603"/>
      <c r="AL217" s="604"/>
      <c r="AM217" s="605"/>
      <c r="AN217" s="606"/>
      <c r="AO217" s="607"/>
      <c r="AP217" s="608">
        <v>45757</v>
      </c>
      <c r="AQ217" s="609" t="s">
        <v>1174</v>
      </c>
      <c r="AR217" s="724" t="s">
        <v>1587</v>
      </c>
      <c r="AS217" s="698" t="s">
        <v>205</v>
      </c>
      <c r="AT217" s="612" t="s">
        <v>206</v>
      </c>
      <c r="AU217" s="283" t="s">
        <v>535</v>
      </c>
      <c r="AV217" s="613"/>
      <c r="AW217" s="614">
        <v>45782</v>
      </c>
      <c r="AX217" s="615" t="s">
        <v>207</v>
      </c>
      <c r="AY217" s="635" t="s">
        <v>578</v>
      </c>
      <c r="BA217" s="617"/>
      <c r="BB217" s="617"/>
      <c r="BC217" s="618" t="s">
        <v>209</v>
      </c>
      <c r="BE217" s="614">
        <v>45854</v>
      </c>
      <c r="BF217" s="609" t="s">
        <v>1174</v>
      </c>
      <c r="BG217" s="724" t="s">
        <v>1588</v>
      </c>
      <c r="BH217" s="722" t="s">
        <v>205</v>
      </c>
      <c r="BI217" s="612" t="s">
        <v>206</v>
      </c>
      <c r="BJ217" s="283" t="s">
        <v>535</v>
      </c>
      <c r="BL217" s="450">
        <v>45861</v>
      </c>
      <c r="BM217" s="676" t="s">
        <v>215</v>
      </c>
      <c r="BN217" s="283" t="s">
        <v>1228</v>
      </c>
      <c r="BP217" s="617"/>
      <c r="BQ217" s="617"/>
      <c r="BR217" s="618" t="s">
        <v>209</v>
      </c>
      <c r="BT217" s="668">
        <v>45945</v>
      </c>
      <c r="BU217" s="617" t="s">
        <v>1583</v>
      </c>
      <c r="BV217" s="724" t="s">
        <v>1588</v>
      </c>
      <c r="BW217" s="617" t="s">
        <v>205</v>
      </c>
      <c r="BX217" s="617" t="s">
        <v>206</v>
      </c>
      <c r="BY217" s="617" t="s">
        <v>206</v>
      </c>
      <c r="CA217" s="614">
        <v>45987</v>
      </c>
      <c r="CB217" s="616" t="s">
        <v>218</v>
      </c>
      <c r="CC217" s="283" t="s">
        <v>1584</v>
      </c>
      <c r="CE217" s="617"/>
      <c r="CF217" s="617"/>
      <c r="CG217" s="618" t="s">
        <v>209</v>
      </c>
      <c r="CH217" s="192"/>
      <c r="CI217" s="558"/>
      <c r="CJ217" s="558"/>
      <c r="CK217" s="559" t="s">
        <v>209</v>
      </c>
      <c r="CL217" s="558"/>
      <c r="CM217" s="558"/>
      <c r="CN217" s="558"/>
      <c r="CO217" s="553"/>
      <c r="CP217" s="558"/>
      <c r="CQ217" s="558"/>
      <c r="CR217" s="559" t="s">
        <v>209</v>
      </c>
      <c r="CS217" s="553"/>
      <c r="CT217" s="558"/>
      <c r="CU217" s="558"/>
      <c r="CV217" s="559" t="s">
        <v>209</v>
      </c>
    </row>
    <row r="218" spans="1:100" ht="151.5" customHeight="1" x14ac:dyDescent="0.3">
      <c r="A218" s="622">
        <v>98</v>
      </c>
      <c r="B218" s="622" t="s">
        <v>1575</v>
      </c>
      <c r="C218" s="623" t="s">
        <v>1576</v>
      </c>
      <c r="D218" s="585" t="str">
        <f>IFERROR(INDEX('Base de datos gestión'!$D$28:$D$50,MATCH(C217,'Base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18" s="585" t="str">
        <f>IFERROR(INDEX('Base de datos gestión'!$E$28:$E$50,MATCH(C217,'Base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18" s="628" t="s">
        <v>276</v>
      </c>
      <c r="G218" s="629" t="s">
        <v>1577</v>
      </c>
      <c r="H218" s="628" t="s">
        <v>1578</v>
      </c>
      <c r="I218" s="629" t="s">
        <v>1589</v>
      </c>
      <c r="J218" s="637" t="s">
        <v>280</v>
      </c>
      <c r="K218" s="702" t="s">
        <v>311</v>
      </c>
      <c r="L218" s="630">
        <v>1500</v>
      </c>
      <c r="M218" s="588" t="str">
        <f t="shared" si="56"/>
        <v>Alta</v>
      </c>
      <c r="N218" s="589">
        <f t="shared" si="64"/>
        <v>0.8</v>
      </c>
      <c r="O218" s="590" t="s">
        <v>248</v>
      </c>
      <c r="P218" s="589" t="str">
        <f>IF(NOT(ISERROR(MATCH(O218,'Tabla Impacto'!$B$222:$B$224,0))),'Tabla Impacto'!$F$224&amp;"Por favor no seleccionar los criterios de impacto(Afectación Económica o presupuestal y Pérdida Reputacional)",O218)</f>
        <v xml:space="preserve">     El riesgo afecta la imagen de la entidad con algunos usuarios de relevancia frente al logro de los objetivos</v>
      </c>
      <c r="Q218" s="591" t="str">
        <f>IF(OR(P218='[8]Tabla Impacto'!$C$12,P218='[8]Tabla Impacto'!$D$12),"Leve",IF(OR(P218='[8]Tabla Impacto'!$C$13,P218='[8]Tabla Impacto'!$D$13),"Menor",IF(OR(P218='[8]Tabla Impacto'!$C$14,P218='[8]Tabla Impacto'!$D$14),"Moderado",IF(OR(P218='[8]Tabla Impacto'!$C$15,P218='[8]Tabla Impacto'!$D$15),"Mayor",IF(OR(P218='[8]Tabla Impacto'!$C$16,P218='[8]Tabla Impacto'!$D$16),"Catastrófico","")))))</f>
        <v>Moderado</v>
      </c>
      <c r="R218" s="590">
        <f t="shared" si="57"/>
        <v>0.6</v>
      </c>
      <c r="S218" s="592" t="str">
        <f t="shared" si="58"/>
        <v>Alto</v>
      </c>
      <c r="T218" s="595">
        <v>3</v>
      </c>
      <c r="U218" s="631" t="s">
        <v>1590</v>
      </c>
      <c r="V218" s="595" t="str">
        <f t="shared" si="54"/>
        <v>Probabilidad</v>
      </c>
      <c r="W218" s="596" t="s">
        <v>269</v>
      </c>
      <c r="X218" s="596" t="s">
        <v>198</v>
      </c>
      <c r="Y218" s="597" t="str">
        <f t="shared" si="65"/>
        <v>30%</v>
      </c>
      <c r="Z218" s="596" t="s">
        <v>259</v>
      </c>
      <c r="AA218" s="596" t="s">
        <v>200</v>
      </c>
      <c r="AB218" s="596" t="s">
        <v>201</v>
      </c>
      <c r="AC218" s="598">
        <f>IFERROR(IF(AND(V217="Probabilidad",V218="Probabilidad"),(AE217-(+AE217*Y218)),IF(V218="Probabilidad",(N217-(+N217*Y218)),IF(V218="Impacto",AE217,""))),"")</f>
        <v>0.33599999999999997</v>
      </c>
      <c r="AD218" s="599" t="str">
        <f t="shared" si="66"/>
        <v>Baja</v>
      </c>
      <c r="AE218" s="600">
        <f t="shared" si="67"/>
        <v>0.33599999999999997</v>
      </c>
      <c r="AF218" s="599" t="str">
        <f t="shared" si="68"/>
        <v>Moderado</v>
      </c>
      <c r="AG218" s="600">
        <f>IFERROR(IF(AND(V217="Impacto",V218="Impacto"),(AG211-(+AG211*Y218)),IF(V218="Impacto",($R$49-(+$R$49*Y218)),IF(V218="Probabilidad",AG211,""))),"")</f>
        <v>0.6</v>
      </c>
      <c r="AH218" s="601" t="str">
        <f t="shared" si="69"/>
        <v>Moderado</v>
      </c>
      <c r="AI218" s="602" t="s">
        <v>202</v>
      </c>
      <c r="AJ218" s="603"/>
      <c r="AK218" s="603"/>
      <c r="AL218" s="604"/>
      <c r="AM218" s="605"/>
      <c r="AN218" s="606"/>
      <c r="AO218" s="607"/>
      <c r="AP218" s="608">
        <v>45757</v>
      </c>
      <c r="AQ218" s="609" t="s">
        <v>1174</v>
      </c>
      <c r="AR218" s="724" t="s">
        <v>1591</v>
      </c>
      <c r="AS218" s="698" t="s">
        <v>205</v>
      </c>
      <c r="AT218" s="612" t="s">
        <v>206</v>
      </c>
      <c r="AU218" s="283" t="s">
        <v>535</v>
      </c>
      <c r="AV218" s="613"/>
      <c r="AW218" s="614">
        <v>45782</v>
      </c>
      <c r="AX218" s="615" t="s">
        <v>207</v>
      </c>
      <c r="AY218" s="635" t="s">
        <v>578</v>
      </c>
      <c r="BA218" s="617"/>
      <c r="BB218" s="617"/>
      <c r="BC218" s="618" t="s">
        <v>209</v>
      </c>
      <c r="BE218" s="614">
        <v>45854</v>
      </c>
      <c r="BF218" s="609" t="s">
        <v>1174</v>
      </c>
      <c r="BG218" s="724" t="s">
        <v>1592</v>
      </c>
      <c r="BH218" s="722" t="s">
        <v>205</v>
      </c>
      <c r="BI218" s="612" t="s">
        <v>206</v>
      </c>
      <c r="BJ218" s="283" t="s">
        <v>535</v>
      </c>
      <c r="BL218" s="450">
        <v>45861</v>
      </c>
      <c r="BM218" s="676" t="s">
        <v>215</v>
      </c>
      <c r="BN218" s="283" t="s">
        <v>1228</v>
      </c>
      <c r="BP218" s="617"/>
      <c r="BQ218" s="617"/>
      <c r="BR218" s="618" t="s">
        <v>209</v>
      </c>
      <c r="BT218" s="668">
        <v>45945</v>
      </c>
      <c r="BU218" s="617" t="s">
        <v>1583</v>
      </c>
      <c r="BV218" s="724" t="s">
        <v>1593</v>
      </c>
      <c r="BW218" s="617" t="s">
        <v>205</v>
      </c>
      <c r="BX218" s="617" t="s">
        <v>206</v>
      </c>
      <c r="BY218" s="617" t="s">
        <v>206</v>
      </c>
      <c r="CA218" s="614">
        <v>45987</v>
      </c>
      <c r="CB218" s="616" t="s">
        <v>218</v>
      </c>
      <c r="CC218" s="283" t="s">
        <v>1584</v>
      </c>
      <c r="CE218" s="617"/>
      <c r="CF218" s="617"/>
      <c r="CG218" s="618" t="s">
        <v>209</v>
      </c>
      <c r="CH218" s="192"/>
      <c r="CI218" s="558"/>
      <c r="CJ218" s="558"/>
      <c r="CK218" s="559" t="s">
        <v>209</v>
      </c>
      <c r="CL218" s="558"/>
      <c r="CM218" s="558"/>
      <c r="CN218" s="558"/>
      <c r="CO218" s="553"/>
      <c r="CP218" s="558"/>
      <c r="CQ218" s="558"/>
      <c r="CR218" s="559" t="s">
        <v>209</v>
      </c>
      <c r="CS218" s="553"/>
      <c r="CT218" s="558"/>
      <c r="CU218" s="558"/>
      <c r="CV218" s="559" t="s">
        <v>209</v>
      </c>
    </row>
    <row r="219" spans="1:100" ht="151.5" customHeight="1" x14ac:dyDescent="0.3">
      <c r="A219" s="622">
        <v>98</v>
      </c>
      <c r="B219" s="622" t="s">
        <v>1575</v>
      </c>
      <c r="C219" s="623" t="s">
        <v>1576</v>
      </c>
      <c r="D219" s="585" t="str">
        <f>IFERROR(INDEX('Base de datos gestión'!$D$28:$D$50,MATCH(C218,'Base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19" s="585" t="str">
        <f>IFERROR(INDEX('Base de datos gestión'!$E$28:$E$50,MATCH(C218,'Base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19" s="628" t="s">
        <v>276</v>
      </c>
      <c r="G219" s="629" t="s">
        <v>1577</v>
      </c>
      <c r="H219" s="630" t="s">
        <v>654</v>
      </c>
      <c r="I219" s="721" t="s">
        <v>1578</v>
      </c>
      <c r="J219" s="637" t="s">
        <v>280</v>
      </c>
      <c r="K219" s="702" t="s">
        <v>311</v>
      </c>
      <c r="L219" s="630">
        <v>1500</v>
      </c>
      <c r="M219" s="588" t="str">
        <f t="shared" si="56"/>
        <v>Alta</v>
      </c>
      <c r="N219" s="589">
        <f t="shared" si="64"/>
        <v>0.8</v>
      </c>
      <c r="O219" s="590" t="s">
        <v>248</v>
      </c>
      <c r="P219" s="589" t="str">
        <f>IF(NOT(ISERROR(MATCH(O219,'Tabla Impacto'!$B$222:$B$224,0))),'Tabla Impacto'!$F$224&amp;"Por favor no seleccionar los criterios de impacto(Afectación Económica o presupuestal y Pérdida Reputacional)",O219)</f>
        <v xml:space="preserve">     El riesgo afecta la imagen de la entidad con algunos usuarios de relevancia frente al logro de los objetivos</v>
      </c>
      <c r="Q219" s="591" t="str">
        <f>IF(OR(P219='[8]Tabla Impacto'!$C$12,P219='[8]Tabla Impacto'!$D$12),"Leve",IF(OR(P219='[8]Tabla Impacto'!$C$13,P219='[8]Tabla Impacto'!$D$13),"Menor",IF(OR(P219='[8]Tabla Impacto'!$C$14,P219='[8]Tabla Impacto'!$D$14),"Moderado",IF(OR(P219='[8]Tabla Impacto'!$C$15,P219='[8]Tabla Impacto'!$D$15),"Mayor",IF(OR(P219='[8]Tabla Impacto'!$C$16,P219='[8]Tabla Impacto'!$D$16),"Catastrófico","")))))</f>
        <v>Moderado</v>
      </c>
      <c r="R219" s="590">
        <f t="shared" si="57"/>
        <v>0.6</v>
      </c>
      <c r="S219" s="592" t="str">
        <f t="shared" si="58"/>
        <v>Alto</v>
      </c>
      <c r="T219" s="595">
        <v>4</v>
      </c>
      <c r="U219" s="631" t="s">
        <v>1594</v>
      </c>
      <c r="V219" s="595" t="str">
        <f t="shared" si="54"/>
        <v>Probabilidad</v>
      </c>
      <c r="W219" s="596" t="s">
        <v>269</v>
      </c>
      <c r="X219" s="596" t="s">
        <v>198</v>
      </c>
      <c r="Y219" s="597" t="str">
        <f t="shared" si="65"/>
        <v>30%</v>
      </c>
      <c r="Z219" s="596" t="s">
        <v>259</v>
      </c>
      <c r="AA219" s="596" t="s">
        <v>200</v>
      </c>
      <c r="AB219" s="596" t="s">
        <v>201</v>
      </c>
      <c r="AC219" s="598">
        <f>IFERROR(IF(AND(V218="Probabilidad",V219="Probabilidad"),(AE218-(+AE218*Y219)),IF(AND(V218="Impacto",V219="Probabilidad"),(AE217-(+AE217*Y219)),IF(V219="Impacto",AE218,""))),"")</f>
        <v>0.23519999999999996</v>
      </c>
      <c r="AD219" s="599" t="str">
        <f t="shared" si="66"/>
        <v>Baja</v>
      </c>
      <c r="AE219" s="600">
        <f t="shared" si="67"/>
        <v>0.23519999999999996</v>
      </c>
      <c r="AF219" s="599" t="str">
        <f t="shared" si="68"/>
        <v>Moderado</v>
      </c>
      <c r="AG219" s="600">
        <f>IFERROR(IF(AND(V218="Impacto",V219="Impacto"),(AG218-(+AG218*Y219)),IF(AND(V218="Probabilidad",V219="Impacto"),(AG217-(+AG217*Y219)),IF(V219="Probabilidad",AG218,""))),"")</f>
        <v>0.6</v>
      </c>
      <c r="AH219" s="601" t="str">
        <f t="shared" si="69"/>
        <v>Moderado</v>
      </c>
      <c r="AI219" s="602" t="s">
        <v>202</v>
      </c>
      <c r="AJ219" s="603"/>
      <c r="AK219" s="603"/>
      <c r="AL219" s="604"/>
      <c r="AM219" s="605"/>
      <c r="AN219" s="606"/>
      <c r="AO219" s="607"/>
      <c r="AP219" s="608">
        <v>45757</v>
      </c>
      <c r="AQ219" s="609" t="s">
        <v>1174</v>
      </c>
      <c r="AR219" s="724" t="s">
        <v>1595</v>
      </c>
      <c r="AS219" s="698" t="s">
        <v>205</v>
      </c>
      <c r="AT219" s="612" t="s">
        <v>206</v>
      </c>
      <c r="AU219" s="283" t="s">
        <v>535</v>
      </c>
      <c r="AV219" s="613"/>
      <c r="AW219" s="614">
        <v>45782</v>
      </c>
      <c r="AX219" s="615" t="s">
        <v>207</v>
      </c>
      <c r="AY219" s="635" t="s">
        <v>578</v>
      </c>
      <c r="BA219" s="617"/>
      <c r="BB219" s="617"/>
      <c r="BC219" s="618" t="s">
        <v>209</v>
      </c>
      <c r="BE219" s="614">
        <v>45854</v>
      </c>
      <c r="BF219" s="609" t="s">
        <v>1174</v>
      </c>
      <c r="BG219" s="725" t="s">
        <v>1596</v>
      </c>
      <c r="BH219" s="698" t="s">
        <v>212</v>
      </c>
      <c r="BI219" s="285" t="s">
        <v>629</v>
      </c>
      <c r="BJ219" s="713" t="s">
        <v>1597</v>
      </c>
      <c r="BL219" s="450">
        <v>45869</v>
      </c>
      <c r="BM219" s="449" t="s">
        <v>215</v>
      </c>
      <c r="BN219" s="283" t="s">
        <v>1598</v>
      </c>
      <c r="BP219" s="617"/>
      <c r="BQ219" s="617"/>
      <c r="BR219" s="618" t="s">
        <v>209</v>
      </c>
      <c r="BT219" s="668">
        <v>45945</v>
      </c>
      <c r="BU219" s="617" t="s">
        <v>1583</v>
      </c>
      <c r="BV219" s="724" t="s">
        <v>1599</v>
      </c>
      <c r="BW219" s="617" t="s">
        <v>205</v>
      </c>
      <c r="BX219" s="617" t="s">
        <v>206</v>
      </c>
      <c r="BY219" s="617" t="s">
        <v>206</v>
      </c>
      <c r="CA219" s="614">
        <v>45987</v>
      </c>
      <c r="CB219" s="616" t="s">
        <v>218</v>
      </c>
      <c r="CC219" s="283" t="s">
        <v>1584</v>
      </c>
      <c r="CE219" s="617"/>
      <c r="CF219" s="617"/>
      <c r="CG219" s="618" t="s">
        <v>209</v>
      </c>
      <c r="CH219" s="192"/>
      <c r="CI219" s="558"/>
      <c r="CJ219" s="558"/>
      <c r="CK219" s="559" t="s">
        <v>209</v>
      </c>
      <c r="CL219" s="558"/>
      <c r="CM219" s="558"/>
      <c r="CN219" s="558"/>
      <c r="CO219" s="553"/>
      <c r="CP219" s="558"/>
      <c r="CQ219" s="558"/>
      <c r="CR219" s="559" t="s">
        <v>209</v>
      </c>
      <c r="CS219" s="553"/>
      <c r="CT219" s="558"/>
      <c r="CU219" s="558"/>
      <c r="CV219" s="559" t="s">
        <v>209</v>
      </c>
    </row>
    <row r="220" spans="1:100" ht="151.5" customHeight="1" x14ac:dyDescent="0.3">
      <c r="A220" s="622">
        <v>98</v>
      </c>
      <c r="B220" s="622" t="s">
        <v>1575</v>
      </c>
      <c r="C220" s="623" t="s">
        <v>1576</v>
      </c>
      <c r="D220" s="585" t="str">
        <f>IFERROR(INDEX('Base de datos gestión'!$D$28:$D$50,MATCH(C219,'Base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0" s="585" t="str">
        <f>IFERROR(INDEX('Base de datos gestión'!$E$28:$E$50,MATCH(C219,'Base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0" s="628" t="s">
        <v>276</v>
      </c>
      <c r="G220" s="629" t="s">
        <v>1577</v>
      </c>
      <c r="H220" s="628" t="s">
        <v>1578</v>
      </c>
      <c r="I220" s="631" t="s">
        <v>1600</v>
      </c>
      <c r="J220" s="637" t="s">
        <v>280</v>
      </c>
      <c r="K220" s="702" t="s">
        <v>311</v>
      </c>
      <c r="L220" s="630">
        <v>1500</v>
      </c>
      <c r="M220" s="588" t="str">
        <f t="shared" si="56"/>
        <v>Alta</v>
      </c>
      <c r="N220" s="589">
        <f t="shared" si="64"/>
        <v>0.8</v>
      </c>
      <c r="O220" s="590" t="s">
        <v>248</v>
      </c>
      <c r="P220" s="589" t="str">
        <f>IF(NOT(ISERROR(MATCH(O220,'Tabla Impacto'!$B$222:$B$224,0))),'Tabla Impacto'!$F$224&amp;"Por favor no seleccionar los criterios de impacto(Afectación Económica o presupuestal y Pérdida Reputacional)",O220)</f>
        <v xml:space="preserve">     El riesgo afecta la imagen de la entidad con algunos usuarios de relevancia frente al logro de los objetivos</v>
      </c>
      <c r="Q220" s="591" t="str">
        <f>IF(OR(P220='[8]Tabla Impacto'!$C$12,P220='[8]Tabla Impacto'!$D$12),"Leve",IF(OR(P220='[8]Tabla Impacto'!$C$13,P220='[8]Tabla Impacto'!$D$13),"Menor",IF(OR(P220='[8]Tabla Impacto'!$C$14,P220='[8]Tabla Impacto'!$D$14),"Moderado",IF(OR(P220='[8]Tabla Impacto'!$C$15,P220='[8]Tabla Impacto'!$D$15),"Mayor",IF(OR(P220='[8]Tabla Impacto'!$C$16,P220='[8]Tabla Impacto'!$D$16),"Catastrófico","")))))</f>
        <v>Moderado</v>
      </c>
      <c r="R220" s="590">
        <f t="shared" si="57"/>
        <v>0.6</v>
      </c>
      <c r="S220" s="592" t="str">
        <f t="shared" si="58"/>
        <v>Alto</v>
      </c>
      <c r="T220" s="595">
        <v>5</v>
      </c>
      <c r="U220" s="631" t="s">
        <v>1601</v>
      </c>
      <c r="V220" s="595" t="str">
        <f t="shared" si="54"/>
        <v>Probabilidad</v>
      </c>
      <c r="W220" s="596" t="s">
        <v>269</v>
      </c>
      <c r="X220" s="596" t="s">
        <v>198</v>
      </c>
      <c r="Y220" s="597" t="str">
        <f t="shared" si="65"/>
        <v>30%</v>
      </c>
      <c r="Z220" s="596" t="s">
        <v>259</v>
      </c>
      <c r="AA220" s="596" t="s">
        <v>200</v>
      </c>
      <c r="AB220" s="596" t="s">
        <v>201</v>
      </c>
      <c r="AC220" s="598">
        <f>IFERROR(IF(AND(V219="Probabilidad",V220="Probabilidad"),(AE219-(+AE219*Y220)),IF(AND(V219="Impacto",V220="Probabilidad"),(AE218-(+AE218*Y220)),IF(V220="Impacto",AE219,""))),"")</f>
        <v>0.16463999999999998</v>
      </c>
      <c r="AD220" s="599" t="str">
        <f t="shared" si="66"/>
        <v>Muy Baja</v>
      </c>
      <c r="AE220" s="600">
        <f t="shared" si="67"/>
        <v>0.16463999999999998</v>
      </c>
      <c r="AF220" s="599" t="str">
        <f t="shared" si="68"/>
        <v>Moderado</v>
      </c>
      <c r="AG220" s="600">
        <f>IFERROR(IF(AND(V219="Impacto",V220="Impacto"),(AG219-(+AG219*Y220)),IF(AND(V219="Probabilidad",V220="Impacto"),(AG218-(+AG218*Y220)),IF(V220="Probabilidad",AG219,""))),"")</f>
        <v>0.6</v>
      </c>
      <c r="AH220" s="601" t="str">
        <f t="shared" si="69"/>
        <v>Moderado</v>
      </c>
      <c r="AI220" s="602" t="s">
        <v>202</v>
      </c>
      <c r="AJ220" s="603"/>
      <c r="AK220" s="603"/>
      <c r="AL220" s="604"/>
      <c r="AM220" s="605"/>
      <c r="AN220" s="606"/>
      <c r="AO220" s="607"/>
      <c r="AP220" s="608">
        <v>45757</v>
      </c>
      <c r="AQ220" s="609" t="s">
        <v>1174</v>
      </c>
      <c r="AR220" s="724" t="s">
        <v>1581</v>
      </c>
      <c r="AS220" s="698" t="s">
        <v>205</v>
      </c>
      <c r="AT220" s="612" t="s">
        <v>206</v>
      </c>
      <c r="AU220" s="283" t="s">
        <v>535</v>
      </c>
      <c r="AV220" s="613"/>
      <c r="AW220" s="614">
        <v>45782</v>
      </c>
      <c r="AX220" s="615" t="s">
        <v>207</v>
      </c>
      <c r="AY220" s="635" t="s">
        <v>578</v>
      </c>
      <c r="BA220" s="617"/>
      <c r="BB220" s="617"/>
      <c r="BC220" s="618" t="s">
        <v>209</v>
      </c>
      <c r="BE220" s="614">
        <v>45854</v>
      </c>
      <c r="BF220" s="609" t="s">
        <v>1174</v>
      </c>
      <c r="BG220" s="286" t="s">
        <v>1582</v>
      </c>
      <c r="BH220" s="616" t="s">
        <v>205</v>
      </c>
      <c r="BI220" s="612" t="s">
        <v>206</v>
      </c>
      <c r="BJ220" s="283" t="s">
        <v>535</v>
      </c>
      <c r="BL220" s="450">
        <v>45861</v>
      </c>
      <c r="BM220" s="676" t="s">
        <v>215</v>
      </c>
      <c r="BN220" s="283" t="s">
        <v>1228</v>
      </c>
      <c r="BP220" s="617"/>
      <c r="BQ220" s="617"/>
      <c r="BR220" s="618" t="s">
        <v>209</v>
      </c>
      <c r="BT220" s="668">
        <v>45945</v>
      </c>
      <c r="BU220" s="617" t="s">
        <v>1583</v>
      </c>
      <c r="BV220" s="286" t="s">
        <v>1582</v>
      </c>
      <c r="BW220" s="617" t="s">
        <v>205</v>
      </c>
      <c r="BX220" s="617" t="s">
        <v>206</v>
      </c>
      <c r="BY220" s="617" t="s">
        <v>206</v>
      </c>
      <c r="CA220" s="614">
        <v>45987</v>
      </c>
      <c r="CB220" s="616" t="s">
        <v>218</v>
      </c>
      <c r="CC220" s="283" t="s">
        <v>1584</v>
      </c>
      <c r="CE220" s="617"/>
      <c r="CF220" s="617"/>
      <c r="CG220" s="618" t="s">
        <v>209</v>
      </c>
      <c r="CH220" s="192"/>
      <c r="CI220" s="558"/>
      <c r="CJ220" s="558"/>
      <c r="CK220" s="559" t="s">
        <v>209</v>
      </c>
      <c r="CL220" s="558"/>
      <c r="CM220" s="558"/>
      <c r="CN220" s="558"/>
      <c r="CO220" s="553"/>
      <c r="CP220" s="558"/>
      <c r="CQ220" s="558"/>
      <c r="CR220" s="559" t="s">
        <v>209</v>
      </c>
      <c r="CS220" s="553"/>
      <c r="CT220" s="558"/>
      <c r="CU220" s="558"/>
      <c r="CV220" s="559" t="s">
        <v>209</v>
      </c>
    </row>
    <row r="221" spans="1:100" ht="151.5" customHeight="1" x14ac:dyDescent="0.3">
      <c r="A221" s="622">
        <v>99</v>
      </c>
      <c r="B221" s="622" t="s">
        <v>1602</v>
      </c>
      <c r="C221" s="623" t="s">
        <v>1576</v>
      </c>
      <c r="D221" s="585" t="str">
        <f>IFERROR(INDEX('Base de datos gestión'!$D$28:$D$50,MATCH(C220,'Base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1" s="585" t="str">
        <f>IFERROR(INDEX('Base de datos gestión'!$E$28:$E$50,MATCH(C220,'Base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1" s="630" t="s">
        <v>652</v>
      </c>
      <c r="G221" s="629" t="s">
        <v>1603</v>
      </c>
      <c r="H221" s="629" t="s">
        <v>1604</v>
      </c>
      <c r="I221" s="629" t="s">
        <v>1605</v>
      </c>
      <c r="J221" s="637" t="s">
        <v>280</v>
      </c>
      <c r="K221" s="700" t="s">
        <v>311</v>
      </c>
      <c r="L221" s="630">
        <v>12</v>
      </c>
      <c r="M221" s="588" t="str">
        <f t="shared" si="56"/>
        <v>Baja</v>
      </c>
      <c r="N221" s="589">
        <f t="shared" si="64"/>
        <v>0.4</v>
      </c>
      <c r="O221" s="590" t="s">
        <v>950</v>
      </c>
      <c r="P221" s="589" t="str">
        <f>IF(NOT(ISERROR(MATCH(O221,'Tabla Impacto'!$B$222:$B$224,0))),'Tabla Impacto'!$F$224&amp;"Por favor no seleccionar los criterios de impacto(Afectación Económica o presupuestal y Pérdida Reputacional)",O221)</f>
        <v xml:space="preserve">     Entre 10 y 50 SMLMV </v>
      </c>
      <c r="Q221" s="591" t="str">
        <f>IF(OR(P221='[8]Tabla Impacto'!$C$12,P221='[8]Tabla Impacto'!$D$12),"Leve",IF(OR(P221='[8]Tabla Impacto'!$C$13,P221='[8]Tabla Impacto'!$D$13),"Menor",IF(OR(P221='[8]Tabla Impacto'!$C$14,P221='[8]Tabla Impacto'!$D$14),"Moderado",IF(OR(P221='[8]Tabla Impacto'!$C$15,P221='[8]Tabla Impacto'!$D$15),"Mayor",IF(OR(P221='[8]Tabla Impacto'!$C$16,P221='[8]Tabla Impacto'!$D$16),"Catastrófico","")))))</f>
        <v>Menor</v>
      </c>
      <c r="R221" s="590">
        <f t="shared" si="57"/>
        <v>0.4</v>
      </c>
      <c r="S221" s="592" t="str">
        <f t="shared" si="58"/>
        <v>Moderado</v>
      </c>
      <c r="T221" s="595">
        <v>1</v>
      </c>
      <c r="U221" s="631" t="s">
        <v>1606</v>
      </c>
      <c r="V221" s="595" t="str">
        <f t="shared" ref="V221:V260" si="70">IF(OR(W221="Preventivo",W221="Detectivo"),"Probabilidad",IF(W221="Correctivo","Impacto",""))</f>
        <v>Probabilidad</v>
      </c>
      <c r="W221" s="596" t="s">
        <v>197</v>
      </c>
      <c r="X221" s="596" t="s">
        <v>198</v>
      </c>
      <c r="Y221" s="597" t="str">
        <f t="shared" si="65"/>
        <v>40%</v>
      </c>
      <c r="Z221" s="596" t="s">
        <v>259</v>
      </c>
      <c r="AA221" s="596" t="s">
        <v>200</v>
      </c>
      <c r="AB221" s="596" t="s">
        <v>201</v>
      </c>
      <c r="AC221" s="598">
        <f>IFERROR(IF(AND(V220="Probabilidad",V221="Probabilidad"),(AE220-(+AE220*Y221)),IF(AND(V220="Impacto",V221="Probabilidad"),(AE219-(+AE219*Y221)),IF(V221="Impacto",AE220,""))),"")</f>
        <v>9.8783999999999983E-2</v>
      </c>
      <c r="AD221" s="599" t="str">
        <f t="shared" si="66"/>
        <v>Muy Baja</v>
      </c>
      <c r="AE221" s="600">
        <f t="shared" si="67"/>
        <v>9.8783999999999983E-2</v>
      </c>
      <c r="AF221" s="599" t="str">
        <f t="shared" si="68"/>
        <v>Moderado</v>
      </c>
      <c r="AG221" s="600">
        <f>IFERROR(IF(AND(V220="Impacto",V221="Impacto"),(AG220-(+AG220*Y221)),IF(AND(V220="Probabilidad",V221="Impacto"),(AG219-(+AG219*Y221)),IF(V221="Probabilidad",AG220,""))),"")</f>
        <v>0.6</v>
      </c>
      <c r="AH221" s="601" t="str">
        <f t="shared" si="69"/>
        <v>Moderado</v>
      </c>
      <c r="AI221" s="602" t="s">
        <v>202</v>
      </c>
      <c r="AJ221" s="603"/>
      <c r="AK221" s="603"/>
      <c r="AL221" s="604"/>
      <c r="AM221" s="605"/>
      <c r="AN221" s="606"/>
      <c r="AO221" s="607"/>
      <c r="AP221" s="608">
        <v>45757</v>
      </c>
      <c r="AQ221" s="609" t="s">
        <v>1174</v>
      </c>
      <c r="AR221" s="724" t="s">
        <v>1607</v>
      </c>
      <c r="AS221" s="698" t="s">
        <v>205</v>
      </c>
      <c r="AT221" s="612" t="s">
        <v>206</v>
      </c>
      <c r="AU221" s="283" t="s">
        <v>535</v>
      </c>
      <c r="AV221" s="613"/>
      <c r="AW221" s="614">
        <v>45782</v>
      </c>
      <c r="AX221" s="615" t="s">
        <v>207</v>
      </c>
      <c r="AY221" s="635" t="s">
        <v>578</v>
      </c>
      <c r="BA221" s="617"/>
      <c r="BB221" s="617"/>
      <c r="BC221" s="618" t="s">
        <v>209</v>
      </c>
      <c r="BE221" s="614">
        <v>45854</v>
      </c>
      <c r="BF221" s="609" t="s">
        <v>1174</v>
      </c>
      <c r="BG221" s="724" t="s">
        <v>1608</v>
      </c>
      <c r="BH221" s="698" t="s">
        <v>205</v>
      </c>
      <c r="BI221" s="612" t="s">
        <v>206</v>
      </c>
      <c r="BJ221" s="283" t="s">
        <v>535</v>
      </c>
      <c r="BL221" s="450">
        <v>45861</v>
      </c>
      <c r="BM221" s="676" t="s">
        <v>215</v>
      </c>
      <c r="BN221" s="283" t="s">
        <v>1228</v>
      </c>
      <c r="BP221" s="617"/>
      <c r="BQ221" s="617"/>
      <c r="BR221" s="618" t="s">
        <v>209</v>
      </c>
      <c r="BT221" s="668">
        <v>45945</v>
      </c>
      <c r="BU221" s="617" t="s">
        <v>1583</v>
      </c>
      <c r="BV221" s="724" t="s">
        <v>1609</v>
      </c>
      <c r="BW221" s="617" t="s">
        <v>205</v>
      </c>
      <c r="BX221" s="617" t="s">
        <v>206</v>
      </c>
      <c r="BY221" s="617" t="s">
        <v>206</v>
      </c>
      <c r="CA221" s="614">
        <v>45987</v>
      </c>
      <c r="CB221" s="616" t="s">
        <v>218</v>
      </c>
      <c r="CC221" s="283" t="s">
        <v>1584</v>
      </c>
      <c r="CE221" s="617"/>
      <c r="CF221" s="617"/>
      <c r="CG221" s="618" t="s">
        <v>209</v>
      </c>
      <c r="CH221" s="192"/>
      <c r="CI221" s="558"/>
      <c r="CJ221" s="558"/>
      <c r="CK221" s="559" t="s">
        <v>209</v>
      </c>
      <c r="CL221" s="558"/>
      <c r="CM221" s="558"/>
      <c r="CN221" s="558"/>
      <c r="CO221" s="553"/>
      <c r="CP221" s="558"/>
      <c r="CQ221" s="558"/>
      <c r="CR221" s="559" t="s">
        <v>209</v>
      </c>
      <c r="CS221" s="553"/>
      <c r="CT221" s="558"/>
      <c r="CU221" s="558"/>
      <c r="CV221" s="559" t="s">
        <v>209</v>
      </c>
    </row>
    <row r="222" spans="1:100" ht="151.5" customHeight="1" x14ac:dyDescent="0.3">
      <c r="A222" s="632">
        <v>100</v>
      </c>
      <c r="B222" s="632" t="s">
        <v>1610</v>
      </c>
      <c r="C222" s="633" t="s">
        <v>1576</v>
      </c>
      <c r="D222" s="585" t="str">
        <f>IFERROR(INDEX('Base de datos gestión'!$D$28:$D$50,MATCH(C221,'Base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2" s="585" t="str">
        <f>IFERROR(INDEX('Base de datos gestión'!$E$28:$E$50,MATCH(C221,'Base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2" s="726" t="s">
        <v>652</v>
      </c>
      <c r="G222" s="727" t="s">
        <v>1611</v>
      </c>
      <c r="H222" s="726" t="s">
        <v>1612</v>
      </c>
      <c r="I222" s="628" t="s">
        <v>1613</v>
      </c>
      <c r="J222" s="637" t="s">
        <v>280</v>
      </c>
      <c r="K222" s="702" t="s">
        <v>311</v>
      </c>
      <c r="L222" s="630">
        <v>300</v>
      </c>
      <c r="M222" s="588" t="str">
        <f t="shared" si="56"/>
        <v>Media</v>
      </c>
      <c r="N222" s="589">
        <f t="shared" si="64"/>
        <v>0.6</v>
      </c>
      <c r="O222" s="590" t="s">
        <v>950</v>
      </c>
      <c r="P222" s="589" t="str">
        <f>IF(NOT(ISERROR(MATCH(O222,'Tabla Impacto'!$B$222:$B$224,0))),'Tabla Impacto'!$F$224&amp;"Por favor no seleccionar los criterios de impacto(Afectación Económica o presupuestal y Pérdida Reputacional)",O222)</f>
        <v xml:space="preserve">     Entre 10 y 50 SMLMV </v>
      </c>
      <c r="Q222" s="591" t="str">
        <f>IF(OR(P222='[8]Tabla Impacto'!$C$12,P222='[8]Tabla Impacto'!$D$12),"Leve",IF(OR(P222='[8]Tabla Impacto'!$C$13,P222='[8]Tabla Impacto'!$D$13),"Menor",IF(OR(P222='[8]Tabla Impacto'!$C$14,P222='[8]Tabla Impacto'!$D$14),"Moderado",IF(OR(P222='[8]Tabla Impacto'!$C$15,P222='[8]Tabla Impacto'!$D$15),"Mayor",IF(OR(P222='[8]Tabla Impacto'!$C$16,P222='[8]Tabla Impacto'!$D$16),"Catastrófico","")))))</f>
        <v>Menor</v>
      </c>
      <c r="R222" s="590">
        <f t="shared" si="57"/>
        <v>0.4</v>
      </c>
      <c r="S222" s="592" t="str">
        <f t="shared" si="58"/>
        <v>Moderado</v>
      </c>
      <c r="T222" s="595">
        <v>1</v>
      </c>
      <c r="U222" s="631" t="s">
        <v>1614</v>
      </c>
      <c r="V222" s="595" t="str">
        <f t="shared" si="70"/>
        <v>Probabilidad</v>
      </c>
      <c r="W222" s="596" t="s">
        <v>269</v>
      </c>
      <c r="X222" s="596" t="s">
        <v>198</v>
      </c>
      <c r="Y222" s="597" t="str">
        <f t="shared" si="65"/>
        <v>30%</v>
      </c>
      <c r="Z222" s="596" t="s">
        <v>259</v>
      </c>
      <c r="AA222" s="596" t="s">
        <v>200</v>
      </c>
      <c r="AB222" s="596" t="s">
        <v>201</v>
      </c>
      <c r="AC222" s="598">
        <f>IFERROR(IF(AND(V221="Probabilidad",V222="Probabilidad"),(AE221-(+AE221*Y222)),IF(AND(V221="Impacto",V222="Probabilidad"),(AE220-(+AE220*Y222)),IF(V222="Impacto",AE221,""))),"")</f>
        <v>6.9148799999999983E-2</v>
      </c>
      <c r="AD222" s="599" t="str">
        <f t="shared" si="66"/>
        <v>Muy Baja</v>
      </c>
      <c r="AE222" s="600">
        <f t="shared" si="67"/>
        <v>6.9148799999999983E-2</v>
      </c>
      <c r="AF222" s="599" t="str">
        <f t="shared" si="68"/>
        <v>Moderado</v>
      </c>
      <c r="AG222" s="600">
        <f>IFERROR(IF(AND(V221="Impacto",V222="Impacto"),(AG221-(+AG221*Y222)),IF(AND(V221="Probabilidad",V222="Impacto"),(AG220-(+AG220*Y222)),IF(V222="Probabilidad",AG221,""))),"")</f>
        <v>0.6</v>
      </c>
      <c r="AH222" s="601" t="str">
        <f t="shared" si="69"/>
        <v>Moderado</v>
      </c>
      <c r="AI222" s="602" t="s">
        <v>202</v>
      </c>
      <c r="AJ222" s="603"/>
      <c r="AK222" s="603"/>
      <c r="AL222" s="604"/>
      <c r="AM222" s="605"/>
      <c r="AN222" s="606"/>
      <c r="AO222" s="607"/>
      <c r="AP222" s="608">
        <v>45757</v>
      </c>
      <c r="AQ222" s="609" t="s">
        <v>1174</v>
      </c>
      <c r="AR222" s="635" t="s">
        <v>1615</v>
      </c>
      <c r="AS222" s="698" t="s">
        <v>205</v>
      </c>
      <c r="AT222" s="612" t="s">
        <v>206</v>
      </c>
      <c r="AU222" s="283" t="s">
        <v>535</v>
      </c>
      <c r="AV222" s="613"/>
      <c r="AW222" s="614">
        <v>45782</v>
      </c>
      <c r="AX222" s="615" t="s">
        <v>207</v>
      </c>
      <c r="AY222" s="635" t="s">
        <v>578</v>
      </c>
      <c r="BA222" s="617"/>
      <c r="BB222" s="617"/>
      <c r="BC222" s="618" t="s">
        <v>209</v>
      </c>
      <c r="BE222" s="614">
        <v>45854</v>
      </c>
      <c r="BF222" s="609" t="s">
        <v>1174</v>
      </c>
      <c r="BG222" s="635" t="s">
        <v>1616</v>
      </c>
      <c r="BH222" s="698" t="s">
        <v>205</v>
      </c>
      <c r="BI222" s="612" t="s">
        <v>206</v>
      </c>
      <c r="BJ222" s="283" t="s">
        <v>535</v>
      </c>
      <c r="BL222" s="450">
        <v>45861</v>
      </c>
      <c r="BM222" s="676" t="s">
        <v>215</v>
      </c>
      <c r="BN222" s="283" t="s">
        <v>1228</v>
      </c>
      <c r="BP222" s="617"/>
      <c r="BQ222" s="617"/>
      <c r="BR222" s="618" t="s">
        <v>209</v>
      </c>
      <c r="BT222" s="668">
        <v>45945</v>
      </c>
      <c r="BU222" s="617" t="s">
        <v>1583</v>
      </c>
      <c r="BV222" s="635" t="s">
        <v>1617</v>
      </c>
      <c r="BW222" s="617" t="s">
        <v>205</v>
      </c>
      <c r="BX222" s="617" t="s">
        <v>206</v>
      </c>
      <c r="BY222" s="617" t="s">
        <v>206</v>
      </c>
      <c r="CA222" s="614">
        <v>45987</v>
      </c>
      <c r="CB222" s="616" t="s">
        <v>218</v>
      </c>
      <c r="CC222" s="283" t="s">
        <v>1584</v>
      </c>
      <c r="CE222" s="617"/>
      <c r="CF222" s="617"/>
      <c r="CG222" s="618" t="s">
        <v>209</v>
      </c>
      <c r="CH222" s="192"/>
      <c r="CI222" s="558"/>
      <c r="CJ222" s="558"/>
      <c r="CK222" s="559" t="s">
        <v>209</v>
      </c>
      <c r="CL222" s="558"/>
      <c r="CM222" s="558"/>
      <c r="CN222" s="558"/>
      <c r="CO222" s="553"/>
      <c r="CP222" s="558"/>
      <c r="CQ222" s="558"/>
      <c r="CR222" s="559" t="s">
        <v>209</v>
      </c>
      <c r="CS222" s="553"/>
      <c r="CT222" s="558"/>
      <c r="CU222" s="558"/>
      <c r="CV222" s="559" t="s">
        <v>209</v>
      </c>
    </row>
    <row r="223" spans="1:100" ht="151.5" customHeight="1" x14ac:dyDescent="0.3">
      <c r="A223" s="584">
        <v>100</v>
      </c>
      <c r="B223" s="584" t="s">
        <v>1610</v>
      </c>
      <c r="C223" s="585" t="s">
        <v>1576</v>
      </c>
      <c r="D223" s="585" t="str">
        <f>IFERROR(INDEX('Base de datos gestión'!$D$28:$D$50,MATCH(C222,'Base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3" s="585" t="str">
        <f>IFERROR(INDEX('Base de datos gestión'!$E$28:$E$50,MATCH(C222,'Base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3" s="726" t="s">
        <v>652</v>
      </c>
      <c r="G223" s="727" t="s">
        <v>1611</v>
      </c>
      <c r="H223" s="726" t="s">
        <v>1612</v>
      </c>
      <c r="I223" s="628" t="s">
        <v>1613</v>
      </c>
      <c r="J223" s="637" t="s">
        <v>280</v>
      </c>
      <c r="K223" s="702" t="s">
        <v>311</v>
      </c>
      <c r="L223" s="630">
        <v>300</v>
      </c>
      <c r="M223" s="588" t="str">
        <f t="shared" si="56"/>
        <v>Media</v>
      </c>
      <c r="N223" s="589">
        <f t="shared" si="64"/>
        <v>0.6</v>
      </c>
      <c r="O223" s="590" t="s">
        <v>950</v>
      </c>
      <c r="P223" s="589" t="str">
        <f>IF(NOT(ISERROR(MATCH(O223,'Tabla Impacto'!$B$222:$B$224,0))),'Tabla Impacto'!$F$224&amp;"Por favor no seleccionar los criterios de impacto(Afectación Económica o presupuestal y Pérdida Reputacional)",O223)</f>
        <v xml:space="preserve">     Entre 10 y 50 SMLMV </v>
      </c>
      <c r="Q223" s="591" t="str">
        <f>IF(OR(P223='[8]Tabla Impacto'!$C$12,P223='[8]Tabla Impacto'!$D$12),"Leve",IF(OR(P223='[8]Tabla Impacto'!$C$13,P223='[8]Tabla Impacto'!$D$13),"Menor",IF(OR(P223='[8]Tabla Impacto'!$C$14,P223='[8]Tabla Impacto'!$D$14),"Moderado",IF(OR(P223='[8]Tabla Impacto'!$C$15,P223='[8]Tabla Impacto'!$D$15),"Mayor",IF(OR(P223='[8]Tabla Impacto'!$C$16,P223='[8]Tabla Impacto'!$D$16),"Catastrófico","")))))</f>
        <v>Menor</v>
      </c>
      <c r="R223" s="590">
        <f t="shared" si="57"/>
        <v>0.4</v>
      </c>
      <c r="S223" s="592" t="str">
        <f t="shared" si="58"/>
        <v>Moderado</v>
      </c>
      <c r="T223" s="595">
        <v>2</v>
      </c>
      <c r="U223" s="631" t="s">
        <v>1618</v>
      </c>
      <c r="V223" s="595" t="str">
        <f t="shared" si="70"/>
        <v>Probabilidad</v>
      </c>
      <c r="W223" s="596" t="s">
        <v>197</v>
      </c>
      <c r="X223" s="596" t="s">
        <v>198</v>
      </c>
      <c r="Y223" s="597" t="str">
        <f t="shared" si="65"/>
        <v>40%</v>
      </c>
      <c r="Z223" s="596" t="s">
        <v>259</v>
      </c>
      <c r="AA223" s="596" t="s">
        <v>200</v>
      </c>
      <c r="AB223" s="596" t="s">
        <v>201</v>
      </c>
      <c r="AC223" s="598">
        <f>IFERROR(IF(V223="Probabilidad",(N223-(+N223*Y223)),IF(V223="Impacto",N223,"")),"")</f>
        <v>0.36</v>
      </c>
      <c r="AD223" s="599" t="str">
        <f t="shared" si="66"/>
        <v>Baja</v>
      </c>
      <c r="AE223" s="600">
        <f t="shared" si="67"/>
        <v>0.36</v>
      </c>
      <c r="AF223" s="599" t="str">
        <f t="shared" si="68"/>
        <v>Menor</v>
      </c>
      <c r="AG223" s="600">
        <f>IFERROR(IF(V223="Impacto",(R223-(+R223*Y223)),IF(V223="Probabilidad",R223,"")),"")</f>
        <v>0.4</v>
      </c>
      <c r="AH223" s="601" t="str">
        <f t="shared" si="69"/>
        <v>Moderado</v>
      </c>
      <c r="AI223" s="602" t="s">
        <v>202</v>
      </c>
      <c r="AJ223" s="603"/>
      <c r="AK223" s="603"/>
      <c r="AL223" s="604"/>
      <c r="AM223" s="605"/>
      <c r="AN223" s="606"/>
      <c r="AO223" s="607"/>
      <c r="AP223" s="608">
        <v>45757</v>
      </c>
      <c r="AQ223" s="609" t="s">
        <v>1174</v>
      </c>
      <c r="AR223" s="635" t="s">
        <v>1619</v>
      </c>
      <c r="AS223" s="698" t="s">
        <v>205</v>
      </c>
      <c r="AT223" s="612" t="s">
        <v>206</v>
      </c>
      <c r="AU223" s="283" t="s">
        <v>535</v>
      </c>
      <c r="AV223" s="613"/>
      <c r="AW223" s="614">
        <v>45782</v>
      </c>
      <c r="AX223" s="615" t="s">
        <v>207</v>
      </c>
      <c r="AY223" s="635" t="s">
        <v>578</v>
      </c>
      <c r="BA223" s="617"/>
      <c r="BB223" s="617"/>
      <c r="BC223" s="618" t="s">
        <v>209</v>
      </c>
      <c r="BE223" s="614">
        <v>45854</v>
      </c>
      <c r="BF223" s="609" t="s">
        <v>1174</v>
      </c>
      <c r="BG223" s="635" t="s">
        <v>1620</v>
      </c>
      <c r="BH223" s="698" t="s">
        <v>205</v>
      </c>
      <c r="BI223" s="612" t="s">
        <v>206</v>
      </c>
      <c r="BJ223" s="283" t="s">
        <v>535</v>
      </c>
      <c r="BL223" s="450">
        <v>45861</v>
      </c>
      <c r="BM223" s="676" t="s">
        <v>215</v>
      </c>
      <c r="BN223" s="283" t="s">
        <v>1228</v>
      </c>
      <c r="BP223" s="617"/>
      <c r="BQ223" s="617"/>
      <c r="BR223" s="618" t="s">
        <v>209</v>
      </c>
      <c r="BT223" s="668">
        <v>45945</v>
      </c>
      <c r="BU223" s="617" t="s">
        <v>1583</v>
      </c>
      <c r="BV223" s="635" t="s">
        <v>1620</v>
      </c>
      <c r="BW223" s="617" t="s">
        <v>205</v>
      </c>
      <c r="BX223" s="617" t="s">
        <v>206</v>
      </c>
      <c r="BY223" s="617" t="s">
        <v>206</v>
      </c>
      <c r="CA223" s="614">
        <v>45987</v>
      </c>
      <c r="CB223" s="616" t="s">
        <v>218</v>
      </c>
      <c r="CC223" s="283" t="s">
        <v>1584</v>
      </c>
      <c r="CE223" s="617"/>
      <c r="CF223" s="617"/>
      <c r="CG223" s="618" t="s">
        <v>209</v>
      </c>
      <c r="CH223" s="192"/>
      <c r="CI223" s="558"/>
      <c r="CJ223" s="558"/>
      <c r="CK223" s="559" t="s">
        <v>209</v>
      </c>
      <c r="CL223" s="558"/>
      <c r="CM223" s="558"/>
      <c r="CN223" s="558"/>
      <c r="CO223" s="553"/>
      <c r="CP223" s="558"/>
      <c r="CQ223" s="558"/>
      <c r="CR223" s="559" t="s">
        <v>209</v>
      </c>
      <c r="CS223" s="553"/>
      <c r="CT223" s="558"/>
      <c r="CU223" s="558"/>
      <c r="CV223" s="559" t="s">
        <v>209</v>
      </c>
    </row>
    <row r="224" spans="1:100" ht="151.5" customHeight="1" x14ac:dyDescent="0.3">
      <c r="A224" s="622">
        <v>101</v>
      </c>
      <c r="B224" s="622" t="s">
        <v>1621</v>
      </c>
      <c r="C224" s="623" t="s">
        <v>1576</v>
      </c>
      <c r="D224" s="585" t="str">
        <f>IFERROR(INDEX('Base de datos gestión'!$D$28:$D$50,MATCH(C223,'Base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4" s="585" t="str">
        <f>IFERROR(INDEX('Base de datos gestión'!$E$28:$E$50,MATCH(C223,'Base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4" s="630" t="s">
        <v>652</v>
      </c>
      <c r="G224" s="723" t="s">
        <v>1622</v>
      </c>
      <c r="H224" s="723" t="s">
        <v>1623</v>
      </c>
      <c r="I224" s="631" t="s">
        <v>1624</v>
      </c>
      <c r="J224" s="637" t="s">
        <v>280</v>
      </c>
      <c r="K224" s="700" t="s">
        <v>311</v>
      </c>
      <c r="L224" s="630">
        <v>6</v>
      </c>
      <c r="M224" s="588" t="str">
        <f t="shared" si="56"/>
        <v>Baja</v>
      </c>
      <c r="N224" s="589">
        <f t="shared" si="64"/>
        <v>0.4</v>
      </c>
      <c r="O224" s="590" t="s">
        <v>950</v>
      </c>
      <c r="P224" s="589" t="str">
        <f>IF(NOT(ISERROR(MATCH(O224,'Tabla Impacto'!$B$222:$B$224,0))),'Tabla Impacto'!$F$224&amp;"Por favor no seleccionar los criterios de impacto(Afectación Económica o presupuestal y Pérdida Reputacional)",O224)</f>
        <v xml:space="preserve">     Entre 10 y 50 SMLMV </v>
      </c>
      <c r="Q224" s="591" t="str">
        <f>IF(OR(P224='[8]Tabla Impacto'!$C$12,P224='[8]Tabla Impacto'!$D$12),"Leve",IF(OR(P224='[8]Tabla Impacto'!$C$13,P224='[8]Tabla Impacto'!$D$13),"Menor",IF(OR(P224='[8]Tabla Impacto'!$C$14,P224='[8]Tabla Impacto'!$D$14),"Moderado",IF(OR(P224='[8]Tabla Impacto'!$C$15,P224='[8]Tabla Impacto'!$D$15),"Mayor",IF(OR(P224='[8]Tabla Impacto'!$C$16,P224='[8]Tabla Impacto'!$D$16),"Catastrófico","")))))</f>
        <v>Menor</v>
      </c>
      <c r="R224" s="590">
        <f t="shared" si="57"/>
        <v>0.4</v>
      </c>
      <c r="S224" s="592" t="str">
        <f t="shared" si="58"/>
        <v>Moderado</v>
      </c>
      <c r="T224" s="595">
        <v>1</v>
      </c>
      <c r="U224" s="631" t="s">
        <v>1625</v>
      </c>
      <c r="V224" s="595" t="str">
        <f t="shared" si="70"/>
        <v>Probabilidad</v>
      </c>
      <c r="W224" s="596" t="s">
        <v>197</v>
      </c>
      <c r="X224" s="596" t="s">
        <v>198</v>
      </c>
      <c r="Y224" s="597" t="str">
        <f t="shared" si="65"/>
        <v>40%</v>
      </c>
      <c r="Z224" s="596" t="s">
        <v>259</v>
      </c>
      <c r="AA224" s="596" t="s">
        <v>200</v>
      </c>
      <c r="AB224" s="596" t="s">
        <v>201</v>
      </c>
      <c r="AC224" s="598">
        <f>IFERROR(IF(AND(V223="Probabilidad",V224="Probabilidad"),(AE223-(+AE223*Y224)),IF(V224="Probabilidad",(N223-(+N223*Y224)),IF(V224="Impacto",AE223,""))),"")</f>
        <v>0.216</v>
      </c>
      <c r="AD224" s="599" t="str">
        <f t="shared" si="66"/>
        <v>Baja</v>
      </c>
      <c r="AE224" s="600">
        <f t="shared" si="67"/>
        <v>0.216</v>
      </c>
      <c r="AF224" s="599" t="str">
        <f t="shared" si="68"/>
        <v>Moderado</v>
      </c>
      <c r="AG224" s="600">
        <f>IFERROR(IF(AND(V223="Impacto",V224="Impacto"),(AG217-(+AG217*Y224)),IF(V224="Impacto",($R$55-(+$R$55*Y224)),IF(V224="Probabilidad",AG217,""))),"")</f>
        <v>0.6</v>
      </c>
      <c r="AH224" s="601" t="str">
        <f t="shared" si="69"/>
        <v>Moderado</v>
      </c>
      <c r="AI224" s="602" t="s">
        <v>202</v>
      </c>
      <c r="AJ224" s="603"/>
      <c r="AK224" s="603"/>
      <c r="AL224" s="604"/>
      <c r="AM224" s="605"/>
      <c r="AN224" s="606"/>
      <c r="AO224" s="607"/>
      <c r="AP224" s="608">
        <v>45757</v>
      </c>
      <c r="AQ224" s="609" t="s">
        <v>1174</v>
      </c>
      <c r="AR224" s="635" t="s">
        <v>1626</v>
      </c>
      <c r="AS224" s="698" t="s">
        <v>205</v>
      </c>
      <c r="AT224" s="612" t="s">
        <v>206</v>
      </c>
      <c r="AU224" s="283" t="s">
        <v>535</v>
      </c>
      <c r="AV224" s="613"/>
      <c r="AW224" s="614">
        <v>45782</v>
      </c>
      <c r="AX224" s="615" t="s">
        <v>207</v>
      </c>
      <c r="AY224" s="635" t="s">
        <v>578</v>
      </c>
      <c r="BA224" s="617"/>
      <c r="BB224" s="617"/>
      <c r="BC224" s="618" t="s">
        <v>209</v>
      </c>
      <c r="BE224" s="614">
        <v>45855</v>
      </c>
      <c r="BF224" s="609" t="s">
        <v>1174</v>
      </c>
      <c r="BG224" s="635" t="s">
        <v>1627</v>
      </c>
      <c r="BH224" s="722" t="s">
        <v>205</v>
      </c>
      <c r="BI224" s="612" t="s">
        <v>206</v>
      </c>
      <c r="BJ224" s="283" t="s">
        <v>535</v>
      </c>
      <c r="BL224" s="450">
        <v>45861</v>
      </c>
      <c r="BM224" s="676" t="s">
        <v>215</v>
      </c>
      <c r="BN224" s="283" t="s">
        <v>1228</v>
      </c>
      <c r="BP224" s="617"/>
      <c r="BQ224" s="617"/>
      <c r="BR224" s="618" t="s">
        <v>209</v>
      </c>
      <c r="BT224" s="668">
        <v>45945</v>
      </c>
      <c r="BU224" s="617" t="s">
        <v>1583</v>
      </c>
      <c r="BV224" s="635" t="s">
        <v>1628</v>
      </c>
      <c r="BW224" s="617" t="s">
        <v>205</v>
      </c>
      <c r="BX224" s="617" t="s">
        <v>206</v>
      </c>
      <c r="BY224" s="617" t="s">
        <v>206</v>
      </c>
      <c r="CA224" s="614">
        <v>45987</v>
      </c>
      <c r="CB224" s="616" t="s">
        <v>218</v>
      </c>
      <c r="CC224" s="283" t="s">
        <v>1584</v>
      </c>
      <c r="CE224" s="617"/>
      <c r="CF224" s="617"/>
      <c r="CG224" s="618" t="s">
        <v>209</v>
      </c>
      <c r="CH224" s="192"/>
      <c r="CI224" s="558"/>
      <c r="CJ224" s="558"/>
      <c r="CK224" s="559" t="s">
        <v>209</v>
      </c>
      <c r="CL224" s="558"/>
      <c r="CM224" s="558"/>
      <c r="CN224" s="558"/>
      <c r="CO224" s="553"/>
      <c r="CP224" s="558"/>
      <c r="CQ224" s="558"/>
      <c r="CR224" s="559" t="s">
        <v>209</v>
      </c>
      <c r="CS224" s="553"/>
      <c r="CT224" s="558"/>
      <c r="CU224" s="558"/>
      <c r="CV224" s="559" t="s">
        <v>209</v>
      </c>
    </row>
    <row r="225" spans="1:100" ht="151.5" customHeight="1" x14ac:dyDescent="0.3">
      <c r="A225" s="622">
        <v>102</v>
      </c>
      <c r="B225" s="622" t="s">
        <v>1629</v>
      </c>
      <c r="C225" s="623" t="s">
        <v>1576</v>
      </c>
      <c r="D225" s="585" t="str">
        <f>IFERROR(INDEX('Base de datos gestión'!$D$28:$D$50,MATCH(C224,'Base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5" s="585" t="str">
        <f>IFERROR(INDEX('Base de datos gestión'!$E$28:$E$50,MATCH(C224,'Base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5" s="728" t="s">
        <v>652</v>
      </c>
      <c r="G225" s="723" t="s">
        <v>1630</v>
      </c>
      <c r="H225" s="728" t="s">
        <v>1631</v>
      </c>
      <c r="I225" s="631" t="s">
        <v>1632</v>
      </c>
      <c r="J225" s="637" t="s">
        <v>280</v>
      </c>
      <c r="K225" s="702" t="s">
        <v>311</v>
      </c>
      <c r="L225" s="630">
        <v>1500</v>
      </c>
      <c r="M225" s="588" t="str">
        <f t="shared" si="56"/>
        <v>Alta</v>
      </c>
      <c r="N225" s="589">
        <f t="shared" si="64"/>
        <v>0.8</v>
      </c>
      <c r="O225" s="590" t="s">
        <v>950</v>
      </c>
      <c r="P225" s="589" t="str">
        <f>IF(NOT(ISERROR(MATCH(O225,'Tabla Impacto'!$B$222:$B$224,0))),'Tabla Impacto'!$F$224&amp;"Por favor no seleccionar los criterios de impacto(Afectación Económica o presupuestal y Pérdida Reputacional)",O225)</f>
        <v xml:space="preserve">     Entre 10 y 50 SMLMV </v>
      </c>
      <c r="Q225" s="591" t="str">
        <f>IF(OR(P225='[8]Tabla Impacto'!$C$12,P225='[8]Tabla Impacto'!$D$12),"Leve",IF(OR(P225='[8]Tabla Impacto'!$C$13,P225='[8]Tabla Impacto'!$D$13),"Menor",IF(OR(P225='[8]Tabla Impacto'!$C$14,P225='[8]Tabla Impacto'!$D$14),"Moderado",IF(OR(P225='[8]Tabla Impacto'!$C$15,P225='[8]Tabla Impacto'!$D$15),"Mayor",IF(OR(P225='[8]Tabla Impacto'!$C$16,P225='[8]Tabla Impacto'!$D$16),"Catastrófico","")))))</f>
        <v>Menor</v>
      </c>
      <c r="R225" s="590">
        <f t="shared" si="57"/>
        <v>0.4</v>
      </c>
      <c r="S225" s="592" t="str">
        <f t="shared" si="58"/>
        <v>Moderado</v>
      </c>
      <c r="T225" s="595">
        <v>1</v>
      </c>
      <c r="U225" s="631" t="s">
        <v>1633</v>
      </c>
      <c r="V225" s="595" t="str">
        <f t="shared" si="70"/>
        <v>Probabilidad</v>
      </c>
      <c r="W225" s="596" t="s">
        <v>197</v>
      </c>
      <c r="X225" s="596" t="s">
        <v>198</v>
      </c>
      <c r="Y225" s="597" t="str">
        <f t="shared" si="65"/>
        <v>40%</v>
      </c>
      <c r="Z225" s="596" t="s">
        <v>259</v>
      </c>
      <c r="AA225" s="596" t="s">
        <v>200</v>
      </c>
      <c r="AB225" s="596" t="s">
        <v>201</v>
      </c>
      <c r="AC225" s="598">
        <f>IFERROR(IF(AND(V224="Probabilidad",V225="Probabilidad"),(AE224-(+AE224*Y225)),IF(AND(V224="Impacto",V225="Probabilidad"),(AE223-(+AE223*Y225)),IF(V225="Impacto",AE224,""))),"")</f>
        <v>0.12959999999999999</v>
      </c>
      <c r="AD225" s="599" t="str">
        <f t="shared" si="66"/>
        <v>Muy Baja</v>
      </c>
      <c r="AE225" s="600">
        <f t="shared" si="67"/>
        <v>0.12959999999999999</v>
      </c>
      <c r="AF225" s="599" t="str">
        <f t="shared" si="68"/>
        <v>Moderado</v>
      </c>
      <c r="AG225" s="600">
        <f>IFERROR(IF(AND(V224="Impacto",V225="Impacto"),(AG224-(+AG224*Y225)),IF(AND(V224="Probabilidad",V225="Impacto"),(AG223-(+AG223*Y225)),IF(V225="Probabilidad",AG224,""))),"")</f>
        <v>0.6</v>
      </c>
      <c r="AH225" s="601" t="str">
        <f t="shared" si="69"/>
        <v>Moderado</v>
      </c>
      <c r="AI225" s="602" t="s">
        <v>202</v>
      </c>
      <c r="AJ225" s="603"/>
      <c r="AK225" s="603"/>
      <c r="AL225" s="604"/>
      <c r="AM225" s="605"/>
      <c r="AN225" s="606"/>
      <c r="AO225" s="607"/>
      <c r="AP225" s="608">
        <v>45757</v>
      </c>
      <c r="AQ225" s="609" t="s">
        <v>1174</v>
      </c>
      <c r="AR225" s="635" t="s">
        <v>1634</v>
      </c>
      <c r="AS225" s="698" t="s">
        <v>205</v>
      </c>
      <c r="AT225" s="612" t="s">
        <v>206</v>
      </c>
      <c r="AU225" s="283" t="s">
        <v>535</v>
      </c>
      <c r="AV225" s="613"/>
      <c r="AW225" s="614">
        <v>45782</v>
      </c>
      <c r="AX225" s="615" t="s">
        <v>207</v>
      </c>
      <c r="AY225" s="635" t="s">
        <v>578</v>
      </c>
      <c r="BA225" s="617"/>
      <c r="BB225" s="617"/>
      <c r="BC225" s="618" t="s">
        <v>209</v>
      </c>
      <c r="BE225" s="614">
        <v>45855</v>
      </c>
      <c r="BF225" s="609" t="s">
        <v>1174</v>
      </c>
      <c r="BG225" s="635" t="s">
        <v>1635</v>
      </c>
      <c r="BH225" s="722" t="s">
        <v>205</v>
      </c>
      <c r="BI225" s="612" t="s">
        <v>206</v>
      </c>
      <c r="BJ225" s="283" t="s">
        <v>535</v>
      </c>
      <c r="BL225" s="450">
        <v>45861</v>
      </c>
      <c r="BM225" s="676" t="s">
        <v>215</v>
      </c>
      <c r="BN225" s="283" t="s">
        <v>1228</v>
      </c>
      <c r="BP225" s="617"/>
      <c r="BQ225" s="617"/>
      <c r="BR225" s="618" t="s">
        <v>209</v>
      </c>
      <c r="BT225" s="668">
        <v>45946</v>
      </c>
      <c r="BU225" s="617" t="s">
        <v>1583</v>
      </c>
      <c r="BV225" s="635" t="s">
        <v>1636</v>
      </c>
      <c r="BW225" s="617" t="s">
        <v>205</v>
      </c>
      <c r="BX225" s="617" t="s">
        <v>206</v>
      </c>
      <c r="BY225" s="617" t="s">
        <v>206</v>
      </c>
      <c r="CA225" s="614">
        <v>45987</v>
      </c>
      <c r="CB225" s="616" t="s">
        <v>218</v>
      </c>
      <c r="CC225" s="283" t="s">
        <v>1584</v>
      </c>
      <c r="CE225" s="617"/>
      <c r="CF225" s="617"/>
      <c r="CG225" s="618" t="s">
        <v>209</v>
      </c>
      <c r="CH225" s="192"/>
      <c r="CI225" s="558"/>
      <c r="CJ225" s="558"/>
      <c r="CK225" s="559" t="s">
        <v>209</v>
      </c>
      <c r="CL225" s="558"/>
      <c r="CM225" s="558"/>
      <c r="CN225" s="558"/>
      <c r="CO225" s="553"/>
      <c r="CP225" s="558"/>
      <c r="CQ225" s="558"/>
      <c r="CR225" s="559" t="s">
        <v>209</v>
      </c>
      <c r="CS225" s="553"/>
      <c r="CT225" s="558"/>
      <c r="CU225" s="558"/>
      <c r="CV225" s="559" t="s">
        <v>209</v>
      </c>
    </row>
    <row r="226" spans="1:100" ht="151.5" customHeight="1" x14ac:dyDescent="0.3">
      <c r="A226" s="622">
        <v>102</v>
      </c>
      <c r="B226" s="622" t="s">
        <v>1629</v>
      </c>
      <c r="C226" s="623" t="s">
        <v>1576</v>
      </c>
      <c r="D226" s="585" t="str">
        <f>IFERROR(INDEX('Base de datos gestión'!$D$28:$D$50,MATCH(C225,'Base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6" s="585" t="str">
        <f>IFERROR(INDEX('Base de datos gestión'!$E$28:$E$50,MATCH(C225,'Base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6" s="728" t="s">
        <v>652</v>
      </c>
      <c r="G226" s="723" t="s">
        <v>1630</v>
      </c>
      <c r="H226" s="728" t="s">
        <v>1631</v>
      </c>
      <c r="I226" s="631" t="s">
        <v>1637</v>
      </c>
      <c r="J226" s="637" t="s">
        <v>280</v>
      </c>
      <c r="K226" s="702" t="s">
        <v>311</v>
      </c>
      <c r="L226" s="630">
        <v>1500</v>
      </c>
      <c r="M226" s="588" t="str">
        <f t="shared" si="56"/>
        <v>Alta</v>
      </c>
      <c r="N226" s="589">
        <f t="shared" si="64"/>
        <v>0.8</v>
      </c>
      <c r="O226" s="590" t="s">
        <v>950</v>
      </c>
      <c r="P226" s="589" t="str">
        <f>IF(NOT(ISERROR(MATCH(O226,'Tabla Impacto'!$B$222:$B$224,0))),'Tabla Impacto'!$F$224&amp;"Por favor no seleccionar los criterios de impacto(Afectación Económica o presupuestal y Pérdida Reputacional)",O226)</f>
        <v xml:space="preserve">     Entre 10 y 50 SMLMV </v>
      </c>
      <c r="Q226" s="591" t="str">
        <f>IF(OR(P226='[8]Tabla Impacto'!$C$12,P226='[8]Tabla Impacto'!$D$12),"Leve",IF(OR(P226='[8]Tabla Impacto'!$C$13,P226='[8]Tabla Impacto'!$D$13),"Menor",IF(OR(P226='[8]Tabla Impacto'!$C$14,P226='[8]Tabla Impacto'!$D$14),"Moderado",IF(OR(P226='[8]Tabla Impacto'!$C$15,P226='[8]Tabla Impacto'!$D$15),"Mayor",IF(OR(P226='[8]Tabla Impacto'!$C$16,P226='[8]Tabla Impacto'!$D$16),"Catastrófico","")))))</f>
        <v>Menor</v>
      </c>
      <c r="R226" s="590">
        <f t="shared" si="57"/>
        <v>0.4</v>
      </c>
      <c r="S226" s="592" t="str">
        <f t="shared" si="58"/>
        <v>Moderado</v>
      </c>
      <c r="T226" s="595">
        <v>2</v>
      </c>
      <c r="U226" s="631" t="s">
        <v>1638</v>
      </c>
      <c r="V226" s="595" t="str">
        <f t="shared" si="70"/>
        <v>Probabilidad</v>
      </c>
      <c r="W226" s="596" t="s">
        <v>197</v>
      </c>
      <c r="X226" s="596" t="s">
        <v>198</v>
      </c>
      <c r="Y226" s="597" t="str">
        <f t="shared" si="65"/>
        <v>40%</v>
      </c>
      <c r="Z226" s="596" t="s">
        <v>259</v>
      </c>
      <c r="AA226" s="596" t="s">
        <v>200</v>
      </c>
      <c r="AB226" s="596" t="s">
        <v>201</v>
      </c>
      <c r="AC226" s="598">
        <f>IFERROR(IF(AND(V225="Probabilidad",V226="Probabilidad"),(AE225-(+AE225*Y226)),IF(AND(V225="Impacto",V226="Probabilidad"),(AE224-(+AE224*Y226)),IF(V226="Impacto",AE225,""))),"")</f>
        <v>7.7759999999999996E-2</v>
      </c>
      <c r="AD226" s="599" t="str">
        <f t="shared" si="66"/>
        <v>Muy Baja</v>
      </c>
      <c r="AE226" s="600">
        <f t="shared" si="67"/>
        <v>7.7759999999999996E-2</v>
      </c>
      <c r="AF226" s="599" t="str">
        <f t="shared" si="68"/>
        <v>Moderado</v>
      </c>
      <c r="AG226" s="600">
        <f>IFERROR(IF(AND(V225="Impacto",V226="Impacto"),(AG225-(+AG225*Y226)),IF(AND(V225="Probabilidad",V226="Impacto"),(AG224-(+AG224*Y226)),IF(V226="Probabilidad",AG225,""))),"")</f>
        <v>0.6</v>
      </c>
      <c r="AH226" s="601" t="str">
        <f t="shared" si="69"/>
        <v>Moderado</v>
      </c>
      <c r="AI226" s="602" t="s">
        <v>202</v>
      </c>
      <c r="AJ226" s="603"/>
      <c r="AK226" s="603"/>
      <c r="AL226" s="604"/>
      <c r="AM226" s="605"/>
      <c r="AN226" s="606"/>
      <c r="AO226" s="607"/>
      <c r="AP226" s="608">
        <v>45757</v>
      </c>
      <c r="AQ226" s="609" t="s">
        <v>1174</v>
      </c>
      <c r="AR226" s="635" t="s">
        <v>1639</v>
      </c>
      <c r="AS226" s="698" t="s">
        <v>205</v>
      </c>
      <c r="AT226" s="612" t="s">
        <v>206</v>
      </c>
      <c r="AU226" s="283" t="s">
        <v>535</v>
      </c>
      <c r="AV226" s="613"/>
      <c r="AW226" s="614">
        <v>45782</v>
      </c>
      <c r="AX226" s="615" t="s">
        <v>207</v>
      </c>
      <c r="AY226" s="635" t="s">
        <v>578</v>
      </c>
      <c r="BA226" s="617"/>
      <c r="BB226" s="617"/>
      <c r="BC226" s="618" t="s">
        <v>209</v>
      </c>
      <c r="BE226" s="614">
        <v>45855</v>
      </c>
      <c r="BF226" s="609" t="s">
        <v>1174</v>
      </c>
      <c r="BG226" s="635" t="s">
        <v>1639</v>
      </c>
      <c r="BH226" s="722" t="s">
        <v>205</v>
      </c>
      <c r="BI226" s="612" t="s">
        <v>206</v>
      </c>
      <c r="BJ226" s="283" t="s">
        <v>535</v>
      </c>
      <c r="BL226" s="450">
        <v>45861</v>
      </c>
      <c r="BM226" s="676" t="s">
        <v>215</v>
      </c>
      <c r="BN226" s="283" t="s">
        <v>1228</v>
      </c>
      <c r="BP226" s="617"/>
      <c r="BQ226" s="617"/>
      <c r="BR226" s="618" t="s">
        <v>209</v>
      </c>
      <c r="BT226" s="668">
        <v>45946</v>
      </c>
      <c r="BU226" s="617" t="s">
        <v>1583</v>
      </c>
      <c r="BV226" s="635" t="s">
        <v>1639</v>
      </c>
      <c r="BW226" s="617" t="s">
        <v>205</v>
      </c>
      <c r="BX226" s="617" t="s">
        <v>206</v>
      </c>
      <c r="BY226" s="617" t="s">
        <v>206</v>
      </c>
      <c r="CA226" s="614">
        <v>45987</v>
      </c>
      <c r="CB226" s="616" t="s">
        <v>218</v>
      </c>
      <c r="CC226" s="283" t="s">
        <v>1584</v>
      </c>
      <c r="CE226" s="617"/>
      <c r="CF226" s="617"/>
      <c r="CG226" s="618" t="s">
        <v>209</v>
      </c>
      <c r="CH226" s="192"/>
      <c r="CI226" s="558"/>
      <c r="CJ226" s="558"/>
      <c r="CK226" s="559" t="s">
        <v>209</v>
      </c>
      <c r="CL226" s="558"/>
      <c r="CM226" s="558"/>
      <c r="CN226" s="558"/>
      <c r="CO226" s="553"/>
      <c r="CP226" s="558"/>
      <c r="CQ226" s="558"/>
      <c r="CR226" s="559" t="s">
        <v>209</v>
      </c>
      <c r="CS226" s="553"/>
      <c r="CT226" s="558"/>
      <c r="CU226" s="558"/>
      <c r="CV226" s="559" t="s">
        <v>209</v>
      </c>
    </row>
    <row r="227" spans="1:100" ht="151.5" customHeight="1" x14ac:dyDescent="0.3">
      <c r="A227" s="622">
        <v>102</v>
      </c>
      <c r="B227" s="622" t="s">
        <v>1629</v>
      </c>
      <c r="C227" s="623" t="s">
        <v>1576</v>
      </c>
      <c r="D227" s="585" t="str">
        <f>IFERROR(INDEX('Base de datos gestión'!$D$28:$D$50,MATCH(C226,'Base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7" s="585" t="str">
        <f>IFERROR(INDEX('Base de datos gestión'!$E$28:$E$50,MATCH(C226,'Base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7" s="728" t="s">
        <v>652</v>
      </c>
      <c r="G227" s="723" t="s">
        <v>1630</v>
      </c>
      <c r="H227" s="728" t="s">
        <v>1631</v>
      </c>
      <c r="I227" s="631" t="s">
        <v>1640</v>
      </c>
      <c r="J227" s="637" t="s">
        <v>280</v>
      </c>
      <c r="K227" s="702" t="s">
        <v>311</v>
      </c>
      <c r="L227" s="630">
        <v>1500</v>
      </c>
      <c r="M227" s="588" t="str">
        <f t="shared" ref="M227:M260" si="71">IF(L227&lt;=0,"",IF(L227&lt;=2,"Muy Baja",IF(L227&lt;=24,"Baja",IF(L227&lt;=500,"Media",IF(L227&lt;=5000,"Alta","Muy Alta")))))</f>
        <v>Alta</v>
      </c>
      <c r="N227" s="589">
        <f t="shared" si="64"/>
        <v>0.8</v>
      </c>
      <c r="O227" s="590" t="s">
        <v>950</v>
      </c>
      <c r="P227" s="589" t="str">
        <f>IF(NOT(ISERROR(MATCH(O227,'Tabla Impacto'!$B$222:$B$224,0))),'Tabla Impacto'!$F$224&amp;"Por favor no seleccionar los criterios de impacto(Afectación Económica o presupuestal y Pérdida Reputacional)",O227)</f>
        <v xml:space="preserve">     Entre 10 y 50 SMLMV </v>
      </c>
      <c r="Q227" s="591" t="str">
        <f>IF(OR(P227='[8]Tabla Impacto'!$C$12,P227='[8]Tabla Impacto'!$D$12),"Leve",IF(OR(P227='[8]Tabla Impacto'!$C$13,P227='[8]Tabla Impacto'!$D$13),"Menor",IF(OR(P227='[8]Tabla Impacto'!$C$14,P227='[8]Tabla Impacto'!$D$14),"Moderado",IF(OR(P227='[8]Tabla Impacto'!$C$15,P227='[8]Tabla Impacto'!$D$15),"Mayor",IF(OR(P227='[8]Tabla Impacto'!$C$16,P227='[8]Tabla Impacto'!$D$16),"Catastrófico","")))))</f>
        <v>Menor</v>
      </c>
      <c r="R227" s="590">
        <f t="shared" si="57"/>
        <v>0.4</v>
      </c>
      <c r="S227" s="592" t="str">
        <f t="shared" si="58"/>
        <v>Moderado</v>
      </c>
      <c r="T227" s="595">
        <v>3</v>
      </c>
      <c r="U227" s="631" t="s">
        <v>1641</v>
      </c>
      <c r="V227" s="595" t="str">
        <f t="shared" si="70"/>
        <v>Probabilidad</v>
      </c>
      <c r="W227" s="596" t="s">
        <v>197</v>
      </c>
      <c r="X227" s="596" t="s">
        <v>198</v>
      </c>
      <c r="Y227" s="597" t="str">
        <f t="shared" si="65"/>
        <v>40%</v>
      </c>
      <c r="Z227" s="596" t="s">
        <v>259</v>
      </c>
      <c r="AA227" s="596" t="s">
        <v>200</v>
      </c>
      <c r="AB227" s="596" t="s">
        <v>201</v>
      </c>
      <c r="AC227" s="598">
        <f>IFERROR(IF(AND(V226="Probabilidad",V227="Probabilidad"),(AE226-(+AE226*Y227)),IF(AND(V226="Impacto",V227="Probabilidad"),(AE225-(+AE225*Y227)),IF(V227="Impacto",AE226,""))),"")</f>
        <v>4.6655999999999996E-2</v>
      </c>
      <c r="AD227" s="599" t="str">
        <f t="shared" si="66"/>
        <v>Muy Baja</v>
      </c>
      <c r="AE227" s="600">
        <f t="shared" si="67"/>
        <v>4.6655999999999996E-2</v>
      </c>
      <c r="AF227" s="599" t="str">
        <f t="shared" si="68"/>
        <v>Moderado</v>
      </c>
      <c r="AG227" s="600">
        <f>IFERROR(IF(AND(V226="Impacto",V227="Impacto"),(AG226-(+AG226*Y227)),IF(AND(V226="Probabilidad",V227="Impacto"),(AG225-(+AG225*Y227)),IF(V227="Probabilidad",AG226,""))),"")</f>
        <v>0.6</v>
      </c>
      <c r="AH227" s="601" t="str">
        <f t="shared" si="69"/>
        <v>Moderado</v>
      </c>
      <c r="AI227" s="602" t="s">
        <v>202</v>
      </c>
      <c r="AJ227" s="603"/>
      <c r="AK227" s="603"/>
      <c r="AL227" s="604"/>
      <c r="AM227" s="605"/>
      <c r="AN227" s="606"/>
      <c r="AO227" s="607"/>
      <c r="AP227" s="608">
        <v>45757</v>
      </c>
      <c r="AQ227" s="609" t="s">
        <v>1174</v>
      </c>
      <c r="AR227" s="635" t="s">
        <v>1642</v>
      </c>
      <c r="AS227" s="698" t="s">
        <v>205</v>
      </c>
      <c r="AT227" s="612" t="s">
        <v>206</v>
      </c>
      <c r="AU227" s="283" t="s">
        <v>535</v>
      </c>
      <c r="AV227" s="613"/>
      <c r="AW227" s="614">
        <v>45782</v>
      </c>
      <c r="AX227" s="615" t="s">
        <v>207</v>
      </c>
      <c r="AY227" s="635" t="s">
        <v>578</v>
      </c>
      <c r="BA227" s="617"/>
      <c r="BB227" s="617"/>
      <c r="BC227" s="618" t="s">
        <v>209</v>
      </c>
      <c r="BE227" s="614">
        <v>45855</v>
      </c>
      <c r="BF227" s="609" t="s">
        <v>1174</v>
      </c>
      <c r="BG227" s="636" t="s">
        <v>1642</v>
      </c>
      <c r="BH227" s="722" t="s">
        <v>205</v>
      </c>
      <c r="BI227" s="612" t="s">
        <v>206</v>
      </c>
      <c r="BJ227" s="283" t="s">
        <v>811</v>
      </c>
      <c r="BL227" s="450">
        <v>45861</v>
      </c>
      <c r="BM227" s="676" t="s">
        <v>215</v>
      </c>
      <c r="BN227" s="283" t="s">
        <v>1228</v>
      </c>
      <c r="BP227" s="617"/>
      <c r="BQ227" s="617"/>
      <c r="BR227" s="618" t="s">
        <v>209</v>
      </c>
      <c r="BT227" s="668">
        <v>45946</v>
      </c>
      <c r="BU227" s="617" t="s">
        <v>1583</v>
      </c>
      <c r="BV227" s="636" t="s">
        <v>1643</v>
      </c>
      <c r="BW227" s="617" t="s">
        <v>205</v>
      </c>
      <c r="BX227" s="617" t="s">
        <v>206</v>
      </c>
      <c r="BY227" s="617" t="s">
        <v>206</v>
      </c>
      <c r="CA227" s="614">
        <v>45987</v>
      </c>
      <c r="CB227" s="616" t="s">
        <v>218</v>
      </c>
      <c r="CC227" s="283" t="s">
        <v>1584</v>
      </c>
      <c r="CE227" s="617"/>
      <c r="CF227" s="617"/>
      <c r="CG227" s="618" t="s">
        <v>209</v>
      </c>
      <c r="CH227" s="192"/>
      <c r="CI227" s="558"/>
      <c r="CJ227" s="558"/>
      <c r="CK227" s="559" t="s">
        <v>209</v>
      </c>
      <c r="CL227" s="558"/>
      <c r="CM227" s="558"/>
      <c r="CN227" s="558"/>
      <c r="CO227" s="553"/>
      <c r="CP227" s="558"/>
      <c r="CQ227" s="558"/>
      <c r="CR227" s="559" t="s">
        <v>209</v>
      </c>
      <c r="CS227" s="553"/>
      <c r="CT227" s="558"/>
      <c r="CU227" s="558"/>
      <c r="CV227" s="559" t="s">
        <v>209</v>
      </c>
    </row>
    <row r="228" spans="1:100" ht="151.5" customHeight="1" x14ac:dyDescent="0.3">
      <c r="A228" s="632">
        <v>103</v>
      </c>
      <c r="B228" s="632" t="s">
        <v>1644</v>
      </c>
      <c r="C228" s="633" t="s">
        <v>1576</v>
      </c>
      <c r="D228" s="585" t="str">
        <f>IFERROR(INDEX('Base de datos gestión'!$D$28:$D$50,MATCH(C227,'Base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8" s="585" t="str">
        <f>IFERROR(INDEX('Base de datos gestión'!$E$28:$E$50,MATCH(C227,'Base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8" s="628" t="s">
        <v>276</v>
      </c>
      <c r="G228" s="629" t="s">
        <v>1645</v>
      </c>
      <c r="H228" s="628" t="s">
        <v>1646</v>
      </c>
      <c r="I228" s="628" t="s">
        <v>1647</v>
      </c>
      <c r="J228" s="637" t="s">
        <v>280</v>
      </c>
      <c r="K228" s="630" t="s">
        <v>522</v>
      </c>
      <c r="L228" s="630">
        <v>2</v>
      </c>
      <c r="M228" s="588" t="str">
        <f t="shared" si="71"/>
        <v>Muy Baja</v>
      </c>
      <c r="N228" s="589">
        <f t="shared" si="64"/>
        <v>0.2</v>
      </c>
      <c r="O228" s="590" t="s">
        <v>950</v>
      </c>
      <c r="P228" s="589" t="str">
        <f>IF(NOT(ISERROR(MATCH(O228,'Tabla Impacto'!$B$222:$B$224,0))),'Tabla Impacto'!$F$224&amp;"Por favor no seleccionar los criterios de impacto(Afectación Económica o presupuestal y Pérdida Reputacional)",O228)</f>
        <v xml:space="preserve">     Entre 10 y 50 SMLMV </v>
      </c>
      <c r="Q228" s="591" t="str">
        <f>IF(OR(P228='[8]Tabla Impacto'!$C$12,P228='[8]Tabla Impacto'!$D$12),"Leve",IF(OR(P228='[8]Tabla Impacto'!$C$13,P228='[8]Tabla Impacto'!$D$13),"Menor",IF(OR(P228='[8]Tabla Impacto'!$C$14,P228='[8]Tabla Impacto'!$D$14),"Moderado",IF(OR(P228='[8]Tabla Impacto'!$C$15,P228='[8]Tabla Impacto'!$D$15),"Mayor",IF(OR(P228='[8]Tabla Impacto'!$C$16,P228='[8]Tabla Impacto'!$D$16),"Catastrófico","")))))</f>
        <v>Menor</v>
      </c>
      <c r="R228" s="590">
        <f t="shared" si="57"/>
        <v>0.4</v>
      </c>
      <c r="S228" s="592" t="str">
        <f t="shared" si="58"/>
        <v>Bajo</v>
      </c>
      <c r="T228" s="595">
        <v>1</v>
      </c>
      <c r="U228" s="631" t="s">
        <v>1648</v>
      </c>
      <c r="V228" s="595" t="str">
        <f t="shared" si="70"/>
        <v>Probabilidad</v>
      </c>
      <c r="W228" s="596" t="s">
        <v>197</v>
      </c>
      <c r="X228" s="596" t="s">
        <v>198</v>
      </c>
      <c r="Y228" s="597" t="str">
        <f t="shared" si="65"/>
        <v>40%</v>
      </c>
      <c r="Z228" s="596" t="s">
        <v>259</v>
      </c>
      <c r="AA228" s="596" t="s">
        <v>225</v>
      </c>
      <c r="AB228" s="596" t="s">
        <v>201</v>
      </c>
      <c r="AC228" s="598">
        <f>IFERROR(IF(AND(V227="Probabilidad",V228="Probabilidad"),(AE227-(+AE227*Y228)),IF(AND(V227="Impacto",V228="Probabilidad"),(AE226-(+AE226*Y228)),IF(V228="Impacto",AE227,""))),"")</f>
        <v>2.7993599999999997E-2</v>
      </c>
      <c r="AD228" s="599" t="str">
        <f t="shared" si="66"/>
        <v>Muy Baja</v>
      </c>
      <c r="AE228" s="600">
        <f t="shared" si="67"/>
        <v>2.7993599999999997E-2</v>
      </c>
      <c r="AF228" s="599" t="str">
        <f t="shared" si="68"/>
        <v>Moderado</v>
      </c>
      <c r="AG228" s="600">
        <f>IFERROR(IF(AND(V227="Impacto",V228="Impacto"),(AG227-(+AG227*Y228)),IF(AND(V227="Probabilidad",V228="Impacto"),(AG226-(+AG226*Y228)),IF(V228="Probabilidad",AG227,""))),"")</f>
        <v>0.6</v>
      </c>
      <c r="AH228" s="601" t="str">
        <f t="shared" si="69"/>
        <v>Moderado</v>
      </c>
      <c r="AI228" s="602" t="s">
        <v>202</v>
      </c>
      <c r="AJ228" s="603"/>
      <c r="AK228" s="603"/>
      <c r="AL228" s="604"/>
      <c r="AM228" s="605"/>
      <c r="AN228" s="606"/>
      <c r="AO228" s="607"/>
      <c r="AP228" s="608">
        <v>45757</v>
      </c>
      <c r="AQ228" s="609" t="s">
        <v>1174</v>
      </c>
      <c r="AR228" s="635" t="s">
        <v>1649</v>
      </c>
      <c r="AS228" s="698" t="s">
        <v>205</v>
      </c>
      <c r="AT228" s="612" t="s">
        <v>206</v>
      </c>
      <c r="AU228" s="283" t="s">
        <v>535</v>
      </c>
      <c r="AV228" s="613"/>
      <c r="AW228" s="614">
        <v>45782</v>
      </c>
      <c r="AX228" s="615" t="s">
        <v>207</v>
      </c>
      <c r="AY228" s="635" t="s">
        <v>1650</v>
      </c>
      <c r="BA228" s="617"/>
      <c r="BB228" s="617"/>
      <c r="BC228" s="618" t="s">
        <v>209</v>
      </c>
      <c r="BE228" s="614">
        <v>45855</v>
      </c>
      <c r="BF228" s="609" t="s">
        <v>1174</v>
      </c>
      <c r="BG228" s="635" t="s">
        <v>1651</v>
      </c>
      <c r="BH228" s="722" t="s">
        <v>205</v>
      </c>
      <c r="BI228" s="612" t="s">
        <v>206</v>
      </c>
      <c r="BJ228" s="283" t="s">
        <v>535</v>
      </c>
      <c r="BL228" s="450">
        <v>45861</v>
      </c>
      <c r="BM228" s="676" t="s">
        <v>215</v>
      </c>
      <c r="BN228" s="283" t="s">
        <v>1228</v>
      </c>
      <c r="BP228" s="617"/>
      <c r="BQ228" s="617"/>
      <c r="BR228" s="618" t="s">
        <v>209</v>
      </c>
      <c r="BT228" s="668">
        <v>45946</v>
      </c>
      <c r="BU228" s="617" t="s">
        <v>1583</v>
      </c>
      <c r="BV228" s="635" t="s">
        <v>1652</v>
      </c>
      <c r="BW228" s="617" t="s">
        <v>205</v>
      </c>
      <c r="BX228" s="617" t="s">
        <v>206</v>
      </c>
      <c r="BY228" s="617" t="s">
        <v>206</v>
      </c>
      <c r="CA228" s="614">
        <v>45987</v>
      </c>
      <c r="CB228" s="616" t="s">
        <v>218</v>
      </c>
      <c r="CC228" s="283" t="s">
        <v>1584</v>
      </c>
      <c r="CE228" s="617"/>
      <c r="CF228" s="617"/>
      <c r="CG228" s="618" t="s">
        <v>209</v>
      </c>
      <c r="CH228" s="192"/>
      <c r="CI228" s="558"/>
      <c r="CJ228" s="558"/>
      <c r="CK228" s="559" t="s">
        <v>209</v>
      </c>
      <c r="CL228" s="558"/>
      <c r="CM228" s="558"/>
      <c r="CN228" s="558"/>
      <c r="CO228" s="553"/>
      <c r="CP228" s="558"/>
      <c r="CQ228" s="558"/>
      <c r="CR228" s="559" t="s">
        <v>209</v>
      </c>
      <c r="CS228" s="553"/>
      <c r="CT228" s="558"/>
      <c r="CU228" s="558"/>
      <c r="CV228" s="559" t="s">
        <v>209</v>
      </c>
    </row>
    <row r="229" spans="1:100" ht="151.5" customHeight="1" x14ac:dyDescent="0.3">
      <c r="A229" s="584">
        <v>103</v>
      </c>
      <c r="B229" s="584" t="s">
        <v>1644</v>
      </c>
      <c r="C229" s="585" t="s">
        <v>1576</v>
      </c>
      <c r="D229" s="585" t="str">
        <f>IFERROR(INDEX('Base de datos gestión'!$D$28:$D$50,MATCH(C228,'Base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29" s="585" t="str">
        <f>IFERROR(INDEX('Base de datos gestión'!$E$28:$E$50,MATCH(C228,'Base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29" s="628" t="s">
        <v>276</v>
      </c>
      <c r="G229" s="629" t="s">
        <v>1645</v>
      </c>
      <c r="H229" s="628" t="s">
        <v>1646</v>
      </c>
      <c r="I229" s="628" t="s">
        <v>1647</v>
      </c>
      <c r="J229" s="637" t="s">
        <v>280</v>
      </c>
      <c r="K229" s="630" t="s">
        <v>522</v>
      </c>
      <c r="L229" s="630">
        <v>2</v>
      </c>
      <c r="M229" s="588" t="str">
        <f t="shared" si="71"/>
        <v>Muy Baja</v>
      </c>
      <c r="N229" s="589">
        <f t="shared" si="64"/>
        <v>0.2</v>
      </c>
      <c r="O229" s="590" t="s">
        <v>950</v>
      </c>
      <c r="P229" s="589" t="str">
        <f>IF(NOT(ISERROR(MATCH(O229,'Tabla Impacto'!$B$222:$B$224,0))),'Tabla Impacto'!$F$224&amp;"Por favor no seleccionar los criterios de impacto(Afectación Económica o presupuestal y Pérdida Reputacional)",O229)</f>
        <v xml:space="preserve">     Entre 10 y 50 SMLMV </v>
      </c>
      <c r="Q229" s="591" t="str">
        <f>IF(OR(P229='[8]Tabla Impacto'!$C$12,P229='[8]Tabla Impacto'!$D$12),"Leve",IF(OR(P229='[8]Tabla Impacto'!$C$13,P229='[8]Tabla Impacto'!$D$13),"Menor",IF(OR(P229='[8]Tabla Impacto'!$C$14,P229='[8]Tabla Impacto'!$D$14),"Moderado",IF(OR(P229='[8]Tabla Impacto'!$C$15,P229='[8]Tabla Impacto'!$D$15),"Mayor",IF(OR(P229='[8]Tabla Impacto'!$C$16,P229='[8]Tabla Impacto'!$D$16),"Catastrófico","")))))</f>
        <v>Menor</v>
      </c>
      <c r="R229" s="590">
        <f t="shared" si="57"/>
        <v>0.4</v>
      </c>
      <c r="S229" s="592" t="str">
        <f t="shared" si="58"/>
        <v>Bajo</v>
      </c>
      <c r="T229" s="595">
        <v>2</v>
      </c>
      <c r="U229" s="631" t="s">
        <v>1653</v>
      </c>
      <c r="V229" s="595" t="str">
        <f t="shared" si="70"/>
        <v>Probabilidad</v>
      </c>
      <c r="W229" s="596" t="s">
        <v>197</v>
      </c>
      <c r="X229" s="596" t="s">
        <v>198</v>
      </c>
      <c r="Y229" s="597" t="str">
        <f t="shared" si="65"/>
        <v>40%</v>
      </c>
      <c r="Z229" s="596" t="s">
        <v>259</v>
      </c>
      <c r="AA229" s="596" t="s">
        <v>225</v>
      </c>
      <c r="AB229" s="596" t="s">
        <v>201</v>
      </c>
      <c r="AC229" s="598">
        <f>IFERROR(IF(V229="Probabilidad",(N229-(+N229*Y229)),IF(V229="Impacto",N229,"")),"")</f>
        <v>0.12</v>
      </c>
      <c r="AD229" s="599" t="str">
        <f t="shared" si="66"/>
        <v>Muy Baja</v>
      </c>
      <c r="AE229" s="600">
        <f t="shared" si="67"/>
        <v>0.12</v>
      </c>
      <c r="AF229" s="599" t="str">
        <f t="shared" si="68"/>
        <v>Menor</v>
      </c>
      <c r="AG229" s="600">
        <f>IFERROR(IF(V229="Impacto",(R229-(+R229*Y229)),IF(V229="Probabilidad",R229,"")),"")</f>
        <v>0.4</v>
      </c>
      <c r="AH229" s="601" t="str">
        <f t="shared" si="69"/>
        <v>Bajo</v>
      </c>
      <c r="AI229" s="602" t="s">
        <v>202</v>
      </c>
      <c r="AJ229" s="603"/>
      <c r="AK229" s="603"/>
      <c r="AL229" s="604"/>
      <c r="AM229" s="605"/>
      <c r="AN229" s="606"/>
      <c r="AO229" s="607"/>
      <c r="AP229" s="608">
        <v>45757</v>
      </c>
      <c r="AQ229" s="609" t="s">
        <v>1174</v>
      </c>
      <c r="AR229" s="635" t="s">
        <v>1654</v>
      </c>
      <c r="AS229" s="698" t="s">
        <v>205</v>
      </c>
      <c r="AT229" s="612" t="s">
        <v>206</v>
      </c>
      <c r="AU229" s="283" t="s">
        <v>535</v>
      </c>
      <c r="AV229" s="613"/>
      <c r="AW229" s="614">
        <v>45782</v>
      </c>
      <c r="AX229" s="615" t="s">
        <v>207</v>
      </c>
      <c r="AY229" s="635" t="s">
        <v>578</v>
      </c>
      <c r="BA229" s="617"/>
      <c r="BB229" s="617"/>
      <c r="BC229" s="618" t="s">
        <v>209</v>
      </c>
      <c r="BE229" s="614">
        <v>45855</v>
      </c>
      <c r="BF229" s="609" t="s">
        <v>1174</v>
      </c>
      <c r="BG229" s="635" t="s">
        <v>1654</v>
      </c>
      <c r="BH229" s="722" t="s">
        <v>205</v>
      </c>
      <c r="BI229" s="612" t="s">
        <v>206</v>
      </c>
      <c r="BJ229" s="283" t="s">
        <v>535</v>
      </c>
      <c r="BL229" s="450">
        <v>45861</v>
      </c>
      <c r="BM229" s="676" t="s">
        <v>215</v>
      </c>
      <c r="BN229" s="283" t="s">
        <v>1228</v>
      </c>
      <c r="BP229" s="617"/>
      <c r="BQ229" s="617"/>
      <c r="BR229" s="618" t="s">
        <v>209</v>
      </c>
      <c r="BT229" s="668">
        <v>45946</v>
      </c>
      <c r="BU229" s="617" t="s">
        <v>1583</v>
      </c>
      <c r="BV229" s="635" t="s">
        <v>1654</v>
      </c>
      <c r="BW229" s="617" t="s">
        <v>205</v>
      </c>
      <c r="BX229" s="617" t="s">
        <v>206</v>
      </c>
      <c r="BY229" s="617" t="s">
        <v>206</v>
      </c>
      <c r="CA229" s="614">
        <v>45987</v>
      </c>
      <c r="CB229" s="616" t="s">
        <v>218</v>
      </c>
      <c r="CC229" s="283" t="s">
        <v>1584</v>
      </c>
      <c r="CE229" s="617"/>
      <c r="CF229" s="617"/>
      <c r="CG229" s="618" t="s">
        <v>209</v>
      </c>
      <c r="CH229" s="192"/>
      <c r="CI229" s="558"/>
      <c r="CJ229" s="558"/>
      <c r="CK229" s="559" t="s">
        <v>209</v>
      </c>
      <c r="CL229" s="558"/>
      <c r="CM229" s="558"/>
      <c r="CN229" s="558"/>
      <c r="CO229" s="553"/>
      <c r="CP229" s="558"/>
      <c r="CQ229" s="558"/>
      <c r="CR229" s="559" t="s">
        <v>209</v>
      </c>
      <c r="CS229" s="553"/>
      <c r="CT229" s="558"/>
      <c r="CU229" s="558"/>
      <c r="CV229" s="559" t="s">
        <v>209</v>
      </c>
    </row>
    <row r="230" spans="1:100" ht="151.5" customHeight="1" x14ac:dyDescent="0.3">
      <c r="A230" s="622">
        <v>104</v>
      </c>
      <c r="B230" s="622" t="s">
        <v>1655</v>
      </c>
      <c r="C230" s="623" t="s">
        <v>1576</v>
      </c>
      <c r="D230" s="585" t="str">
        <f>IFERROR(INDEX('Base de datos gestión'!$D$28:$D$50,MATCH(C229,'Base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0" s="585" t="str">
        <f>IFERROR(INDEX('Base de datos gestión'!$E$28:$E$50,MATCH(C229,'Base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0" s="628" t="s">
        <v>276</v>
      </c>
      <c r="G230" s="629" t="s">
        <v>1656</v>
      </c>
      <c r="H230" s="628" t="s">
        <v>1657</v>
      </c>
      <c r="I230" s="628" t="s">
        <v>1658</v>
      </c>
      <c r="J230" s="637" t="s">
        <v>280</v>
      </c>
      <c r="K230" s="630" t="s">
        <v>439</v>
      </c>
      <c r="L230" s="630">
        <v>3</v>
      </c>
      <c r="M230" s="588" t="str">
        <f t="shared" si="71"/>
        <v>Baja</v>
      </c>
      <c r="N230" s="589">
        <f t="shared" si="64"/>
        <v>0.4</v>
      </c>
      <c r="O230" s="590" t="s">
        <v>950</v>
      </c>
      <c r="P230" s="589" t="str">
        <f>IF(NOT(ISERROR(MATCH(O230,'Tabla Impacto'!$B$222:$B$224,0))),'Tabla Impacto'!$F$224&amp;"Por favor no seleccionar los criterios de impacto(Afectación Económica o presupuestal y Pérdida Reputacional)",O230)</f>
        <v xml:space="preserve">     Entre 10 y 50 SMLMV </v>
      </c>
      <c r="Q230" s="591" t="str">
        <f>IF(OR(P230='[8]Tabla Impacto'!$C$12,P230='[8]Tabla Impacto'!$D$12),"Leve",IF(OR(P230='[8]Tabla Impacto'!$C$13,P230='[8]Tabla Impacto'!$D$13),"Menor",IF(OR(P230='[8]Tabla Impacto'!$C$14,P230='[8]Tabla Impacto'!$D$14),"Moderado",IF(OR(P230='[8]Tabla Impacto'!$C$15,P230='[8]Tabla Impacto'!$D$15),"Mayor",IF(OR(P230='[8]Tabla Impacto'!$C$16,P230='[8]Tabla Impacto'!$D$16),"Catastrófico","")))))</f>
        <v>Menor</v>
      </c>
      <c r="R230" s="590">
        <f t="shared" si="57"/>
        <v>0.4</v>
      </c>
      <c r="S230" s="592" t="str">
        <f t="shared" si="58"/>
        <v>Moderado</v>
      </c>
      <c r="T230" s="595">
        <v>1</v>
      </c>
      <c r="U230" s="631" t="s">
        <v>1659</v>
      </c>
      <c r="V230" s="595" t="str">
        <f t="shared" si="70"/>
        <v>Probabilidad</v>
      </c>
      <c r="W230" s="596" t="s">
        <v>197</v>
      </c>
      <c r="X230" s="596" t="s">
        <v>198</v>
      </c>
      <c r="Y230" s="597" t="str">
        <f t="shared" si="65"/>
        <v>40%</v>
      </c>
      <c r="Z230" s="596" t="s">
        <v>259</v>
      </c>
      <c r="AA230" s="596" t="s">
        <v>225</v>
      </c>
      <c r="AB230" s="596" t="s">
        <v>201</v>
      </c>
      <c r="AC230" s="598">
        <f>IFERROR(IF(AND(V229="Probabilidad",V230="Probabilidad"),(AE229-(+AE229*Y230)),IF(V230="Probabilidad",(N229-(+N229*Y230)),IF(V230="Impacto",AE229,""))),"")</f>
        <v>7.1999999999999995E-2</v>
      </c>
      <c r="AD230" s="599" t="str">
        <f t="shared" si="66"/>
        <v>Muy Baja</v>
      </c>
      <c r="AE230" s="600">
        <f t="shared" si="67"/>
        <v>7.1999999999999995E-2</v>
      </c>
      <c r="AF230" s="599" t="str">
        <f t="shared" si="68"/>
        <v>Menor</v>
      </c>
      <c r="AG230" s="600">
        <f>IFERROR(IF(AND(V229="Impacto",V230="Impacto"),(AG223-(+AG223*Y230)),IF(V230="Impacto",($R$49-(+$R$49*Y230)),IF(V230="Probabilidad",AG223,""))),"")</f>
        <v>0.4</v>
      </c>
      <c r="AH230" s="601" t="str">
        <f t="shared" si="69"/>
        <v>Bajo</v>
      </c>
      <c r="AI230" s="602" t="s">
        <v>202</v>
      </c>
      <c r="AJ230" s="603"/>
      <c r="AK230" s="603"/>
      <c r="AL230" s="604"/>
      <c r="AM230" s="605"/>
      <c r="AN230" s="606"/>
      <c r="AO230" s="607"/>
      <c r="AP230" s="608">
        <v>45757</v>
      </c>
      <c r="AQ230" s="609" t="s">
        <v>1174</v>
      </c>
      <c r="AR230" s="635" t="s">
        <v>1660</v>
      </c>
      <c r="AS230" s="698" t="s">
        <v>205</v>
      </c>
      <c r="AT230" s="612" t="s">
        <v>206</v>
      </c>
      <c r="AU230" s="283" t="s">
        <v>535</v>
      </c>
      <c r="AV230" s="613"/>
      <c r="AW230" s="614">
        <v>45782</v>
      </c>
      <c r="AX230" s="615" t="s">
        <v>207</v>
      </c>
      <c r="AY230" s="635" t="s">
        <v>578</v>
      </c>
      <c r="BA230" s="617"/>
      <c r="BB230" s="617"/>
      <c r="BC230" s="618" t="s">
        <v>209</v>
      </c>
      <c r="BE230" s="614">
        <v>45855</v>
      </c>
      <c r="BF230" s="609" t="s">
        <v>1174</v>
      </c>
      <c r="BG230" s="635" t="s">
        <v>1661</v>
      </c>
      <c r="BH230" s="722" t="s">
        <v>205</v>
      </c>
      <c r="BI230" s="612" t="s">
        <v>206</v>
      </c>
      <c r="BJ230" s="283" t="s">
        <v>535</v>
      </c>
      <c r="BL230" s="450">
        <v>45861</v>
      </c>
      <c r="BM230" s="676" t="s">
        <v>215</v>
      </c>
      <c r="BN230" s="283" t="s">
        <v>1228</v>
      </c>
      <c r="BP230" s="617"/>
      <c r="BQ230" s="617"/>
      <c r="BR230" s="618" t="s">
        <v>209</v>
      </c>
      <c r="BT230" s="668">
        <v>45946</v>
      </c>
      <c r="BU230" s="617" t="s">
        <v>1583</v>
      </c>
      <c r="BV230" s="635" t="s">
        <v>1662</v>
      </c>
      <c r="BW230" s="617" t="s">
        <v>205</v>
      </c>
      <c r="BX230" s="617" t="s">
        <v>206</v>
      </c>
      <c r="BY230" s="617" t="s">
        <v>206</v>
      </c>
      <c r="CA230" s="614">
        <v>45987</v>
      </c>
      <c r="CB230" s="616" t="s">
        <v>218</v>
      </c>
      <c r="CC230" s="283" t="s">
        <v>1584</v>
      </c>
      <c r="CE230" s="617"/>
      <c r="CF230" s="617"/>
      <c r="CG230" s="618" t="s">
        <v>209</v>
      </c>
      <c r="CH230" s="192"/>
      <c r="CI230" s="558"/>
      <c r="CJ230" s="558"/>
      <c r="CK230" s="559" t="s">
        <v>209</v>
      </c>
      <c r="CL230" s="558"/>
      <c r="CM230" s="558"/>
      <c r="CN230" s="558"/>
      <c r="CO230" s="553"/>
      <c r="CP230" s="558"/>
      <c r="CQ230" s="558"/>
      <c r="CR230" s="559" t="s">
        <v>209</v>
      </c>
      <c r="CS230" s="553"/>
      <c r="CT230" s="558"/>
      <c r="CU230" s="558"/>
      <c r="CV230" s="559" t="s">
        <v>209</v>
      </c>
    </row>
    <row r="231" spans="1:100" ht="151.5" customHeight="1" x14ac:dyDescent="0.3">
      <c r="A231" s="622">
        <v>104</v>
      </c>
      <c r="B231" s="622" t="s">
        <v>1655</v>
      </c>
      <c r="C231" s="623" t="s">
        <v>1576</v>
      </c>
      <c r="D231" s="585" t="str">
        <f>IFERROR(INDEX('Base de datos gestión'!$D$28:$D$50,MATCH(C230,'Base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1" s="585" t="str">
        <f>IFERROR(INDEX('Base de datos gestión'!$E$28:$E$50,MATCH(C230,'Base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1" s="628" t="s">
        <v>276</v>
      </c>
      <c r="G231" s="629" t="s">
        <v>1656</v>
      </c>
      <c r="H231" s="628" t="s">
        <v>1657</v>
      </c>
      <c r="I231" s="628" t="s">
        <v>1658</v>
      </c>
      <c r="J231" s="637" t="s">
        <v>280</v>
      </c>
      <c r="K231" s="630" t="s">
        <v>439</v>
      </c>
      <c r="L231" s="630">
        <v>3</v>
      </c>
      <c r="M231" s="588" t="str">
        <f t="shared" si="71"/>
        <v>Baja</v>
      </c>
      <c r="N231" s="589">
        <f t="shared" si="64"/>
        <v>0.4</v>
      </c>
      <c r="O231" s="590" t="s">
        <v>950</v>
      </c>
      <c r="P231" s="589" t="str">
        <f>IF(NOT(ISERROR(MATCH(O231,'Tabla Impacto'!$B$222:$B$224,0))),'Tabla Impacto'!$F$224&amp;"Por favor no seleccionar los criterios de impacto(Afectación Económica o presupuestal y Pérdida Reputacional)",O231)</f>
        <v xml:space="preserve">     Entre 10 y 50 SMLMV </v>
      </c>
      <c r="Q231" s="591" t="str">
        <f>IF(OR(P231='[8]Tabla Impacto'!$C$12,P231='[8]Tabla Impacto'!$D$12),"Leve",IF(OR(P231='[8]Tabla Impacto'!$C$13,P231='[8]Tabla Impacto'!$D$13),"Menor",IF(OR(P231='[8]Tabla Impacto'!$C$14,P231='[8]Tabla Impacto'!$D$14),"Moderado",IF(OR(P231='[8]Tabla Impacto'!$C$15,P231='[8]Tabla Impacto'!$D$15),"Mayor",IF(OR(P231='[8]Tabla Impacto'!$C$16,P231='[8]Tabla Impacto'!$D$16),"Catastrófico","")))))</f>
        <v>Menor</v>
      </c>
      <c r="R231" s="590">
        <f>IF(Q231="","",IF(Q231="Leve",0.2,IF(Q231="Menor",0.4,IF(Q231="Moderado",0.6,IF(Q231="Mayor",0.8,IF(Q231="Catastrófico",1,))))))</f>
        <v>0.4</v>
      </c>
      <c r="S231" s="592" t="str">
        <f>IF(OR(AND(M231="Muy Baja",Q231="Leve"),AND(M231="Muy Baja",Q231="Menor"),AND(M231="Baja",Q231="Leve")),"Bajo",IF(OR(AND(M231="Muy baja",Q231="Moderado"),AND(M231="Baja",Q231="Menor"),AND(M231="Baja",Q231="Moderado"),AND(M231="Media",Q231="Leve"),AND(M231="Media",Q231="Menor"),AND(M231="Media",Q231="Moderado"),AND(M231="Alta",Q231="Leve"),AND(M231="Alta",Q231="Menor")),"Moderado",IF(OR(AND(M231="Muy Baja",Q231="Mayor"),AND(M231="Baja",Q231="Mayor"),AND(M231="Media",Q231="Mayor"),AND(M231="Alta",Q231="Moderado"),AND(M231="Alta",Q231="Mayor"),AND(M231="Muy Alta",Q231="Leve"),AND(M231="Muy Alta",Q231="Menor"),AND(M231="Muy Alta",Q231="Moderado"),AND(M231="Muy Alta",Q231="Mayor")),"Alto",IF(OR(AND(M231="Muy Baja",Q231="Catastrófico"),AND(M231="Baja",Q231="Catastrófico"),AND(M231="Media",Q231="Catastrófico"),AND(M231="Alta",Q231="Catastrófico"),AND(M231="Muy Alta",Q231="Catastrófico")),"Extremo",""))))</f>
        <v>Moderado</v>
      </c>
      <c r="T231" s="595">
        <v>2</v>
      </c>
      <c r="U231" s="631" t="s">
        <v>1663</v>
      </c>
      <c r="V231" s="595" t="str">
        <f t="shared" si="70"/>
        <v>Probabilidad</v>
      </c>
      <c r="W231" s="596" t="s">
        <v>197</v>
      </c>
      <c r="X231" s="596" t="s">
        <v>198</v>
      </c>
      <c r="Y231" s="597" t="str">
        <f t="shared" si="65"/>
        <v>40%</v>
      </c>
      <c r="Z231" s="596" t="s">
        <v>259</v>
      </c>
      <c r="AA231" s="596" t="s">
        <v>225</v>
      </c>
      <c r="AB231" s="596" t="s">
        <v>201</v>
      </c>
      <c r="AC231" s="598">
        <f>IFERROR(IF(AND(V230="Probabilidad",V231="Probabilidad"),(AE230-(+AE230*Y231)),IF(AND(V230="Impacto",V231="Probabilidad"),(AE229-(+AE229*Y231)),IF(V231="Impacto",AE230,""))),"")</f>
        <v>4.3199999999999995E-2</v>
      </c>
      <c r="AD231" s="599" t="str">
        <f t="shared" si="66"/>
        <v>Muy Baja</v>
      </c>
      <c r="AE231" s="600">
        <f t="shared" si="67"/>
        <v>4.3199999999999995E-2</v>
      </c>
      <c r="AF231" s="599" t="str">
        <f t="shared" si="68"/>
        <v>Menor</v>
      </c>
      <c r="AG231" s="600">
        <f>IFERROR(IF(AND(V230="Impacto",V231="Impacto"),(AG230-(+AG230*Y231)),IF(AND(V230="Probabilidad",V231="Impacto"),(AG229-(+AG229*Y231)),IF(V231="Probabilidad",AG230,""))),"")</f>
        <v>0.4</v>
      </c>
      <c r="AH231" s="601" t="str">
        <f t="shared" si="69"/>
        <v>Bajo</v>
      </c>
      <c r="AI231" s="602" t="s">
        <v>202</v>
      </c>
      <c r="AJ231" s="603"/>
      <c r="AK231" s="603"/>
      <c r="AL231" s="604"/>
      <c r="AM231" s="605"/>
      <c r="AN231" s="606"/>
      <c r="AO231" s="607"/>
      <c r="AP231" s="608">
        <v>45757</v>
      </c>
      <c r="AQ231" s="609" t="s">
        <v>1174</v>
      </c>
      <c r="AR231" s="635" t="s">
        <v>1660</v>
      </c>
      <c r="AS231" s="698" t="s">
        <v>205</v>
      </c>
      <c r="AT231" s="612" t="s">
        <v>206</v>
      </c>
      <c r="AU231" s="283" t="s">
        <v>535</v>
      </c>
      <c r="AV231" s="613"/>
      <c r="AW231" s="614">
        <v>45782</v>
      </c>
      <c r="AX231" s="615" t="s">
        <v>207</v>
      </c>
      <c r="AY231" s="635" t="s">
        <v>578</v>
      </c>
      <c r="BA231" s="617"/>
      <c r="BB231" s="617"/>
      <c r="BC231" s="618" t="s">
        <v>209</v>
      </c>
      <c r="BE231" s="614">
        <v>45855</v>
      </c>
      <c r="BF231" s="609" t="s">
        <v>1174</v>
      </c>
      <c r="BG231" s="635" t="s">
        <v>1664</v>
      </c>
      <c r="BH231" s="722" t="s">
        <v>205</v>
      </c>
      <c r="BI231" s="612" t="s">
        <v>206</v>
      </c>
      <c r="BJ231" s="283" t="s">
        <v>535</v>
      </c>
      <c r="BL231" s="450">
        <v>45861</v>
      </c>
      <c r="BM231" s="676" t="s">
        <v>215</v>
      </c>
      <c r="BN231" s="283" t="s">
        <v>1228</v>
      </c>
      <c r="BP231" s="617"/>
      <c r="BQ231" s="617"/>
      <c r="BR231" s="618" t="s">
        <v>209</v>
      </c>
      <c r="BT231" s="668">
        <v>45946</v>
      </c>
      <c r="BU231" s="617" t="s">
        <v>1583</v>
      </c>
      <c r="BV231" s="635" t="s">
        <v>1665</v>
      </c>
      <c r="BW231" s="617" t="s">
        <v>205</v>
      </c>
      <c r="BX231" s="617" t="s">
        <v>206</v>
      </c>
      <c r="BY231" s="617" t="s">
        <v>206</v>
      </c>
      <c r="CA231" s="614">
        <v>45987</v>
      </c>
      <c r="CB231" s="616" t="s">
        <v>218</v>
      </c>
      <c r="CC231" s="283" t="s">
        <v>1584</v>
      </c>
      <c r="CE231" s="617"/>
      <c r="CF231" s="617"/>
      <c r="CG231" s="618" t="s">
        <v>209</v>
      </c>
      <c r="CH231" s="192"/>
      <c r="CI231" s="558"/>
      <c r="CJ231" s="558"/>
      <c r="CK231" s="559" t="s">
        <v>209</v>
      </c>
      <c r="CL231" s="558"/>
      <c r="CM231" s="558"/>
      <c r="CN231" s="558"/>
      <c r="CO231" s="553"/>
      <c r="CP231" s="558"/>
      <c r="CQ231" s="558"/>
      <c r="CR231" s="559" t="s">
        <v>209</v>
      </c>
      <c r="CS231" s="553"/>
      <c r="CT231" s="558"/>
      <c r="CU231" s="558"/>
      <c r="CV231" s="559" t="s">
        <v>209</v>
      </c>
    </row>
    <row r="232" spans="1:100" ht="151.5" customHeight="1" x14ac:dyDescent="0.3">
      <c r="A232" s="622">
        <v>104</v>
      </c>
      <c r="B232" s="622" t="s">
        <v>1655</v>
      </c>
      <c r="C232" s="623" t="s">
        <v>1576</v>
      </c>
      <c r="D232" s="585" t="str">
        <f>IFERROR(INDEX('Base de datos gestión'!$D$28:$D$50,MATCH(C231,'Base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2" s="585" t="str">
        <f>IFERROR(INDEX('Base de datos gestión'!$E$28:$E$50,MATCH(C231,'Base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2" s="628" t="s">
        <v>276</v>
      </c>
      <c r="G232" s="629" t="s">
        <v>1656</v>
      </c>
      <c r="H232" s="628" t="s">
        <v>1657</v>
      </c>
      <c r="I232" s="628" t="s">
        <v>1658</v>
      </c>
      <c r="J232" s="637" t="s">
        <v>280</v>
      </c>
      <c r="K232" s="630" t="s">
        <v>439</v>
      </c>
      <c r="L232" s="630">
        <v>3</v>
      </c>
      <c r="M232" s="588" t="str">
        <f t="shared" si="71"/>
        <v>Baja</v>
      </c>
      <c r="N232" s="589">
        <f t="shared" si="64"/>
        <v>0.4</v>
      </c>
      <c r="O232" s="590" t="s">
        <v>950</v>
      </c>
      <c r="P232" s="589" t="str">
        <f>IF(NOT(ISERROR(MATCH(O232,'Tabla Impacto'!$B$222:$B$224,0))),'Tabla Impacto'!$F$224&amp;"Por favor no seleccionar los criterios de impacto(Afectación Económica o presupuestal y Pérdida Reputacional)",O232)</f>
        <v xml:space="preserve">     Entre 10 y 50 SMLMV </v>
      </c>
      <c r="Q232" s="591" t="str">
        <f>IF(OR(P232='[8]Tabla Impacto'!$C$12,P232='[8]Tabla Impacto'!$D$12),"Leve",IF(OR(P232='[8]Tabla Impacto'!$C$13,P232='[8]Tabla Impacto'!$D$13),"Menor",IF(OR(P232='[8]Tabla Impacto'!$C$14,P232='[8]Tabla Impacto'!$D$14),"Moderado",IF(OR(P232='[8]Tabla Impacto'!$C$15,P232='[8]Tabla Impacto'!$D$15),"Mayor",IF(OR(P232='[8]Tabla Impacto'!$C$16,P232='[8]Tabla Impacto'!$D$16),"Catastrófico","")))))</f>
        <v>Menor</v>
      </c>
      <c r="R232" s="590">
        <f>IF(Q232="","",IF(Q232="Leve",0.2,IF(Q232="Menor",0.4,IF(Q232="Moderado",0.6,IF(Q232="Mayor",0.8,IF(Q232="Catastrófico",1,))))))</f>
        <v>0.4</v>
      </c>
      <c r="S232" s="592" t="str">
        <f>IF(OR(AND(M232="Muy Baja",Q232="Leve"),AND(M232="Muy Baja",Q232="Menor"),AND(M232="Baja",Q232="Leve")),"Bajo",IF(OR(AND(M232="Muy baja",Q232="Moderado"),AND(M232="Baja",Q232="Menor"),AND(M232="Baja",Q232="Moderado"),AND(M232="Media",Q232="Leve"),AND(M232="Media",Q232="Menor"),AND(M232="Media",Q232="Moderado"),AND(M232="Alta",Q232="Leve"),AND(M232="Alta",Q232="Menor")),"Moderado",IF(OR(AND(M232="Muy Baja",Q232="Mayor"),AND(M232="Baja",Q232="Mayor"),AND(M232="Media",Q232="Mayor"),AND(M232="Alta",Q232="Moderado"),AND(M232="Alta",Q232="Mayor"),AND(M232="Muy Alta",Q232="Leve"),AND(M232="Muy Alta",Q232="Menor"),AND(M232="Muy Alta",Q232="Moderado"),AND(M232="Muy Alta",Q232="Mayor")),"Alto",IF(OR(AND(M232="Muy Baja",Q232="Catastrófico"),AND(M232="Baja",Q232="Catastrófico"),AND(M232="Media",Q232="Catastrófico"),AND(M232="Alta",Q232="Catastrófico"),AND(M232="Muy Alta",Q232="Catastrófico")),"Extremo",""))))</f>
        <v>Moderado</v>
      </c>
      <c r="T232" s="595">
        <v>3</v>
      </c>
      <c r="U232" s="631" t="s">
        <v>1666</v>
      </c>
      <c r="V232" s="595" t="str">
        <f t="shared" si="70"/>
        <v>Probabilidad</v>
      </c>
      <c r="W232" s="596" t="s">
        <v>197</v>
      </c>
      <c r="X232" s="596" t="s">
        <v>198</v>
      </c>
      <c r="Y232" s="597" t="str">
        <f t="shared" si="65"/>
        <v>40%</v>
      </c>
      <c r="Z232" s="596" t="s">
        <v>259</v>
      </c>
      <c r="AA232" s="596" t="s">
        <v>225</v>
      </c>
      <c r="AB232" s="596" t="s">
        <v>201</v>
      </c>
      <c r="AC232" s="598">
        <f>IFERROR(IF(AND(V231="Probabilidad",V232="Probabilidad"),(AE231-(+AE231*Y232)),IF(AND(V231="Impacto",V232="Probabilidad"),(AE230-(+AE230*Y232)),IF(V232="Impacto",AE231,""))),"")</f>
        <v>2.5919999999999995E-2</v>
      </c>
      <c r="AD232" s="599" t="str">
        <f t="shared" si="66"/>
        <v>Muy Baja</v>
      </c>
      <c r="AE232" s="600">
        <f t="shared" si="67"/>
        <v>2.5919999999999995E-2</v>
      </c>
      <c r="AF232" s="599" t="str">
        <f t="shared" si="68"/>
        <v>Menor</v>
      </c>
      <c r="AG232" s="600">
        <f>IFERROR(IF(AND(V231="Impacto",V232="Impacto"),(AG231-(+AG231*Y232)),IF(AND(V231="Probabilidad",V232="Impacto"),(AG230-(+AG230*Y232)),IF(V232="Probabilidad",AG231,""))),"")</f>
        <v>0.4</v>
      </c>
      <c r="AH232" s="601" t="str">
        <f t="shared" si="69"/>
        <v>Bajo</v>
      </c>
      <c r="AI232" s="602" t="s">
        <v>202</v>
      </c>
      <c r="AJ232" s="603"/>
      <c r="AK232" s="603"/>
      <c r="AL232" s="604"/>
      <c r="AM232" s="605"/>
      <c r="AN232" s="606"/>
      <c r="AO232" s="607"/>
      <c r="AP232" s="608">
        <v>45757</v>
      </c>
      <c r="AQ232" s="609" t="s">
        <v>1174</v>
      </c>
      <c r="AR232" s="635" t="s">
        <v>1660</v>
      </c>
      <c r="AS232" s="698" t="s">
        <v>205</v>
      </c>
      <c r="AT232" s="612" t="s">
        <v>206</v>
      </c>
      <c r="AU232" s="283" t="s">
        <v>535</v>
      </c>
      <c r="AV232" s="613"/>
      <c r="AW232" s="614">
        <v>45782</v>
      </c>
      <c r="AX232" s="615" t="s">
        <v>207</v>
      </c>
      <c r="AY232" s="635" t="s">
        <v>578</v>
      </c>
      <c r="BA232" s="617"/>
      <c r="BB232" s="617"/>
      <c r="BC232" s="618" t="s">
        <v>209</v>
      </c>
      <c r="BE232" s="614">
        <v>45855</v>
      </c>
      <c r="BF232" s="609" t="s">
        <v>1174</v>
      </c>
      <c r="BG232" s="635" t="s">
        <v>1667</v>
      </c>
      <c r="BH232" s="722" t="s">
        <v>205</v>
      </c>
      <c r="BI232" s="612" t="s">
        <v>206</v>
      </c>
      <c r="BJ232" s="283" t="s">
        <v>535</v>
      </c>
      <c r="BL232" s="450">
        <v>45861</v>
      </c>
      <c r="BM232" s="676" t="s">
        <v>215</v>
      </c>
      <c r="BN232" s="283" t="s">
        <v>1228</v>
      </c>
      <c r="BP232" s="617"/>
      <c r="BQ232" s="617"/>
      <c r="BR232" s="618" t="s">
        <v>209</v>
      </c>
      <c r="BT232" s="668">
        <v>45946</v>
      </c>
      <c r="BU232" s="617" t="s">
        <v>1583</v>
      </c>
      <c r="BV232" s="635" t="s">
        <v>1665</v>
      </c>
      <c r="BW232" s="617" t="s">
        <v>205</v>
      </c>
      <c r="BX232" s="617" t="s">
        <v>206</v>
      </c>
      <c r="BY232" s="617" t="s">
        <v>206</v>
      </c>
      <c r="CA232" s="614">
        <v>45987</v>
      </c>
      <c r="CB232" s="616" t="s">
        <v>218</v>
      </c>
      <c r="CC232" s="283" t="s">
        <v>1584</v>
      </c>
      <c r="CE232" s="617"/>
      <c r="CF232" s="617"/>
      <c r="CG232" s="618" t="s">
        <v>209</v>
      </c>
      <c r="CH232" s="192"/>
      <c r="CI232" s="558"/>
      <c r="CJ232" s="558"/>
      <c r="CK232" s="559" t="s">
        <v>209</v>
      </c>
      <c r="CL232" s="558"/>
      <c r="CM232" s="558"/>
      <c r="CN232" s="558"/>
      <c r="CO232" s="553"/>
      <c r="CP232" s="558"/>
      <c r="CQ232" s="558"/>
      <c r="CR232" s="559" t="s">
        <v>209</v>
      </c>
      <c r="CS232" s="553"/>
      <c r="CT232" s="558"/>
      <c r="CU232" s="558"/>
      <c r="CV232" s="559" t="s">
        <v>209</v>
      </c>
    </row>
    <row r="233" spans="1:100" ht="151.5" customHeight="1" x14ac:dyDescent="0.3">
      <c r="A233" s="622">
        <v>105</v>
      </c>
      <c r="B233" s="622" t="s">
        <v>1668</v>
      </c>
      <c r="C233" s="623" t="s">
        <v>1576</v>
      </c>
      <c r="D233" s="585" t="str">
        <f>IFERROR(INDEX('Base de datos gestión'!$D$28:$D$50,MATCH(C232,'Base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3" s="585" t="str">
        <f>IFERROR(INDEX('Base de datos gestión'!$E$28:$E$50,MATCH(C232,'Base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3" s="628" t="s">
        <v>276</v>
      </c>
      <c r="G233" s="629" t="s">
        <v>1669</v>
      </c>
      <c r="H233" s="628" t="s">
        <v>1670</v>
      </c>
      <c r="I233" s="723" t="s">
        <v>1671</v>
      </c>
      <c r="J233" s="637" t="s">
        <v>280</v>
      </c>
      <c r="K233" s="630" t="s">
        <v>311</v>
      </c>
      <c r="L233" s="630">
        <v>300</v>
      </c>
      <c r="M233" s="588" t="str">
        <f t="shared" si="71"/>
        <v>Media</v>
      </c>
      <c r="N233" s="589">
        <f t="shared" si="64"/>
        <v>0.6</v>
      </c>
      <c r="O233" s="590" t="s">
        <v>950</v>
      </c>
      <c r="P233" s="589" t="str">
        <f>IF(NOT(ISERROR(MATCH(O233,'Tabla Impacto'!$B$222:$B$224,0))),'Tabla Impacto'!$F$224&amp;"Por favor no seleccionar los criterios de impacto(Afectación Económica o presupuestal y Pérdida Reputacional)",O233)</f>
        <v xml:space="preserve">     Entre 10 y 50 SMLMV </v>
      </c>
      <c r="Q233" s="591" t="str">
        <f>IF(OR(P233='[8]Tabla Impacto'!$C$12,P233='[8]Tabla Impacto'!$D$12),"Leve",IF(OR(P233='[8]Tabla Impacto'!$C$13,P233='[8]Tabla Impacto'!$D$13),"Menor",IF(OR(P233='[8]Tabla Impacto'!$C$14,P233='[8]Tabla Impacto'!$D$14),"Moderado",IF(OR(P233='[8]Tabla Impacto'!$C$15,P233='[8]Tabla Impacto'!$D$15),"Mayor",IF(OR(P233='[8]Tabla Impacto'!$C$16,P233='[8]Tabla Impacto'!$D$16),"Catastrófico","")))))</f>
        <v>Menor</v>
      </c>
      <c r="R233" s="590">
        <f t="shared" si="57"/>
        <v>0.4</v>
      </c>
      <c r="S233" s="592" t="str">
        <f t="shared" si="58"/>
        <v>Moderado</v>
      </c>
      <c r="T233" s="595">
        <v>1</v>
      </c>
      <c r="U233" s="631" t="s">
        <v>1672</v>
      </c>
      <c r="V233" s="595" t="str">
        <f t="shared" si="70"/>
        <v>Probabilidad</v>
      </c>
      <c r="W233" s="596" t="s">
        <v>197</v>
      </c>
      <c r="X233" s="596" t="s">
        <v>198</v>
      </c>
      <c r="Y233" s="597" t="str">
        <f t="shared" si="65"/>
        <v>40%</v>
      </c>
      <c r="Z233" s="596" t="s">
        <v>259</v>
      </c>
      <c r="AA233" s="596" t="s">
        <v>200</v>
      </c>
      <c r="AB233" s="596" t="s">
        <v>201</v>
      </c>
      <c r="AC233" s="598">
        <f>IFERROR(IF(AND(V232="Probabilidad",V233="Probabilidad"),(AE232-(+AE232*Y233)),IF(AND(V232="Impacto",V233="Probabilidad"),(AE231-(+AE231*Y233)),IF(V233="Impacto",AE232,""))),"")</f>
        <v>1.5551999999999996E-2</v>
      </c>
      <c r="AD233" s="599" t="str">
        <f t="shared" si="66"/>
        <v>Muy Baja</v>
      </c>
      <c r="AE233" s="600">
        <f t="shared" si="67"/>
        <v>1.5551999999999996E-2</v>
      </c>
      <c r="AF233" s="599" t="str">
        <f t="shared" si="68"/>
        <v>Menor</v>
      </c>
      <c r="AG233" s="600">
        <f>IFERROR(IF(AND(V232="Impacto",V233="Impacto"),(AG232-(+AG232*Y233)),IF(AND(V232="Probabilidad",V233="Impacto"),(AG231-(+AG231*Y233)),IF(V233="Probabilidad",AG232,""))),"")</f>
        <v>0.4</v>
      </c>
      <c r="AH233" s="601" t="str">
        <f t="shared" si="69"/>
        <v>Bajo</v>
      </c>
      <c r="AI233" s="602" t="s">
        <v>202</v>
      </c>
      <c r="AJ233" s="603"/>
      <c r="AK233" s="603"/>
      <c r="AL233" s="604"/>
      <c r="AM233" s="605"/>
      <c r="AN233" s="606"/>
      <c r="AO233" s="607"/>
      <c r="AP233" s="608">
        <v>45757</v>
      </c>
      <c r="AQ233" s="609" t="s">
        <v>1174</v>
      </c>
      <c r="AR233" s="635" t="s">
        <v>1673</v>
      </c>
      <c r="AS233" s="698" t="s">
        <v>205</v>
      </c>
      <c r="AT233" s="612" t="s">
        <v>206</v>
      </c>
      <c r="AU233" s="283" t="s">
        <v>535</v>
      </c>
      <c r="AV233" s="613"/>
      <c r="AW233" s="614">
        <v>45782</v>
      </c>
      <c r="AX233" s="615" t="s">
        <v>207</v>
      </c>
      <c r="AY233" s="635" t="s">
        <v>578</v>
      </c>
      <c r="BA233" s="617"/>
      <c r="BB233" s="617"/>
      <c r="BC233" s="618" t="s">
        <v>209</v>
      </c>
      <c r="BE233" s="614">
        <v>45855</v>
      </c>
      <c r="BF233" s="609" t="s">
        <v>1174</v>
      </c>
      <c r="BG233" s="635" t="s">
        <v>1674</v>
      </c>
      <c r="BH233" s="722" t="s">
        <v>205</v>
      </c>
      <c r="BI233" s="612" t="s">
        <v>206</v>
      </c>
      <c r="BJ233" s="283" t="s">
        <v>535</v>
      </c>
      <c r="BL233" s="450">
        <v>45861</v>
      </c>
      <c r="BM233" s="676" t="s">
        <v>215</v>
      </c>
      <c r="BN233" s="283" t="s">
        <v>1228</v>
      </c>
      <c r="BP233" s="617"/>
      <c r="BQ233" s="617"/>
      <c r="BR233" s="618" t="s">
        <v>209</v>
      </c>
      <c r="BT233" s="668">
        <v>45946</v>
      </c>
      <c r="BU233" s="617" t="s">
        <v>1583</v>
      </c>
      <c r="BV233" s="635" t="s">
        <v>1675</v>
      </c>
      <c r="BW233" s="617" t="s">
        <v>205</v>
      </c>
      <c r="BX233" s="617" t="s">
        <v>206</v>
      </c>
      <c r="BY233" s="617" t="s">
        <v>206</v>
      </c>
      <c r="CA233" s="614">
        <v>45987</v>
      </c>
      <c r="CB233" s="616" t="s">
        <v>218</v>
      </c>
      <c r="CC233" s="283" t="s">
        <v>1584</v>
      </c>
      <c r="CE233" s="617"/>
      <c r="CF233" s="617"/>
      <c r="CG233" s="618" t="s">
        <v>209</v>
      </c>
      <c r="CH233" s="192"/>
      <c r="CI233" s="558"/>
      <c r="CJ233" s="558"/>
      <c r="CK233" s="559" t="s">
        <v>209</v>
      </c>
      <c r="CL233" s="558"/>
      <c r="CM233" s="558"/>
      <c r="CN233" s="558"/>
      <c r="CO233" s="553"/>
      <c r="CP233" s="558"/>
      <c r="CQ233" s="558"/>
      <c r="CR233" s="559" t="s">
        <v>209</v>
      </c>
      <c r="CS233" s="553"/>
      <c r="CT233" s="558"/>
      <c r="CU233" s="558"/>
      <c r="CV233" s="559" t="s">
        <v>209</v>
      </c>
    </row>
    <row r="234" spans="1:100" ht="151.5" customHeight="1" x14ac:dyDescent="0.3">
      <c r="A234" s="632">
        <v>105</v>
      </c>
      <c r="B234" s="632" t="s">
        <v>1668</v>
      </c>
      <c r="C234" s="633" t="s">
        <v>1576</v>
      </c>
      <c r="D234" s="585" t="str">
        <f>IFERROR(INDEX('Base de datos gestión'!$D$28:$D$50,MATCH(C233,'Base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4" s="585" t="str">
        <f>IFERROR(INDEX('Base de datos gestión'!$E$28:$E$50,MATCH(C233,'Base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4" s="628" t="s">
        <v>276</v>
      </c>
      <c r="G234" s="629" t="s">
        <v>1669</v>
      </c>
      <c r="H234" s="628" t="s">
        <v>1670</v>
      </c>
      <c r="I234" s="723" t="s">
        <v>1676</v>
      </c>
      <c r="J234" s="637" t="s">
        <v>280</v>
      </c>
      <c r="K234" s="630" t="s">
        <v>311</v>
      </c>
      <c r="L234" s="630">
        <v>300</v>
      </c>
      <c r="M234" s="588" t="str">
        <f t="shared" si="71"/>
        <v>Media</v>
      </c>
      <c r="N234" s="589">
        <f t="shared" si="64"/>
        <v>0.6</v>
      </c>
      <c r="O234" s="590" t="s">
        <v>950</v>
      </c>
      <c r="P234" s="589" t="str">
        <f>IF(NOT(ISERROR(MATCH(O234,'Tabla Impacto'!$B$222:$B$224,0))),'Tabla Impacto'!$F$224&amp;"Por favor no seleccionar los criterios de impacto(Afectación Económica o presupuestal y Pérdida Reputacional)",O234)</f>
        <v xml:space="preserve">     Entre 10 y 50 SMLMV </v>
      </c>
      <c r="Q234" s="591" t="str">
        <f>IF(OR(P234='[8]Tabla Impacto'!$C$12,P234='[8]Tabla Impacto'!$D$12),"Leve",IF(OR(P234='[8]Tabla Impacto'!$C$13,P234='[8]Tabla Impacto'!$D$13),"Menor",IF(OR(P234='[8]Tabla Impacto'!$C$14,P234='[8]Tabla Impacto'!$D$14),"Moderado",IF(OR(P234='[8]Tabla Impacto'!$C$15,P234='[8]Tabla Impacto'!$D$15),"Mayor",IF(OR(P234='[8]Tabla Impacto'!$C$16,P234='[8]Tabla Impacto'!$D$16),"Catastrófico","")))))</f>
        <v>Menor</v>
      </c>
      <c r="R234" s="590">
        <f>IF(Q234="","",IF(Q234="Leve",0.2,IF(Q234="Menor",0.4,IF(Q234="Moderado",0.6,IF(Q234="Mayor",0.8,IF(Q234="Catastrófico",1,))))))</f>
        <v>0.4</v>
      </c>
      <c r="S234" s="592" t="str">
        <f>IF(OR(AND(M234="Muy Baja",Q234="Leve"),AND(M234="Muy Baja",Q234="Menor"),AND(M234="Baja",Q234="Leve")),"Bajo",IF(OR(AND(M234="Muy baja",Q234="Moderado"),AND(M234="Baja",Q234="Menor"),AND(M234="Baja",Q234="Moderado"),AND(M234="Media",Q234="Leve"),AND(M234="Media",Q234="Menor"),AND(M234="Media",Q234="Moderado"),AND(M234="Alta",Q234="Leve"),AND(M234="Alta",Q234="Menor")),"Moderado",IF(OR(AND(M234="Muy Baja",Q234="Mayor"),AND(M234="Baja",Q234="Mayor"),AND(M234="Media",Q234="Mayor"),AND(M234="Alta",Q234="Moderado"),AND(M234="Alta",Q234="Mayor"),AND(M234="Muy Alta",Q234="Leve"),AND(M234="Muy Alta",Q234="Menor"),AND(M234="Muy Alta",Q234="Moderado"),AND(M234="Muy Alta",Q234="Mayor")),"Alto",IF(OR(AND(M234="Muy Baja",Q234="Catastrófico"),AND(M234="Baja",Q234="Catastrófico"),AND(M234="Media",Q234="Catastrófico"),AND(M234="Alta",Q234="Catastrófico"),AND(M234="Muy Alta",Q234="Catastrófico")),"Extremo",""))))</f>
        <v>Moderado</v>
      </c>
      <c r="T234" s="595">
        <v>2</v>
      </c>
      <c r="U234" s="631" t="s">
        <v>1677</v>
      </c>
      <c r="V234" s="595" t="str">
        <f t="shared" si="70"/>
        <v>Impacto</v>
      </c>
      <c r="W234" s="596" t="s">
        <v>240</v>
      </c>
      <c r="X234" s="596" t="s">
        <v>198</v>
      </c>
      <c r="Y234" s="597" t="str">
        <f t="shared" si="65"/>
        <v>25%</v>
      </c>
      <c r="Z234" s="596" t="s">
        <v>259</v>
      </c>
      <c r="AA234" s="596" t="s">
        <v>200</v>
      </c>
      <c r="AB234" s="596" t="s">
        <v>201</v>
      </c>
      <c r="AC234" s="598">
        <f>IFERROR(IF(AND(V233="Probabilidad",V234="Probabilidad"),(AE233-(+AE233*Y234)),IF(AND(V233="Impacto",V234="Probabilidad"),(AE232-(+AE232*Y234)),IF(V234="Impacto",AE233,""))),"")</f>
        <v>1.5551999999999996E-2</v>
      </c>
      <c r="AD234" s="599" t="str">
        <f t="shared" si="66"/>
        <v>Muy Baja</v>
      </c>
      <c r="AE234" s="600">
        <f t="shared" si="67"/>
        <v>1.5551999999999996E-2</v>
      </c>
      <c r="AF234" s="599" t="str">
        <f t="shared" si="68"/>
        <v>Menor</v>
      </c>
      <c r="AG234" s="600">
        <f>IFERROR(IF(AND(V233="Impacto",V234="Impacto"),(AG233-(+AG233*Y234)),IF(AND(V233="Probabilidad",V234="Impacto"),(AG232-(+AG232*Y234)),IF(V234="Probabilidad",AG233,""))),"")</f>
        <v>0.30000000000000004</v>
      </c>
      <c r="AH234" s="601" t="str">
        <f t="shared" si="69"/>
        <v>Bajo</v>
      </c>
      <c r="AI234" s="602" t="s">
        <v>202</v>
      </c>
      <c r="AJ234" s="603"/>
      <c r="AK234" s="603"/>
      <c r="AL234" s="604"/>
      <c r="AM234" s="605"/>
      <c r="AN234" s="606"/>
      <c r="AO234" s="607"/>
      <c r="AP234" s="608">
        <v>45757</v>
      </c>
      <c r="AQ234" s="609" t="s">
        <v>1174</v>
      </c>
      <c r="AR234" s="635" t="s">
        <v>1678</v>
      </c>
      <c r="AS234" s="698" t="s">
        <v>205</v>
      </c>
      <c r="AT234" s="612" t="s">
        <v>206</v>
      </c>
      <c r="AU234" s="283" t="s">
        <v>535</v>
      </c>
      <c r="AV234" s="613"/>
      <c r="AW234" s="614">
        <v>45782</v>
      </c>
      <c r="AX234" s="615" t="s">
        <v>207</v>
      </c>
      <c r="AY234" s="635" t="s">
        <v>578</v>
      </c>
      <c r="BA234" s="617"/>
      <c r="BB234" s="617"/>
      <c r="BC234" s="618" t="s">
        <v>209</v>
      </c>
      <c r="BE234" s="614">
        <v>45855</v>
      </c>
      <c r="BF234" s="609" t="s">
        <v>1174</v>
      </c>
      <c r="BG234" s="635" t="s">
        <v>1679</v>
      </c>
      <c r="BH234" s="722" t="s">
        <v>205</v>
      </c>
      <c r="BI234" s="612" t="s">
        <v>206</v>
      </c>
      <c r="BJ234" s="283" t="s">
        <v>535</v>
      </c>
      <c r="BL234" s="450">
        <v>45861</v>
      </c>
      <c r="BM234" s="676" t="s">
        <v>215</v>
      </c>
      <c r="BN234" s="283" t="s">
        <v>1228</v>
      </c>
      <c r="BP234" s="617"/>
      <c r="BQ234" s="617"/>
      <c r="BR234" s="618" t="s">
        <v>209</v>
      </c>
      <c r="BT234" s="668">
        <v>45946</v>
      </c>
      <c r="BU234" s="617" t="s">
        <v>1583</v>
      </c>
      <c r="BV234" s="635" t="s">
        <v>1680</v>
      </c>
      <c r="BW234" s="617" t="s">
        <v>205</v>
      </c>
      <c r="BX234" s="617" t="s">
        <v>206</v>
      </c>
      <c r="BY234" s="617" t="s">
        <v>206</v>
      </c>
      <c r="CA234" s="614">
        <v>45987</v>
      </c>
      <c r="CB234" s="616" t="s">
        <v>218</v>
      </c>
      <c r="CC234" s="283" t="s">
        <v>1584</v>
      </c>
      <c r="CE234" s="617"/>
      <c r="CF234" s="617"/>
      <c r="CG234" s="618" t="s">
        <v>209</v>
      </c>
      <c r="CH234" s="192"/>
      <c r="CI234" s="558"/>
      <c r="CJ234" s="558"/>
      <c r="CK234" s="559" t="s">
        <v>209</v>
      </c>
      <c r="CL234" s="558"/>
      <c r="CM234" s="558"/>
      <c r="CN234" s="558"/>
      <c r="CO234" s="553"/>
      <c r="CP234" s="558"/>
      <c r="CQ234" s="558"/>
      <c r="CR234" s="559" t="s">
        <v>209</v>
      </c>
      <c r="CS234" s="553"/>
      <c r="CT234" s="558"/>
      <c r="CU234" s="558"/>
      <c r="CV234" s="559" t="s">
        <v>209</v>
      </c>
    </row>
    <row r="235" spans="1:100" ht="151.5" customHeight="1" x14ac:dyDescent="0.3">
      <c r="A235" s="584">
        <v>105</v>
      </c>
      <c r="B235" s="584" t="s">
        <v>1668</v>
      </c>
      <c r="C235" s="585" t="s">
        <v>1576</v>
      </c>
      <c r="D235" s="585" t="str">
        <f>IFERROR(INDEX('Base de datos gestión'!$D$28:$D$50,MATCH(C234,'Base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5" s="585" t="str">
        <f>IFERROR(INDEX('Base de datos gestión'!$E$28:$E$50,MATCH(C234,'Base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5" s="628" t="s">
        <v>276</v>
      </c>
      <c r="G235" s="629" t="s">
        <v>1669</v>
      </c>
      <c r="H235" s="630" t="s">
        <v>654</v>
      </c>
      <c r="I235" s="721" t="s">
        <v>1670</v>
      </c>
      <c r="J235" s="637" t="s">
        <v>280</v>
      </c>
      <c r="K235" s="630" t="s">
        <v>311</v>
      </c>
      <c r="L235" s="630">
        <v>300</v>
      </c>
      <c r="M235" s="588" t="str">
        <f t="shared" si="71"/>
        <v>Media</v>
      </c>
      <c r="N235" s="589">
        <f t="shared" si="64"/>
        <v>0.6</v>
      </c>
      <c r="O235" s="590" t="s">
        <v>950</v>
      </c>
      <c r="P235" s="589" t="str">
        <f>IF(NOT(ISERROR(MATCH(O235,'Tabla Impacto'!$B$222:$B$224,0))),'Tabla Impacto'!$F$224&amp;"Por favor no seleccionar los criterios de impacto(Afectación Económica o presupuestal y Pérdida Reputacional)",O235)</f>
        <v xml:space="preserve">     Entre 10 y 50 SMLMV </v>
      </c>
      <c r="Q235" s="591" t="str">
        <f>IF(OR(P235='[8]Tabla Impacto'!$C$12,P235='[8]Tabla Impacto'!$D$12),"Leve",IF(OR(P235='[8]Tabla Impacto'!$C$13,P235='[8]Tabla Impacto'!$D$13),"Menor",IF(OR(P235='[8]Tabla Impacto'!$C$14,P235='[8]Tabla Impacto'!$D$14),"Moderado",IF(OR(P235='[8]Tabla Impacto'!$C$15,P235='[8]Tabla Impacto'!$D$15),"Mayor",IF(OR(P235='[8]Tabla Impacto'!$C$16,P235='[8]Tabla Impacto'!$D$16),"Catastrófico","")))))</f>
        <v>Menor</v>
      </c>
      <c r="R235" s="590">
        <f>IF(Q235="","",IF(Q235="Leve",0.2,IF(Q235="Menor",0.4,IF(Q235="Moderado",0.6,IF(Q235="Mayor",0.8,IF(Q235="Catastrófico",1,))))))</f>
        <v>0.4</v>
      </c>
      <c r="S235" s="592" t="str">
        <f>IF(OR(AND(M235="Muy Baja",Q235="Leve"),AND(M235="Muy Baja",Q235="Menor"),AND(M235="Baja",Q235="Leve")),"Bajo",IF(OR(AND(M235="Muy baja",Q235="Moderado"),AND(M235="Baja",Q235="Menor"),AND(M235="Baja",Q235="Moderado"),AND(M235="Media",Q235="Leve"),AND(M235="Media",Q235="Menor"),AND(M235="Media",Q235="Moderado"),AND(M235="Alta",Q235="Leve"),AND(M235="Alta",Q235="Menor")),"Moderado",IF(OR(AND(M235="Muy Baja",Q235="Mayor"),AND(M235="Baja",Q235="Mayor"),AND(M235="Media",Q235="Mayor"),AND(M235="Alta",Q235="Moderado"),AND(M235="Alta",Q235="Mayor"),AND(M235="Muy Alta",Q235="Leve"),AND(M235="Muy Alta",Q235="Menor"),AND(M235="Muy Alta",Q235="Moderado"),AND(M235="Muy Alta",Q235="Mayor")),"Alto",IF(OR(AND(M235="Muy Baja",Q235="Catastrófico"),AND(M235="Baja",Q235="Catastrófico"),AND(M235="Media",Q235="Catastrófico"),AND(M235="Alta",Q235="Catastrófico"),AND(M235="Muy Alta",Q235="Catastrófico")),"Extremo",""))))</f>
        <v>Moderado</v>
      </c>
      <c r="T235" s="595">
        <v>3</v>
      </c>
      <c r="U235" s="631" t="s">
        <v>1681</v>
      </c>
      <c r="V235" s="595" t="str">
        <f t="shared" si="70"/>
        <v>Probabilidad</v>
      </c>
      <c r="W235" s="596" t="s">
        <v>197</v>
      </c>
      <c r="X235" s="596" t="s">
        <v>198</v>
      </c>
      <c r="Y235" s="597" t="str">
        <f t="shared" si="65"/>
        <v>40%</v>
      </c>
      <c r="Z235" s="596" t="s">
        <v>259</v>
      </c>
      <c r="AA235" s="596" t="s">
        <v>200</v>
      </c>
      <c r="AB235" s="596" t="s">
        <v>201</v>
      </c>
      <c r="AC235" s="598">
        <f>IFERROR(IF(V235="Probabilidad",(N235-(+N235*Y235)),IF(V235="Impacto",N235,"")),"")</f>
        <v>0.36</v>
      </c>
      <c r="AD235" s="599" t="str">
        <f t="shared" si="66"/>
        <v>Baja</v>
      </c>
      <c r="AE235" s="600">
        <f t="shared" si="67"/>
        <v>0.36</v>
      </c>
      <c r="AF235" s="599" t="str">
        <f t="shared" si="68"/>
        <v>Menor</v>
      </c>
      <c r="AG235" s="600">
        <f>IFERROR(IF(V235="Impacto",(R235-(+R235*Y235)),IF(V235="Probabilidad",R235,"")),"")</f>
        <v>0.4</v>
      </c>
      <c r="AH235" s="601" t="str">
        <f t="shared" si="69"/>
        <v>Moderado</v>
      </c>
      <c r="AI235" s="602" t="s">
        <v>202</v>
      </c>
      <c r="AJ235" s="603"/>
      <c r="AK235" s="603"/>
      <c r="AL235" s="604"/>
      <c r="AM235" s="605"/>
      <c r="AN235" s="606"/>
      <c r="AO235" s="607"/>
      <c r="AP235" s="608">
        <v>45757</v>
      </c>
      <c r="AQ235" s="609" t="s">
        <v>1174</v>
      </c>
      <c r="AR235" s="635" t="s">
        <v>1682</v>
      </c>
      <c r="AS235" s="698" t="s">
        <v>205</v>
      </c>
      <c r="AT235" s="612" t="s">
        <v>206</v>
      </c>
      <c r="AU235" s="283" t="s">
        <v>535</v>
      </c>
      <c r="AV235" s="613"/>
      <c r="AW235" s="614">
        <v>45782</v>
      </c>
      <c r="AX235" s="615" t="s">
        <v>207</v>
      </c>
      <c r="AY235" s="635" t="s">
        <v>578</v>
      </c>
      <c r="BA235" s="617"/>
      <c r="BB235" s="617"/>
      <c r="BC235" s="618" t="s">
        <v>209</v>
      </c>
      <c r="BE235" s="614">
        <v>45855</v>
      </c>
      <c r="BF235" s="609" t="s">
        <v>1174</v>
      </c>
      <c r="BG235" s="635" t="s">
        <v>1683</v>
      </c>
      <c r="BH235" s="722" t="s">
        <v>205</v>
      </c>
      <c r="BI235" s="612" t="s">
        <v>206</v>
      </c>
      <c r="BJ235" s="283" t="s">
        <v>535</v>
      </c>
      <c r="BL235" s="450">
        <v>45861</v>
      </c>
      <c r="BM235" s="676" t="s">
        <v>215</v>
      </c>
      <c r="BN235" s="283" t="s">
        <v>1228</v>
      </c>
      <c r="BP235" s="617"/>
      <c r="BQ235" s="617"/>
      <c r="BR235" s="618" t="s">
        <v>209</v>
      </c>
      <c r="BT235" s="668">
        <v>45946</v>
      </c>
      <c r="BU235" s="617" t="s">
        <v>1583</v>
      </c>
      <c r="BV235" s="635" t="s">
        <v>1684</v>
      </c>
      <c r="BW235" s="617" t="s">
        <v>205</v>
      </c>
      <c r="BX235" s="617" t="s">
        <v>206</v>
      </c>
      <c r="BY235" s="617" t="s">
        <v>206</v>
      </c>
      <c r="CA235" s="614">
        <v>45987</v>
      </c>
      <c r="CB235" s="616" t="s">
        <v>218</v>
      </c>
      <c r="CC235" s="283" t="s">
        <v>1584</v>
      </c>
      <c r="CE235" s="617"/>
      <c r="CF235" s="617"/>
      <c r="CG235" s="618" t="s">
        <v>209</v>
      </c>
      <c r="CH235" s="192"/>
      <c r="CI235" s="558"/>
      <c r="CJ235" s="558"/>
      <c r="CK235" s="559" t="s">
        <v>209</v>
      </c>
      <c r="CL235" s="558"/>
      <c r="CM235" s="558"/>
      <c r="CN235" s="558"/>
      <c r="CO235" s="553"/>
      <c r="CP235" s="558"/>
      <c r="CQ235" s="558"/>
      <c r="CR235" s="559" t="s">
        <v>209</v>
      </c>
      <c r="CS235" s="553"/>
      <c r="CT235" s="558"/>
      <c r="CU235" s="558"/>
      <c r="CV235" s="559" t="s">
        <v>209</v>
      </c>
    </row>
    <row r="236" spans="1:100" ht="151.5" customHeight="1" x14ac:dyDescent="0.3">
      <c r="A236" s="622">
        <v>106</v>
      </c>
      <c r="B236" s="622" t="s">
        <v>1685</v>
      </c>
      <c r="C236" s="623" t="s">
        <v>1686</v>
      </c>
      <c r="D236" s="585" t="str">
        <f>IFERROR(INDEX('Base de datos gestión'!$D$28:$D$50,MATCH(C235,'Base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E236" s="585" t="str">
        <f>IFERROR(INDEX('Base de datos gestión'!$E$28:$E$50,MATCH(C235,'Base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F236" s="628" t="s">
        <v>188</v>
      </c>
      <c r="G236" s="629" t="s">
        <v>1687</v>
      </c>
      <c r="H236" s="629" t="s">
        <v>1688</v>
      </c>
      <c r="I236" s="629" t="s">
        <v>1689</v>
      </c>
      <c r="J236" s="637" t="s">
        <v>280</v>
      </c>
      <c r="K236" s="630" t="s">
        <v>193</v>
      </c>
      <c r="L236" s="630">
        <v>2</v>
      </c>
      <c r="M236" s="588" t="str">
        <f t="shared" si="71"/>
        <v>Muy Baja</v>
      </c>
      <c r="N236" s="589">
        <f t="shared" si="64"/>
        <v>0.2</v>
      </c>
      <c r="O236" s="590" t="s">
        <v>440</v>
      </c>
      <c r="P236" s="589" t="str">
        <f>IF(NOT(ISERROR(MATCH(O236,'Tabla Impacto'!$B$222:$B$224,0))),'Tabla Impacto'!$F$224&amp;"Por favor no seleccionar los criterios de impacto(Afectación Económica o presupuestal y Pérdida Reputacional)",O236)</f>
        <v xml:space="preserve">     El riesgo afecta la imagen de alguna área de la organización</v>
      </c>
      <c r="Q236" s="591" t="str">
        <f>IF(OR(P236='[8]Tabla Impacto'!$C$12,P236='[8]Tabla Impacto'!$D$12),"Leve",IF(OR(P236='[8]Tabla Impacto'!$C$13,P236='[8]Tabla Impacto'!$D$13),"Menor",IF(OR(P236='[8]Tabla Impacto'!$C$14,P236='[8]Tabla Impacto'!$D$14),"Moderado",IF(OR(P236='[8]Tabla Impacto'!$C$15,P236='[8]Tabla Impacto'!$D$15),"Mayor",IF(OR(P236='[8]Tabla Impacto'!$C$16,P236='[8]Tabla Impacto'!$D$16),"Catastrófico","")))))</f>
        <v>Leve</v>
      </c>
      <c r="R236" s="590">
        <f t="shared" si="57"/>
        <v>0.2</v>
      </c>
      <c r="S236" s="592" t="str">
        <f t="shared" si="58"/>
        <v>Bajo</v>
      </c>
      <c r="T236" s="595">
        <v>1</v>
      </c>
      <c r="U236" s="631" t="s">
        <v>1690</v>
      </c>
      <c r="V236" s="595" t="str">
        <f t="shared" si="70"/>
        <v>Probabilidad</v>
      </c>
      <c r="W236" s="596" t="s">
        <v>197</v>
      </c>
      <c r="X236" s="596" t="s">
        <v>198</v>
      </c>
      <c r="Y236" s="597" t="str">
        <f t="shared" si="65"/>
        <v>40%</v>
      </c>
      <c r="Z236" s="596" t="s">
        <v>259</v>
      </c>
      <c r="AA236" s="596" t="s">
        <v>200</v>
      </c>
      <c r="AB236" s="596" t="s">
        <v>201</v>
      </c>
      <c r="AC236" s="598">
        <f>IFERROR(IF(AND(V235="Probabilidad",V236="Probabilidad"),(AE235-(+AE235*Y236)),IF(V236="Probabilidad",(N235-(+N235*Y236)),IF(V236="Impacto",AE235,""))),"")</f>
        <v>0.216</v>
      </c>
      <c r="AD236" s="599" t="str">
        <f t="shared" si="66"/>
        <v>Baja</v>
      </c>
      <c r="AE236" s="600">
        <f t="shared" si="67"/>
        <v>0.216</v>
      </c>
      <c r="AF236" s="599" t="str">
        <f t="shared" si="68"/>
        <v>Menor</v>
      </c>
      <c r="AG236" s="600">
        <f>IFERROR(IF(AND(V235="Impacto",V236="Impacto"),(AG229-(+AG229*Y236)),IF(V236="Impacto",($R$55-(+$R$55*Y236)),IF(V236="Probabilidad",AG229,""))),"")</f>
        <v>0.4</v>
      </c>
      <c r="AH236" s="601" t="str">
        <f t="shared" si="69"/>
        <v>Moderado</v>
      </c>
      <c r="AI236" s="602" t="s">
        <v>202</v>
      </c>
      <c r="AJ236" s="603"/>
      <c r="AK236" s="603"/>
      <c r="AL236" s="604"/>
      <c r="AM236" s="605"/>
      <c r="AN236" s="606"/>
      <c r="AO236" s="607"/>
      <c r="AP236" s="608">
        <v>45770</v>
      </c>
      <c r="AQ236" s="609" t="s">
        <v>1691</v>
      </c>
      <c r="AR236" s="635" t="s">
        <v>1692</v>
      </c>
      <c r="AS236" s="611" t="s">
        <v>205</v>
      </c>
      <c r="AT236" s="612" t="s">
        <v>206</v>
      </c>
      <c r="AU236" s="283" t="s">
        <v>206</v>
      </c>
      <c r="AV236" s="613"/>
      <c r="AW236" s="614">
        <v>45782</v>
      </c>
      <c r="AX236" s="615" t="s">
        <v>207</v>
      </c>
      <c r="AY236" s="635" t="s">
        <v>578</v>
      </c>
      <c r="BA236" s="617"/>
      <c r="BB236" s="617"/>
      <c r="BC236" s="618" t="s">
        <v>209</v>
      </c>
      <c r="BE236" s="668">
        <v>45845</v>
      </c>
      <c r="BF236" s="617" t="s">
        <v>1691</v>
      </c>
      <c r="BG236" s="283" t="s">
        <v>1693</v>
      </c>
      <c r="BH236" s="449" t="s">
        <v>205</v>
      </c>
      <c r="BI236" s="617" t="s">
        <v>206</v>
      </c>
      <c r="BJ236" s="617" t="s">
        <v>206</v>
      </c>
      <c r="BL236" s="450">
        <v>45861</v>
      </c>
      <c r="BM236" s="676" t="s">
        <v>215</v>
      </c>
      <c r="BN236" s="283" t="s">
        <v>1228</v>
      </c>
      <c r="BP236" s="617"/>
      <c r="BQ236" s="617"/>
      <c r="BR236" s="618" t="s">
        <v>209</v>
      </c>
      <c r="BT236" s="483">
        <v>45937</v>
      </c>
      <c r="BU236" s="615" t="s">
        <v>1691</v>
      </c>
      <c r="BV236" s="283" t="s">
        <v>1694</v>
      </c>
      <c r="BW236" s="286" t="s">
        <v>212</v>
      </c>
      <c r="BX236" s="286" t="s">
        <v>213</v>
      </c>
      <c r="BY236" s="286" t="s">
        <v>1695</v>
      </c>
      <c r="CA236" s="659">
        <v>45958</v>
      </c>
      <c r="CB236" s="616" t="s">
        <v>218</v>
      </c>
      <c r="CC236" s="286" t="s">
        <v>1696</v>
      </c>
      <c r="CE236" s="617"/>
      <c r="CF236" s="617"/>
      <c r="CG236" s="618" t="s">
        <v>209</v>
      </c>
      <c r="CH236" s="192"/>
      <c r="CI236" s="558"/>
      <c r="CJ236" s="558"/>
      <c r="CK236" s="559" t="s">
        <v>209</v>
      </c>
      <c r="CL236" s="558"/>
      <c r="CM236" s="558"/>
      <c r="CN236" s="558"/>
      <c r="CO236" s="553"/>
      <c r="CP236" s="558"/>
      <c r="CQ236" s="558"/>
      <c r="CR236" s="559" t="s">
        <v>209</v>
      </c>
      <c r="CS236" s="553"/>
      <c r="CT236" s="558"/>
      <c r="CU236" s="558"/>
      <c r="CV236" s="559" t="s">
        <v>209</v>
      </c>
    </row>
    <row r="237" spans="1:100" ht="151.5" customHeight="1" x14ac:dyDescent="0.3">
      <c r="A237" s="622">
        <v>107</v>
      </c>
      <c r="B237" s="622" t="s">
        <v>1697</v>
      </c>
      <c r="C237" s="623" t="s">
        <v>1686</v>
      </c>
      <c r="D237" s="585" t="str">
        <f>IFERROR(INDEX('Base de datos gestión'!$D$28:$D$50,MATCH(C236,'Base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37" s="585" t="str">
        <f>IFERROR(INDEX('Base de datos gestión'!$E$28:$E$50,MATCH(C236,'Base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37" s="628" t="s">
        <v>188</v>
      </c>
      <c r="G237" s="631" t="s">
        <v>1698</v>
      </c>
      <c r="H237" s="631" t="s">
        <v>1699</v>
      </c>
      <c r="I237" s="631" t="s">
        <v>1700</v>
      </c>
      <c r="J237" s="637" t="s">
        <v>280</v>
      </c>
      <c r="K237" s="630" t="s">
        <v>311</v>
      </c>
      <c r="L237" s="630">
        <v>48</v>
      </c>
      <c r="M237" s="588" t="str">
        <f t="shared" si="71"/>
        <v>Media</v>
      </c>
      <c r="N237" s="589">
        <f t="shared" si="64"/>
        <v>0.6</v>
      </c>
      <c r="O237" s="590" t="s">
        <v>440</v>
      </c>
      <c r="P237" s="589" t="str">
        <f>IF(NOT(ISERROR(MATCH(O237,'Tabla Impacto'!$B$222:$B$224,0))),'Tabla Impacto'!$F$224&amp;"Por favor no seleccionar los criterios de impacto(Afectación Económica o presupuestal y Pérdida Reputacional)",O237)</f>
        <v xml:space="preserve">     El riesgo afecta la imagen de alguna área de la organización</v>
      </c>
      <c r="Q237" s="591" t="str">
        <f>IF(OR(P237='[8]Tabla Impacto'!$C$12,P237='[8]Tabla Impacto'!$D$12),"Leve",IF(OR(P237='[8]Tabla Impacto'!$C$13,P237='[8]Tabla Impacto'!$D$13),"Menor",IF(OR(P237='[8]Tabla Impacto'!$C$14,P237='[8]Tabla Impacto'!$D$14),"Moderado",IF(OR(P237='[8]Tabla Impacto'!$C$15,P237='[8]Tabla Impacto'!$D$15),"Mayor",IF(OR(P237='[8]Tabla Impacto'!$C$16,P237='[8]Tabla Impacto'!$D$16),"Catastrófico","")))))</f>
        <v>Leve</v>
      </c>
      <c r="R237" s="590">
        <f t="shared" si="57"/>
        <v>0.2</v>
      </c>
      <c r="S237" s="592" t="str">
        <f t="shared" si="58"/>
        <v>Moderado</v>
      </c>
      <c r="T237" s="595">
        <v>1</v>
      </c>
      <c r="U237" s="631" t="s">
        <v>1701</v>
      </c>
      <c r="V237" s="595" t="str">
        <f t="shared" si="70"/>
        <v>Probabilidad</v>
      </c>
      <c r="W237" s="596" t="s">
        <v>197</v>
      </c>
      <c r="X237" s="596" t="s">
        <v>198</v>
      </c>
      <c r="Y237" s="597" t="str">
        <f t="shared" si="65"/>
        <v>40%</v>
      </c>
      <c r="Z237" s="596" t="s">
        <v>259</v>
      </c>
      <c r="AA237" s="596" t="s">
        <v>200</v>
      </c>
      <c r="AB237" s="596" t="s">
        <v>201</v>
      </c>
      <c r="AC237" s="598">
        <f>IFERROR(IF(AND(V236="Probabilidad",V237="Probabilidad"),(AE236-(+AE236*Y237)),IF(AND(V236="Impacto",V237="Probabilidad"),(AE235-(+AE235*Y237)),IF(V237="Impacto",AE236,""))),"")</f>
        <v>0.12959999999999999</v>
      </c>
      <c r="AD237" s="599" t="str">
        <f t="shared" si="66"/>
        <v>Muy Baja</v>
      </c>
      <c r="AE237" s="600">
        <f t="shared" si="67"/>
        <v>0.12959999999999999</v>
      </c>
      <c r="AF237" s="599" t="str">
        <f t="shared" si="68"/>
        <v>Menor</v>
      </c>
      <c r="AG237" s="600">
        <f>IFERROR(IF(AND(V236="Impacto",V237="Impacto"),(AG236-(+AG236*Y237)),IF(AND(V236="Probabilidad",V237="Impacto"),(AG235-(+AG235*Y237)),IF(V237="Probabilidad",AG236,""))),"")</f>
        <v>0.4</v>
      </c>
      <c r="AH237" s="601" t="str">
        <f t="shared" si="69"/>
        <v>Bajo</v>
      </c>
      <c r="AI237" s="602" t="s">
        <v>1702</v>
      </c>
      <c r="AJ237" s="603"/>
      <c r="AK237" s="603"/>
      <c r="AL237" s="604"/>
      <c r="AM237" s="605"/>
      <c r="AN237" s="606"/>
      <c r="AO237" s="607"/>
      <c r="AP237" s="608">
        <v>45770</v>
      </c>
      <c r="AQ237" s="609" t="s">
        <v>1691</v>
      </c>
      <c r="AR237" s="635" t="s">
        <v>1703</v>
      </c>
      <c r="AS237" s="611" t="s">
        <v>205</v>
      </c>
      <c r="AT237" s="612" t="s">
        <v>206</v>
      </c>
      <c r="AU237" s="283" t="s">
        <v>206</v>
      </c>
      <c r="AV237" s="613"/>
      <c r="AW237" s="614">
        <v>45782</v>
      </c>
      <c r="AX237" s="615" t="s">
        <v>207</v>
      </c>
      <c r="AY237" s="635" t="s">
        <v>578</v>
      </c>
      <c r="BA237" s="617"/>
      <c r="BB237" s="617"/>
      <c r="BC237" s="618" t="s">
        <v>209</v>
      </c>
      <c r="BE237" s="668">
        <v>45845</v>
      </c>
      <c r="BF237" s="617" t="s">
        <v>1691</v>
      </c>
      <c r="BG237" s="283" t="s">
        <v>1704</v>
      </c>
      <c r="BH237" s="449" t="s">
        <v>205</v>
      </c>
      <c r="BI237" s="617" t="s">
        <v>206</v>
      </c>
      <c r="BJ237" s="617" t="s">
        <v>206</v>
      </c>
      <c r="BL237" s="450">
        <v>45861</v>
      </c>
      <c r="BM237" s="676" t="s">
        <v>215</v>
      </c>
      <c r="BN237" s="283" t="s">
        <v>1228</v>
      </c>
      <c r="BP237" s="617"/>
      <c r="BQ237" s="617"/>
      <c r="BR237" s="618" t="s">
        <v>209</v>
      </c>
      <c r="BT237" s="483">
        <v>45937</v>
      </c>
      <c r="BU237" s="615" t="s">
        <v>1691</v>
      </c>
      <c r="BV237" s="283" t="s">
        <v>1705</v>
      </c>
      <c r="BW237" s="286" t="s">
        <v>205</v>
      </c>
      <c r="BX237" s="617" t="s">
        <v>206</v>
      </c>
      <c r="BY237" s="617" t="s">
        <v>206</v>
      </c>
      <c r="CA237" s="614">
        <v>45992</v>
      </c>
      <c r="CB237" s="616" t="s">
        <v>218</v>
      </c>
      <c r="CC237" s="286" t="s">
        <v>233</v>
      </c>
      <c r="CE237" s="617"/>
      <c r="CF237" s="617"/>
      <c r="CG237" s="618" t="s">
        <v>209</v>
      </c>
      <c r="CH237" s="192"/>
      <c r="CI237" s="558"/>
      <c r="CJ237" s="558"/>
      <c r="CK237" s="559" t="s">
        <v>209</v>
      </c>
      <c r="CL237" s="558"/>
      <c r="CM237" s="558"/>
      <c r="CN237" s="558"/>
      <c r="CO237" s="553"/>
      <c r="CP237" s="558"/>
      <c r="CQ237" s="558"/>
      <c r="CR237" s="559" t="s">
        <v>209</v>
      </c>
      <c r="CS237" s="553"/>
      <c r="CT237" s="558"/>
      <c r="CU237" s="558"/>
      <c r="CV237" s="559" t="s">
        <v>209</v>
      </c>
    </row>
    <row r="238" spans="1:100" ht="151.5" customHeight="1" x14ac:dyDescent="0.3">
      <c r="A238" s="622">
        <v>108</v>
      </c>
      <c r="B238" s="622" t="s">
        <v>1706</v>
      </c>
      <c r="C238" s="623" t="s">
        <v>1686</v>
      </c>
      <c r="D238" s="585" t="str">
        <f>IFERROR(INDEX('Base de datos gestión'!$D$28:$D$50,MATCH(C237,'Base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38" s="585" t="str">
        <f>IFERROR(INDEX('Base de datos gestión'!$E$28:$E$50,MATCH(C237,'Base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38" s="628" t="s">
        <v>188</v>
      </c>
      <c r="G238" s="631" t="s">
        <v>1707</v>
      </c>
      <c r="H238" s="631" t="s">
        <v>1708</v>
      </c>
      <c r="I238" s="631" t="s">
        <v>1709</v>
      </c>
      <c r="J238" s="637" t="s">
        <v>280</v>
      </c>
      <c r="K238" s="630" t="s">
        <v>311</v>
      </c>
      <c r="L238" s="630">
        <v>48</v>
      </c>
      <c r="M238" s="588" t="str">
        <f t="shared" si="71"/>
        <v>Media</v>
      </c>
      <c r="N238" s="589">
        <f t="shared" si="64"/>
        <v>0.6</v>
      </c>
      <c r="O238" s="590" t="s">
        <v>440</v>
      </c>
      <c r="P238" s="589" t="str">
        <f>IF(NOT(ISERROR(MATCH(O238,'Tabla Impacto'!$B$222:$B$224,0))),'Tabla Impacto'!$F$224&amp;"Por favor no seleccionar los criterios de impacto(Afectación Económica o presupuestal y Pérdida Reputacional)",O238)</f>
        <v xml:space="preserve">     El riesgo afecta la imagen de alguna área de la organización</v>
      </c>
      <c r="Q238" s="591" t="str">
        <f>IF(OR(P238='[8]Tabla Impacto'!$C$12,P238='[8]Tabla Impacto'!$D$12),"Leve",IF(OR(P238='[8]Tabla Impacto'!$C$13,P238='[8]Tabla Impacto'!$D$13),"Menor",IF(OR(P238='[8]Tabla Impacto'!$C$14,P238='[8]Tabla Impacto'!$D$14),"Moderado",IF(OR(P238='[8]Tabla Impacto'!$C$15,P238='[8]Tabla Impacto'!$D$15),"Mayor",IF(OR(P238='[8]Tabla Impacto'!$C$16,P238='[8]Tabla Impacto'!$D$16),"Catastrófico","")))))</f>
        <v>Leve</v>
      </c>
      <c r="R238" s="590">
        <f t="shared" si="57"/>
        <v>0.2</v>
      </c>
      <c r="S238" s="592" t="str">
        <f t="shared" si="58"/>
        <v>Moderado</v>
      </c>
      <c r="T238" s="595">
        <v>1</v>
      </c>
      <c r="U238" s="631" t="s">
        <v>1710</v>
      </c>
      <c r="V238" s="595" t="str">
        <f t="shared" si="70"/>
        <v>Probabilidad</v>
      </c>
      <c r="W238" s="596" t="s">
        <v>197</v>
      </c>
      <c r="X238" s="596" t="s">
        <v>198</v>
      </c>
      <c r="Y238" s="597" t="str">
        <f t="shared" si="65"/>
        <v>40%</v>
      </c>
      <c r="Z238" s="596" t="s">
        <v>259</v>
      </c>
      <c r="AA238" s="596" t="s">
        <v>200</v>
      </c>
      <c r="AB238" s="596" t="s">
        <v>201</v>
      </c>
      <c r="AC238" s="598">
        <f>IFERROR(IF(AND(V237="Probabilidad",V238="Probabilidad"),(AE237-(+AE237*Y238)),IF(AND(V237="Impacto",V238="Probabilidad"),(AE236-(+AE236*Y238)),IF(V238="Impacto",AE237,""))),"")</f>
        <v>7.7759999999999996E-2</v>
      </c>
      <c r="AD238" s="599" t="str">
        <f t="shared" si="66"/>
        <v>Muy Baja</v>
      </c>
      <c r="AE238" s="600">
        <f t="shared" si="67"/>
        <v>7.7759999999999996E-2</v>
      </c>
      <c r="AF238" s="599" t="str">
        <f t="shared" si="68"/>
        <v>Menor</v>
      </c>
      <c r="AG238" s="600">
        <f>IFERROR(IF(AND(V237="Impacto",V238="Impacto"),(AG237-(+AG237*Y238)),IF(AND(V237="Probabilidad",V238="Impacto"),(AG236-(+AG236*Y238)),IF(V238="Probabilidad",AG237,""))),"")</f>
        <v>0.4</v>
      </c>
      <c r="AH238" s="601" t="str">
        <f t="shared" si="69"/>
        <v>Bajo</v>
      </c>
      <c r="AI238" s="602" t="s">
        <v>1702</v>
      </c>
      <c r="AJ238" s="603"/>
      <c r="AK238" s="603"/>
      <c r="AL238" s="604"/>
      <c r="AM238" s="605"/>
      <c r="AN238" s="606"/>
      <c r="AO238" s="607"/>
      <c r="AP238" s="608">
        <v>45770</v>
      </c>
      <c r="AQ238" s="609" t="s">
        <v>1691</v>
      </c>
      <c r="AR238" s="635" t="s">
        <v>1711</v>
      </c>
      <c r="AS238" s="611" t="s">
        <v>205</v>
      </c>
      <c r="AT238" s="612" t="s">
        <v>206</v>
      </c>
      <c r="AU238" s="283" t="s">
        <v>206</v>
      </c>
      <c r="AV238" s="613"/>
      <c r="AW238" s="614">
        <v>45782</v>
      </c>
      <c r="AX238" s="615" t="s">
        <v>207</v>
      </c>
      <c r="AY238" s="635" t="s">
        <v>578</v>
      </c>
      <c r="BA238" s="617"/>
      <c r="BB238" s="617"/>
      <c r="BC238" s="618" t="s">
        <v>209</v>
      </c>
      <c r="BE238" s="668">
        <v>45845</v>
      </c>
      <c r="BF238" s="617" t="s">
        <v>1691</v>
      </c>
      <c r="BG238" s="283" t="s">
        <v>1712</v>
      </c>
      <c r="BH238" s="449" t="s">
        <v>205</v>
      </c>
      <c r="BI238" s="617" t="s">
        <v>206</v>
      </c>
      <c r="BJ238" s="617" t="s">
        <v>206</v>
      </c>
      <c r="BL238" s="450">
        <v>45861</v>
      </c>
      <c r="BM238" s="676" t="s">
        <v>215</v>
      </c>
      <c r="BN238" s="283" t="s">
        <v>1228</v>
      </c>
      <c r="BP238" s="617"/>
      <c r="BQ238" s="617"/>
      <c r="BR238" s="618" t="s">
        <v>209</v>
      </c>
      <c r="BT238" s="483">
        <v>45937</v>
      </c>
      <c r="BU238" s="615" t="s">
        <v>1691</v>
      </c>
      <c r="BV238" s="283" t="s">
        <v>1713</v>
      </c>
      <c r="BW238" s="286" t="s">
        <v>205</v>
      </c>
      <c r="BX238" s="286" t="s">
        <v>206</v>
      </c>
      <c r="BY238" s="286" t="s">
        <v>206</v>
      </c>
      <c r="CA238" s="659">
        <v>45958</v>
      </c>
      <c r="CB238" s="616" t="s">
        <v>218</v>
      </c>
      <c r="CC238" s="286" t="s">
        <v>1714</v>
      </c>
      <c r="CE238" s="617"/>
      <c r="CF238" s="617"/>
      <c r="CG238" s="618" t="s">
        <v>209</v>
      </c>
      <c r="CH238" s="192"/>
      <c r="CI238" s="558"/>
      <c r="CJ238" s="558"/>
      <c r="CK238" s="559" t="s">
        <v>209</v>
      </c>
      <c r="CL238" s="558"/>
      <c r="CM238" s="558"/>
      <c r="CN238" s="558"/>
      <c r="CO238" s="553"/>
      <c r="CP238" s="558"/>
      <c r="CQ238" s="558"/>
      <c r="CR238" s="559" t="s">
        <v>209</v>
      </c>
      <c r="CS238" s="553"/>
      <c r="CT238" s="558"/>
      <c r="CU238" s="558"/>
      <c r="CV238" s="559" t="s">
        <v>209</v>
      </c>
    </row>
    <row r="239" spans="1:100" ht="151.5" customHeight="1" x14ac:dyDescent="0.3">
      <c r="A239" s="622">
        <v>109</v>
      </c>
      <c r="B239" s="622" t="s">
        <v>1715</v>
      </c>
      <c r="C239" s="623" t="s">
        <v>1686</v>
      </c>
      <c r="D239" s="585" t="str">
        <f>IFERROR(INDEX('Base de datos gestión'!$D$28:$D$50,MATCH(C238,'Base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39" s="585" t="str">
        <f>IFERROR(INDEX('Base de datos gestión'!$E$28:$E$50,MATCH(C238,'Base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39" s="628" t="s">
        <v>188</v>
      </c>
      <c r="G239" s="723" t="s">
        <v>1716</v>
      </c>
      <c r="H239" s="723" t="s">
        <v>1717</v>
      </c>
      <c r="I239" s="723" t="s">
        <v>1718</v>
      </c>
      <c r="J239" s="637" t="s">
        <v>797</v>
      </c>
      <c r="K239" s="630" t="s">
        <v>193</v>
      </c>
      <c r="L239" s="630">
        <v>12</v>
      </c>
      <c r="M239" s="588" t="str">
        <f t="shared" si="71"/>
        <v>Baja</v>
      </c>
      <c r="N239" s="589">
        <f t="shared" si="64"/>
        <v>0.4</v>
      </c>
      <c r="O239" s="590" t="s">
        <v>238</v>
      </c>
      <c r="P239" s="589" t="str">
        <f>IF(NOT(ISERROR(MATCH(O239,'Tabla Impacto'!$B$222:$B$224,0))),'Tabla Impacto'!$F$224&amp;"Por favor no seleccionar los criterios de impacto(Afectación Económica o presupuestal y Pérdida Reputacional)",O239)</f>
        <v xml:space="preserve">     El riesgo afecta la imagen de la entidad internamente, de conocimiento general, nivel interno, de junta directiva y accionistas y/o de proveedores</v>
      </c>
      <c r="Q239" s="591" t="s">
        <v>1719</v>
      </c>
      <c r="R239" s="590">
        <v>0.2</v>
      </c>
      <c r="S239" s="592" t="s">
        <v>8</v>
      </c>
      <c r="T239" s="595">
        <v>1</v>
      </c>
      <c r="U239" s="631" t="s">
        <v>1720</v>
      </c>
      <c r="V239" s="595" t="str">
        <f t="shared" si="70"/>
        <v>Probabilidad</v>
      </c>
      <c r="W239" s="596" t="s">
        <v>197</v>
      </c>
      <c r="X239" s="596" t="s">
        <v>198</v>
      </c>
      <c r="Y239" s="597" t="str">
        <f t="shared" si="65"/>
        <v>40%</v>
      </c>
      <c r="Z239" s="596" t="s">
        <v>259</v>
      </c>
      <c r="AA239" s="596" t="s">
        <v>200</v>
      </c>
      <c r="AB239" s="596" t="s">
        <v>201</v>
      </c>
      <c r="AC239" s="598">
        <f>IFERROR(IF(AND(V238="Probabilidad",V239="Probabilidad"),(AE238-(+AE238*Y239)),IF(AND(V238="Impacto",V239="Probabilidad"),(AE237-(+AE237*Y239)),IF(V239="Impacto",AE238,""))),"")</f>
        <v>4.6655999999999996E-2</v>
      </c>
      <c r="AD239" s="599" t="str">
        <f t="shared" si="66"/>
        <v>Muy Baja</v>
      </c>
      <c r="AE239" s="600">
        <f t="shared" si="67"/>
        <v>4.6655999999999996E-2</v>
      </c>
      <c r="AF239" s="599" t="str">
        <f t="shared" si="68"/>
        <v>Menor</v>
      </c>
      <c r="AG239" s="600">
        <f>IFERROR(IF(AND(V238="Impacto",V239="Impacto"),(AG238-(+AG238*Y239)),IF(AND(V238="Probabilidad",V239="Impacto"),(AG237-(+AG237*Y239)),IF(V239="Probabilidad",AG238,""))),"")</f>
        <v>0.4</v>
      </c>
      <c r="AH239" s="601" t="str">
        <f t="shared" si="69"/>
        <v>Bajo</v>
      </c>
      <c r="AI239" s="602" t="s">
        <v>202</v>
      </c>
      <c r="AJ239" s="603"/>
      <c r="AK239" s="603"/>
      <c r="AL239" s="604"/>
      <c r="AM239" s="605"/>
      <c r="AN239" s="606"/>
      <c r="AO239" s="607"/>
      <c r="AP239" s="608">
        <v>45770</v>
      </c>
      <c r="AQ239" s="609" t="s">
        <v>1691</v>
      </c>
      <c r="AR239" s="635" t="s">
        <v>1721</v>
      </c>
      <c r="AS239" s="611" t="s">
        <v>205</v>
      </c>
      <c r="AT239" s="612" t="s">
        <v>206</v>
      </c>
      <c r="AU239" s="283" t="s">
        <v>206</v>
      </c>
      <c r="AV239" s="613"/>
      <c r="AW239" s="614">
        <v>45782</v>
      </c>
      <c r="AX239" s="615" t="s">
        <v>207</v>
      </c>
      <c r="AY239" s="635" t="s">
        <v>578</v>
      </c>
      <c r="BA239" s="617"/>
      <c r="BB239" s="617"/>
      <c r="BC239" s="618" t="s">
        <v>209</v>
      </c>
      <c r="BE239" s="668">
        <v>45845</v>
      </c>
      <c r="BF239" s="617" t="s">
        <v>1691</v>
      </c>
      <c r="BG239" s="283" t="s">
        <v>1722</v>
      </c>
      <c r="BH239" s="449" t="s">
        <v>205</v>
      </c>
      <c r="BI239" s="617" t="s">
        <v>206</v>
      </c>
      <c r="BJ239" s="617" t="s">
        <v>206</v>
      </c>
      <c r="BL239" s="450">
        <v>45861</v>
      </c>
      <c r="BM239" s="676" t="s">
        <v>215</v>
      </c>
      <c r="BN239" s="283" t="s">
        <v>1228</v>
      </c>
      <c r="BP239" s="617"/>
      <c r="BQ239" s="617"/>
      <c r="BR239" s="618" t="s">
        <v>209</v>
      </c>
      <c r="BT239" s="668">
        <v>45937</v>
      </c>
      <c r="BU239" s="617" t="s">
        <v>1691</v>
      </c>
      <c r="BV239" s="283" t="s">
        <v>1723</v>
      </c>
      <c r="BW239" s="651" t="s">
        <v>205</v>
      </c>
      <c r="BX239" s="617" t="s">
        <v>206</v>
      </c>
      <c r="BY239" s="617" t="s">
        <v>206</v>
      </c>
      <c r="CA239" s="614">
        <v>45992</v>
      </c>
      <c r="CB239" s="616" t="s">
        <v>218</v>
      </c>
      <c r="CC239" s="286" t="s">
        <v>233</v>
      </c>
      <c r="CE239" s="617"/>
      <c r="CF239" s="617"/>
      <c r="CG239" s="618" t="s">
        <v>209</v>
      </c>
      <c r="CH239" s="192"/>
      <c r="CI239" s="558"/>
      <c r="CJ239" s="558"/>
      <c r="CK239" s="559" t="s">
        <v>209</v>
      </c>
      <c r="CL239" s="558"/>
      <c r="CM239" s="558"/>
      <c r="CN239" s="558"/>
      <c r="CO239" s="553"/>
      <c r="CP239" s="558"/>
      <c r="CQ239" s="558"/>
      <c r="CR239" s="559" t="s">
        <v>209</v>
      </c>
      <c r="CS239" s="553"/>
      <c r="CT239" s="558"/>
      <c r="CU239" s="558"/>
      <c r="CV239" s="559" t="s">
        <v>209</v>
      </c>
    </row>
    <row r="240" spans="1:100" ht="151.5" customHeight="1" x14ac:dyDescent="0.3">
      <c r="A240" s="632">
        <v>110</v>
      </c>
      <c r="B240" s="632" t="s">
        <v>1724</v>
      </c>
      <c r="C240" s="633" t="s">
        <v>1686</v>
      </c>
      <c r="D240" s="585" t="str">
        <f>IFERROR(INDEX('Base de datos gestión'!$D$28:$D$50,MATCH(C239,'Base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40" s="585" t="str">
        <f>IFERROR(INDEX('Base de datos gestión'!$E$28:$E$50,MATCH(C239,'Base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40" s="630" t="s">
        <v>276</v>
      </c>
      <c r="G240" s="721" t="s">
        <v>1725</v>
      </c>
      <c r="H240" s="723" t="s">
        <v>1726</v>
      </c>
      <c r="I240" s="723" t="s">
        <v>1727</v>
      </c>
      <c r="J240" s="697" t="s">
        <v>280</v>
      </c>
      <c r="K240" s="702" t="s">
        <v>311</v>
      </c>
      <c r="L240" s="630">
        <v>36</v>
      </c>
      <c r="M240" s="588" t="str">
        <f t="shared" si="71"/>
        <v>Media</v>
      </c>
      <c r="N240" s="589">
        <f t="shared" si="64"/>
        <v>0.6</v>
      </c>
      <c r="O240" s="590" t="s">
        <v>950</v>
      </c>
      <c r="P240" s="589" t="str">
        <f>IF(NOT(ISERROR(MATCH(O240,'Tabla Impacto'!$B$222:$B$224,0))),'Tabla Impacto'!$F$224&amp;"Por favor no seleccionar los criterios de impacto(Afectación Económica o presupuestal y Pérdida Reputacional)",O240)</f>
        <v xml:space="preserve">     Entre 10 y 50 SMLMV </v>
      </c>
      <c r="Q240" s="591" t="str">
        <f>IF(OR(P240='[8]Tabla Impacto'!$C$12,P240='[8]Tabla Impacto'!$D$12),"Leve",IF(OR(P240='[8]Tabla Impacto'!$C$13,P240='[8]Tabla Impacto'!$D$13),"Menor",IF(OR(P240='[8]Tabla Impacto'!$C$14,P240='[8]Tabla Impacto'!$D$14),"Moderado",IF(OR(P240='[8]Tabla Impacto'!$C$15,P240='[8]Tabla Impacto'!$D$15),"Mayor",IF(OR(P240='[8]Tabla Impacto'!$C$16,P240='[8]Tabla Impacto'!$D$16),"Catastrófico","")))))</f>
        <v>Menor</v>
      </c>
      <c r="R240" s="590">
        <f t="shared" si="57"/>
        <v>0.4</v>
      </c>
      <c r="S240" s="592" t="str">
        <f t="shared" si="58"/>
        <v>Moderado</v>
      </c>
      <c r="T240" s="595">
        <v>1</v>
      </c>
      <c r="U240" s="631" t="s">
        <v>1728</v>
      </c>
      <c r="V240" s="595" t="str">
        <f t="shared" si="70"/>
        <v>Probabilidad</v>
      </c>
      <c r="W240" s="596" t="s">
        <v>197</v>
      </c>
      <c r="X240" s="596" t="s">
        <v>198</v>
      </c>
      <c r="Y240" s="597" t="str">
        <f t="shared" si="65"/>
        <v>40%</v>
      </c>
      <c r="Z240" s="596" t="s">
        <v>259</v>
      </c>
      <c r="AA240" s="596" t="s">
        <v>200</v>
      </c>
      <c r="AB240" s="596" t="s">
        <v>201</v>
      </c>
      <c r="AC240" s="598">
        <f>IFERROR(IF(AND(V239="Probabilidad",V240="Probabilidad"),(AE239-(+AE239*Y240)),IF(AND(V239="Impacto",V240="Probabilidad"),(AE238-(+AE238*Y240)),IF(V240="Impacto",AE239,""))),"")</f>
        <v>2.7993599999999997E-2</v>
      </c>
      <c r="AD240" s="599" t="str">
        <f t="shared" si="66"/>
        <v>Muy Baja</v>
      </c>
      <c r="AE240" s="600">
        <f t="shared" si="67"/>
        <v>2.7993599999999997E-2</v>
      </c>
      <c r="AF240" s="599" t="str">
        <f t="shared" si="68"/>
        <v>Menor</v>
      </c>
      <c r="AG240" s="600">
        <f>IFERROR(IF(AND(V239="Impacto",V240="Impacto"),(AG239-(+AG239*Y240)),IF(AND(V239="Probabilidad",V240="Impacto"),(AG238-(+AG238*Y240)),IF(V240="Probabilidad",AG239,""))),"")</f>
        <v>0.4</v>
      </c>
      <c r="AH240" s="601" t="str">
        <f t="shared" si="69"/>
        <v>Bajo</v>
      </c>
      <c r="AI240" s="602" t="s">
        <v>1702</v>
      </c>
      <c r="AJ240" s="603"/>
      <c r="AK240" s="603"/>
      <c r="AL240" s="604"/>
      <c r="AM240" s="605"/>
      <c r="AN240" s="606"/>
      <c r="AO240" s="607"/>
      <c r="AP240" s="608">
        <v>45770</v>
      </c>
      <c r="AQ240" s="609" t="s">
        <v>1691</v>
      </c>
      <c r="AR240" s="635" t="s">
        <v>1729</v>
      </c>
      <c r="AS240" s="611" t="s">
        <v>205</v>
      </c>
      <c r="AT240" s="612" t="s">
        <v>206</v>
      </c>
      <c r="AU240" s="283" t="s">
        <v>206</v>
      </c>
      <c r="AV240" s="613"/>
      <c r="AW240" s="614">
        <v>45782</v>
      </c>
      <c r="AX240" s="615" t="s">
        <v>207</v>
      </c>
      <c r="AY240" s="635" t="s">
        <v>578</v>
      </c>
      <c r="BA240" s="617"/>
      <c r="BB240" s="617"/>
      <c r="BC240" s="618" t="s">
        <v>209</v>
      </c>
      <c r="BE240" s="668">
        <v>45845</v>
      </c>
      <c r="BF240" s="617" t="s">
        <v>1691</v>
      </c>
      <c r="BG240" s="283" t="s">
        <v>1730</v>
      </c>
      <c r="BH240" s="449" t="s">
        <v>205</v>
      </c>
      <c r="BI240" s="617" t="s">
        <v>206</v>
      </c>
      <c r="BJ240" s="617" t="s">
        <v>206</v>
      </c>
      <c r="BL240" s="450">
        <v>45861</v>
      </c>
      <c r="BM240" s="676" t="s">
        <v>215</v>
      </c>
      <c r="BN240" s="283" t="s">
        <v>1228</v>
      </c>
      <c r="BP240" s="617"/>
      <c r="BQ240" s="617"/>
      <c r="BR240" s="618" t="s">
        <v>209</v>
      </c>
      <c r="BT240" s="668">
        <v>45937</v>
      </c>
      <c r="BU240" s="617" t="s">
        <v>1691</v>
      </c>
      <c r="BV240" s="283" t="s">
        <v>1731</v>
      </c>
      <c r="BW240" s="651" t="s">
        <v>205</v>
      </c>
      <c r="BX240" s="617" t="s">
        <v>206</v>
      </c>
      <c r="BY240" s="617" t="s">
        <v>206</v>
      </c>
      <c r="CA240" s="614">
        <v>45992</v>
      </c>
      <c r="CB240" s="616" t="s">
        <v>218</v>
      </c>
      <c r="CC240" s="286" t="s">
        <v>233</v>
      </c>
      <c r="CE240" s="617"/>
      <c r="CF240" s="617"/>
      <c r="CG240" s="618" t="s">
        <v>209</v>
      </c>
      <c r="CH240" s="192"/>
      <c r="CI240" s="558"/>
      <c r="CJ240" s="558"/>
      <c r="CK240" s="559" t="s">
        <v>209</v>
      </c>
      <c r="CL240" s="558"/>
      <c r="CM240" s="558"/>
      <c r="CN240" s="558"/>
      <c r="CO240" s="553"/>
      <c r="CP240" s="558"/>
      <c r="CQ240" s="558"/>
      <c r="CR240" s="559" t="s">
        <v>209</v>
      </c>
      <c r="CS240" s="553"/>
      <c r="CT240" s="558"/>
      <c r="CU240" s="558"/>
      <c r="CV240" s="559" t="s">
        <v>209</v>
      </c>
    </row>
    <row r="241" spans="1:100" s="403" customFormat="1" ht="151.5" customHeight="1" x14ac:dyDescent="0.3">
      <c r="A241" s="729">
        <v>110</v>
      </c>
      <c r="B241" s="729" t="s">
        <v>1724</v>
      </c>
      <c r="C241" s="730" t="s">
        <v>1686</v>
      </c>
      <c r="D241" s="730" t="str">
        <f>IFERROR(INDEX('Base de datos gestión'!$D$28:$D$50,MATCH(C240,'Base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41" s="730" t="str">
        <f>IFERROR(INDEX('Base de datos gestión'!$E$28:$E$50,MATCH(C240,'Base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41" s="731" t="s">
        <v>276</v>
      </c>
      <c r="G241" s="732" t="s">
        <v>1725</v>
      </c>
      <c r="H241" s="732" t="s">
        <v>1726</v>
      </c>
      <c r="I241" s="732" t="s">
        <v>1727</v>
      </c>
      <c r="J241" s="733" t="s">
        <v>280</v>
      </c>
      <c r="K241" s="734" t="s">
        <v>311</v>
      </c>
      <c r="L241" s="630">
        <v>36</v>
      </c>
      <c r="M241" s="588" t="str">
        <f t="shared" si="71"/>
        <v>Media</v>
      </c>
      <c r="N241" s="589">
        <f t="shared" si="64"/>
        <v>0.6</v>
      </c>
      <c r="O241" s="590" t="s">
        <v>248</v>
      </c>
      <c r="P241" s="589" t="str">
        <f>IF(NOT(ISERROR(MATCH(O241,'Tabla Impacto'!$B$222:$B$224,0))),'Tabla Impacto'!$F$224&amp;"Por favor no seleccionar los criterios de impacto(Afectación Económica o presupuestal y Pérdida Reputacional)",O241)</f>
        <v xml:space="preserve">     El riesgo afecta la imagen de la entidad con algunos usuarios de relevancia frente al logro de los objetivos</v>
      </c>
      <c r="Q241" s="591" t="str">
        <f>IF(OR(P241='[8]Tabla Impacto'!$C$12,P241='[8]Tabla Impacto'!$D$12),"Leve",IF(OR(P241='[8]Tabla Impacto'!$C$13,P241='[8]Tabla Impacto'!$D$13),"Menor",IF(OR(P241='[8]Tabla Impacto'!$C$14,P241='[8]Tabla Impacto'!$D$14),"Moderado",IF(OR(P241='[8]Tabla Impacto'!$C$15,P241='[8]Tabla Impacto'!$D$15),"Mayor",IF(OR(P241='[8]Tabla Impacto'!$C$16,P241='[8]Tabla Impacto'!$D$16),"Catastrófico","")))))</f>
        <v>Moderado</v>
      </c>
      <c r="R241" s="590">
        <f t="shared" si="57"/>
        <v>0.6</v>
      </c>
      <c r="S241" s="592" t="str">
        <f t="shared" si="58"/>
        <v>Moderado</v>
      </c>
      <c r="T241" s="595">
        <v>1</v>
      </c>
      <c r="U241" s="631" t="s">
        <v>1728</v>
      </c>
      <c r="V241" s="595" t="str">
        <f t="shared" si="70"/>
        <v>Probabilidad</v>
      </c>
      <c r="W241" s="596" t="s">
        <v>197</v>
      </c>
      <c r="X241" s="596" t="s">
        <v>198</v>
      </c>
      <c r="Y241" s="597" t="str">
        <f t="shared" si="65"/>
        <v>40%</v>
      </c>
      <c r="Z241" s="596" t="s">
        <v>259</v>
      </c>
      <c r="AA241" s="596" t="s">
        <v>200</v>
      </c>
      <c r="AB241" s="596" t="s">
        <v>201</v>
      </c>
      <c r="AC241" s="598">
        <f>IFERROR(IF(V241="Probabilidad",(N241-(+N241*Y241)),IF(V241="Impacto",N241,"")),"")</f>
        <v>0.36</v>
      </c>
      <c r="AD241" s="599" t="str">
        <f t="shared" si="66"/>
        <v>Baja</v>
      </c>
      <c r="AE241" s="600">
        <f t="shared" si="67"/>
        <v>0.36</v>
      </c>
      <c r="AF241" s="599" t="str">
        <f t="shared" si="68"/>
        <v>Moderado</v>
      </c>
      <c r="AG241" s="600">
        <f>IFERROR(IF(V241="Impacto",(R241-(+R241*Y241)),IF(V241="Probabilidad",R241,"")),"")</f>
        <v>0.6</v>
      </c>
      <c r="AH241" s="601" t="str">
        <f t="shared" si="69"/>
        <v>Moderado</v>
      </c>
      <c r="AI241" s="602" t="s">
        <v>1702</v>
      </c>
      <c r="AJ241" s="603"/>
      <c r="AK241" s="603"/>
      <c r="AL241" s="604"/>
      <c r="AM241" s="605"/>
      <c r="AN241" s="606"/>
      <c r="AO241" s="607"/>
      <c r="AP241" s="608">
        <v>45770</v>
      </c>
      <c r="AQ241" s="609" t="s">
        <v>1691</v>
      </c>
      <c r="AR241" s="635" t="s">
        <v>1729</v>
      </c>
      <c r="AS241" s="611" t="s">
        <v>205</v>
      </c>
      <c r="AT241" s="612" t="s">
        <v>206</v>
      </c>
      <c r="AU241" s="283" t="s">
        <v>206</v>
      </c>
      <c r="AV241" s="613"/>
      <c r="AW241" s="614">
        <v>45782</v>
      </c>
      <c r="AX241" s="615" t="s">
        <v>207</v>
      </c>
      <c r="AY241" s="635" t="s">
        <v>578</v>
      </c>
      <c r="AZ241"/>
      <c r="BA241" s="617"/>
      <c r="BB241" s="617"/>
      <c r="BC241" s="618" t="s">
        <v>209</v>
      </c>
      <c r="BD241"/>
      <c r="BE241" s="668">
        <v>45845</v>
      </c>
      <c r="BF241" s="735" t="s">
        <v>1691</v>
      </c>
      <c r="BG241" s="713" t="s">
        <v>1730</v>
      </c>
      <c r="BH241" s="661" t="s">
        <v>205</v>
      </c>
      <c r="BI241" s="735" t="s">
        <v>206</v>
      </c>
      <c r="BJ241" s="735" t="s">
        <v>206</v>
      </c>
      <c r="BK241" s="736"/>
      <c r="BL241" s="450">
        <v>45861</v>
      </c>
      <c r="BM241" s="676" t="s">
        <v>215</v>
      </c>
      <c r="BN241" s="283" t="s">
        <v>1228</v>
      </c>
      <c r="BO241" s="736"/>
      <c r="BP241" s="735"/>
      <c r="BQ241" s="735"/>
      <c r="BR241" s="737" t="s">
        <v>209</v>
      </c>
      <c r="BS241" s="736"/>
      <c r="BT241" s="738">
        <v>45937</v>
      </c>
      <c r="BU241" s="735" t="s">
        <v>1691</v>
      </c>
      <c r="BV241" s="739" t="s">
        <v>1732</v>
      </c>
      <c r="BW241" s="651" t="s">
        <v>205</v>
      </c>
      <c r="BX241" s="617" t="s">
        <v>206</v>
      </c>
      <c r="BY241" s="617" t="s">
        <v>206</v>
      </c>
      <c r="BZ241" s="736"/>
      <c r="CA241" s="614">
        <v>45992</v>
      </c>
      <c r="CB241" s="616" t="s">
        <v>218</v>
      </c>
      <c r="CC241" s="286" t="s">
        <v>233</v>
      </c>
      <c r="CD241" s="736"/>
      <c r="CE241" s="735"/>
      <c r="CF241" s="735"/>
      <c r="CG241" s="737" t="s">
        <v>209</v>
      </c>
      <c r="CI241" s="570"/>
      <c r="CJ241" s="570"/>
      <c r="CK241" s="571" t="s">
        <v>209</v>
      </c>
      <c r="CL241" s="570"/>
      <c r="CM241" s="570"/>
      <c r="CN241" s="570"/>
      <c r="CO241" s="572"/>
      <c r="CP241" s="570"/>
      <c r="CQ241" s="570"/>
      <c r="CR241" s="571" t="s">
        <v>209</v>
      </c>
      <c r="CS241" s="572"/>
      <c r="CT241" s="570"/>
      <c r="CU241" s="570"/>
      <c r="CV241" s="571" t="s">
        <v>209</v>
      </c>
    </row>
    <row r="242" spans="1:100" ht="151.5" customHeight="1" x14ac:dyDescent="0.2">
      <c r="A242" s="622">
        <v>111</v>
      </c>
      <c r="B242" s="622" t="s">
        <v>1733</v>
      </c>
      <c r="C242" s="623" t="s">
        <v>1734</v>
      </c>
      <c r="D242" s="585" t="str">
        <f>IFERROR(INDEX('Base de datos gestión'!$D$28:$D$50,MATCH(C241,'Base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E242" s="585" t="str">
        <f>IFERROR(INDEX('Base de datos gestión'!$E$28:$E$50,MATCH(C241,'Base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F242" s="630" t="s">
        <v>276</v>
      </c>
      <c r="G242" s="699" t="s">
        <v>1735</v>
      </c>
      <c r="H242" s="699" t="s">
        <v>1736</v>
      </c>
      <c r="I242" s="699" t="s">
        <v>1737</v>
      </c>
      <c r="J242" s="697" t="s">
        <v>280</v>
      </c>
      <c r="K242" s="700" t="s">
        <v>1295</v>
      </c>
      <c r="L242" s="630">
        <v>5001</v>
      </c>
      <c r="M242" s="588" t="str">
        <f t="shared" si="71"/>
        <v>Muy Alta</v>
      </c>
      <c r="N242" s="589">
        <f t="shared" si="64"/>
        <v>1</v>
      </c>
      <c r="O242" s="590" t="s">
        <v>248</v>
      </c>
      <c r="P242" s="589" t="str">
        <f>IF(NOT(ISERROR(MATCH(O242,'Tabla Impacto'!$B$222:$B$224,0))),'Tabla Impacto'!$F$224&amp;"Por favor no seleccionar los criterios de impacto(Afectación Económica o presupuestal y Pérdida Reputacional)",O242)</f>
        <v xml:space="preserve">     El riesgo afecta la imagen de la entidad con algunos usuarios de relevancia frente al logro de los objetivos</v>
      </c>
      <c r="Q242" s="591" t="str">
        <f>IF(OR(P242='[8]Tabla Impacto'!$C$12,P242='[8]Tabla Impacto'!$D$12),"Leve",IF(OR(P242='[8]Tabla Impacto'!$C$13,P242='[8]Tabla Impacto'!$D$13),"Menor",IF(OR(P242='[8]Tabla Impacto'!$C$14,P242='[8]Tabla Impacto'!$D$14),"Moderado",IF(OR(P242='[8]Tabla Impacto'!$C$15,P242='[8]Tabla Impacto'!$D$15),"Mayor",IF(OR(P242='[8]Tabla Impacto'!$C$16,P242='[8]Tabla Impacto'!$D$16),"Catastrófico","")))))</f>
        <v>Moderado</v>
      </c>
      <c r="R242" s="590">
        <f t="shared" si="57"/>
        <v>0.6</v>
      </c>
      <c r="S242" s="592" t="str">
        <f t="shared" si="58"/>
        <v>Alto</v>
      </c>
      <c r="T242" s="595">
        <v>1</v>
      </c>
      <c r="U242" s="740" t="s">
        <v>1738</v>
      </c>
      <c r="V242" s="595" t="str">
        <f t="shared" si="70"/>
        <v>Probabilidad</v>
      </c>
      <c r="W242" s="596" t="s">
        <v>269</v>
      </c>
      <c r="X242" s="596" t="s">
        <v>198</v>
      </c>
      <c r="Y242" s="597" t="str">
        <f t="shared" si="65"/>
        <v>30%</v>
      </c>
      <c r="Z242" s="596" t="s">
        <v>259</v>
      </c>
      <c r="AA242" s="596" t="s">
        <v>200</v>
      </c>
      <c r="AB242" s="596" t="s">
        <v>201</v>
      </c>
      <c r="AC242" s="598">
        <f>IFERROR(IF(AND(V241="Probabilidad",V242="Probabilidad"),(AE241-(+AE241*Y242)),IF(V242="Probabilidad",(N241-(+N241*Y242)),IF(V242="Impacto",AE241,""))),"")</f>
        <v>0.252</v>
      </c>
      <c r="AD242" s="599" t="str">
        <f t="shared" si="66"/>
        <v>Baja</v>
      </c>
      <c r="AE242" s="600">
        <f t="shared" si="67"/>
        <v>0.252</v>
      </c>
      <c r="AF242" s="599" t="str">
        <f t="shared" si="68"/>
        <v>Menor</v>
      </c>
      <c r="AG242" s="600">
        <f>IFERROR(IF(AND(V241="Impacto",V242="Impacto"),(AG235-(+AG235*Y242)),IF(V242="Impacto",($R$49-(+$R$49*Y242)),IF(V242="Probabilidad",AG235,""))),"")</f>
        <v>0.4</v>
      </c>
      <c r="AH242" s="601" t="str">
        <f t="shared" si="69"/>
        <v>Moderado</v>
      </c>
      <c r="AI242" s="602" t="s">
        <v>202</v>
      </c>
      <c r="AJ242" s="603"/>
      <c r="AK242" s="603"/>
      <c r="AL242" s="605"/>
      <c r="AM242" s="741"/>
      <c r="AN242" s="606"/>
      <c r="AO242" s="607"/>
      <c r="AP242" s="608">
        <v>45770</v>
      </c>
      <c r="AQ242" s="742" t="s">
        <v>1739</v>
      </c>
      <c r="AR242" s="635" t="s">
        <v>1740</v>
      </c>
      <c r="AS242" s="611" t="s">
        <v>205</v>
      </c>
      <c r="AT242" s="612" t="s">
        <v>206</v>
      </c>
      <c r="AU242" s="612" t="s">
        <v>206</v>
      </c>
      <c r="AV242" s="700"/>
      <c r="AW242" s="614">
        <v>45782</v>
      </c>
      <c r="AX242" s="615" t="s">
        <v>207</v>
      </c>
      <c r="AY242" s="635" t="s">
        <v>578</v>
      </c>
      <c r="BA242" s="617"/>
      <c r="BB242" s="617"/>
      <c r="BC242" s="618" t="s">
        <v>209</v>
      </c>
      <c r="BE242" s="743">
        <v>45859</v>
      </c>
      <c r="BF242" s="744" t="s">
        <v>1741</v>
      </c>
      <c r="BG242" s="744" t="s">
        <v>1742</v>
      </c>
      <c r="BH242" s="449" t="s">
        <v>205</v>
      </c>
      <c r="BI242" s="617" t="s">
        <v>206</v>
      </c>
      <c r="BJ242" s="617" t="s">
        <v>206</v>
      </c>
      <c r="BL242" s="450">
        <v>45861</v>
      </c>
      <c r="BM242" s="676" t="s">
        <v>215</v>
      </c>
      <c r="BN242" s="283" t="s">
        <v>1228</v>
      </c>
      <c r="BP242" s="617"/>
      <c r="BQ242" s="617"/>
      <c r="BR242" s="618" t="s">
        <v>209</v>
      </c>
      <c r="BT242" s="668">
        <v>45952</v>
      </c>
      <c r="BU242" s="744" t="s">
        <v>1743</v>
      </c>
      <c r="BV242" s="744" t="s">
        <v>1744</v>
      </c>
      <c r="BW242" s="617" t="s">
        <v>205</v>
      </c>
      <c r="BX242" s="617" t="s">
        <v>206</v>
      </c>
      <c r="BY242" s="617" t="s">
        <v>206</v>
      </c>
      <c r="CA242" s="659">
        <v>45986</v>
      </c>
      <c r="CB242" s="286" t="s">
        <v>218</v>
      </c>
      <c r="CC242" s="283" t="s">
        <v>1745</v>
      </c>
      <c r="CE242" s="617"/>
      <c r="CF242" s="617"/>
      <c r="CG242" s="618" t="s">
        <v>209</v>
      </c>
      <c r="CH242" s="192"/>
      <c r="CI242" s="558"/>
      <c r="CJ242" s="558"/>
      <c r="CK242" s="559" t="s">
        <v>209</v>
      </c>
      <c r="CL242" s="558"/>
      <c r="CM242" s="558"/>
      <c r="CN242" s="558"/>
      <c r="CO242" s="553"/>
      <c r="CP242" s="558"/>
      <c r="CQ242" s="558"/>
      <c r="CR242" s="559" t="s">
        <v>209</v>
      </c>
      <c r="CS242" s="553"/>
      <c r="CT242" s="558"/>
      <c r="CU242" s="558"/>
      <c r="CV242" s="559" t="s">
        <v>209</v>
      </c>
    </row>
    <row r="243" spans="1:100" ht="151.5" customHeight="1" x14ac:dyDescent="0.2">
      <c r="A243" s="622">
        <v>112</v>
      </c>
      <c r="B243" s="622" t="s">
        <v>1746</v>
      </c>
      <c r="C243" s="623" t="s">
        <v>1734</v>
      </c>
      <c r="D243" s="585" t="str">
        <f>IFERROR(INDEX('Base de datos gestión'!$D$28:$D$50,MATCH(C242,'Base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3" s="585" t="str">
        <f>IFERROR(INDEX('Base de datos gestión'!$E$28:$E$50,MATCH(C242,'Base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3" s="630" t="s">
        <v>276</v>
      </c>
      <c r="G243" s="699" t="s">
        <v>1747</v>
      </c>
      <c r="H243" s="699" t="s">
        <v>1748</v>
      </c>
      <c r="I243" s="699" t="s">
        <v>1749</v>
      </c>
      <c r="J243" s="637" t="s">
        <v>192</v>
      </c>
      <c r="K243" s="700" t="s">
        <v>1295</v>
      </c>
      <c r="L243" s="630">
        <v>5001</v>
      </c>
      <c r="M243" s="588" t="str">
        <f t="shared" si="71"/>
        <v>Muy Alta</v>
      </c>
      <c r="N243" s="589">
        <f t="shared" si="64"/>
        <v>1</v>
      </c>
      <c r="O243" s="590" t="s">
        <v>248</v>
      </c>
      <c r="P243" s="589" t="str">
        <f>IF(NOT(ISERROR(MATCH(O243,'Tabla Impacto'!$B$222:$B$224,0))),'Tabla Impacto'!$F$224&amp;"Por favor no seleccionar los criterios de impacto(Afectación Económica o presupuestal y Pérdida Reputacional)",O243)</f>
        <v xml:space="preserve">     El riesgo afecta la imagen de la entidad con algunos usuarios de relevancia frente al logro de los objetivos</v>
      </c>
      <c r="Q243" s="591" t="str">
        <f>IF(OR(P243='[8]Tabla Impacto'!$C$12,P243='[8]Tabla Impacto'!$D$12),"Leve",IF(OR(P243='[8]Tabla Impacto'!$C$13,P243='[8]Tabla Impacto'!$D$13),"Menor",IF(OR(P243='[8]Tabla Impacto'!$C$14,P243='[8]Tabla Impacto'!$D$14),"Moderado",IF(OR(P243='[8]Tabla Impacto'!$C$15,P243='[8]Tabla Impacto'!$D$15),"Mayor",IF(OR(P243='[8]Tabla Impacto'!$C$16,P243='[8]Tabla Impacto'!$D$16),"Catastrófico","")))))</f>
        <v>Moderado</v>
      </c>
      <c r="R243" s="590">
        <f t="shared" si="57"/>
        <v>0.6</v>
      </c>
      <c r="S243" s="592" t="str">
        <f t="shared" si="58"/>
        <v>Alto</v>
      </c>
      <c r="T243" s="595">
        <v>1</v>
      </c>
      <c r="U243" s="740" t="s">
        <v>1750</v>
      </c>
      <c r="V243" s="595" t="str">
        <f t="shared" si="70"/>
        <v>Probabilidad</v>
      </c>
      <c r="W243" s="596" t="s">
        <v>269</v>
      </c>
      <c r="X243" s="596" t="s">
        <v>198</v>
      </c>
      <c r="Y243" s="597" t="str">
        <f t="shared" si="65"/>
        <v>30%</v>
      </c>
      <c r="Z243" s="596" t="s">
        <v>199</v>
      </c>
      <c r="AA243" s="596" t="s">
        <v>225</v>
      </c>
      <c r="AB243" s="596" t="s">
        <v>250</v>
      </c>
      <c r="AC243" s="598">
        <f>IFERROR(IF(AND(V242="Probabilidad",V243="Probabilidad"),(AE242-(+AE242*Y243)),IF(AND(V242="Impacto",V243="Probabilidad"),(AE241-(+AE241*Y243)),IF(V243="Impacto",AE242,""))),"")</f>
        <v>0.1764</v>
      </c>
      <c r="AD243" s="599" t="str">
        <f t="shared" si="66"/>
        <v>Muy Baja</v>
      </c>
      <c r="AE243" s="600">
        <f t="shared" si="67"/>
        <v>0.1764</v>
      </c>
      <c r="AF243" s="599" t="str">
        <f t="shared" si="68"/>
        <v>Menor</v>
      </c>
      <c r="AG243" s="600">
        <f>IFERROR(IF(AND(V242="Impacto",V243="Impacto"),(AG242-(+AG242*Y243)),IF(AND(V242="Probabilidad",V243="Impacto"),(AG241-(+AG241*Y243)),IF(V243="Probabilidad",AG242,""))),"")</f>
        <v>0.4</v>
      </c>
      <c r="AH243" s="601" t="str">
        <f t="shared" si="69"/>
        <v>Bajo</v>
      </c>
      <c r="AI243" s="602" t="s">
        <v>202</v>
      </c>
      <c r="AJ243" s="603"/>
      <c r="AK243" s="603"/>
      <c r="AL243" s="604"/>
      <c r="AM243" s="741"/>
      <c r="AN243" s="606"/>
      <c r="AO243" s="607"/>
      <c r="AP243" s="608">
        <v>45769</v>
      </c>
      <c r="AQ243" s="745" t="s">
        <v>1751</v>
      </c>
      <c r="AR243" s="746" t="s">
        <v>1752</v>
      </c>
      <c r="AS243" s="698" t="s">
        <v>205</v>
      </c>
      <c r="AT243" s="612" t="s">
        <v>206</v>
      </c>
      <c r="AU243" s="612" t="s">
        <v>206</v>
      </c>
      <c r="AV243" s="700"/>
      <c r="AW243" s="614">
        <v>45782</v>
      </c>
      <c r="AX243" s="615" t="s">
        <v>207</v>
      </c>
      <c r="AY243" s="635" t="s">
        <v>578</v>
      </c>
      <c r="BA243" s="617"/>
      <c r="BB243" s="617"/>
      <c r="BC243" s="618" t="s">
        <v>209</v>
      </c>
      <c r="BE243" s="743">
        <v>45859</v>
      </c>
      <c r="BF243" s="744" t="s">
        <v>1753</v>
      </c>
      <c r="BG243" s="658" t="s">
        <v>1754</v>
      </c>
      <c r="BH243" s="449" t="s">
        <v>205</v>
      </c>
      <c r="BI243" s="617" t="s">
        <v>206</v>
      </c>
      <c r="BJ243" s="617" t="s">
        <v>206</v>
      </c>
      <c r="BL243" s="450">
        <v>45861</v>
      </c>
      <c r="BM243" s="676" t="s">
        <v>215</v>
      </c>
      <c r="BN243" s="283" t="s">
        <v>1228</v>
      </c>
      <c r="BP243" s="617"/>
      <c r="BQ243" s="617"/>
      <c r="BR243" s="618" t="s">
        <v>209</v>
      </c>
      <c r="BT243" s="668">
        <v>45952</v>
      </c>
      <c r="BU243" s="747" t="s">
        <v>1755</v>
      </c>
      <c r="BV243" s="744" t="s">
        <v>1756</v>
      </c>
      <c r="BW243" s="617" t="s">
        <v>205</v>
      </c>
      <c r="BX243" s="617" t="s">
        <v>206</v>
      </c>
      <c r="BY243" s="617" t="s">
        <v>206</v>
      </c>
      <c r="CA243" s="659">
        <v>45986</v>
      </c>
      <c r="CB243" s="286" t="s">
        <v>218</v>
      </c>
      <c r="CC243" s="283" t="s">
        <v>1745</v>
      </c>
      <c r="CE243" s="617"/>
      <c r="CF243" s="617"/>
      <c r="CG243" s="618" t="s">
        <v>209</v>
      </c>
      <c r="CH243" s="192"/>
      <c r="CI243" s="558"/>
      <c r="CJ243" s="558"/>
      <c r="CK243" s="559" t="s">
        <v>209</v>
      </c>
      <c r="CL243" s="558"/>
      <c r="CM243" s="558"/>
      <c r="CN243" s="558"/>
      <c r="CO243" s="553"/>
      <c r="CP243" s="558"/>
      <c r="CQ243" s="558"/>
      <c r="CR243" s="559" t="s">
        <v>209</v>
      </c>
      <c r="CS243" s="553"/>
      <c r="CT243" s="558"/>
      <c r="CU243" s="558"/>
      <c r="CV243" s="559" t="s">
        <v>209</v>
      </c>
    </row>
    <row r="244" spans="1:100" ht="151.5" customHeight="1" x14ac:dyDescent="0.2">
      <c r="A244" s="622">
        <v>112</v>
      </c>
      <c r="B244" s="622" t="s">
        <v>1746</v>
      </c>
      <c r="C244" s="623" t="s">
        <v>1734</v>
      </c>
      <c r="D244" s="585" t="str">
        <f>IFERROR(INDEX('Base de datos gestión'!$D$28:$D$50,MATCH(C243,'Base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4" s="585" t="str">
        <f>IFERROR(INDEX('Base de datos gestión'!$E$28:$E$50,MATCH(C243,'Base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4" s="630" t="s">
        <v>276</v>
      </c>
      <c r="G244" s="603" t="s">
        <v>1747</v>
      </c>
      <c r="H244" s="603" t="s">
        <v>1757</v>
      </c>
      <c r="I244" s="603" t="s">
        <v>1758</v>
      </c>
      <c r="J244" s="637" t="s">
        <v>192</v>
      </c>
      <c r="K244" s="700" t="s">
        <v>1295</v>
      </c>
      <c r="L244" s="630">
        <v>5001</v>
      </c>
      <c r="M244" s="588" t="str">
        <f t="shared" si="71"/>
        <v>Muy Alta</v>
      </c>
      <c r="N244" s="589">
        <f t="shared" si="64"/>
        <v>1</v>
      </c>
      <c r="O244" s="590" t="s">
        <v>248</v>
      </c>
      <c r="P244" s="589" t="str">
        <f>IF(NOT(ISERROR(MATCH(O244,'Tabla Impacto'!$B$222:$B$224,0))),'Tabla Impacto'!$F$224&amp;"Por favor no seleccionar los criterios de impacto(Afectación Económica o presupuestal y Pérdida Reputacional)",O244)</f>
        <v xml:space="preserve">     El riesgo afecta la imagen de la entidad con algunos usuarios de relevancia frente al logro de los objetivos</v>
      </c>
      <c r="Q244" s="591" t="str">
        <f>IF(OR(P244='[8]Tabla Impacto'!$C$12,P244='[8]Tabla Impacto'!$D$12),"Leve",IF(OR(P244='[8]Tabla Impacto'!$C$13,P244='[8]Tabla Impacto'!$D$13),"Menor",IF(OR(P244='[8]Tabla Impacto'!$C$14,P244='[8]Tabla Impacto'!$D$14),"Moderado",IF(OR(P244='[8]Tabla Impacto'!$C$15,P244='[8]Tabla Impacto'!$D$15),"Mayor",IF(OR(P244='[8]Tabla Impacto'!$C$16,P244='[8]Tabla Impacto'!$D$16),"Catastrófico","")))))</f>
        <v>Moderado</v>
      </c>
      <c r="R244" s="590">
        <f t="shared" si="57"/>
        <v>0.6</v>
      </c>
      <c r="S244" s="592" t="str">
        <f t="shared" si="58"/>
        <v>Alto</v>
      </c>
      <c r="T244" s="595">
        <v>2</v>
      </c>
      <c r="U244" s="748" t="s">
        <v>1759</v>
      </c>
      <c r="V244" s="595" t="str">
        <f t="shared" si="70"/>
        <v>Impacto</v>
      </c>
      <c r="W244" s="596" t="s">
        <v>240</v>
      </c>
      <c r="X244" s="596" t="s">
        <v>198</v>
      </c>
      <c r="Y244" s="597" t="str">
        <f t="shared" si="65"/>
        <v>25%</v>
      </c>
      <c r="Z244" s="596" t="s">
        <v>199</v>
      </c>
      <c r="AA244" s="596" t="s">
        <v>225</v>
      </c>
      <c r="AB244" s="596" t="s">
        <v>250</v>
      </c>
      <c r="AC244" s="598">
        <f>IFERROR(IF(AND(V243="Probabilidad",V244="Probabilidad"),(AE243-(+AE243*Y244)),IF(AND(V243="Impacto",V244="Probabilidad"),(AE242-(+AE242*Y244)),IF(V244="Impacto",AE243,""))),"")</f>
        <v>0.1764</v>
      </c>
      <c r="AD244" s="599" t="str">
        <f t="shared" si="66"/>
        <v>Muy Baja</v>
      </c>
      <c r="AE244" s="600">
        <f t="shared" si="67"/>
        <v>0.1764</v>
      </c>
      <c r="AF244" s="599" t="str">
        <f t="shared" si="68"/>
        <v>Menor</v>
      </c>
      <c r="AG244" s="600">
        <f>IFERROR(IF(AND(V243="Impacto",V244="Impacto"),(AG243-(+AG243*Y244)),IF(AND(V243="Probabilidad",V244="Impacto"),(AG242-(+AG242*Y244)),IF(V244="Probabilidad",AG243,""))),"")</f>
        <v>0.30000000000000004</v>
      </c>
      <c r="AH244" s="601" t="str">
        <f t="shared" si="69"/>
        <v>Bajo</v>
      </c>
      <c r="AI244" s="602" t="s">
        <v>202</v>
      </c>
      <c r="AJ244" s="603"/>
      <c r="AK244" s="603"/>
      <c r="AL244" s="604"/>
      <c r="AM244" s="741"/>
      <c r="AN244" s="606"/>
      <c r="AO244" s="607"/>
      <c r="AP244" s="608">
        <v>45769</v>
      </c>
      <c r="AQ244" s="745" t="s">
        <v>1760</v>
      </c>
      <c r="AR244" s="749" t="s">
        <v>1761</v>
      </c>
      <c r="AS244" s="698" t="s">
        <v>205</v>
      </c>
      <c r="AT244" s="612" t="s">
        <v>206</v>
      </c>
      <c r="AU244" s="612" t="s">
        <v>206</v>
      </c>
      <c r="AV244" s="700"/>
      <c r="AW244" s="614">
        <v>45782</v>
      </c>
      <c r="AX244" s="615" t="s">
        <v>207</v>
      </c>
      <c r="AY244" s="635" t="s">
        <v>578</v>
      </c>
      <c r="BA244" s="617"/>
      <c r="BB244" s="617"/>
      <c r="BC244" s="618" t="s">
        <v>209</v>
      </c>
      <c r="BE244" s="743">
        <v>45859</v>
      </c>
      <c r="BF244" s="658" t="s">
        <v>1762</v>
      </c>
      <c r="BG244" s="658" t="s">
        <v>1763</v>
      </c>
      <c r="BH244" s="449" t="s">
        <v>205</v>
      </c>
      <c r="BI244" s="617" t="s">
        <v>206</v>
      </c>
      <c r="BJ244" s="617" t="s">
        <v>206</v>
      </c>
      <c r="BL244" s="450">
        <v>45861</v>
      </c>
      <c r="BM244" s="676" t="s">
        <v>215</v>
      </c>
      <c r="BN244" s="283" t="s">
        <v>1228</v>
      </c>
      <c r="BP244" s="617"/>
      <c r="BQ244" s="617"/>
      <c r="BR244" s="618" t="s">
        <v>209</v>
      </c>
      <c r="BT244" s="668">
        <v>45952</v>
      </c>
      <c r="BU244" s="744" t="s">
        <v>1743</v>
      </c>
      <c r="BV244" s="744" t="s">
        <v>1764</v>
      </c>
      <c r="BW244" s="617" t="s">
        <v>205</v>
      </c>
      <c r="BX244" s="617" t="s">
        <v>206</v>
      </c>
      <c r="BY244" s="617" t="s">
        <v>206</v>
      </c>
      <c r="CA244" s="659">
        <v>45986</v>
      </c>
      <c r="CB244" s="286" t="s">
        <v>218</v>
      </c>
      <c r="CC244" s="283" t="s">
        <v>1745</v>
      </c>
      <c r="CE244" s="617"/>
      <c r="CF244" s="617"/>
      <c r="CG244" s="618" t="s">
        <v>209</v>
      </c>
      <c r="CH244" s="192"/>
      <c r="CI244" s="558"/>
      <c r="CJ244" s="558"/>
      <c r="CK244" s="559" t="s">
        <v>209</v>
      </c>
      <c r="CL244" s="558"/>
      <c r="CM244" s="558"/>
      <c r="CN244" s="558"/>
      <c r="CO244" s="553"/>
      <c r="CP244" s="558"/>
      <c r="CQ244" s="558"/>
      <c r="CR244" s="559" t="s">
        <v>209</v>
      </c>
      <c r="CS244" s="553"/>
      <c r="CT244" s="558"/>
      <c r="CU244" s="558"/>
      <c r="CV244" s="559" t="s">
        <v>209</v>
      </c>
    </row>
    <row r="245" spans="1:100" ht="151.5" customHeight="1" x14ac:dyDescent="0.2">
      <c r="A245" s="622">
        <v>112</v>
      </c>
      <c r="B245" s="622" t="s">
        <v>1746</v>
      </c>
      <c r="C245" s="623" t="s">
        <v>1734</v>
      </c>
      <c r="D245" s="585" t="str">
        <f>IFERROR(INDEX('Base de datos gestión'!$D$28:$D$50,MATCH(C244,'Base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5" s="585" t="str">
        <f>IFERROR(INDEX('Base de datos gestión'!$E$28:$E$50,MATCH(C244,'Base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5" s="630" t="s">
        <v>276</v>
      </c>
      <c r="G245" s="603" t="s">
        <v>1747</v>
      </c>
      <c r="H245" s="603" t="s">
        <v>1757</v>
      </c>
      <c r="I245" s="603" t="s">
        <v>1758</v>
      </c>
      <c r="J245" s="637" t="s">
        <v>192</v>
      </c>
      <c r="K245" s="700" t="s">
        <v>1295</v>
      </c>
      <c r="L245" s="630">
        <v>5001</v>
      </c>
      <c r="M245" s="588" t="str">
        <f t="shared" si="71"/>
        <v>Muy Alta</v>
      </c>
      <c r="N245" s="589">
        <f t="shared" si="64"/>
        <v>1</v>
      </c>
      <c r="O245" s="590" t="s">
        <v>248</v>
      </c>
      <c r="P245" s="589" t="str">
        <f>IF(NOT(ISERROR(MATCH(O245,'Tabla Impacto'!$B$222:$B$224,0))),'Tabla Impacto'!$F$224&amp;"Por favor no seleccionar los criterios de impacto(Afectación Económica o presupuestal y Pérdida Reputacional)",O245)</f>
        <v xml:space="preserve">     El riesgo afecta la imagen de la entidad con algunos usuarios de relevancia frente al logro de los objetivos</v>
      </c>
      <c r="Q245" s="591" t="str">
        <f>IF(OR(P245='[8]Tabla Impacto'!$C$12,P245='[8]Tabla Impacto'!$D$12),"Leve",IF(OR(P245='[8]Tabla Impacto'!$C$13,P245='[8]Tabla Impacto'!$D$13),"Menor",IF(OR(P245='[8]Tabla Impacto'!$C$14,P245='[8]Tabla Impacto'!$D$14),"Moderado",IF(OR(P245='[8]Tabla Impacto'!$C$15,P245='[8]Tabla Impacto'!$D$15),"Mayor",IF(OR(P245='[8]Tabla Impacto'!$C$16,P245='[8]Tabla Impacto'!$D$16),"Catastrófico","")))))</f>
        <v>Moderado</v>
      </c>
      <c r="R245" s="590">
        <f t="shared" si="57"/>
        <v>0.6</v>
      </c>
      <c r="S245" s="592" t="str">
        <f t="shared" si="58"/>
        <v>Alto</v>
      </c>
      <c r="T245" s="595">
        <v>3</v>
      </c>
      <c r="U245" s="748" t="s">
        <v>1765</v>
      </c>
      <c r="V245" s="595" t="str">
        <f t="shared" si="70"/>
        <v>Probabilidad</v>
      </c>
      <c r="W245" s="596" t="s">
        <v>197</v>
      </c>
      <c r="X245" s="596" t="s">
        <v>198</v>
      </c>
      <c r="Y245" s="597" t="str">
        <f t="shared" si="65"/>
        <v>40%</v>
      </c>
      <c r="Z245" s="596" t="s">
        <v>199</v>
      </c>
      <c r="AA245" s="596" t="s">
        <v>200</v>
      </c>
      <c r="AB245" s="596" t="s">
        <v>201</v>
      </c>
      <c r="AC245" s="598">
        <f>IFERROR(IF(AND(V244="Probabilidad",V245="Probabilidad"),(AE244-(+AE244*Y245)),IF(AND(V244="Impacto",V245="Probabilidad"),(AE243-(+AE243*Y245)),IF(V245="Impacto",AE244,""))),"")</f>
        <v>0.10584</v>
      </c>
      <c r="AD245" s="599" t="str">
        <f t="shared" si="66"/>
        <v>Muy Baja</v>
      </c>
      <c r="AE245" s="600">
        <f t="shared" si="67"/>
        <v>0.10584</v>
      </c>
      <c r="AF245" s="599" t="str">
        <f t="shared" si="68"/>
        <v>Menor</v>
      </c>
      <c r="AG245" s="600">
        <f>IFERROR(IF(AND(V244="Impacto",V245="Impacto"),(AG244-(+AG244*Y245)),IF(AND(V244="Probabilidad",V245="Impacto"),(AG243-(+AG243*Y245)),IF(V245="Probabilidad",AG244,""))),"")</f>
        <v>0.30000000000000004</v>
      </c>
      <c r="AH245" s="601" t="str">
        <f t="shared" si="69"/>
        <v>Bajo</v>
      </c>
      <c r="AI245" s="602" t="s">
        <v>202</v>
      </c>
      <c r="AJ245" s="603"/>
      <c r="AK245" s="603"/>
      <c r="AL245" s="604"/>
      <c r="AM245" s="741"/>
      <c r="AN245" s="606"/>
      <c r="AO245" s="607"/>
      <c r="AP245" s="608">
        <v>45769</v>
      </c>
      <c r="AQ245" s="745" t="s">
        <v>1766</v>
      </c>
      <c r="AR245" s="746" t="s">
        <v>1767</v>
      </c>
      <c r="AS245" s="698" t="s">
        <v>205</v>
      </c>
      <c r="AT245" s="612" t="s">
        <v>206</v>
      </c>
      <c r="AU245" s="612" t="s">
        <v>206</v>
      </c>
      <c r="AV245" s="700"/>
      <c r="AW245" s="614">
        <v>45782</v>
      </c>
      <c r="AX245" s="615" t="s">
        <v>207</v>
      </c>
      <c r="AY245" s="635" t="s">
        <v>578</v>
      </c>
      <c r="BA245" s="617"/>
      <c r="BB245" s="617"/>
      <c r="BC245" s="618" t="s">
        <v>209</v>
      </c>
      <c r="BE245" s="743">
        <v>45859</v>
      </c>
      <c r="BF245" s="658" t="s">
        <v>1768</v>
      </c>
      <c r="BG245" s="658" t="s">
        <v>1769</v>
      </c>
      <c r="BH245" s="449" t="s">
        <v>205</v>
      </c>
      <c r="BI245" s="617" t="s">
        <v>206</v>
      </c>
      <c r="BJ245" s="617" t="s">
        <v>206</v>
      </c>
      <c r="BL245" s="450">
        <v>45861</v>
      </c>
      <c r="BM245" s="676" t="s">
        <v>215</v>
      </c>
      <c r="BN245" s="283" t="s">
        <v>1228</v>
      </c>
      <c r="BP245" s="617"/>
      <c r="BQ245" s="617"/>
      <c r="BR245" s="618" t="s">
        <v>209</v>
      </c>
      <c r="BT245" s="668">
        <v>45952</v>
      </c>
      <c r="BU245" s="744" t="s">
        <v>1743</v>
      </c>
      <c r="BV245" s="744" t="s">
        <v>1770</v>
      </c>
      <c r="BW245" s="617" t="s">
        <v>205</v>
      </c>
      <c r="BX245" s="617" t="s">
        <v>206</v>
      </c>
      <c r="BY245" s="617" t="s">
        <v>206</v>
      </c>
      <c r="CA245" s="659">
        <v>45986</v>
      </c>
      <c r="CB245" s="286" t="s">
        <v>218</v>
      </c>
      <c r="CC245" s="283" t="s">
        <v>1745</v>
      </c>
      <c r="CE245" s="617"/>
      <c r="CF245" s="617"/>
      <c r="CG245" s="618" t="s">
        <v>209</v>
      </c>
      <c r="CH245" s="192"/>
      <c r="CI245" s="558"/>
      <c r="CJ245" s="558"/>
      <c r="CK245" s="559" t="s">
        <v>209</v>
      </c>
      <c r="CL245" s="558"/>
      <c r="CM245" s="558"/>
      <c r="CN245" s="558"/>
      <c r="CO245" s="553"/>
      <c r="CP245" s="558"/>
      <c r="CQ245" s="558"/>
      <c r="CR245" s="559" t="s">
        <v>209</v>
      </c>
      <c r="CS245" s="553"/>
      <c r="CT245" s="558"/>
      <c r="CU245" s="558"/>
      <c r="CV245" s="559" t="s">
        <v>209</v>
      </c>
    </row>
    <row r="246" spans="1:100" ht="151.5" customHeight="1" x14ac:dyDescent="0.2">
      <c r="A246" s="632">
        <v>113</v>
      </c>
      <c r="B246" s="632" t="s">
        <v>1771</v>
      </c>
      <c r="C246" s="633" t="s">
        <v>1734</v>
      </c>
      <c r="D246" s="585" t="str">
        <f>IFERROR(INDEX('Base de datos gestión'!$D$28:$D$50,MATCH(C245,'Base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6" s="585" t="str">
        <f>IFERROR(INDEX('Base de datos gestión'!$E$28:$E$50,MATCH(C245,'Base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6" s="630" t="s">
        <v>276</v>
      </c>
      <c r="G246" s="750" t="s">
        <v>1772</v>
      </c>
      <c r="H246" s="751" t="s">
        <v>1773</v>
      </c>
      <c r="I246" s="603" t="s">
        <v>1774</v>
      </c>
      <c r="J246" s="752" t="s">
        <v>280</v>
      </c>
      <c r="K246" s="700" t="s">
        <v>439</v>
      </c>
      <c r="L246" s="630">
        <v>5001</v>
      </c>
      <c r="M246" s="588" t="str">
        <f t="shared" si="71"/>
        <v>Muy Alta</v>
      </c>
      <c r="N246" s="589">
        <f t="shared" si="64"/>
        <v>1</v>
      </c>
      <c r="O246" s="590" t="s">
        <v>248</v>
      </c>
      <c r="P246" s="589" t="str">
        <f>IF(NOT(ISERROR(MATCH(O246,'Tabla Impacto'!$B$222:$B$224,0))),'Tabla Impacto'!$F$224&amp;"Por favor no seleccionar los criterios de impacto(Afectación Económica o presupuestal y Pérdida Reputacional)",O246)</f>
        <v xml:space="preserve">     El riesgo afecta la imagen de la entidad con algunos usuarios de relevancia frente al logro de los objetivos</v>
      </c>
      <c r="Q246" s="591" t="str">
        <f>IF(OR(P246='[8]Tabla Impacto'!$C$12,P246='[8]Tabla Impacto'!$D$12),"Leve",IF(OR(P246='[8]Tabla Impacto'!$C$13,P246='[8]Tabla Impacto'!$D$13),"Menor",IF(OR(P246='[8]Tabla Impacto'!$C$14,P246='[8]Tabla Impacto'!$D$14),"Moderado",IF(OR(P246='[8]Tabla Impacto'!$C$15,P246='[8]Tabla Impacto'!$D$15),"Mayor",IF(OR(P246='[8]Tabla Impacto'!$C$16,P246='[8]Tabla Impacto'!$D$16),"Catastrófico","")))))</f>
        <v>Moderado</v>
      </c>
      <c r="R246" s="590">
        <f t="shared" si="57"/>
        <v>0.6</v>
      </c>
      <c r="S246" s="592" t="str">
        <f t="shared" si="58"/>
        <v>Alto</v>
      </c>
      <c r="T246" s="595">
        <v>1</v>
      </c>
      <c r="U246" s="748" t="s">
        <v>1775</v>
      </c>
      <c r="V246" s="595" t="str">
        <f t="shared" si="70"/>
        <v>Probabilidad</v>
      </c>
      <c r="W246" s="596" t="s">
        <v>197</v>
      </c>
      <c r="X246" s="596" t="s">
        <v>198</v>
      </c>
      <c r="Y246" s="597" t="str">
        <f t="shared" si="65"/>
        <v>40%</v>
      </c>
      <c r="Z246" s="596" t="s">
        <v>259</v>
      </c>
      <c r="AA246" s="596" t="s">
        <v>200</v>
      </c>
      <c r="AB246" s="596" t="s">
        <v>201</v>
      </c>
      <c r="AC246" s="598">
        <f>IFERROR(IF(AND(V245="Probabilidad",V246="Probabilidad"),(AE245-(+AE245*Y246)),IF(AND(V245="Impacto",V246="Probabilidad"),(AE244-(+AE244*Y246)),IF(V246="Impacto",AE245,""))),"")</f>
        <v>6.3504000000000005E-2</v>
      </c>
      <c r="AD246" s="599" t="str">
        <f t="shared" si="66"/>
        <v>Muy Baja</v>
      </c>
      <c r="AE246" s="600">
        <f t="shared" si="67"/>
        <v>6.3504000000000005E-2</v>
      </c>
      <c r="AF246" s="599" t="str">
        <f t="shared" si="68"/>
        <v>Menor</v>
      </c>
      <c r="AG246" s="600">
        <f>IFERROR(IF(AND(V245="Impacto",V246="Impacto"),(AG245-(+AG245*Y246)),IF(AND(V245="Probabilidad",V246="Impacto"),(AG244-(+AG244*Y246)),IF(V246="Probabilidad",AG245,""))),"")</f>
        <v>0.30000000000000004</v>
      </c>
      <c r="AH246" s="601" t="str">
        <f t="shared" si="69"/>
        <v>Bajo</v>
      </c>
      <c r="AI246" s="602" t="s">
        <v>202</v>
      </c>
      <c r="AJ246" s="603"/>
      <c r="AK246" s="603"/>
      <c r="AL246" s="604"/>
      <c r="AM246" s="741"/>
      <c r="AN246" s="606"/>
      <c r="AO246" s="607"/>
      <c r="AP246" s="608">
        <v>45769</v>
      </c>
      <c r="AQ246" s="609" t="s">
        <v>1776</v>
      </c>
      <c r="AR246" s="749" t="s">
        <v>1777</v>
      </c>
      <c r="AS246" s="698" t="s">
        <v>205</v>
      </c>
      <c r="AT246" s="612" t="s">
        <v>206</v>
      </c>
      <c r="AU246" s="612" t="s">
        <v>206</v>
      </c>
      <c r="AV246" s="700"/>
      <c r="AW246" s="614">
        <v>45782</v>
      </c>
      <c r="AX246" s="615" t="s">
        <v>207</v>
      </c>
      <c r="AY246" s="635" t="s">
        <v>578</v>
      </c>
      <c r="BA246" s="617"/>
      <c r="BB246" s="617"/>
      <c r="BC246" s="618" t="s">
        <v>209</v>
      </c>
      <c r="BE246" s="743">
        <v>45860</v>
      </c>
      <c r="BF246" s="658" t="s">
        <v>1778</v>
      </c>
      <c r="BG246" s="658" t="s">
        <v>1779</v>
      </c>
      <c r="BH246" s="449" t="s">
        <v>205</v>
      </c>
      <c r="BI246" s="617" t="s">
        <v>206</v>
      </c>
      <c r="BJ246" s="617" t="s">
        <v>206</v>
      </c>
      <c r="BL246" s="450">
        <v>45861</v>
      </c>
      <c r="BM246" s="676" t="s">
        <v>215</v>
      </c>
      <c r="BN246" s="283" t="s">
        <v>1228</v>
      </c>
      <c r="BP246" s="617"/>
      <c r="BQ246" s="617"/>
      <c r="BR246" s="618" t="s">
        <v>209</v>
      </c>
      <c r="BT246" s="668">
        <v>45952</v>
      </c>
      <c r="BU246" s="744" t="s">
        <v>1743</v>
      </c>
      <c r="BV246" s="744" t="s">
        <v>1780</v>
      </c>
      <c r="BW246" s="617" t="s">
        <v>205</v>
      </c>
      <c r="BX246" s="617" t="s">
        <v>206</v>
      </c>
      <c r="BY246" s="617" t="s">
        <v>206</v>
      </c>
      <c r="CA246" s="659">
        <v>45986</v>
      </c>
      <c r="CB246" s="286" t="s">
        <v>218</v>
      </c>
      <c r="CC246" s="283" t="s">
        <v>1745</v>
      </c>
      <c r="CE246" s="617"/>
      <c r="CF246" s="617"/>
      <c r="CG246" s="618" t="s">
        <v>209</v>
      </c>
      <c r="CH246" s="192"/>
      <c r="CI246" s="558"/>
      <c r="CJ246" s="558"/>
      <c r="CK246" s="559" t="s">
        <v>209</v>
      </c>
      <c r="CL246" s="558"/>
      <c r="CM246" s="558"/>
      <c r="CN246" s="558"/>
      <c r="CO246" s="553"/>
      <c r="CP246" s="558"/>
      <c r="CQ246" s="558"/>
      <c r="CR246" s="559" t="s">
        <v>209</v>
      </c>
      <c r="CS246" s="553"/>
      <c r="CT246" s="558"/>
      <c r="CU246" s="558"/>
      <c r="CV246" s="559" t="s">
        <v>209</v>
      </c>
    </row>
    <row r="247" spans="1:100" ht="151.5" customHeight="1" x14ac:dyDescent="0.2">
      <c r="A247" s="584">
        <v>114</v>
      </c>
      <c r="B247" s="584" t="s">
        <v>1781</v>
      </c>
      <c r="C247" s="585" t="s">
        <v>1734</v>
      </c>
      <c r="D247" s="585" t="str">
        <f>IFERROR(INDEX('Base de datos gestión'!$D$28:$D$50,MATCH(C246,'Base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7" s="585" t="str">
        <f>IFERROR(INDEX('Base de datos gestión'!$E$28:$E$50,MATCH(C246,'Base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7" s="630" t="s">
        <v>276</v>
      </c>
      <c r="G247" s="603" t="s">
        <v>1782</v>
      </c>
      <c r="H247" s="603" t="s">
        <v>1783</v>
      </c>
      <c r="I247" s="603" t="s">
        <v>1784</v>
      </c>
      <c r="J247" s="630" t="s">
        <v>797</v>
      </c>
      <c r="K247" s="700" t="s">
        <v>311</v>
      </c>
      <c r="L247" s="630">
        <v>24</v>
      </c>
      <c r="M247" s="588" t="str">
        <f t="shared" si="71"/>
        <v>Baja</v>
      </c>
      <c r="N247" s="589">
        <f t="shared" si="64"/>
        <v>0.4</v>
      </c>
      <c r="O247" s="590" t="s">
        <v>281</v>
      </c>
      <c r="P247" s="589" t="str">
        <f>IF(NOT(ISERROR(MATCH(O247,'Tabla Impacto'!$B$222:$B$224,0))),'Tabla Impacto'!$F$224&amp;"Por favor no seleccionar los criterios de impacto(Afectación Económica o presupuestal y Pérdida Reputacional)",O247)</f>
        <v xml:space="preserve">     El riesgo afecta la imagen de de la entidad con efecto publicitario sostenido a nivel de sector administrativo, nivel departamental o municipal</v>
      </c>
      <c r="Q247" s="591" t="str">
        <f>IF(OR(P247='[8]Tabla Impacto'!$C$12,P247='[8]Tabla Impacto'!$D$12),"Leve",IF(OR(P247='[8]Tabla Impacto'!$C$13,P247='[8]Tabla Impacto'!$D$13),"Menor",IF(OR(P247='[8]Tabla Impacto'!$C$14,P247='[8]Tabla Impacto'!$D$14),"Moderado",IF(OR(P247='[8]Tabla Impacto'!$C$15,P247='[8]Tabla Impacto'!$D$15),"Mayor",IF(OR(P247='[8]Tabla Impacto'!$C$16,P247='[8]Tabla Impacto'!$D$16),"Catastrófico","")))))</f>
        <v>Mayor</v>
      </c>
      <c r="R247" s="590">
        <f t="shared" si="57"/>
        <v>0.8</v>
      </c>
      <c r="S247" s="592" t="str">
        <f t="shared" si="58"/>
        <v>Alto</v>
      </c>
      <c r="T247" s="595">
        <v>1</v>
      </c>
      <c r="U247" s="748" t="s">
        <v>1785</v>
      </c>
      <c r="V247" s="595" t="str">
        <f t="shared" si="70"/>
        <v>Probabilidad</v>
      </c>
      <c r="W247" s="596" t="s">
        <v>197</v>
      </c>
      <c r="X247" s="596" t="s">
        <v>198</v>
      </c>
      <c r="Y247" s="597" t="str">
        <f t="shared" si="65"/>
        <v>40%</v>
      </c>
      <c r="Z247" s="596" t="s">
        <v>259</v>
      </c>
      <c r="AA247" s="596" t="s">
        <v>200</v>
      </c>
      <c r="AB247" s="596" t="s">
        <v>201</v>
      </c>
      <c r="AC247" s="598">
        <f>IFERROR(IF(V247="Probabilidad",(N247-(+N247*Y247)),IF(V247="Impacto",N247,"")),"")</f>
        <v>0.24</v>
      </c>
      <c r="AD247" s="599" t="str">
        <f t="shared" si="66"/>
        <v>Baja</v>
      </c>
      <c r="AE247" s="600">
        <f t="shared" si="67"/>
        <v>0.24</v>
      </c>
      <c r="AF247" s="599" t="str">
        <f t="shared" si="68"/>
        <v>Mayor</v>
      </c>
      <c r="AG247" s="600">
        <f>IFERROR(IF(V247="Impacto",(R247-(+R247*Y247)),IF(V247="Probabilidad",R247,"")),"")</f>
        <v>0.8</v>
      </c>
      <c r="AH247" s="601" t="str">
        <f t="shared" si="69"/>
        <v>Alto</v>
      </c>
      <c r="AI247" s="602" t="s">
        <v>202</v>
      </c>
      <c r="AJ247" s="603"/>
      <c r="AK247" s="603"/>
      <c r="AL247" s="604"/>
      <c r="AM247" s="741"/>
      <c r="AN247" s="606"/>
      <c r="AO247" s="607"/>
      <c r="AP247" s="608">
        <v>45769</v>
      </c>
      <c r="AQ247" s="742" t="s">
        <v>1786</v>
      </c>
      <c r="AR247" s="749" t="s">
        <v>1787</v>
      </c>
      <c r="AS247" s="698" t="s">
        <v>205</v>
      </c>
      <c r="AT247" s="285" t="s">
        <v>206</v>
      </c>
      <c r="AU247" s="285" t="s">
        <v>206</v>
      </c>
      <c r="AV247" s="700"/>
      <c r="AW247" s="614">
        <v>45782</v>
      </c>
      <c r="AX247" s="615" t="s">
        <v>207</v>
      </c>
      <c r="AY247" s="616" t="s">
        <v>1788</v>
      </c>
      <c r="BA247" s="617"/>
      <c r="BB247" s="617"/>
      <c r="BC247" s="618" t="s">
        <v>209</v>
      </c>
      <c r="BE247" s="743">
        <v>45860</v>
      </c>
      <c r="BF247" s="753" t="s">
        <v>1789</v>
      </c>
      <c r="BG247" s="283" t="s">
        <v>1790</v>
      </c>
      <c r="BH247" s="449" t="s">
        <v>205</v>
      </c>
      <c r="BI247" s="617" t="s">
        <v>206</v>
      </c>
      <c r="BJ247" s="617" t="s">
        <v>206</v>
      </c>
      <c r="BL247" s="450">
        <v>45861</v>
      </c>
      <c r="BM247" s="676" t="s">
        <v>215</v>
      </c>
      <c r="BN247" s="283" t="s">
        <v>1228</v>
      </c>
      <c r="BP247" s="617"/>
      <c r="BQ247" s="617"/>
      <c r="BR247" s="618" t="s">
        <v>209</v>
      </c>
      <c r="BT247" s="668">
        <v>45952</v>
      </c>
      <c r="BU247" s="753" t="s">
        <v>1789</v>
      </c>
      <c r="BV247" s="744" t="s">
        <v>1791</v>
      </c>
      <c r="BW247" s="617" t="s">
        <v>205</v>
      </c>
      <c r="BX247" s="617" t="s">
        <v>206</v>
      </c>
      <c r="BY247" s="617" t="s">
        <v>206</v>
      </c>
      <c r="CA247" s="659">
        <v>45986</v>
      </c>
      <c r="CB247" s="286" t="s">
        <v>218</v>
      </c>
      <c r="CC247" s="283" t="s">
        <v>1745</v>
      </c>
      <c r="CE247" s="617"/>
      <c r="CF247" s="617"/>
      <c r="CG247" s="618" t="s">
        <v>209</v>
      </c>
      <c r="CH247" s="192"/>
      <c r="CI247" s="558"/>
      <c r="CJ247" s="558"/>
      <c r="CK247" s="559" t="s">
        <v>209</v>
      </c>
      <c r="CL247" s="558"/>
      <c r="CM247" s="558"/>
      <c r="CN247" s="558"/>
      <c r="CO247" s="553"/>
      <c r="CP247" s="558"/>
      <c r="CQ247" s="558"/>
      <c r="CR247" s="559" t="s">
        <v>209</v>
      </c>
      <c r="CS247" s="553"/>
      <c r="CT247" s="558"/>
      <c r="CU247" s="558"/>
      <c r="CV247" s="559" t="s">
        <v>209</v>
      </c>
    </row>
    <row r="248" spans="1:100" ht="151.5" customHeight="1" x14ac:dyDescent="0.2">
      <c r="A248" s="622">
        <v>114</v>
      </c>
      <c r="B248" s="622" t="s">
        <v>1781</v>
      </c>
      <c r="C248" s="623" t="s">
        <v>1734</v>
      </c>
      <c r="D248" s="585" t="str">
        <f>IFERROR(INDEX('Base de datos gestión'!$D$28:$D$50,MATCH(C247,'Base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8" s="585" t="str">
        <f>IFERROR(INDEX('Base de datos gestión'!$E$28:$E$50,MATCH(C247,'Base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8" s="630" t="s">
        <v>276</v>
      </c>
      <c r="G248" s="603" t="s">
        <v>1782</v>
      </c>
      <c r="H248" s="603" t="s">
        <v>1792</v>
      </c>
      <c r="I248" s="603" t="s">
        <v>1784</v>
      </c>
      <c r="J248" s="630" t="s">
        <v>797</v>
      </c>
      <c r="K248" s="700" t="s">
        <v>311</v>
      </c>
      <c r="L248" s="630">
        <v>24</v>
      </c>
      <c r="M248" s="588" t="str">
        <f t="shared" si="71"/>
        <v>Baja</v>
      </c>
      <c r="N248" s="589">
        <f t="shared" si="64"/>
        <v>0.4</v>
      </c>
      <c r="O248" s="590" t="s">
        <v>281</v>
      </c>
      <c r="P248" s="589" t="str">
        <f>IF(NOT(ISERROR(MATCH(O248,'Tabla Impacto'!$B$222:$B$224,0))),'Tabla Impacto'!$F$224&amp;"Por favor no seleccionar los criterios de impacto(Afectación Económica o presupuestal y Pérdida Reputacional)",O248)</f>
        <v xml:space="preserve">     El riesgo afecta la imagen de de la entidad con efecto publicitario sostenido a nivel de sector administrativo, nivel departamental o municipal</v>
      </c>
      <c r="Q248" s="591" t="str">
        <f>IF(OR(P248='[8]Tabla Impacto'!$C$12,P248='[8]Tabla Impacto'!$D$12),"Leve",IF(OR(P248='[8]Tabla Impacto'!$C$13,P248='[8]Tabla Impacto'!$D$13),"Menor",IF(OR(P248='[8]Tabla Impacto'!$C$14,P248='[8]Tabla Impacto'!$D$14),"Moderado",IF(OR(P248='[8]Tabla Impacto'!$C$15,P248='[8]Tabla Impacto'!$D$15),"Mayor",IF(OR(P248='[8]Tabla Impacto'!$C$16,P248='[8]Tabla Impacto'!$D$16),"Catastrófico","")))))</f>
        <v>Mayor</v>
      </c>
      <c r="R248" s="590">
        <f t="shared" si="57"/>
        <v>0.8</v>
      </c>
      <c r="S248" s="592" t="str">
        <f t="shared" si="58"/>
        <v>Alto</v>
      </c>
      <c r="T248" s="595">
        <v>2</v>
      </c>
      <c r="U248" s="748" t="s">
        <v>1793</v>
      </c>
      <c r="V248" s="595" t="str">
        <f t="shared" si="70"/>
        <v>Probabilidad</v>
      </c>
      <c r="W248" s="596" t="s">
        <v>197</v>
      </c>
      <c r="X248" s="596" t="s">
        <v>198</v>
      </c>
      <c r="Y248" s="597" t="str">
        <f t="shared" si="65"/>
        <v>40%</v>
      </c>
      <c r="Z248" s="596" t="s">
        <v>199</v>
      </c>
      <c r="AA248" s="596" t="s">
        <v>225</v>
      </c>
      <c r="AB248" s="596" t="s">
        <v>250</v>
      </c>
      <c r="AC248" s="598">
        <f>IFERROR(IF(AND(V247="Probabilidad",V248="Probabilidad"),(AE247-(+AE247*Y248)),IF(V248="Probabilidad",(N247-(+N247*Y248)),IF(V248="Impacto",AE247,""))),"")</f>
        <v>0.14399999999999999</v>
      </c>
      <c r="AD248" s="599" t="str">
        <f t="shared" si="66"/>
        <v>Muy Baja</v>
      </c>
      <c r="AE248" s="600">
        <f t="shared" si="67"/>
        <v>0.14399999999999999</v>
      </c>
      <c r="AF248" s="599" t="str">
        <f t="shared" si="68"/>
        <v>Moderado</v>
      </c>
      <c r="AG248" s="600">
        <f>IFERROR(IF(AND(V247="Impacto",V248="Impacto"),(AG241-(+AG241*Y248)),IF(V248="Impacto",($R$55-(+$R$55*Y248)),IF(V248="Probabilidad",AG241,""))),"")</f>
        <v>0.6</v>
      </c>
      <c r="AH248" s="601" t="str">
        <f t="shared" si="69"/>
        <v>Moderado</v>
      </c>
      <c r="AI248" s="602" t="s">
        <v>202</v>
      </c>
      <c r="AJ248" s="603"/>
      <c r="AK248" s="603"/>
      <c r="AL248" s="604"/>
      <c r="AM248" s="741"/>
      <c r="AN248" s="606"/>
      <c r="AO248" s="607"/>
      <c r="AP248" s="608">
        <v>45769</v>
      </c>
      <c r="AQ248" s="754" t="s">
        <v>1794</v>
      </c>
      <c r="AR248" s="755" t="s">
        <v>1795</v>
      </c>
      <c r="AS248" s="698" t="s">
        <v>205</v>
      </c>
      <c r="AT248" s="612" t="s">
        <v>206</v>
      </c>
      <c r="AU248" s="612" t="s">
        <v>206</v>
      </c>
      <c r="AV248" s="700"/>
      <c r="AW248" s="614">
        <v>45782</v>
      </c>
      <c r="AX248" s="615" t="s">
        <v>207</v>
      </c>
      <c r="AY248" s="635" t="s">
        <v>578</v>
      </c>
      <c r="BA248" s="617"/>
      <c r="BB248" s="617"/>
      <c r="BC248" s="618" t="s">
        <v>209</v>
      </c>
      <c r="BE248" s="743">
        <v>45860</v>
      </c>
      <c r="BF248" s="753" t="s">
        <v>1789</v>
      </c>
      <c r="BG248" s="283" t="s">
        <v>1796</v>
      </c>
      <c r="BH248" s="449" t="s">
        <v>205</v>
      </c>
      <c r="BI248" s="617" t="s">
        <v>206</v>
      </c>
      <c r="BJ248" s="617" t="s">
        <v>206</v>
      </c>
      <c r="BL248" s="450">
        <v>45861</v>
      </c>
      <c r="BM248" s="676" t="s">
        <v>215</v>
      </c>
      <c r="BN248" s="283" t="s">
        <v>1228</v>
      </c>
      <c r="BP248" s="617"/>
      <c r="BQ248" s="617"/>
      <c r="BR248" s="618" t="s">
        <v>209</v>
      </c>
      <c r="BT248" s="668">
        <v>45952</v>
      </c>
      <c r="BU248" s="753" t="s">
        <v>1789</v>
      </c>
      <c r="BV248" s="744" t="s">
        <v>1797</v>
      </c>
      <c r="BW248" s="617" t="s">
        <v>205</v>
      </c>
      <c r="BX248" s="617" t="s">
        <v>206</v>
      </c>
      <c r="BY248" s="617" t="s">
        <v>206</v>
      </c>
      <c r="CA248" s="659">
        <v>45986</v>
      </c>
      <c r="CB248" s="286" t="s">
        <v>218</v>
      </c>
      <c r="CC248" s="283" t="s">
        <v>1745</v>
      </c>
      <c r="CE248" s="617"/>
      <c r="CF248" s="617"/>
      <c r="CG248" s="618" t="s">
        <v>209</v>
      </c>
      <c r="CH248" s="192"/>
      <c r="CI248" s="558"/>
      <c r="CJ248" s="558"/>
      <c r="CK248" s="559" t="s">
        <v>209</v>
      </c>
      <c r="CL248" s="558"/>
      <c r="CM248" s="558"/>
      <c r="CN248" s="558"/>
      <c r="CO248" s="553"/>
      <c r="CP248" s="558"/>
      <c r="CQ248" s="558"/>
      <c r="CR248" s="559" t="s">
        <v>209</v>
      </c>
      <c r="CS248" s="553"/>
      <c r="CT248" s="558"/>
      <c r="CU248" s="558"/>
      <c r="CV248" s="559" t="s">
        <v>209</v>
      </c>
    </row>
    <row r="249" spans="1:100" ht="151.5" customHeight="1" x14ac:dyDescent="0.2">
      <c r="A249" s="622">
        <v>114</v>
      </c>
      <c r="B249" s="622" t="s">
        <v>1781</v>
      </c>
      <c r="C249" s="623" t="s">
        <v>1734</v>
      </c>
      <c r="D249" s="585" t="str">
        <f>IFERROR(INDEX('Base de datos gestión'!$D$28:$D$50,MATCH(C248,'Base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49" s="585" t="str">
        <f>IFERROR(INDEX('Base de datos gestión'!$E$28:$E$50,MATCH(C248,'Base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49" s="630" t="s">
        <v>276</v>
      </c>
      <c r="G249" s="603" t="s">
        <v>1782</v>
      </c>
      <c r="H249" s="603" t="s">
        <v>1798</v>
      </c>
      <c r="I249" s="603" t="s">
        <v>1784</v>
      </c>
      <c r="J249" s="630" t="s">
        <v>797</v>
      </c>
      <c r="K249" s="700" t="s">
        <v>311</v>
      </c>
      <c r="L249" s="630">
        <v>24</v>
      </c>
      <c r="M249" s="588" t="str">
        <f t="shared" si="71"/>
        <v>Baja</v>
      </c>
      <c r="N249" s="589">
        <f t="shared" si="64"/>
        <v>0.4</v>
      </c>
      <c r="O249" s="590" t="s">
        <v>281</v>
      </c>
      <c r="P249" s="589" t="str">
        <f>IF(NOT(ISERROR(MATCH(O249,'Tabla Impacto'!$B$222:$B$224,0))),'Tabla Impacto'!$F$224&amp;"Por favor no seleccionar los criterios de impacto(Afectación Económica o presupuestal y Pérdida Reputacional)",O249)</f>
        <v xml:space="preserve">     El riesgo afecta la imagen de de la entidad con efecto publicitario sostenido a nivel de sector administrativo, nivel departamental o municipal</v>
      </c>
      <c r="Q249" s="591" t="str">
        <f>IF(OR(P249='[8]Tabla Impacto'!$C$12,P249='[8]Tabla Impacto'!$D$12),"Leve",IF(OR(P249='[8]Tabla Impacto'!$C$13,P249='[8]Tabla Impacto'!$D$13),"Menor",IF(OR(P249='[8]Tabla Impacto'!$C$14,P249='[8]Tabla Impacto'!$D$14),"Moderado",IF(OR(P249='[8]Tabla Impacto'!$C$15,P249='[8]Tabla Impacto'!$D$15),"Mayor",IF(OR(P249='[8]Tabla Impacto'!$C$16,P249='[8]Tabla Impacto'!$D$16),"Catastrófico","")))))</f>
        <v>Mayor</v>
      </c>
      <c r="R249" s="590">
        <f t="shared" si="57"/>
        <v>0.8</v>
      </c>
      <c r="S249" s="592" t="str">
        <f t="shared" si="58"/>
        <v>Alto</v>
      </c>
      <c r="T249" s="595">
        <v>3</v>
      </c>
      <c r="U249" s="748" t="s">
        <v>1799</v>
      </c>
      <c r="V249" s="595" t="str">
        <f t="shared" si="70"/>
        <v>Probabilidad</v>
      </c>
      <c r="W249" s="596" t="s">
        <v>197</v>
      </c>
      <c r="X249" s="596" t="s">
        <v>198</v>
      </c>
      <c r="Y249" s="597" t="str">
        <f t="shared" si="65"/>
        <v>40%</v>
      </c>
      <c r="Z249" s="596" t="s">
        <v>259</v>
      </c>
      <c r="AA249" s="596" t="s">
        <v>200</v>
      </c>
      <c r="AB249" s="596" t="s">
        <v>201</v>
      </c>
      <c r="AC249" s="598">
        <f>IFERROR(IF(AND(V248="Probabilidad",V249="Probabilidad"),(AE248-(+AE248*Y249)),IF(AND(V248="Impacto",V249="Probabilidad"),(AE247-(+AE247*Y249)),IF(V249="Impacto",AE248,""))),"")</f>
        <v>8.6399999999999991E-2</v>
      </c>
      <c r="AD249" s="599" t="str">
        <f t="shared" si="66"/>
        <v>Muy Baja</v>
      </c>
      <c r="AE249" s="600">
        <f t="shared" si="67"/>
        <v>8.6399999999999991E-2</v>
      </c>
      <c r="AF249" s="599" t="str">
        <f t="shared" si="68"/>
        <v>Moderado</v>
      </c>
      <c r="AG249" s="600">
        <f>IFERROR(IF(AND(V248="Impacto",V249="Impacto"),(AG248-(+AG248*Y249)),IF(AND(V248="Probabilidad",V249="Impacto"),(AG247-(+AG247*Y249)),IF(V249="Probabilidad",AG248,""))),"")</f>
        <v>0.6</v>
      </c>
      <c r="AH249" s="601" t="str">
        <f t="shared" si="69"/>
        <v>Moderado</v>
      </c>
      <c r="AI249" s="602" t="s">
        <v>202</v>
      </c>
      <c r="AJ249" s="603"/>
      <c r="AK249" s="603"/>
      <c r="AL249" s="604"/>
      <c r="AM249" s="741"/>
      <c r="AN249" s="606"/>
      <c r="AO249" s="607"/>
      <c r="AP249" s="608">
        <v>45770</v>
      </c>
      <c r="AQ249" s="756" t="s">
        <v>1800</v>
      </c>
      <c r="AR249" s="749" t="s">
        <v>1801</v>
      </c>
      <c r="AS249" s="698" t="s">
        <v>205</v>
      </c>
      <c r="AT249" s="612" t="s">
        <v>206</v>
      </c>
      <c r="AU249" s="612" t="s">
        <v>206</v>
      </c>
      <c r="AV249" s="700"/>
      <c r="AW249" s="614">
        <v>45782</v>
      </c>
      <c r="AX249" s="615" t="s">
        <v>207</v>
      </c>
      <c r="AY249" s="635" t="s">
        <v>578</v>
      </c>
      <c r="BA249" s="617"/>
      <c r="BB249" s="617"/>
      <c r="BC249" s="618" t="s">
        <v>209</v>
      </c>
      <c r="BE249" s="743">
        <v>45860</v>
      </c>
      <c r="BF249" s="658" t="s">
        <v>1802</v>
      </c>
      <c r="BG249" s="283" t="s">
        <v>1803</v>
      </c>
      <c r="BH249" s="449" t="s">
        <v>205</v>
      </c>
      <c r="BI249" s="617" t="s">
        <v>206</v>
      </c>
      <c r="BJ249" s="617" t="s">
        <v>206</v>
      </c>
      <c r="BL249" s="450">
        <v>45861</v>
      </c>
      <c r="BM249" s="676" t="s">
        <v>215</v>
      </c>
      <c r="BN249" s="283" t="s">
        <v>1228</v>
      </c>
      <c r="BP249" s="617"/>
      <c r="BQ249" s="617"/>
      <c r="BR249" s="618" t="s">
        <v>209</v>
      </c>
      <c r="BT249" s="668">
        <v>45952</v>
      </c>
      <c r="BU249" s="753" t="s">
        <v>1789</v>
      </c>
      <c r="BV249" s="744" t="s">
        <v>1804</v>
      </c>
      <c r="BW249" s="617" t="s">
        <v>205</v>
      </c>
      <c r="BX249" s="617" t="s">
        <v>206</v>
      </c>
      <c r="BY249" s="617" t="s">
        <v>206</v>
      </c>
      <c r="CA249" s="659">
        <v>45986</v>
      </c>
      <c r="CB249" s="286" t="s">
        <v>218</v>
      </c>
      <c r="CC249" s="283" t="s">
        <v>1745</v>
      </c>
      <c r="CE249" s="617"/>
      <c r="CF249" s="617"/>
      <c r="CG249" s="618" t="s">
        <v>209</v>
      </c>
      <c r="CH249" s="192"/>
      <c r="CI249" s="558"/>
      <c r="CJ249" s="558"/>
      <c r="CK249" s="559" t="s">
        <v>209</v>
      </c>
      <c r="CL249" s="558"/>
      <c r="CM249" s="558"/>
      <c r="CN249" s="558"/>
      <c r="CO249" s="553"/>
      <c r="CP249" s="558"/>
      <c r="CQ249" s="558"/>
      <c r="CR249" s="559" t="s">
        <v>209</v>
      </c>
      <c r="CS249" s="553"/>
      <c r="CT249" s="558"/>
      <c r="CU249" s="558"/>
      <c r="CV249" s="559" t="s">
        <v>209</v>
      </c>
    </row>
    <row r="250" spans="1:100" ht="151.5" customHeight="1" x14ac:dyDescent="0.2">
      <c r="A250" s="622">
        <v>115</v>
      </c>
      <c r="B250" s="622" t="s">
        <v>1805</v>
      </c>
      <c r="C250" s="623" t="s">
        <v>1734</v>
      </c>
      <c r="D250" s="585" t="str">
        <f>IFERROR(INDEX('Base de datos gestión'!$D$28:$D$50,MATCH(C249,'Base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0" s="585" t="str">
        <f>IFERROR(INDEX('Base de datos gestión'!$E$28:$E$50,MATCH(C249,'Base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0" s="630" t="s">
        <v>188</v>
      </c>
      <c r="G250" s="603" t="s">
        <v>1806</v>
      </c>
      <c r="H250" s="603" t="s">
        <v>1807</v>
      </c>
      <c r="I250" s="603" t="s">
        <v>1808</v>
      </c>
      <c r="J250" s="752" t="s">
        <v>1137</v>
      </c>
      <c r="K250" s="700" t="s">
        <v>420</v>
      </c>
      <c r="L250" s="630">
        <v>5001</v>
      </c>
      <c r="M250" s="588" t="str">
        <f t="shared" si="71"/>
        <v>Muy Alta</v>
      </c>
      <c r="N250" s="589">
        <f t="shared" si="64"/>
        <v>1</v>
      </c>
      <c r="O250" s="590" t="s">
        <v>248</v>
      </c>
      <c r="P250" s="589" t="str">
        <f>IF(NOT(ISERROR(MATCH(O250,'Tabla Impacto'!$B$222:$B$224,0))),'Tabla Impacto'!$F$224&amp;"Por favor no seleccionar los criterios de impacto(Afectación Económica o presupuestal y Pérdida Reputacional)",O250)</f>
        <v xml:space="preserve">     El riesgo afecta la imagen de la entidad con algunos usuarios de relevancia frente al logro de los objetivos</v>
      </c>
      <c r="Q250" s="591" t="str">
        <f>IF(OR(P250='[8]Tabla Impacto'!$C$12,P250='[8]Tabla Impacto'!$D$12),"Leve",IF(OR(P250='[8]Tabla Impacto'!$C$13,P250='[8]Tabla Impacto'!$D$13),"Menor",IF(OR(P250='[8]Tabla Impacto'!$C$14,P250='[8]Tabla Impacto'!$D$14),"Moderado",IF(OR(P250='[8]Tabla Impacto'!$C$15,P250='[8]Tabla Impacto'!$D$15),"Mayor",IF(OR(P250='[8]Tabla Impacto'!$C$16,P250='[8]Tabla Impacto'!$D$16),"Catastrófico","")))))</f>
        <v>Moderado</v>
      </c>
      <c r="R250" s="590">
        <f t="shared" si="57"/>
        <v>0.6</v>
      </c>
      <c r="S250" s="592" t="str">
        <f t="shared" si="58"/>
        <v>Alto</v>
      </c>
      <c r="T250" s="595">
        <v>1</v>
      </c>
      <c r="U250" s="712" t="s">
        <v>1809</v>
      </c>
      <c r="V250" s="595" t="str">
        <f t="shared" si="70"/>
        <v>Probabilidad</v>
      </c>
      <c r="W250" s="596" t="s">
        <v>197</v>
      </c>
      <c r="X250" s="596" t="s">
        <v>198</v>
      </c>
      <c r="Y250" s="597" t="str">
        <f t="shared" si="65"/>
        <v>40%</v>
      </c>
      <c r="Z250" s="596" t="s">
        <v>259</v>
      </c>
      <c r="AA250" s="596" t="s">
        <v>225</v>
      </c>
      <c r="AB250" s="596" t="s">
        <v>201</v>
      </c>
      <c r="AC250" s="598">
        <f>IFERROR(IF(AND(V249="Probabilidad",V250="Probabilidad"),(AE249-(+AE249*Y250)),IF(AND(V249="Impacto",V250="Probabilidad"),(AE248-(+AE248*Y250)),IF(V250="Impacto",AE249,""))),"")</f>
        <v>5.183999999999999E-2</v>
      </c>
      <c r="AD250" s="599" t="str">
        <f t="shared" si="66"/>
        <v>Muy Baja</v>
      </c>
      <c r="AE250" s="600">
        <f t="shared" si="67"/>
        <v>5.183999999999999E-2</v>
      </c>
      <c r="AF250" s="599" t="str">
        <f t="shared" si="68"/>
        <v>Moderado</v>
      </c>
      <c r="AG250" s="600">
        <f>IFERROR(IF(AND(V249="Impacto",V250="Impacto"),(AG249-(+AG249*Y250)),IF(AND(V249="Probabilidad",V250="Impacto"),(AG248-(+AG248*Y250)),IF(V250="Probabilidad",AG249,""))),"")</f>
        <v>0.6</v>
      </c>
      <c r="AH250" s="601" t="str">
        <f t="shared" si="69"/>
        <v>Moderado</v>
      </c>
      <c r="AI250" s="602" t="s">
        <v>202</v>
      </c>
      <c r="AJ250" s="603"/>
      <c r="AK250" s="603"/>
      <c r="AL250" s="605"/>
      <c r="AM250" s="741"/>
      <c r="AN250" s="606"/>
      <c r="AO250" s="607"/>
      <c r="AP250" s="608">
        <v>45769</v>
      </c>
      <c r="AQ250" s="756" t="s">
        <v>1810</v>
      </c>
      <c r="AR250" s="749" t="s">
        <v>1811</v>
      </c>
      <c r="AS250" s="698" t="s">
        <v>205</v>
      </c>
      <c r="AT250" s="612" t="s">
        <v>206</v>
      </c>
      <c r="AU250" s="612" t="s">
        <v>206</v>
      </c>
      <c r="AV250" s="700"/>
      <c r="AW250" s="614">
        <v>45782</v>
      </c>
      <c r="AX250" s="615" t="s">
        <v>207</v>
      </c>
      <c r="AY250" s="635" t="s">
        <v>578</v>
      </c>
      <c r="BA250" s="617"/>
      <c r="BB250" s="617"/>
      <c r="BC250" s="618" t="s">
        <v>209</v>
      </c>
      <c r="BE250" s="743">
        <v>45860</v>
      </c>
      <c r="BF250" s="658" t="s">
        <v>1812</v>
      </c>
      <c r="BG250" s="658" t="s">
        <v>1813</v>
      </c>
      <c r="BH250" s="449" t="s">
        <v>205</v>
      </c>
      <c r="BI250" s="617" t="s">
        <v>206</v>
      </c>
      <c r="BJ250" s="617" t="s">
        <v>206</v>
      </c>
      <c r="BL250" s="450">
        <v>45861</v>
      </c>
      <c r="BM250" s="676" t="s">
        <v>215</v>
      </c>
      <c r="BN250" s="283" t="s">
        <v>1228</v>
      </c>
      <c r="BP250" s="617"/>
      <c r="BQ250" s="617"/>
      <c r="BR250" s="618" t="s">
        <v>209</v>
      </c>
      <c r="BT250" s="668">
        <v>45952</v>
      </c>
      <c r="BU250" s="753" t="s">
        <v>1789</v>
      </c>
      <c r="BV250" s="744" t="s">
        <v>1814</v>
      </c>
      <c r="BW250" s="617" t="s">
        <v>205</v>
      </c>
      <c r="BX250" s="617" t="s">
        <v>206</v>
      </c>
      <c r="BY250" s="617" t="s">
        <v>206</v>
      </c>
      <c r="CA250" s="659">
        <v>45986</v>
      </c>
      <c r="CB250" s="286" t="s">
        <v>218</v>
      </c>
      <c r="CC250" s="283" t="s">
        <v>1745</v>
      </c>
      <c r="CE250" s="617"/>
      <c r="CF250" s="617"/>
      <c r="CG250" s="618" t="s">
        <v>209</v>
      </c>
      <c r="CH250" s="192"/>
      <c r="CI250" s="558"/>
      <c r="CJ250" s="558"/>
      <c r="CK250" s="559" t="s">
        <v>209</v>
      </c>
      <c r="CL250" s="558"/>
      <c r="CM250" s="558"/>
      <c r="CN250" s="558"/>
      <c r="CO250" s="553"/>
      <c r="CP250" s="558"/>
      <c r="CQ250" s="558"/>
      <c r="CR250" s="559" t="s">
        <v>209</v>
      </c>
      <c r="CS250" s="553"/>
      <c r="CT250" s="558"/>
      <c r="CU250" s="558"/>
      <c r="CV250" s="559" t="s">
        <v>209</v>
      </c>
    </row>
    <row r="251" spans="1:100" ht="151.5" customHeight="1" x14ac:dyDescent="0.2">
      <c r="A251" s="622">
        <v>116</v>
      </c>
      <c r="B251" s="622" t="s">
        <v>1815</v>
      </c>
      <c r="C251" s="623" t="s">
        <v>1734</v>
      </c>
      <c r="D251" s="585" t="str">
        <f>IFERROR(INDEX('Base de datos gestión'!$D$28:$D$50,MATCH(C250,'Base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1" s="585" t="str">
        <f>IFERROR(INDEX('Base de datos gestión'!$E$28:$E$50,MATCH(C250,'Base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1" s="630" t="s">
        <v>188</v>
      </c>
      <c r="G251" s="603" t="s">
        <v>1816</v>
      </c>
      <c r="H251" s="603" t="s">
        <v>1817</v>
      </c>
      <c r="I251" s="603" t="s">
        <v>1818</v>
      </c>
      <c r="J251" s="637" t="s">
        <v>1819</v>
      </c>
      <c r="K251" s="700" t="s">
        <v>311</v>
      </c>
      <c r="L251" s="630">
        <v>5000</v>
      </c>
      <c r="M251" s="588" t="str">
        <f t="shared" si="71"/>
        <v>Alta</v>
      </c>
      <c r="N251" s="589">
        <f t="shared" si="64"/>
        <v>0.8</v>
      </c>
      <c r="O251" s="590" t="s">
        <v>281</v>
      </c>
      <c r="P251" s="589" t="str">
        <f>IF(NOT(ISERROR(MATCH(O251,'Tabla Impacto'!$B$222:$B$224,0))),'Tabla Impacto'!$F$224&amp;"Por favor no seleccionar los criterios de impacto(Afectación Económica o presupuestal y Pérdida Reputacional)",O251)</f>
        <v xml:space="preserve">     El riesgo afecta la imagen de de la entidad con efecto publicitario sostenido a nivel de sector administrativo, nivel departamental o municipal</v>
      </c>
      <c r="Q251" s="591" t="str">
        <f>IF(OR(P251='[8]Tabla Impacto'!$C$12,P251='[8]Tabla Impacto'!$D$12),"Leve",IF(OR(P251='[8]Tabla Impacto'!$C$13,P251='[8]Tabla Impacto'!$D$13),"Menor",IF(OR(P251='[8]Tabla Impacto'!$C$14,P251='[8]Tabla Impacto'!$D$14),"Moderado",IF(OR(P251='[8]Tabla Impacto'!$C$15,P251='[8]Tabla Impacto'!$D$15),"Mayor",IF(OR(P251='[8]Tabla Impacto'!$C$16,P251='[8]Tabla Impacto'!$D$16),"Catastrófico","")))))</f>
        <v>Mayor</v>
      </c>
      <c r="R251" s="590">
        <f t="shared" si="57"/>
        <v>0.8</v>
      </c>
      <c r="S251" s="592" t="str">
        <f t="shared" si="58"/>
        <v>Alto</v>
      </c>
      <c r="T251" s="595">
        <v>1</v>
      </c>
      <c r="U251" s="712" t="s">
        <v>1820</v>
      </c>
      <c r="V251" s="595" t="str">
        <f t="shared" si="70"/>
        <v>Probabilidad</v>
      </c>
      <c r="W251" s="596" t="s">
        <v>197</v>
      </c>
      <c r="X251" s="596" t="s">
        <v>198</v>
      </c>
      <c r="Y251" s="597" t="str">
        <f t="shared" si="65"/>
        <v>40%</v>
      </c>
      <c r="Z251" s="596" t="s">
        <v>259</v>
      </c>
      <c r="AA251" s="596" t="s">
        <v>200</v>
      </c>
      <c r="AB251" s="596" t="s">
        <v>201</v>
      </c>
      <c r="AC251" s="598">
        <f>IFERROR(IF(AND(V250="Probabilidad",V251="Probabilidad"),(AE250-(+AE250*Y251)),IF(AND(V250="Impacto",V251="Probabilidad"),(AE249-(+AE249*Y251)),IF(V251="Impacto",AE250,""))),"")</f>
        <v>3.1103999999999993E-2</v>
      </c>
      <c r="AD251" s="599" t="str">
        <f t="shared" si="66"/>
        <v>Muy Baja</v>
      </c>
      <c r="AE251" s="600">
        <f t="shared" si="67"/>
        <v>3.1103999999999993E-2</v>
      </c>
      <c r="AF251" s="599" t="str">
        <f t="shared" si="68"/>
        <v>Moderado</v>
      </c>
      <c r="AG251" s="600">
        <f>IFERROR(IF(AND(V250="Impacto",V251="Impacto"),(AG250-(+AG250*Y251)),IF(AND(V250="Probabilidad",V251="Impacto"),(AG249-(+AG249*Y251)),IF(V251="Probabilidad",AG250,""))),"")</f>
        <v>0.6</v>
      </c>
      <c r="AH251" s="601" t="str">
        <f t="shared" si="69"/>
        <v>Moderado</v>
      </c>
      <c r="AI251" s="602" t="s">
        <v>202</v>
      </c>
      <c r="AJ251" s="603"/>
      <c r="AK251" s="603"/>
      <c r="AL251" s="604"/>
      <c r="AM251" s="741"/>
      <c r="AN251" s="606"/>
      <c r="AO251" s="607"/>
      <c r="AP251" s="608"/>
      <c r="AQ251" s="742" t="s">
        <v>1821</v>
      </c>
      <c r="AR251" s="749" t="s">
        <v>1822</v>
      </c>
      <c r="AS251" s="698" t="s">
        <v>205</v>
      </c>
      <c r="AT251" s="612" t="s">
        <v>206</v>
      </c>
      <c r="AU251" s="612" t="s">
        <v>206</v>
      </c>
      <c r="AV251" s="700"/>
      <c r="AW251" s="614">
        <v>45782</v>
      </c>
      <c r="AX251" s="615" t="s">
        <v>207</v>
      </c>
      <c r="AY251" s="635" t="s">
        <v>578</v>
      </c>
      <c r="BA251" s="617"/>
      <c r="BB251" s="617"/>
      <c r="BC251" s="618" t="s">
        <v>209</v>
      </c>
      <c r="BE251" s="743">
        <v>45861</v>
      </c>
      <c r="BF251" s="658" t="s">
        <v>1823</v>
      </c>
      <c r="BG251" s="283" t="s">
        <v>1824</v>
      </c>
      <c r="BH251" s="449" t="s">
        <v>205</v>
      </c>
      <c r="BI251" s="617" t="s">
        <v>206</v>
      </c>
      <c r="BJ251" s="617" t="s">
        <v>206</v>
      </c>
      <c r="BL251" s="450">
        <v>45861</v>
      </c>
      <c r="BM251" s="676" t="s">
        <v>215</v>
      </c>
      <c r="BN251" s="283" t="s">
        <v>1228</v>
      </c>
      <c r="BP251" s="617"/>
      <c r="BQ251" s="617"/>
      <c r="BR251" s="618" t="s">
        <v>209</v>
      </c>
      <c r="BT251" s="668">
        <v>45952</v>
      </c>
      <c r="BU251" s="658" t="s">
        <v>1823</v>
      </c>
      <c r="BV251" s="744" t="s">
        <v>1825</v>
      </c>
      <c r="BW251" s="617" t="s">
        <v>205</v>
      </c>
      <c r="BX251" s="617" t="s">
        <v>206</v>
      </c>
      <c r="BY251" s="617" t="s">
        <v>206</v>
      </c>
      <c r="CA251" s="659">
        <v>45986</v>
      </c>
      <c r="CB251" s="286" t="s">
        <v>218</v>
      </c>
      <c r="CC251" s="283" t="s">
        <v>1745</v>
      </c>
      <c r="CE251" s="617"/>
      <c r="CF251" s="617"/>
      <c r="CG251" s="618" t="s">
        <v>209</v>
      </c>
      <c r="CH251" s="192"/>
      <c r="CI251" s="558"/>
      <c r="CJ251" s="558"/>
      <c r="CK251" s="559" t="s">
        <v>209</v>
      </c>
      <c r="CL251" s="558"/>
      <c r="CM251" s="558"/>
      <c r="CN251" s="558"/>
      <c r="CO251" s="553"/>
      <c r="CP251" s="558"/>
      <c r="CQ251" s="558"/>
      <c r="CR251" s="559" t="s">
        <v>209</v>
      </c>
      <c r="CS251" s="553"/>
      <c r="CT251" s="558"/>
      <c r="CU251" s="558"/>
      <c r="CV251" s="559" t="s">
        <v>209</v>
      </c>
    </row>
    <row r="252" spans="1:100" ht="151.5" customHeight="1" x14ac:dyDescent="0.2">
      <c r="A252" s="632">
        <v>117</v>
      </c>
      <c r="B252" s="632" t="s">
        <v>1826</v>
      </c>
      <c r="C252" s="633" t="s">
        <v>1734</v>
      </c>
      <c r="D252" s="585" t="str">
        <f>IFERROR(INDEX('Base de datos gestión'!$D$28:$D$50,MATCH(C251,'Base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2" s="585" t="str">
        <f>IFERROR(INDEX('Base de datos gestión'!$E$28:$E$50,MATCH(C251,'Base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2" s="630" t="s">
        <v>652</v>
      </c>
      <c r="G252" s="603" t="s">
        <v>1827</v>
      </c>
      <c r="H252" s="603" t="s">
        <v>1828</v>
      </c>
      <c r="I252" s="603" t="s">
        <v>1829</v>
      </c>
      <c r="J252" s="637" t="s">
        <v>574</v>
      </c>
      <c r="K252" s="700" t="s">
        <v>311</v>
      </c>
      <c r="L252" s="630">
        <v>500</v>
      </c>
      <c r="M252" s="588" t="str">
        <f t="shared" si="71"/>
        <v>Media</v>
      </c>
      <c r="N252" s="589">
        <f t="shared" si="64"/>
        <v>0.6</v>
      </c>
      <c r="O252" s="590" t="s">
        <v>1296</v>
      </c>
      <c r="P252" s="589" t="str">
        <f>IF(NOT(ISERROR(MATCH(O252,'Tabla Impacto'!$B$222:$B$224,0))),'Tabla Impacto'!$F$224&amp;"Por favor no seleccionar los criterios de impacto(Afectación Económica o presupuestal y Pérdida Reputacional)",O252)</f>
        <v xml:space="preserve">     Entre 100 y 500 SMLMV </v>
      </c>
      <c r="Q252" s="591" t="str">
        <f>IF(OR(P252='[8]Tabla Impacto'!$C$12,P252='[8]Tabla Impacto'!$D$12),"Leve",IF(OR(P252='[8]Tabla Impacto'!$C$13,P252='[8]Tabla Impacto'!$D$13),"Menor",IF(OR(P252='[8]Tabla Impacto'!$C$14,P252='[8]Tabla Impacto'!$D$14),"Moderado",IF(OR(P252='[8]Tabla Impacto'!$C$15,P252='[8]Tabla Impacto'!$D$15),"Mayor",IF(OR(P252='[8]Tabla Impacto'!$C$16,P252='[8]Tabla Impacto'!$D$16),"Catastrófico","")))))</f>
        <v>Mayor</v>
      </c>
      <c r="R252" s="590">
        <f t="shared" si="57"/>
        <v>0.8</v>
      </c>
      <c r="S252" s="592" t="str">
        <f t="shared" si="58"/>
        <v>Alto</v>
      </c>
      <c r="T252" s="595">
        <v>1</v>
      </c>
      <c r="U252" s="712" t="s">
        <v>1793</v>
      </c>
      <c r="V252" s="595" t="str">
        <f t="shared" si="70"/>
        <v>Probabilidad</v>
      </c>
      <c r="W252" s="596" t="s">
        <v>197</v>
      </c>
      <c r="X252" s="596" t="s">
        <v>198</v>
      </c>
      <c r="Y252" s="597" t="str">
        <f t="shared" si="65"/>
        <v>40%</v>
      </c>
      <c r="Z252" s="596" t="s">
        <v>199</v>
      </c>
      <c r="AA252" s="596" t="s">
        <v>225</v>
      </c>
      <c r="AB252" s="596" t="s">
        <v>250</v>
      </c>
      <c r="AC252" s="598">
        <f>IFERROR(IF(AND(V251="Probabilidad",V252="Probabilidad"),(AE251-(+AE251*Y252)),IF(AND(V251="Impacto",V252="Probabilidad"),(AE250-(+AE250*Y252)),IF(V252="Impacto",AE251,""))),"")</f>
        <v>1.8662399999999996E-2</v>
      </c>
      <c r="AD252" s="599" t="str">
        <f t="shared" si="66"/>
        <v>Muy Baja</v>
      </c>
      <c r="AE252" s="600">
        <f t="shared" si="67"/>
        <v>1.8662399999999996E-2</v>
      </c>
      <c r="AF252" s="599" t="str">
        <f t="shared" si="68"/>
        <v>Moderado</v>
      </c>
      <c r="AG252" s="600">
        <f>IFERROR(IF(AND(V251="Impacto",V252="Impacto"),(AG251-(+AG251*Y252)),IF(AND(V251="Probabilidad",V252="Impacto"),(AG250-(+AG250*Y252)),IF(V252="Probabilidad",AG251,""))),"")</f>
        <v>0.6</v>
      </c>
      <c r="AH252" s="601" t="str">
        <f t="shared" si="69"/>
        <v>Moderado</v>
      </c>
      <c r="AI252" s="602" t="s">
        <v>202</v>
      </c>
      <c r="AJ252" s="603"/>
      <c r="AK252" s="603"/>
      <c r="AL252" s="604"/>
      <c r="AM252" s="741"/>
      <c r="AN252" s="606"/>
      <c r="AO252" s="607"/>
      <c r="AP252" s="608">
        <v>45769</v>
      </c>
      <c r="AQ252" s="756" t="s">
        <v>1830</v>
      </c>
      <c r="AR252" s="749" t="s">
        <v>1831</v>
      </c>
      <c r="AS252" s="698" t="s">
        <v>205</v>
      </c>
      <c r="AT252" s="612" t="s">
        <v>206</v>
      </c>
      <c r="AU252" s="612" t="s">
        <v>206</v>
      </c>
      <c r="AV252" s="700"/>
      <c r="AW252" s="614">
        <v>45782</v>
      </c>
      <c r="AX252" s="615" t="s">
        <v>207</v>
      </c>
      <c r="AY252" s="635" t="s">
        <v>578</v>
      </c>
      <c r="BA252" s="617"/>
      <c r="BB252" s="617"/>
      <c r="BC252" s="618" t="s">
        <v>209</v>
      </c>
      <c r="BE252" s="743">
        <v>45860</v>
      </c>
      <c r="BF252" s="658" t="s">
        <v>1823</v>
      </c>
      <c r="BG252" s="283" t="s">
        <v>1832</v>
      </c>
      <c r="BH252" s="449" t="s">
        <v>205</v>
      </c>
      <c r="BI252" s="617" t="s">
        <v>206</v>
      </c>
      <c r="BJ252" s="617" t="s">
        <v>206</v>
      </c>
      <c r="BL252" s="450">
        <v>45861</v>
      </c>
      <c r="BM252" s="676" t="s">
        <v>215</v>
      </c>
      <c r="BN252" s="283" t="s">
        <v>1228</v>
      </c>
      <c r="BP252" s="617"/>
      <c r="BQ252" s="617"/>
      <c r="BR252" s="618" t="s">
        <v>209</v>
      </c>
      <c r="BT252" s="668">
        <v>45952</v>
      </c>
      <c r="BU252" s="744" t="s">
        <v>1833</v>
      </c>
      <c r="BV252" s="744" t="s">
        <v>1834</v>
      </c>
      <c r="BW252" s="617" t="s">
        <v>205</v>
      </c>
      <c r="BX252" s="617" t="s">
        <v>206</v>
      </c>
      <c r="BY252" s="617" t="s">
        <v>206</v>
      </c>
      <c r="CA252" s="659">
        <v>45986</v>
      </c>
      <c r="CB252" s="286" t="s">
        <v>218</v>
      </c>
      <c r="CC252" s="283" t="s">
        <v>1745</v>
      </c>
      <c r="CE252" s="617"/>
      <c r="CF252" s="617"/>
      <c r="CG252" s="618" t="s">
        <v>209</v>
      </c>
      <c r="CH252" s="192"/>
      <c r="CI252" s="558"/>
      <c r="CJ252" s="558"/>
      <c r="CK252" s="559" t="s">
        <v>209</v>
      </c>
      <c r="CL252" s="558"/>
      <c r="CM252" s="558"/>
      <c r="CN252" s="558"/>
      <c r="CO252" s="553"/>
      <c r="CP252" s="558"/>
      <c r="CQ252" s="558"/>
      <c r="CR252" s="559" t="s">
        <v>209</v>
      </c>
      <c r="CS252" s="553"/>
      <c r="CT252" s="558"/>
      <c r="CU252" s="558"/>
      <c r="CV252" s="559" t="s">
        <v>209</v>
      </c>
    </row>
    <row r="253" spans="1:100" ht="151.5" customHeight="1" x14ac:dyDescent="0.2">
      <c r="A253" s="584">
        <v>118</v>
      </c>
      <c r="B253" s="584" t="s">
        <v>1835</v>
      </c>
      <c r="C253" s="585" t="s">
        <v>1734</v>
      </c>
      <c r="D253" s="585" t="str">
        <f>IFERROR(INDEX('Base de datos gestión'!$D$28:$D$50,MATCH(C252,'Base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3" s="585" t="str">
        <f>IFERROR(INDEX('Base de datos gestión'!$E$28:$E$50,MATCH(C252,'Base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3" s="630" t="s">
        <v>652</v>
      </c>
      <c r="G253" s="603" t="s">
        <v>1836</v>
      </c>
      <c r="H253" s="603" t="s">
        <v>1837</v>
      </c>
      <c r="I253" s="603" t="s">
        <v>1838</v>
      </c>
      <c r="J253" s="637" t="s">
        <v>280</v>
      </c>
      <c r="K253" s="700" t="s">
        <v>311</v>
      </c>
      <c r="L253" s="630">
        <v>24</v>
      </c>
      <c r="M253" s="588" t="str">
        <f t="shared" si="71"/>
        <v>Baja</v>
      </c>
      <c r="N253" s="589">
        <f t="shared" si="64"/>
        <v>0.4</v>
      </c>
      <c r="O253" s="590" t="s">
        <v>1418</v>
      </c>
      <c r="P253" s="589" t="str">
        <f>IF(NOT(ISERROR(MATCH(O253,'Tabla Impacto'!$B$222:$B$224,0))),'Tabla Impacto'!$F$224&amp;"Por favor no seleccionar los criterios de impacto(Afectación Económica o presupuestal y Pérdida Reputacional)",O253)</f>
        <v xml:space="preserve">     Mayor a 500 SMLMV </v>
      </c>
      <c r="Q253" s="591" t="str">
        <f>IF(OR(P253='[8]Tabla Impacto'!$C$12,P253='[8]Tabla Impacto'!$D$12),"Leve",IF(OR(P253='[8]Tabla Impacto'!$C$13,P253='[8]Tabla Impacto'!$D$13),"Menor",IF(OR(P253='[8]Tabla Impacto'!$C$14,P253='[8]Tabla Impacto'!$D$14),"Moderado",IF(OR(P253='[8]Tabla Impacto'!$C$15,P253='[8]Tabla Impacto'!$D$15),"Mayor",IF(OR(P253='[8]Tabla Impacto'!$C$16,P253='[8]Tabla Impacto'!$D$16),"Catastrófico","")))))</f>
        <v>Catastrófico</v>
      </c>
      <c r="R253" s="590">
        <f t="shared" ref="R253:R260" si="72">IF(Q253="","",IF(Q253="Leve",0.2,IF(Q253="Menor",0.4,IF(Q253="Moderado",0.6,IF(Q253="Mayor",0.8,IF(Q253="Catastrófico",1,))))))</f>
        <v>1</v>
      </c>
      <c r="S253" s="592" t="str">
        <f t="shared" ref="S253:S260" si="73">IF(OR(AND(M253="Muy Baja",Q253="Leve"),AND(M253="Muy Baja",Q253="Menor"),AND(M253="Baja",Q253="Leve")),"Bajo",IF(OR(AND(M253="Muy baja",Q253="Moderado"),AND(M253="Baja",Q253="Menor"),AND(M253="Baja",Q253="Moderado"),AND(M253="Media",Q253="Leve"),AND(M253="Media",Q253="Menor"),AND(M253="Media",Q253="Moderado"),AND(M253="Alta",Q253="Leve"),AND(M253="Alta",Q253="Menor")),"Moderado",IF(OR(AND(M253="Muy Baja",Q253="Mayor"),AND(M253="Baja",Q253="Mayor"),AND(M253="Media",Q253="Mayor"),AND(M253="Alta",Q253="Moderado"),AND(M253="Alta",Q253="Mayor"),AND(M253="Muy Alta",Q253="Leve"),AND(M253="Muy Alta",Q253="Menor"),AND(M253="Muy Alta",Q253="Moderado"),AND(M253="Muy Alta",Q253="Mayor")),"Alto",IF(OR(AND(M253="Muy Baja",Q253="Catastrófico"),AND(M253="Baja",Q253="Catastrófico"),AND(M253="Media",Q253="Catastrófico"),AND(M253="Alta",Q253="Catastrófico"),AND(M253="Muy Alta",Q253="Catastrófico")),"Extremo",""))))</f>
        <v>Extremo</v>
      </c>
      <c r="T253" s="595">
        <v>1</v>
      </c>
      <c r="U253" s="712" t="s">
        <v>1839</v>
      </c>
      <c r="V253" s="595" t="str">
        <f t="shared" si="70"/>
        <v>Probabilidad</v>
      </c>
      <c r="W253" s="596" t="s">
        <v>197</v>
      </c>
      <c r="X253" s="596" t="s">
        <v>198</v>
      </c>
      <c r="Y253" s="597" t="str">
        <f t="shared" si="65"/>
        <v>40%</v>
      </c>
      <c r="Z253" s="596" t="s">
        <v>259</v>
      </c>
      <c r="AA253" s="596" t="s">
        <v>200</v>
      </c>
      <c r="AB253" s="596" t="s">
        <v>201</v>
      </c>
      <c r="AC253" s="598">
        <f>IFERROR(IF(V253="Probabilidad",(N253-(+N253*Y253)),IF(V253="Impacto",N253,"")),"")</f>
        <v>0.24</v>
      </c>
      <c r="AD253" s="599" t="str">
        <f t="shared" si="66"/>
        <v>Baja</v>
      </c>
      <c r="AE253" s="600">
        <f t="shared" si="67"/>
        <v>0.24</v>
      </c>
      <c r="AF253" s="599" t="str">
        <f t="shared" si="68"/>
        <v>Catastrófico</v>
      </c>
      <c r="AG253" s="600">
        <f>IFERROR(IF(V253="Impacto",(R253-(+R253*Y253)),IF(V253="Probabilidad",R253,"")),"")</f>
        <v>1</v>
      </c>
      <c r="AH253" s="601" t="str">
        <f t="shared" si="69"/>
        <v>Extremo</v>
      </c>
      <c r="AI253" s="602" t="s">
        <v>202</v>
      </c>
      <c r="AJ253" s="603"/>
      <c r="AK253" s="603"/>
      <c r="AL253" s="604"/>
      <c r="AM253" s="741"/>
      <c r="AN253" s="606"/>
      <c r="AO253" s="607"/>
      <c r="AP253" s="608"/>
      <c r="AQ253" s="756" t="s">
        <v>1840</v>
      </c>
      <c r="AR253" s="674" t="s">
        <v>1841</v>
      </c>
      <c r="AS253" s="698" t="s">
        <v>205</v>
      </c>
      <c r="AT253" s="612" t="s">
        <v>206</v>
      </c>
      <c r="AU253" s="612" t="s">
        <v>206</v>
      </c>
      <c r="AV253" s="700"/>
      <c r="AW253" s="614">
        <v>45782</v>
      </c>
      <c r="AX253" s="615" t="s">
        <v>207</v>
      </c>
      <c r="AY253" s="635" t="s">
        <v>578</v>
      </c>
      <c r="BA253" s="617"/>
      <c r="BB253" s="617"/>
      <c r="BC253" s="618" t="s">
        <v>209</v>
      </c>
      <c r="BE253" s="743">
        <v>45860</v>
      </c>
      <c r="BF253" s="658" t="s">
        <v>1823</v>
      </c>
      <c r="BG253" s="283" t="s">
        <v>1842</v>
      </c>
      <c r="BH253" s="449" t="s">
        <v>205</v>
      </c>
      <c r="BI253" s="617" t="s">
        <v>206</v>
      </c>
      <c r="BJ253" s="617" t="s">
        <v>206</v>
      </c>
      <c r="BL253" s="450">
        <v>45861</v>
      </c>
      <c r="BM253" s="676" t="s">
        <v>215</v>
      </c>
      <c r="BN253" s="283" t="s">
        <v>1228</v>
      </c>
      <c r="BP253" s="617"/>
      <c r="BQ253" s="617"/>
      <c r="BR253" s="618" t="s">
        <v>209</v>
      </c>
      <c r="BT253" s="668">
        <v>45952</v>
      </c>
      <c r="BU253" s="658" t="s">
        <v>1823</v>
      </c>
      <c r="BV253" s="744" t="s">
        <v>1843</v>
      </c>
      <c r="BW253" s="617" t="s">
        <v>205</v>
      </c>
      <c r="BX253" s="617" t="s">
        <v>206</v>
      </c>
      <c r="BY253" s="617" t="s">
        <v>206</v>
      </c>
      <c r="CA253" s="659">
        <v>45986</v>
      </c>
      <c r="CB253" s="286" t="s">
        <v>218</v>
      </c>
      <c r="CC253" s="283" t="s">
        <v>1745</v>
      </c>
      <c r="CE253" s="617"/>
      <c r="CF253" s="617"/>
      <c r="CG253" s="618" t="s">
        <v>209</v>
      </c>
      <c r="CH253" s="192"/>
      <c r="CI253" s="558"/>
      <c r="CJ253" s="558"/>
      <c r="CK253" s="559" t="s">
        <v>209</v>
      </c>
      <c r="CL253" s="558"/>
      <c r="CM253" s="558"/>
      <c r="CN253" s="558"/>
      <c r="CO253" s="553"/>
      <c r="CP253" s="558"/>
      <c r="CQ253" s="558"/>
      <c r="CR253" s="559" t="s">
        <v>209</v>
      </c>
      <c r="CS253" s="553"/>
      <c r="CT253" s="558"/>
      <c r="CU253" s="558"/>
      <c r="CV253" s="559" t="s">
        <v>209</v>
      </c>
    </row>
    <row r="254" spans="1:100" ht="151.5" customHeight="1" x14ac:dyDescent="0.2">
      <c r="A254" s="622">
        <v>119</v>
      </c>
      <c r="B254" s="622" t="s">
        <v>1844</v>
      </c>
      <c r="C254" s="623" t="s">
        <v>1734</v>
      </c>
      <c r="D254" s="585" t="str">
        <f>IFERROR(INDEX('Base de datos gestión'!$D$28:$D$50,MATCH(C253,'Base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4" s="585" t="str">
        <f>IFERROR(INDEX('Base de datos gestión'!$E$28:$E$50,MATCH(C253,'Base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4" s="630" t="s">
        <v>276</v>
      </c>
      <c r="G254" s="603" t="s">
        <v>1845</v>
      </c>
      <c r="H254" s="603" t="s">
        <v>1846</v>
      </c>
      <c r="I254" s="603" t="s">
        <v>1847</v>
      </c>
      <c r="J254" s="637" t="s">
        <v>1137</v>
      </c>
      <c r="K254" s="700" t="s">
        <v>1295</v>
      </c>
      <c r="L254" s="630">
        <v>500</v>
      </c>
      <c r="M254" s="588" t="str">
        <f t="shared" si="71"/>
        <v>Media</v>
      </c>
      <c r="N254" s="589">
        <f t="shared" si="64"/>
        <v>0.6</v>
      </c>
      <c r="O254" s="590" t="s">
        <v>281</v>
      </c>
      <c r="P254" s="589" t="str">
        <f>IF(NOT(ISERROR(MATCH(O254,'Tabla Impacto'!$B$222:$B$224,0))),'Tabla Impacto'!$F$224&amp;"Por favor no seleccionar los criterios de impacto(Afectación Económica o presupuestal y Pérdida Reputacional)",O254)</f>
        <v xml:space="preserve">     El riesgo afecta la imagen de de la entidad con efecto publicitario sostenido a nivel de sector administrativo, nivel departamental o municipal</v>
      </c>
      <c r="Q254" s="591" t="str">
        <f>IF(OR(P254='[8]Tabla Impacto'!$C$12,P254='[8]Tabla Impacto'!$D$12),"Leve",IF(OR(P254='[8]Tabla Impacto'!$C$13,P254='[8]Tabla Impacto'!$D$13),"Menor",IF(OR(P254='[8]Tabla Impacto'!$C$14,P254='[8]Tabla Impacto'!$D$14),"Moderado",IF(OR(P254='[8]Tabla Impacto'!$C$15,P254='[8]Tabla Impacto'!$D$15),"Mayor",IF(OR(P254='[8]Tabla Impacto'!$C$16,P254='[8]Tabla Impacto'!$D$16),"Catastrófico","")))))</f>
        <v>Mayor</v>
      </c>
      <c r="R254" s="590">
        <f t="shared" si="72"/>
        <v>0.8</v>
      </c>
      <c r="S254" s="592" t="str">
        <f t="shared" si="73"/>
        <v>Alto</v>
      </c>
      <c r="T254" s="595">
        <v>1</v>
      </c>
      <c r="U254" s="712" t="s">
        <v>1848</v>
      </c>
      <c r="V254" s="595" t="str">
        <f t="shared" si="70"/>
        <v>Probabilidad</v>
      </c>
      <c r="W254" s="596" t="s">
        <v>197</v>
      </c>
      <c r="X254" s="596" t="s">
        <v>198</v>
      </c>
      <c r="Y254" s="597" t="str">
        <f t="shared" si="65"/>
        <v>40%</v>
      </c>
      <c r="Z254" s="596" t="s">
        <v>259</v>
      </c>
      <c r="AA254" s="596" t="s">
        <v>200</v>
      </c>
      <c r="AB254" s="596" t="s">
        <v>201</v>
      </c>
      <c r="AC254" s="598">
        <f>IFERROR(IF(AND(V253="Probabilidad",V254="Probabilidad"),(AE253-(+AE253*Y254)),IF(V254="Probabilidad",(N253-(+N253*Y254)),IF(V254="Impacto",AE253,""))),"")</f>
        <v>0.14399999999999999</v>
      </c>
      <c r="AD254" s="599" t="str">
        <f t="shared" si="66"/>
        <v>Muy Baja</v>
      </c>
      <c r="AE254" s="600">
        <f t="shared" si="67"/>
        <v>0.14399999999999999</v>
      </c>
      <c r="AF254" s="599" t="str">
        <f t="shared" si="68"/>
        <v>Mayor</v>
      </c>
      <c r="AG254" s="600">
        <f>IFERROR(IF(AND(V253="Impacto",V254="Impacto"),(AG247-(+AG247*Y254)),IF(V254="Impacto",($R$49-(+$R$49*Y254)),IF(V254="Probabilidad",AG247,""))),"")</f>
        <v>0.8</v>
      </c>
      <c r="AH254" s="601" t="str">
        <f t="shared" si="69"/>
        <v>Alto</v>
      </c>
      <c r="AI254" s="602" t="s">
        <v>202</v>
      </c>
      <c r="AJ254" s="603"/>
      <c r="AK254" s="603"/>
      <c r="AL254" s="604"/>
      <c r="AM254" s="741"/>
      <c r="AN254" s="606"/>
      <c r="AO254" s="607"/>
      <c r="AP254" s="608">
        <v>45769</v>
      </c>
      <c r="AQ254" s="742" t="s">
        <v>1849</v>
      </c>
      <c r="AR254" s="746" t="s">
        <v>1850</v>
      </c>
      <c r="AS254" s="698" t="s">
        <v>205</v>
      </c>
      <c r="AT254" s="612" t="s">
        <v>206</v>
      </c>
      <c r="AU254" s="612" t="s">
        <v>206</v>
      </c>
      <c r="AV254" s="700"/>
      <c r="AW254" s="614">
        <v>45782</v>
      </c>
      <c r="AX254" s="615" t="s">
        <v>207</v>
      </c>
      <c r="AY254" s="635" t="s">
        <v>578</v>
      </c>
      <c r="BA254" s="617"/>
      <c r="BB254" s="617"/>
      <c r="BC254" s="618" t="s">
        <v>209</v>
      </c>
      <c r="BE254" s="743">
        <v>45860</v>
      </c>
      <c r="BF254" s="658" t="s">
        <v>1851</v>
      </c>
      <c r="BG254" s="283" t="s">
        <v>1852</v>
      </c>
      <c r="BH254" s="449" t="s">
        <v>205</v>
      </c>
      <c r="BI254" s="617" t="s">
        <v>206</v>
      </c>
      <c r="BJ254" s="617" t="s">
        <v>206</v>
      </c>
      <c r="BL254" s="450">
        <v>45861</v>
      </c>
      <c r="BM254" s="676" t="s">
        <v>215</v>
      </c>
      <c r="BN254" s="283" t="s">
        <v>1228</v>
      </c>
      <c r="BP254" s="617"/>
      <c r="BQ254" s="617"/>
      <c r="BR254" s="618" t="s">
        <v>209</v>
      </c>
      <c r="BT254" s="668">
        <v>45952</v>
      </c>
      <c r="BU254" s="658" t="s">
        <v>1823</v>
      </c>
      <c r="BV254" s="744" t="s">
        <v>1853</v>
      </c>
      <c r="BW254" s="617" t="s">
        <v>205</v>
      </c>
      <c r="BX254" s="617" t="s">
        <v>206</v>
      </c>
      <c r="BY254" s="617" t="s">
        <v>206</v>
      </c>
      <c r="CA254" s="659">
        <v>45986</v>
      </c>
      <c r="CB254" s="286" t="s">
        <v>218</v>
      </c>
      <c r="CC254" s="283" t="s">
        <v>1745</v>
      </c>
      <c r="CE254" s="617"/>
      <c r="CF254" s="617"/>
      <c r="CG254" s="618" t="s">
        <v>209</v>
      </c>
      <c r="CH254" s="192"/>
      <c r="CI254" s="558"/>
      <c r="CJ254" s="558"/>
      <c r="CK254" s="559" t="s">
        <v>209</v>
      </c>
      <c r="CL254" s="558"/>
      <c r="CM254" s="558"/>
      <c r="CN254" s="558"/>
      <c r="CO254" s="553"/>
      <c r="CP254" s="558"/>
      <c r="CQ254" s="558"/>
      <c r="CR254" s="559" t="s">
        <v>209</v>
      </c>
      <c r="CS254" s="553"/>
      <c r="CT254" s="558"/>
      <c r="CU254" s="558"/>
      <c r="CV254" s="559" t="s">
        <v>209</v>
      </c>
    </row>
    <row r="255" spans="1:100" ht="151.5" customHeight="1" x14ac:dyDescent="0.2">
      <c r="A255" s="622">
        <v>120</v>
      </c>
      <c r="B255" s="622" t="s">
        <v>1854</v>
      </c>
      <c r="C255" s="623" t="s">
        <v>1734</v>
      </c>
      <c r="D255" s="585" t="str">
        <f>IFERROR(INDEX('Base de datos gestión'!$D$28:$D$50,MATCH(C254,'Base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5" s="585" t="str">
        <f>IFERROR(INDEX('Base de datos gestión'!$E$28:$E$50,MATCH(C254,'Base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5" s="630" t="s">
        <v>188</v>
      </c>
      <c r="G255" s="603" t="s">
        <v>1855</v>
      </c>
      <c r="H255" s="603" t="s">
        <v>1856</v>
      </c>
      <c r="I255" s="603" t="s">
        <v>1847</v>
      </c>
      <c r="J255" s="752" t="s">
        <v>280</v>
      </c>
      <c r="K255" s="700" t="s">
        <v>420</v>
      </c>
      <c r="L255" s="630">
        <v>500</v>
      </c>
      <c r="M255" s="588" t="str">
        <f t="shared" si="71"/>
        <v>Media</v>
      </c>
      <c r="N255" s="589">
        <f t="shared" si="64"/>
        <v>0.6</v>
      </c>
      <c r="O255" s="590" t="s">
        <v>281</v>
      </c>
      <c r="P255" s="589" t="str">
        <f>IF(NOT(ISERROR(MATCH(O255,'Tabla Impacto'!$B$222:$B$224,0))),'Tabla Impacto'!$F$224&amp;"Por favor no seleccionar los criterios de impacto(Afectación Económica o presupuestal y Pérdida Reputacional)",O255)</f>
        <v xml:space="preserve">     El riesgo afecta la imagen de de la entidad con efecto publicitario sostenido a nivel de sector administrativo, nivel departamental o municipal</v>
      </c>
      <c r="Q255" s="591" t="str">
        <f>IF(OR(P255='[8]Tabla Impacto'!$C$12,P255='[8]Tabla Impacto'!$D$12),"Leve",IF(OR(P255='[8]Tabla Impacto'!$C$13,P255='[8]Tabla Impacto'!$D$13),"Menor",IF(OR(P255='[8]Tabla Impacto'!$C$14,P255='[8]Tabla Impacto'!$D$14),"Moderado",IF(OR(P255='[8]Tabla Impacto'!$C$15,P255='[8]Tabla Impacto'!$D$15),"Mayor",IF(OR(P255='[8]Tabla Impacto'!$C$16,P255='[8]Tabla Impacto'!$D$16),"Catastrófico","")))))</f>
        <v>Mayor</v>
      </c>
      <c r="R255" s="590">
        <f t="shared" si="72"/>
        <v>0.8</v>
      </c>
      <c r="S255" s="592" t="str">
        <f t="shared" si="73"/>
        <v>Alto</v>
      </c>
      <c r="T255" s="595">
        <v>1</v>
      </c>
      <c r="U255" s="712" t="s">
        <v>1857</v>
      </c>
      <c r="V255" s="595" t="str">
        <f t="shared" si="70"/>
        <v>Probabilidad</v>
      </c>
      <c r="W255" s="596" t="s">
        <v>197</v>
      </c>
      <c r="X255" s="596" t="s">
        <v>198</v>
      </c>
      <c r="Y255" s="597" t="str">
        <f t="shared" si="65"/>
        <v>40%</v>
      </c>
      <c r="Z255" s="596" t="s">
        <v>259</v>
      </c>
      <c r="AA255" s="596" t="s">
        <v>200</v>
      </c>
      <c r="AB255" s="596" t="s">
        <v>201</v>
      </c>
      <c r="AC255" s="598">
        <f>IFERROR(IF(AND(V254="Probabilidad",V255="Probabilidad"),(AE254-(+AE254*Y255)),IF(AND(V254="Impacto",V255="Probabilidad"),(AE253-(+AE253*Y255)),IF(V255="Impacto",AE254,""))),"")</f>
        <v>8.6399999999999991E-2</v>
      </c>
      <c r="AD255" s="599" t="str">
        <f t="shared" si="66"/>
        <v>Muy Baja</v>
      </c>
      <c r="AE255" s="600">
        <f t="shared" si="67"/>
        <v>8.6399999999999991E-2</v>
      </c>
      <c r="AF255" s="599" t="str">
        <f t="shared" si="68"/>
        <v>Mayor</v>
      </c>
      <c r="AG255" s="600">
        <f>IFERROR(IF(AND(V254="Impacto",V255="Impacto"),(AG254-(+AG254*Y255)),IF(AND(V254="Probabilidad",V255="Impacto"),(AG253-(+AG253*Y255)),IF(V255="Probabilidad",AG254,""))),"")</f>
        <v>0.8</v>
      </c>
      <c r="AH255" s="601" t="str">
        <f t="shared" si="69"/>
        <v>Alto</v>
      </c>
      <c r="AI255" s="602" t="s">
        <v>202</v>
      </c>
      <c r="AJ255" s="603"/>
      <c r="AK255" s="603"/>
      <c r="AL255" s="604"/>
      <c r="AM255" s="741"/>
      <c r="AN255" s="606"/>
      <c r="AO255" s="607"/>
      <c r="AP255" s="608">
        <v>45769</v>
      </c>
      <c r="AQ255" s="745" t="s">
        <v>1858</v>
      </c>
      <c r="AR255" s="746" t="s">
        <v>1859</v>
      </c>
      <c r="AS255" s="698" t="s">
        <v>205</v>
      </c>
      <c r="AT255" s="612" t="s">
        <v>206</v>
      </c>
      <c r="AU255" s="612" t="s">
        <v>206</v>
      </c>
      <c r="AV255" s="700"/>
      <c r="AW255" s="614">
        <v>45782</v>
      </c>
      <c r="AX255" s="615" t="s">
        <v>207</v>
      </c>
      <c r="AY255" s="635" t="s">
        <v>578</v>
      </c>
      <c r="BA255" s="617"/>
      <c r="BB255" s="617"/>
      <c r="BC255" s="618" t="s">
        <v>209</v>
      </c>
      <c r="BE255" s="743">
        <v>45861</v>
      </c>
      <c r="BF255" s="744" t="s">
        <v>1860</v>
      </c>
      <c r="BG255" s="283" t="s">
        <v>1861</v>
      </c>
      <c r="BH255" s="449" t="s">
        <v>205</v>
      </c>
      <c r="BI255" s="617" t="s">
        <v>206</v>
      </c>
      <c r="BJ255" s="617" t="s">
        <v>206</v>
      </c>
      <c r="BL255" s="450">
        <v>45861</v>
      </c>
      <c r="BM255" s="676" t="s">
        <v>215</v>
      </c>
      <c r="BN255" s="283" t="s">
        <v>1228</v>
      </c>
      <c r="BP255" s="617"/>
      <c r="BQ255" s="617"/>
      <c r="BR255" s="618" t="s">
        <v>209</v>
      </c>
      <c r="BT255" s="668">
        <v>45952</v>
      </c>
      <c r="BU255" s="658" t="s">
        <v>1823</v>
      </c>
      <c r="BV255" s="744" t="s">
        <v>1862</v>
      </c>
      <c r="BW255" s="617" t="s">
        <v>205</v>
      </c>
      <c r="BX255" s="617" t="s">
        <v>206</v>
      </c>
      <c r="BY255" s="617" t="s">
        <v>206</v>
      </c>
      <c r="CA255" s="659">
        <v>45986</v>
      </c>
      <c r="CB255" s="286" t="s">
        <v>218</v>
      </c>
      <c r="CC255" s="283" t="s">
        <v>1745</v>
      </c>
      <c r="CE255" s="617"/>
      <c r="CF255" s="617"/>
      <c r="CG255" s="618" t="s">
        <v>209</v>
      </c>
      <c r="CH255" s="192"/>
      <c r="CI255" s="558"/>
      <c r="CJ255" s="558"/>
      <c r="CK255" s="559" t="s">
        <v>209</v>
      </c>
      <c r="CL255" s="558"/>
      <c r="CM255" s="558"/>
      <c r="CN255" s="558"/>
      <c r="CO255" s="553"/>
      <c r="CP255" s="558"/>
      <c r="CQ255" s="558"/>
      <c r="CR255" s="559" t="s">
        <v>209</v>
      </c>
      <c r="CS255" s="553"/>
      <c r="CT255" s="558"/>
      <c r="CU255" s="558"/>
      <c r="CV255" s="559" t="s">
        <v>209</v>
      </c>
    </row>
    <row r="256" spans="1:100" ht="151.5" customHeight="1" x14ac:dyDescent="0.2">
      <c r="A256" s="622">
        <v>121</v>
      </c>
      <c r="B256" s="622" t="s">
        <v>1863</v>
      </c>
      <c r="C256" s="623" t="s">
        <v>1734</v>
      </c>
      <c r="D256" s="585" t="str">
        <f>IFERROR(INDEX('Base de datos gestión'!$D$28:$D$50,MATCH(C255,'Base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6" s="585" t="str">
        <f>IFERROR(INDEX('Base de datos gestión'!$E$28:$E$50,MATCH(C255,'Base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6" s="630" t="s">
        <v>188</v>
      </c>
      <c r="G256" s="603" t="s">
        <v>1864</v>
      </c>
      <c r="H256" s="603" t="s">
        <v>1865</v>
      </c>
      <c r="I256" s="603" t="s">
        <v>1866</v>
      </c>
      <c r="J256" s="630" t="s">
        <v>1137</v>
      </c>
      <c r="K256" s="700" t="s">
        <v>311</v>
      </c>
      <c r="L256" s="630">
        <v>5000</v>
      </c>
      <c r="M256" s="588" t="str">
        <f t="shared" si="71"/>
        <v>Alta</v>
      </c>
      <c r="N256" s="589">
        <f t="shared" si="64"/>
        <v>0.8</v>
      </c>
      <c r="O256" s="590" t="s">
        <v>248</v>
      </c>
      <c r="P256" s="589" t="str">
        <f>IF(NOT(ISERROR(MATCH(O256,'Tabla Impacto'!$B$222:$B$224,0))),'Tabla Impacto'!$F$224&amp;"Por favor no seleccionar los criterios de impacto(Afectación Económica o presupuestal y Pérdida Reputacional)",O256)</f>
        <v xml:space="preserve">     El riesgo afecta la imagen de la entidad con algunos usuarios de relevancia frente al logro de los objetivos</v>
      </c>
      <c r="Q256" s="591" t="str">
        <f>IF(OR(P256='[8]Tabla Impacto'!$C$12,P256='[8]Tabla Impacto'!$D$12),"Leve",IF(OR(P256='[8]Tabla Impacto'!$C$13,P256='[8]Tabla Impacto'!$D$13),"Menor",IF(OR(P256='[8]Tabla Impacto'!$C$14,P256='[8]Tabla Impacto'!$D$14),"Moderado",IF(OR(P256='[8]Tabla Impacto'!$C$15,P256='[8]Tabla Impacto'!$D$15),"Mayor",IF(OR(P256='[8]Tabla Impacto'!$C$16,P256='[8]Tabla Impacto'!$D$16),"Catastrófico","")))))</f>
        <v>Moderado</v>
      </c>
      <c r="R256" s="590">
        <f t="shared" si="72"/>
        <v>0.6</v>
      </c>
      <c r="S256" s="592" t="str">
        <f t="shared" si="73"/>
        <v>Alto</v>
      </c>
      <c r="T256" s="595">
        <v>1</v>
      </c>
      <c r="U256" s="712" t="s">
        <v>1867</v>
      </c>
      <c r="V256" s="595" t="str">
        <f t="shared" si="70"/>
        <v>Probabilidad</v>
      </c>
      <c r="W256" s="596" t="s">
        <v>197</v>
      </c>
      <c r="X256" s="596" t="s">
        <v>454</v>
      </c>
      <c r="Y256" s="597" t="str">
        <f t="shared" si="65"/>
        <v>50%</v>
      </c>
      <c r="Z256" s="596" t="s">
        <v>259</v>
      </c>
      <c r="AA256" s="596" t="s">
        <v>200</v>
      </c>
      <c r="AB256" s="596" t="s">
        <v>201</v>
      </c>
      <c r="AC256" s="598">
        <f>IFERROR(IF(AND(V255="Probabilidad",V256="Probabilidad"),(AE255-(+AE255*Y256)),IF(AND(V255="Impacto",V256="Probabilidad"),(AE254-(+AE254*Y256)),IF(V256="Impacto",AE255,""))),"")</f>
        <v>4.3199999999999995E-2</v>
      </c>
      <c r="AD256" s="599" t="str">
        <f t="shared" si="66"/>
        <v>Muy Baja</v>
      </c>
      <c r="AE256" s="600">
        <f t="shared" si="67"/>
        <v>4.3199999999999995E-2</v>
      </c>
      <c r="AF256" s="599" t="str">
        <f t="shared" si="68"/>
        <v>Mayor</v>
      </c>
      <c r="AG256" s="600">
        <f>IFERROR(IF(AND(V255="Impacto",V256="Impacto"),(AG255-(+AG255*Y256)),IF(AND(V255="Probabilidad",V256="Impacto"),(AG254-(+AG254*Y256)),IF(V256="Probabilidad",AG255,""))),"")</f>
        <v>0.8</v>
      </c>
      <c r="AH256" s="601" t="str">
        <f t="shared" si="69"/>
        <v>Alto</v>
      </c>
      <c r="AI256" s="602" t="s">
        <v>202</v>
      </c>
      <c r="AJ256" s="603"/>
      <c r="AK256" s="603"/>
      <c r="AL256" s="604"/>
      <c r="AM256" s="741"/>
      <c r="AN256" s="606"/>
      <c r="AO256" s="607"/>
      <c r="AP256" s="608">
        <v>45769</v>
      </c>
      <c r="AQ256" s="745" t="s">
        <v>1868</v>
      </c>
      <c r="AR256" s="749" t="s">
        <v>1869</v>
      </c>
      <c r="AS256" s="698" t="s">
        <v>205</v>
      </c>
      <c r="AT256" s="612" t="s">
        <v>206</v>
      </c>
      <c r="AU256" s="612" t="s">
        <v>206</v>
      </c>
      <c r="AV256" s="700"/>
      <c r="AW256" s="614">
        <v>45782</v>
      </c>
      <c r="AX256" s="615" t="s">
        <v>207</v>
      </c>
      <c r="AY256" s="635" t="s">
        <v>578</v>
      </c>
      <c r="BA256" s="617"/>
      <c r="BB256" s="617"/>
      <c r="BC256" s="618" t="s">
        <v>209</v>
      </c>
      <c r="BE256" s="743">
        <v>45861</v>
      </c>
      <c r="BF256" s="658" t="s">
        <v>1870</v>
      </c>
      <c r="BG256" s="658" t="s">
        <v>1871</v>
      </c>
      <c r="BH256" s="449" t="s">
        <v>205</v>
      </c>
      <c r="BI256" s="616" t="s">
        <v>206</v>
      </c>
      <c r="BJ256" s="616" t="s">
        <v>206</v>
      </c>
      <c r="BL256" s="450">
        <v>45861</v>
      </c>
      <c r="BM256" s="676" t="s">
        <v>215</v>
      </c>
      <c r="BN256" s="283" t="s">
        <v>1228</v>
      </c>
      <c r="BP256" s="617"/>
      <c r="BQ256" s="617"/>
      <c r="BR256" s="618" t="s">
        <v>209</v>
      </c>
      <c r="BT256" s="668">
        <v>45952</v>
      </c>
      <c r="BU256" s="658" t="s">
        <v>1823</v>
      </c>
      <c r="BV256" s="744" t="s">
        <v>1872</v>
      </c>
      <c r="BW256" s="617" t="s">
        <v>205</v>
      </c>
      <c r="BX256" s="617" t="s">
        <v>206</v>
      </c>
      <c r="BY256" s="617" t="s">
        <v>206</v>
      </c>
      <c r="CA256" s="659">
        <v>45986</v>
      </c>
      <c r="CB256" s="286" t="s">
        <v>218</v>
      </c>
      <c r="CC256" s="283" t="s">
        <v>1745</v>
      </c>
      <c r="CE256" s="617"/>
      <c r="CF256" s="617"/>
      <c r="CG256" s="618" t="s">
        <v>209</v>
      </c>
      <c r="CH256" s="192"/>
      <c r="CI256" s="558"/>
      <c r="CJ256" s="558"/>
      <c r="CK256" s="559" t="s">
        <v>209</v>
      </c>
      <c r="CL256" s="558"/>
      <c r="CM256" s="558"/>
      <c r="CN256" s="558"/>
      <c r="CO256" s="553"/>
      <c r="CP256" s="558"/>
      <c r="CQ256" s="558"/>
      <c r="CR256" s="559" t="s">
        <v>209</v>
      </c>
      <c r="CS256" s="553"/>
      <c r="CT256" s="558"/>
      <c r="CU256" s="558"/>
      <c r="CV256" s="559" t="s">
        <v>209</v>
      </c>
    </row>
    <row r="257" spans="1:100" ht="151.5" customHeight="1" x14ac:dyDescent="0.2">
      <c r="A257" s="622">
        <v>122</v>
      </c>
      <c r="B257" s="622" t="s">
        <v>1873</v>
      </c>
      <c r="C257" s="623" t="s">
        <v>1734</v>
      </c>
      <c r="D257" s="585" t="str">
        <f>IFERROR(INDEX('Base de datos gestión'!$D$28:$D$50,MATCH(C256,'Base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7" s="585" t="str">
        <f>IFERROR(INDEX('Base de datos gestión'!$E$28:$E$50,MATCH(C256,'Base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7" s="630" t="s">
        <v>276</v>
      </c>
      <c r="G257" s="603" t="s">
        <v>1874</v>
      </c>
      <c r="H257" s="603" t="s">
        <v>1875</v>
      </c>
      <c r="I257" s="603" t="s">
        <v>1876</v>
      </c>
      <c r="J257" s="637" t="s">
        <v>280</v>
      </c>
      <c r="K257" s="700" t="s">
        <v>1295</v>
      </c>
      <c r="L257" s="630">
        <v>5000</v>
      </c>
      <c r="M257" s="588" t="str">
        <f t="shared" si="71"/>
        <v>Alta</v>
      </c>
      <c r="N257" s="589">
        <f t="shared" si="64"/>
        <v>0.8</v>
      </c>
      <c r="O257" s="590" t="s">
        <v>281</v>
      </c>
      <c r="P257" s="589" t="str">
        <f>IF(NOT(ISERROR(MATCH(O257,'Tabla Impacto'!$B$222:$B$224,0))),'Tabla Impacto'!$F$224&amp;"Por favor no seleccionar los criterios de impacto(Afectación Económica o presupuestal y Pérdida Reputacional)",O257)</f>
        <v xml:space="preserve">     El riesgo afecta la imagen de de la entidad con efecto publicitario sostenido a nivel de sector administrativo, nivel departamental o municipal</v>
      </c>
      <c r="Q257" s="591" t="str">
        <f>IF(OR(P257='[8]Tabla Impacto'!$C$12,P257='[8]Tabla Impacto'!$D$12),"Leve",IF(OR(P257='[8]Tabla Impacto'!$C$13,P257='[8]Tabla Impacto'!$D$13),"Menor",IF(OR(P257='[8]Tabla Impacto'!$C$14,P257='[8]Tabla Impacto'!$D$14),"Moderado",IF(OR(P257='[8]Tabla Impacto'!$C$15,P257='[8]Tabla Impacto'!$D$15),"Mayor",IF(OR(P257='[8]Tabla Impacto'!$C$16,P257='[8]Tabla Impacto'!$D$16),"Catastrófico","")))))</f>
        <v>Mayor</v>
      </c>
      <c r="R257" s="590">
        <f t="shared" si="72"/>
        <v>0.8</v>
      </c>
      <c r="S257" s="592" t="str">
        <f t="shared" si="73"/>
        <v>Alto</v>
      </c>
      <c r="T257" s="595">
        <v>1</v>
      </c>
      <c r="U257" s="712" t="s">
        <v>1877</v>
      </c>
      <c r="V257" s="595" t="str">
        <f t="shared" si="70"/>
        <v>Probabilidad</v>
      </c>
      <c r="W257" s="596" t="s">
        <v>197</v>
      </c>
      <c r="X257" s="596" t="s">
        <v>198</v>
      </c>
      <c r="Y257" s="597" t="str">
        <f t="shared" si="65"/>
        <v>40%</v>
      </c>
      <c r="Z257" s="596" t="s">
        <v>199</v>
      </c>
      <c r="AA257" s="596" t="s">
        <v>225</v>
      </c>
      <c r="AB257" s="596" t="s">
        <v>201</v>
      </c>
      <c r="AC257" s="598">
        <f>IFERROR(IF(AND(V256="Probabilidad",V257="Probabilidad"),(AE256-(+AE256*Y257)),IF(AND(V256="Impacto",V257="Probabilidad"),(AE255-(+AE255*Y257)),IF(V257="Impacto",AE256,""))),"")</f>
        <v>2.5919999999999995E-2</v>
      </c>
      <c r="AD257" s="599" t="str">
        <f t="shared" si="66"/>
        <v>Muy Baja</v>
      </c>
      <c r="AE257" s="600">
        <f t="shared" si="67"/>
        <v>2.5919999999999995E-2</v>
      </c>
      <c r="AF257" s="599" t="str">
        <f t="shared" si="68"/>
        <v>Mayor</v>
      </c>
      <c r="AG257" s="600">
        <f>IFERROR(IF(AND(V256="Impacto",V257="Impacto"),(AG256-(+AG256*Y257)),IF(AND(V256="Probabilidad",V257="Impacto"),(AG255-(+AG255*Y257)),IF(V257="Probabilidad",AG256,""))),"")</f>
        <v>0.8</v>
      </c>
      <c r="AH257" s="601" t="str">
        <f t="shared" si="69"/>
        <v>Alto</v>
      </c>
      <c r="AI257" s="602" t="s">
        <v>202</v>
      </c>
      <c r="AJ257" s="603"/>
      <c r="AK257" s="603"/>
      <c r="AL257" s="604"/>
      <c r="AM257" s="741"/>
      <c r="AN257" s="606"/>
      <c r="AO257" s="607"/>
      <c r="AP257" s="608">
        <v>45769</v>
      </c>
      <c r="AQ257" s="742" t="s">
        <v>1810</v>
      </c>
      <c r="AR257" s="746" t="s">
        <v>1878</v>
      </c>
      <c r="AS257" s="698" t="s">
        <v>205</v>
      </c>
      <c r="AT257" s="612" t="s">
        <v>206</v>
      </c>
      <c r="AU257" s="612" t="s">
        <v>206</v>
      </c>
      <c r="AV257" s="700"/>
      <c r="AW257" s="614">
        <v>45782</v>
      </c>
      <c r="AX257" s="615" t="s">
        <v>207</v>
      </c>
      <c r="AY257" s="635" t="s">
        <v>578</v>
      </c>
      <c r="BA257" s="617"/>
      <c r="BB257" s="617"/>
      <c r="BC257" s="618" t="s">
        <v>209</v>
      </c>
      <c r="BE257" s="743">
        <v>45861</v>
      </c>
      <c r="BF257" s="753" t="s">
        <v>1776</v>
      </c>
      <c r="BG257" s="658" t="s">
        <v>1879</v>
      </c>
      <c r="BH257" s="449" t="s">
        <v>205</v>
      </c>
      <c r="BI257" s="617" t="s">
        <v>206</v>
      </c>
      <c r="BJ257" s="617" t="s">
        <v>206</v>
      </c>
      <c r="BL257" s="450">
        <v>45861</v>
      </c>
      <c r="BM257" s="676" t="s">
        <v>215</v>
      </c>
      <c r="BN257" s="283" t="s">
        <v>1228</v>
      </c>
      <c r="BP257" s="617"/>
      <c r="BQ257" s="617"/>
      <c r="BR257" s="618" t="s">
        <v>209</v>
      </c>
      <c r="BT257" s="668">
        <v>45952</v>
      </c>
      <c r="BU257" s="658" t="s">
        <v>1823</v>
      </c>
      <c r="BV257" s="744" t="s">
        <v>1880</v>
      </c>
      <c r="BW257" s="617" t="s">
        <v>205</v>
      </c>
      <c r="BX257" s="617" t="s">
        <v>206</v>
      </c>
      <c r="BY257" s="617" t="s">
        <v>206</v>
      </c>
      <c r="CA257" s="659">
        <v>45986</v>
      </c>
      <c r="CB257" s="286" t="s">
        <v>218</v>
      </c>
      <c r="CC257" s="283" t="s">
        <v>1745</v>
      </c>
      <c r="CE257" s="617"/>
      <c r="CF257" s="617"/>
      <c r="CG257" s="618" t="s">
        <v>209</v>
      </c>
      <c r="CH257" s="192"/>
      <c r="CI257" s="558"/>
      <c r="CJ257" s="558"/>
      <c r="CK257" s="559" t="s">
        <v>209</v>
      </c>
      <c r="CL257" s="558"/>
      <c r="CM257" s="558"/>
      <c r="CN257" s="558"/>
      <c r="CO257" s="553"/>
      <c r="CP257" s="558"/>
      <c r="CQ257" s="558"/>
      <c r="CR257" s="559" t="s">
        <v>209</v>
      </c>
      <c r="CS257" s="553"/>
      <c r="CT257" s="558"/>
      <c r="CU257" s="558"/>
      <c r="CV257" s="559" t="s">
        <v>209</v>
      </c>
    </row>
    <row r="258" spans="1:100" ht="151.5" customHeight="1" x14ac:dyDescent="0.2">
      <c r="A258" s="632">
        <v>122</v>
      </c>
      <c r="B258" s="632" t="s">
        <v>1873</v>
      </c>
      <c r="C258" s="633" t="s">
        <v>1734</v>
      </c>
      <c r="D258" s="585" t="str">
        <f>IFERROR(INDEX('Base de datos gestión'!$D$28:$D$50,MATCH(C257,'Base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8" s="585" t="str">
        <f>IFERROR(INDEX('Base de datos gestión'!$E$28:$E$50,MATCH(C257,'Base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8" s="630" t="s">
        <v>276</v>
      </c>
      <c r="G258" s="603" t="s">
        <v>1874</v>
      </c>
      <c r="H258" s="603" t="s">
        <v>1875</v>
      </c>
      <c r="I258" s="603" t="s">
        <v>1876</v>
      </c>
      <c r="J258" s="637" t="s">
        <v>280</v>
      </c>
      <c r="K258" s="700" t="s">
        <v>1295</v>
      </c>
      <c r="L258" s="630">
        <v>5000</v>
      </c>
      <c r="M258" s="588" t="str">
        <f t="shared" si="71"/>
        <v>Alta</v>
      </c>
      <c r="N258" s="589">
        <f t="shared" si="64"/>
        <v>0.8</v>
      </c>
      <c r="O258" s="590" t="s">
        <v>281</v>
      </c>
      <c r="P258" s="589" t="str">
        <f>IF(NOT(ISERROR(MATCH(O258,'Tabla Impacto'!$B$222:$B$224,0))),'Tabla Impacto'!$F$224&amp;"Por favor no seleccionar los criterios de impacto(Afectación Económica o presupuestal y Pérdida Reputacional)",O258)</f>
        <v xml:space="preserve">     El riesgo afecta la imagen de de la entidad con efecto publicitario sostenido a nivel de sector administrativo, nivel departamental o municipal</v>
      </c>
      <c r="Q258" s="591" t="str">
        <f>IF(OR(P258='[8]Tabla Impacto'!$C$12,P258='[8]Tabla Impacto'!$D$12),"Leve",IF(OR(P258='[8]Tabla Impacto'!$C$13,P258='[8]Tabla Impacto'!$D$13),"Menor",IF(OR(P258='[8]Tabla Impacto'!$C$14,P258='[8]Tabla Impacto'!$D$14),"Moderado",IF(OR(P258='[8]Tabla Impacto'!$C$15,P258='[8]Tabla Impacto'!$D$15),"Mayor",IF(OR(P258='[8]Tabla Impacto'!$C$16,P258='[8]Tabla Impacto'!$D$16),"Catastrófico","")))))</f>
        <v>Mayor</v>
      </c>
      <c r="R258" s="590">
        <f t="shared" si="72"/>
        <v>0.8</v>
      </c>
      <c r="S258" s="592" t="str">
        <f t="shared" si="73"/>
        <v>Alto</v>
      </c>
      <c r="T258" s="595">
        <v>2</v>
      </c>
      <c r="U258" s="712" t="s">
        <v>1881</v>
      </c>
      <c r="V258" s="595" t="str">
        <f t="shared" si="70"/>
        <v>Probabilidad</v>
      </c>
      <c r="W258" s="596" t="s">
        <v>197</v>
      </c>
      <c r="X258" s="596" t="s">
        <v>198</v>
      </c>
      <c r="Y258" s="597" t="str">
        <f t="shared" si="65"/>
        <v>40%</v>
      </c>
      <c r="Z258" s="596" t="s">
        <v>199</v>
      </c>
      <c r="AA258" s="596" t="s">
        <v>225</v>
      </c>
      <c r="AB258" s="596" t="s">
        <v>201</v>
      </c>
      <c r="AC258" s="598">
        <f>IFERROR(IF(AND(V257="Probabilidad",V258="Probabilidad"),(AE257-(+AE257*Y258)),IF(AND(V257="Impacto",V258="Probabilidad"),(AE256-(+AE256*Y258)),IF(V258="Impacto",AE257,""))),"")</f>
        <v>1.5551999999999996E-2</v>
      </c>
      <c r="AD258" s="599" t="str">
        <f t="shared" si="66"/>
        <v>Muy Baja</v>
      </c>
      <c r="AE258" s="600">
        <f t="shared" si="67"/>
        <v>1.5551999999999996E-2</v>
      </c>
      <c r="AF258" s="599" t="str">
        <f t="shared" si="68"/>
        <v>Mayor</v>
      </c>
      <c r="AG258" s="600">
        <f>IFERROR(IF(AND(V257="Impacto",V258="Impacto"),(AG257-(+AG257*Y258)),IF(AND(V257="Probabilidad",V258="Impacto"),(AG256-(+AG256*Y258)),IF(V258="Probabilidad",AG257,""))),"")</f>
        <v>0.8</v>
      </c>
      <c r="AH258" s="601" t="str">
        <f t="shared" si="69"/>
        <v>Alto</v>
      </c>
      <c r="AI258" s="602" t="s">
        <v>202</v>
      </c>
      <c r="AJ258" s="603"/>
      <c r="AK258" s="603"/>
      <c r="AL258" s="604"/>
      <c r="AM258" s="741"/>
      <c r="AN258" s="606"/>
      <c r="AO258" s="607"/>
      <c r="AP258" s="608">
        <v>45769</v>
      </c>
      <c r="AQ258" s="756" t="s">
        <v>1810</v>
      </c>
      <c r="AR258" s="746" t="s">
        <v>1882</v>
      </c>
      <c r="AS258" s="698" t="s">
        <v>205</v>
      </c>
      <c r="AT258" s="612" t="s">
        <v>206</v>
      </c>
      <c r="AU258" s="612" t="s">
        <v>206</v>
      </c>
      <c r="AV258" s="700"/>
      <c r="AW258" s="614">
        <v>45782</v>
      </c>
      <c r="AX258" s="615" t="s">
        <v>207</v>
      </c>
      <c r="AY258" s="635" t="s">
        <v>578</v>
      </c>
      <c r="BA258" s="617"/>
      <c r="BB258" s="617"/>
      <c r="BC258" s="618" t="s">
        <v>209</v>
      </c>
      <c r="BE258" s="743">
        <v>45861</v>
      </c>
      <c r="BF258" s="753" t="s">
        <v>1776</v>
      </c>
      <c r="BG258" s="658" t="s">
        <v>1879</v>
      </c>
      <c r="BH258" s="449" t="s">
        <v>205</v>
      </c>
      <c r="BI258" s="617" t="s">
        <v>206</v>
      </c>
      <c r="BJ258" s="617" t="s">
        <v>206</v>
      </c>
      <c r="BL258" s="450">
        <v>45861</v>
      </c>
      <c r="BM258" s="676" t="s">
        <v>215</v>
      </c>
      <c r="BN258" s="283" t="s">
        <v>1228</v>
      </c>
      <c r="BP258" s="617"/>
      <c r="BQ258" s="617"/>
      <c r="BR258" s="618" t="s">
        <v>209</v>
      </c>
      <c r="BT258" s="668">
        <v>45952</v>
      </c>
      <c r="BU258" s="658" t="s">
        <v>1823</v>
      </c>
      <c r="BV258" s="744" t="s">
        <v>1883</v>
      </c>
      <c r="BW258" s="617" t="s">
        <v>205</v>
      </c>
      <c r="BX258" s="617" t="s">
        <v>206</v>
      </c>
      <c r="BY258" s="617" t="s">
        <v>206</v>
      </c>
      <c r="CA258" s="659">
        <v>45986</v>
      </c>
      <c r="CB258" s="286" t="s">
        <v>218</v>
      </c>
      <c r="CC258" s="283" t="s">
        <v>1745</v>
      </c>
      <c r="CE258" s="617"/>
      <c r="CF258" s="617"/>
      <c r="CG258" s="618" t="s">
        <v>209</v>
      </c>
      <c r="CH258" s="192"/>
      <c r="CI258" s="558"/>
      <c r="CJ258" s="558"/>
      <c r="CK258" s="559" t="s">
        <v>209</v>
      </c>
      <c r="CL258" s="558"/>
      <c r="CM258" s="558"/>
      <c r="CN258" s="558"/>
      <c r="CO258" s="553"/>
      <c r="CP258" s="558"/>
      <c r="CQ258" s="558"/>
      <c r="CR258" s="559" t="s">
        <v>209</v>
      </c>
      <c r="CS258" s="553"/>
      <c r="CT258" s="558"/>
      <c r="CU258" s="558"/>
      <c r="CV258" s="559" t="s">
        <v>209</v>
      </c>
    </row>
    <row r="259" spans="1:100" ht="151.5" customHeight="1" x14ac:dyDescent="0.2">
      <c r="A259" s="584">
        <v>123</v>
      </c>
      <c r="B259" s="584" t="s">
        <v>1884</v>
      </c>
      <c r="C259" s="585" t="s">
        <v>1734</v>
      </c>
      <c r="D259" s="585" t="str">
        <f>IFERROR(INDEX('Base de datos gestión'!$D$28:$D$50,MATCH(C258,'Base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59" s="585" t="str">
        <f>IFERROR(INDEX('Base de datos gestión'!$E$28:$E$50,MATCH(C258,'Base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59" s="630" t="s">
        <v>276</v>
      </c>
      <c r="G259" s="603" t="s">
        <v>1885</v>
      </c>
      <c r="H259" s="603" t="s">
        <v>1886</v>
      </c>
      <c r="I259" s="603" t="s">
        <v>1887</v>
      </c>
      <c r="J259" s="637" t="s">
        <v>1137</v>
      </c>
      <c r="K259" s="700" t="s">
        <v>1138</v>
      </c>
      <c r="L259" s="630">
        <v>5000</v>
      </c>
      <c r="M259" s="588" t="str">
        <f t="shared" si="71"/>
        <v>Alta</v>
      </c>
      <c r="N259" s="589">
        <f t="shared" si="64"/>
        <v>0.8</v>
      </c>
      <c r="O259" s="590" t="s">
        <v>248</v>
      </c>
      <c r="P259" s="589" t="str">
        <f>IF(NOT(ISERROR(MATCH(O259,'Tabla Impacto'!$B$222:$B$224,0))),'Tabla Impacto'!$F$224&amp;"Por favor no seleccionar los criterios de impacto(Afectación Económica o presupuestal y Pérdida Reputacional)",O259)</f>
        <v xml:space="preserve">     El riesgo afecta la imagen de la entidad con algunos usuarios de relevancia frente al logro de los objetivos</v>
      </c>
      <c r="Q259" s="591" t="str">
        <f>IF(OR(P259='[8]Tabla Impacto'!$C$12,P259='[8]Tabla Impacto'!$D$12),"Leve",IF(OR(P259='[8]Tabla Impacto'!$C$13,P259='[8]Tabla Impacto'!$D$13),"Menor",IF(OR(P259='[8]Tabla Impacto'!$C$14,P259='[8]Tabla Impacto'!$D$14),"Moderado",IF(OR(P259='[8]Tabla Impacto'!$C$15,P259='[8]Tabla Impacto'!$D$15),"Mayor",IF(OR(P259='[8]Tabla Impacto'!$C$16,P259='[8]Tabla Impacto'!$D$16),"Catastrófico","")))))</f>
        <v>Moderado</v>
      </c>
      <c r="R259" s="590">
        <f t="shared" si="72"/>
        <v>0.6</v>
      </c>
      <c r="S259" s="592" t="str">
        <f t="shared" si="73"/>
        <v>Alto</v>
      </c>
      <c r="T259" s="595">
        <v>1</v>
      </c>
      <c r="U259" s="712" t="s">
        <v>1888</v>
      </c>
      <c r="V259" s="595" t="str">
        <f t="shared" si="70"/>
        <v>Probabilidad</v>
      </c>
      <c r="W259" s="596" t="s">
        <v>269</v>
      </c>
      <c r="X259" s="596" t="s">
        <v>198</v>
      </c>
      <c r="Y259" s="597" t="str">
        <f t="shared" si="65"/>
        <v>30%</v>
      </c>
      <c r="Z259" s="596" t="s">
        <v>259</v>
      </c>
      <c r="AA259" s="596" t="s">
        <v>225</v>
      </c>
      <c r="AB259" s="596" t="s">
        <v>201</v>
      </c>
      <c r="AC259" s="598">
        <f>IFERROR(IF(V259="Probabilidad",(N259-(+N259*Y259)),IF(V259="Impacto",N259,"")),"")</f>
        <v>0.56000000000000005</v>
      </c>
      <c r="AD259" s="599" t="str">
        <f t="shared" si="66"/>
        <v>Media</v>
      </c>
      <c r="AE259" s="600">
        <f t="shared" si="67"/>
        <v>0.56000000000000005</v>
      </c>
      <c r="AF259" s="599" t="str">
        <f t="shared" si="68"/>
        <v>Moderado</v>
      </c>
      <c r="AG259" s="600">
        <f>IFERROR(IF(V259="Impacto",(R259-(+R259*Y259)),IF(V259="Probabilidad",R259,"")),"")</f>
        <v>0.6</v>
      </c>
      <c r="AH259" s="601" t="str">
        <f t="shared" si="69"/>
        <v>Moderado</v>
      </c>
      <c r="AI259" s="602" t="s">
        <v>202</v>
      </c>
      <c r="AJ259" s="603"/>
      <c r="AK259" s="603"/>
      <c r="AL259" s="604"/>
      <c r="AM259" s="741"/>
      <c r="AN259" s="606"/>
      <c r="AO259" s="607"/>
      <c r="AP259" s="608">
        <v>45769</v>
      </c>
      <c r="AQ259" s="742" t="s">
        <v>1889</v>
      </c>
      <c r="AR259" s="746" t="s">
        <v>1890</v>
      </c>
      <c r="AS259" s="698" t="s">
        <v>205</v>
      </c>
      <c r="AT259" s="612" t="s">
        <v>206</v>
      </c>
      <c r="AU259" s="612" t="s">
        <v>206</v>
      </c>
      <c r="AV259" s="700"/>
      <c r="AW259" s="614">
        <v>45782</v>
      </c>
      <c r="AX259" s="615" t="s">
        <v>207</v>
      </c>
      <c r="AY259" s="635" t="s">
        <v>578</v>
      </c>
      <c r="BA259" s="617"/>
      <c r="BB259" s="617"/>
      <c r="BC259" s="618" t="s">
        <v>209</v>
      </c>
      <c r="BE259" s="743">
        <v>45861</v>
      </c>
      <c r="BF259" s="753" t="s">
        <v>1776</v>
      </c>
      <c r="BG259" s="658" t="s">
        <v>1891</v>
      </c>
      <c r="BH259" s="449" t="s">
        <v>205</v>
      </c>
      <c r="BI259" s="617" t="s">
        <v>206</v>
      </c>
      <c r="BJ259" s="617" t="s">
        <v>206</v>
      </c>
      <c r="BL259" s="450">
        <v>45861</v>
      </c>
      <c r="BM259" s="676" t="s">
        <v>215</v>
      </c>
      <c r="BN259" s="283" t="s">
        <v>1228</v>
      </c>
      <c r="BP259" s="617"/>
      <c r="BQ259" s="617"/>
      <c r="BR259" s="618" t="s">
        <v>209</v>
      </c>
      <c r="BT259" s="668">
        <v>45952</v>
      </c>
      <c r="BU259" s="658" t="s">
        <v>1823</v>
      </c>
      <c r="BV259" s="744" t="s">
        <v>1892</v>
      </c>
      <c r="BW259" s="617" t="s">
        <v>205</v>
      </c>
      <c r="BX259" s="617" t="s">
        <v>206</v>
      </c>
      <c r="BY259" s="617" t="s">
        <v>206</v>
      </c>
      <c r="CA259" s="659">
        <v>45986</v>
      </c>
      <c r="CB259" s="286" t="s">
        <v>218</v>
      </c>
      <c r="CC259" s="283" t="s">
        <v>1745</v>
      </c>
      <c r="CE259" s="617"/>
      <c r="CF259" s="617"/>
      <c r="CG259" s="618" t="s">
        <v>209</v>
      </c>
      <c r="CH259" s="192"/>
      <c r="CI259" s="558"/>
      <c r="CJ259" s="558"/>
      <c r="CK259" s="559" t="s">
        <v>209</v>
      </c>
      <c r="CL259" s="558"/>
      <c r="CM259" s="558"/>
      <c r="CN259" s="558"/>
      <c r="CO259" s="553"/>
      <c r="CP259" s="558"/>
      <c r="CQ259" s="558"/>
      <c r="CR259" s="559" t="s">
        <v>209</v>
      </c>
      <c r="CS259" s="553"/>
      <c r="CT259" s="558"/>
      <c r="CU259" s="558"/>
      <c r="CV259" s="559" t="s">
        <v>209</v>
      </c>
    </row>
    <row r="260" spans="1:100" ht="151.5" customHeight="1" x14ac:dyDescent="0.2">
      <c r="A260" s="622">
        <v>124</v>
      </c>
      <c r="B260" s="622" t="s">
        <v>1893</v>
      </c>
      <c r="C260" s="623" t="s">
        <v>1734</v>
      </c>
      <c r="D260" s="585" t="str">
        <f>IFERROR(INDEX('Base de datos gestión'!$D$28:$D$50,MATCH(C259,'Base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E260" s="585" t="str">
        <f>IFERROR(INDEX('Base de datos gestión'!$E$28:$E$50,MATCH(C259,'Base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F260" s="630" t="s">
        <v>276</v>
      </c>
      <c r="G260" s="603" t="s">
        <v>1894</v>
      </c>
      <c r="H260" s="603" t="s">
        <v>1895</v>
      </c>
      <c r="I260" s="603" t="s">
        <v>1896</v>
      </c>
      <c r="J260" s="637" t="s">
        <v>192</v>
      </c>
      <c r="K260" s="700" t="s">
        <v>420</v>
      </c>
      <c r="L260" s="630">
        <v>100</v>
      </c>
      <c r="M260" s="588" t="str">
        <f t="shared" si="71"/>
        <v>Media</v>
      </c>
      <c r="N260" s="589">
        <f t="shared" si="64"/>
        <v>0.6</v>
      </c>
      <c r="O260" s="590" t="s">
        <v>281</v>
      </c>
      <c r="P260" s="589" t="str">
        <f>IF(NOT(ISERROR(MATCH(O260,'Tabla Impacto'!$B$222:$B$224,0))),'Tabla Impacto'!$F$224&amp;"Por favor no seleccionar los criterios de impacto(Afectación Económica o presupuestal y Pérdida Reputacional)",O260)</f>
        <v xml:space="preserve">     El riesgo afecta la imagen de de la entidad con efecto publicitario sostenido a nivel de sector administrativo, nivel departamental o municipal</v>
      </c>
      <c r="Q260" s="591" t="str">
        <f>IF(OR(P260='[8]Tabla Impacto'!$C$12,P260='[8]Tabla Impacto'!$D$12),"Leve",IF(OR(P260='[8]Tabla Impacto'!$C$13,P260='[8]Tabla Impacto'!$D$13),"Menor",IF(OR(P260='[8]Tabla Impacto'!$C$14,P260='[8]Tabla Impacto'!$D$14),"Moderado",IF(OR(P260='[8]Tabla Impacto'!$C$15,P260='[8]Tabla Impacto'!$D$15),"Mayor",IF(OR(P260='[8]Tabla Impacto'!$C$16,P260='[8]Tabla Impacto'!$D$16),"Catastrófico","")))))</f>
        <v>Mayor</v>
      </c>
      <c r="R260" s="590">
        <f t="shared" si="72"/>
        <v>0.8</v>
      </c>
      <c r="S260" s="592" t="str">
        <f t="shared" si="73"/>
        <v>Alto</v>
      </c>
      <c r="T260" s="595">
        <v>1</v>
      </c>
      <c r="U260" s="712" t="s">
        <v>1897</v>
      </c>
      <c r="V260" s="595" t="str">
        <f t="shared" si="70"/>
        <v>Probabilidad</v>
      </c>
      <c r="W260" s="596" t="s">
        <v>197</v>
      </c>
      <c r="X260" s="596" t="s">
        <v>198</v>
      </c>
      <c r="Y260" s="597" t="str">
        <f t="shared" si="65"/>
        <v>40%</v>
      </c>
      <c r="Z260" s="596" t="s">
        <v>259</v>
      </c>
      <c r="AA260" s="596" t="s">
        <v>200</v>
      </c>
      <c r="AB260" s="596" t="s">
        <v>201</v>
      </c>
      <c r="AC260" s="598">
        <f>IFERROR(IF(AND(V259="Probabilidad",V260="Probabilidad"),(AE259-(+AE259*Y260)),IF(V260="Probabilidad",(N259-(+N259*Y260)),IF(V260="Impacto",AE259,""))),"")</f>
        <v>0.33600000000000002</v>
      </c>
      <c r="AD260" s="599" t="str">
        <f t="shared" si="66"/>
        <v>Baja</v>
      </c>
      <c r="AE260" s="600">
        <f t="shared" si="67"/>
        <v>0.33600000000000002</v>
      </c>
      <c r="AF260" s="599" t="str">
        <f t="shared" si="68"/>
        <v>Catastrófico</v>
      </c>
      <c r="AG260" s="600">
        <f>IFERROR(IF(AND(V259="Impacto",V260="Impacto"),(AG253-(+AG253*Y260)),IF(V260="Impacto",($R$55-(+$R$55*Y260)),IF(V260="Probabilidad",AG253,""))),"")</f>
        <v>1</v>
      </c>
      <c r="AH260" s="601" t="str">
        <f t="shared" si="69"/>
        <v>Extremo</v>
      </c>
      <c r="AI260" s="602" t="s">
        <v>202</v>
      </c>
      <c r="AJ260" s="603"/>
      <c r="AK260" s="603"/>
      <c r="AL260" s="604"/>
      <c r="AM260" s="741"/>
      <c r="AN260" s="606"/>
      <c r="AO260" s="607"/>
      <c r="AP260" s="608">
        <v>45769</v>
      </c>
      <c r="AQ260" s="745" t="s">
        <v>1898</v>
      </c>
      <c r="AR260" s="746" t="s">
        <v>1859</v>
      </c>
      <c r="AS260" s="698" t="s">
        <v>205</v>
      </c>
      <c r="AT260" s="612" t="s">
        <v>206</v>
      </c>
      <c r="AU260" s="612" t="s">
        <v>206</v>
      </c>
      <c r="AV260" s="700"/>
      <c r="AW260" s="614">
        <v>45782</v>
      </c>
      <c r="AX260" s="615" t="s">
        <v>207</v>
      </c>
      <c r="AY260" s="635" t="s">
        <v>578</v>
      </c>
      <c r="BA260" s="617"/>
      <c r="BB260" s="617"/>
      <c r="BC260" s="618" t="s">
        <v>209</v>
      </c>
      <c r="BE260" s="743">
        <v>45861</v>
      </c>
      <c r="BF260" s="753" t="s">
        <v>1776</v>
      </c>
      <c r="BG260" s="283" t="s">
        <v>1899</v>
      </c>
      <c r="BH260" s="449" t="s">
        <v>205</v>
      </c>
      <c r="BI260" s="617" t="s">
        <v>206</v>
      </c>
      <c r="BJ260" s="617" t="s">
        <v>206</v>
      </c>
      <c r="BL260" s="450">
        <v>45861</v>
      </c>
      <c r="BM260" s="676" t="s">
        <v>215</v>
      </c>
      <c r="BN260" s="283" t="s">
        <v>1228</v>
      </c>
      <c r="BP260" s="617"/>
      <c r="BQ260" s="617"/>
      <c r="BR260" s="618" t="s">
        <v>209</v>
      </c>
      <c r="BT260" s="668">
        <v>45952</v>
      </c>
      <c r="BU260" s="658" t="s">
        <v>1823</v>
      </c>
      <c r="BV260" s="744" t="s">
        <v>1900</v>
      </c>
      <c r="BW260" s="617" t="s">
        <v>205</v>
      </c>
      <c r="BX260" s="617" t="s">
        <v>206</v>
      </c>
      <c r="BY260" s="617" t="s">
        <v>206</v>
      </c>
      <c r="CA260" s="659">
        <v>45986</v>
      </c>
      <c r="CB260" s="286" t="s">
        <v>218</v>
      </c>
      <c r="CC260" s="283" t="s">
        <v>1745</v>
      </c>
      <c r="CE260" s="617"/>
      <c r="CF260" s="617"/>
      <c r="CG260" s="618" t="s">
        <v>209</v>
      </c>
      <c r="CH260" s="192"/>
      <c r="CI260" s="558"/>
      <c r="CJ260" s="558"/>
      <c r="CK260" s="559" t="s">
        <v>209</v>
      </c>
      <c r="CL260" s="558"/>
      <c r="CM260" s="558"/>
      <c r="CN260" s="558"/>
      <c r="CO260" s="553"/>
      <c r="CP260" s="558"/>
      <c r="CQ260" s="558"/>
      <c r="CR260" s="559" t="s">
        <v>209</v>
      </c>
      <c r="CS260" s="553"/>
      <c r="CT260" s="558"/>
      <c r="CU260" s="558"/>
      <c r="CV260" s="559" t="s">
        <v>209</v>
      </c>
    </row>
  </sheetData>
  <sheetProtection sheet="1" objects="1" scenarios="1" formatColumns="0" insertHyperlinks="0" autoFilter="0"/>
  <protectedRanges>
    <protectedRange sqref="CI1:CV260" name="ÚLTIMO TRIMESTRE"/>
  </protectedRanges>
  <autoFilter ref="A3:CW260" xr:uid="{00000000-0001-0000-0100-000000000000}"/>
  <mergeCells count="32">
    <mergeCell ref="AJ1:AN1"/>
    <mergeCell ref="A1:L1"/>
    <mergeCell ref="W2:AB2"/>
    <mergeCell ref="AC2:AC3"/>
    <mergeCell ref="M1:S1"/>
    <mergeCell ref="T1:AB1"/>
    <mergeCell ref="AC1:AI1"/>
    <mergeCell ref="BA2:BC2"/>
    <mergeCell ref="AW1:AY1"/>
    <mergeCell ref="BL1:BN1"/>
    <mergeCell ref="BP1:BR1"/>
    <mergeCell ref="CA1:CC1"/>
    <mergeCell ref="BE1:BJ1"/>
    <mergeCell ref="CP1:CR1"/>
    <mergeCell ref="CT1:CV1"/>
    <mergeCell ref="AP1:AU1"/>
    <mergeCell ref="BT1:BY1"/>
    <mergeCell ref="CI1:CN1"/>
    <mergeCell ref="CE1:CG1"/>
    <mergeCell ref="BA1:BC1"/>
    <mergeCell ref="AN196:AN197"/>
    <mergeCell ref="AN202:AN203"/>
    <mergeCell ref="AJ9:AJ14"/>
    <mergeCell ref="AK9:AK14"/>
    <mergeCell ref="AL9:AL14"/>
    <mergeCell ref="AM9:AM14"/>
    <mergeCell ref="AN9:AN14"/>
    <mergeCell ref="AJ18:AJ21"/>
    <mergeCell ref="AK18:AK21"/>
    <mergeCell ref="AL18:AL21"/>
    <mergeCell ref="AM18:AM21"/>
    <mergeCell ref="AN18:AN21"/>
  </mergeCells>
  <phoneticPr fontId="114" type="noConversion"/>
  <conditionalFormatting sqref="M4:M260 AD4:AD260">
    <cfRule type="cellIs" dxfId="263" priority="2365" operator="equal">
      <formula>"Baja"</formula>
    </cfRule>
    <cfRule type="cellIs" dxfId="262" priority="2364" operator="equal">
      <formula>"Media"</formula>
    </cfRule>
    <cfRule type="cellIs" dxfId="261" priority="2363" operator="equal">
      <formula>"Alta"</formula>
    </cfRule>
    <cfRule type="cellIs" dxfId="260" priority="2362" operator="equal">
      <formula>"Muy Alta"</formula>
    </cfRule>
    <cfRule type="cellIs" dxfId="259" priority="2366" operator="equal">
      <formula>"Muy Baja"</formula>
    </cfRule>
  </conditionalFormatting>
  <conditionalFormatting sqref="P4:P260">
    <cfRule type="containsText" dxfId="258" priority="250" operator="containsText" text="❌">
      <formula>NOT(ISERROR(SEARCH(("❌"),(P4))))</formula>
    </cfRule>
  </conditionalFormatting>
  <conditionalFormatting sqref="Q4:Q260">
    <cfRule type="cellIs" dxfId="257" priority="171" operator="equal">
      <formula>"Leve"</formula>
    </cfRule>
    <cfRule type="cellIs" dxfId="256" priority="170" operator="equal">
      <formula>"Menor"</formula>
    </cfRule>
    <cfRule type="cellIs" dxfId="255" priority="169" operator="equal">
      <formula>"Moderado"</formula>
    </cfRule>
    <cfRule type="cellIs" dxfId="254" priority="168" operator="equal">
      <formula>"Mayor"</formula>
    </cfRule>
    <cfRule type="cellIs" dxfId="253" priority="167" operator="equal">
      <formula>"Catastrófico"</formula>
    </cfRule>
  </conditionalFormatting>
  <conditionalFormatting sqref="S4:S260">
    <cfRule type="cellIs" dxfId="252" priority="175" operator="equal">
      <formula>"Bajo"</formula>
    </cfRule>
    <cfRule type="cellIs" dxfId="251" priority="174" operator="equal">
      <formula>"Moderado"</formula>
    </cfRule>
    <cfRule type="cellIs" dxfId="250" priority="173" operator="equal">
      <formula>"Alto"</formula>
    </cfRule>
    <cfRule type="cellIs" dxfId="249" priority="172" operator="equal">
      <formula>"Extremo"</formula>
    </cfRule>
  </conditionalFormatting>
  <conditionalFormatting sqref="T16:T21">
    <cfRule type="cellIs" dxfId="248" priority="180" operator="equal">
      <formula>"Muy Baja"</formula>
    </cfRule>
    <cfRule type="cellIs" dxfId="247" priority="179" operator="equal">
      <formula>"Baja"</formula>
    </cfRule>
    <cfRule type="cellIs" dxfId="246" priority="178" operator="equal">
      <formula>"Media"</formula>
    </cfRule>
    <cfRule type="cellIs" dxfId="245" priority="177" operator="equal">
      <formula>"Alta"</formula>
    </cfRule>
    <cfRule type="cellIs" dxfId="244" priority="176" operator="equal">
      <formula>"Muy Alta"</formula>
    </cfRule>
  </conditionalFormatting>
  <conditionalFormatting sqref="AF4:AF260">
    <cfRule type="cellIs" dxfId="243" priority="879" operator="equal">
      <formula>"Leve"</formula>
    </cfRule>
    <cfRule type="cellIs" dxfId="242" priority="878" operator="equal">
      <formula>"Menor"</formula>
    </cfRule>
    <cfRule type="cellIs" dxfId="241" priority="877" operator="equal">
      <formula>"Moderado"</formula>
    </cfRule>
    <cfRule type="cellIs" dxfId="240" priority="876" operator="equal">
      <formula>"Mayor"</formula>
    </cfRule>
    <cfRule type="cellIs" dxfId="239" priority="875" operator="equal">
      <formula>"Catastrófico"</formula>
    </cfRule>
  </conditionalFormatting>
  <conditionalFormatting sqref="AH4:AH260">
    <cfRule type="cellIs" dxfId="238" priority="888" operator="equal">
      <formula>"Bajo"</formula>
    </cfRule>
    <cfRule type="cellIs" dxfId="237" priority="887" operator="equal">
      <formula>"Moderado"</formula>
    </cfRule>
    <cfRule type="cellIs" dxfId="236" priority="886" operator="equal">
      <formula>"Alto"</formula>
    </cfRule>
    <cfRule type="cellIs" dxfId="235" priority="885" operator="equal">
      <formula>"Extremo"</formula>
    </cfRule>
  </conditionalFormatting>
  <conditionalFormatting sqref="AS4:AS33 AS35:AS1048576">
    <cfRule type="containsText" dxfId="234" priority="165" operator="containsText" text="NO">
      <formula>NOT(ISERROR(SEARCH("NO",AS4)))</formula>
    </cfRule>
    <cfRule type="containsText" dxfId="233" priority="166" operator="containsText" text="SI">
      <formula>NOT(ISERROR(SEARCH("SI",AS4)))</formula>
    </cfRule>
  </conditionalFormatting>
  <conditionalFormatting sqref="BH4:BH28">
    <cfRule type="containsText" dxfId="232" priority="80" operator="containsText" text="SI">
      <formula>NOT(ISERROR(SEARCH("SI",BH4)))</formula>
    </cfRule>
    <cfRule type="containsText" dxfId="231" priority="79" operator="containsText" text="NO">
      <formula>NOT(ISERROR(SEARCH("NO",BH4)))</formula>
    </cfRule>
  </conditionalFormatting>
  <conditionalFormatting sqref="BH102:BH113">
    <cfRule type="containsText" dxfId="230" priority="162" operator="containsText" text="SI">
      <formula>NOT(ISERROR(SEARCH("SI",BH102)))</formula>
    </cfRule>
    <cfRule type="containsText" dxfId="229" priority="161" operator="containsText" text="NO">
      <formula>NOT(ISERROR(SEARCH("NO",BH102)))</formula>
    </cfRule>
  </conditionalFormatting>
  <conditionalFormatting sqref="BH134:BH157">
    <cfRule type="containsText" dxfId="228" priority="132" operator="containsText" text="SI">
      <formula>NOT(ISERROR(SEARCH("SI",BH134)))</formula>
    </cfRule>
    <cfRule type="containsText" dxfId="227" priority="131" operator="containsText" text="NO">
      <formula>NOT(ISERROR(SEARCH("NO",BH134)))</formula>
    </cfRule>
  </conditionalFormatting>
  <conditionalFormatting sqref="BH163:BH180">
    <cfRule type="containsText" dxfId="226" priority="78" operator="containsText" text="SI">
      <formula>NOT(ISERROR(SEARCH("SI",BH163)))</formula>
    </cfRule>
    <cfRule type="containsText" dxfId="225" priority="77" operator="containsText" text="NO">
      <formula>NOT(ISERROR(SEARCH("NO",BH163)))</formula>
    </cfRule>
  </conditionalFormatting>
  <conditionalFormatting sqref="BH188:BH191">
    <cfRule type="containsText" dxfId="224" priority="96" operator="containsText" text="SI">
      <formula>NOT(ISERROR(SEARCH("SI",BH188)))</formula>
    </cfRule>
    <cfRule type="containsText" dxfId="223" priority="95" operator="containsText" text="NO">
      <formula>NOT(ISERROR(SEARCH("NO",BH188)))</formula>
    </cfRule>
  </conditionalFormatting>
  <conditionalFormatting sqref="BH199:BH201">
    <cfRule type="containsText" dxfId="222" priority="81" operator="containsText" text="NO">
      <formula>NOT(ISERROR(SEARCH("NO",BH199)))</formula>
    </cfRule>
    <cfRule type="containsText" dxfId="221" priority="82" operator="containsText" text="SI">
      <formula>NOT(ISERROR(SEARCH("SI",BH199)))</formula>
    </cfRule>
  </conditionalFormatting>
  <conditionalFormatting sqref="BH209:BH235">
    <cfRule type="containsText" dxfId="220" priority="76" operator="containsText" text="SI">
      <formula>NOT(ISERROR(SEARCH("SI",BH209)))</formula>
    </cfRule>
    <cfRule type="containsText" dxfId="219" priority="75" operator="containsText" text="NO">
      <formula>NOT(ISERROR(SEARCH("NO",BH209)))</formula>
    </cfRule>
  </conditionalFormatting>
  <conditionalFormatting sqref="BH181:BJ187">
    <cfRule type="containsText" dxfId="218" priority="104" operator="containsText" text="SI">
      <formula>NOT(ISERROR(SEARCH("SI",BH181)))</formula>
    </cfRule>
    <cfRule type="containsText" dxfId="217" priority="103" operator="containsText" text="NO">
      <formula>NOT(ISERROR(SEARCH("NO",BH181)))</formula>
    </cfRule>
  </conditionalFormatting>
  <conditionalFormatting sqref="BI28:BJ28">
    <cfRule type="containsText" dxfId="216" priority="49" operator="containsText" text="NO">
      <formula>NOT(ISERROR(SEARCH("NO",BI28)))</formula>
    </cfRule>
    <cfRule type="containsText" dxfId="215" priority="50" operator="containsText" text="SI">
      <formula>NOT(ISERROR(SEARCH("SI",BI28)))</formula>
    </cfRule>
  </conditionalFormatting>
  <conditionalFormatting sqref="BW4:BW21">
    <cfRule type="containsText" dxfId="214" priority="14" operator="containsText" text="SI">
      <formula>NOT(ISERROR(SEARCH("SI",BW4)))</formula>
    </cfRule>
    <cfRule type="containsText" dxfId="213" priority="13" operator="containsText" text="NO">
      <formula>NOT(ISERROR(SEARCH("NO",BW4)))</formula>
    </cfRule>
  </conditionalFormatting>
  <conditionalFormatting sqref="BW107:BW113">
    <cfRule type="containsText" dxfId="212" priority="32" operator="containsText" text="SI">
      <formula>NOT(ISERROR(SEARCH("SI",BW107)))</formula>
    </cfRule>
    <cfRule type="containsText" dxfId="211" priority="31" operator="containsText" text="NO">
      <formula>NOT(ISERROR(SEARCH("NO",BW107)))</formula>
    </cfRule>
  </conditionalFormatting>
  <conditionalFormatting sqref="BW134:BW157">
    <cfRule type="containsText" dxfId="210" priority="52" operator="containsText" text="SI">
      <formula>NOT(ISERROR(SEARCH("SI",BW134)))</formula>
    </cfRule>
    <cfRule type="containsText" dxfId="209" priority="51" operator="containsText" text="NO">
      <formula>NOT(ISERROR(SEARCH("NO",BW134)))</formula>
    </cfRule>
  </conditionalFormatting>
  <conditionalFormatting sqref="BW174:BW180">
    <cfRule type="containsText" dxfId="208" priority="22" operator="containsText" text="SI">
      <formula>NOT(ISERROR(SEARCH("SI",BW174)))</formula>
    </cfRule>
    <cfRule type="containsText" dxfId="207" priority="21" operator="containsText" text="NO">
      <formula>NOT(ISERROR(SEARCH("NO",BW174)))</formula>
    </cfRule>
  </conditionalFormatting>
  <conditionalFormatting sqref="BW188:BW201">
    <cfRule type="containsText" dxfId="206" priority="20" operator="containsText" text="SI">
      <formula>NOT(ISERROR(SEARCH("SI",BW188)))</formula>
    </cfRule>
    <cfRule type="containsText" dxfId="205" priority="19" operator="containsText" text="NO">
      <formula>NOT(ISERROR(SEARCH("NO",BW188)))</formula>
    </cfRule>
  </conditionalFormatting>
  <conditionalFormatting sqref="BW209:BW215">
    <cfRule type="containsText" dxfId="204" priority="41" operator="containsText" text="NO">
      <formula>NOT(ISERROR(SEARCH("NO",BW209)))</formula>
    </cfRule>
    <cfRule type="containsText" dxfId="203" priority="42" operator="containsText" text="SI">
      <formula>NOT(ISERROR(SEARCH("SI",BW209)))</formula>
    </cfRule>
  </conditionalFormatting>
  <conditionalFormatting sqref="BW22:BY106">
    <cfRule type="containsText" dxfId="202" priority="4" operator="containsText" text="SI">
      <formula>NOT(ISERROR(SEARCH("SI",BW22)))</formula>
    </cfRule>
    <cfRule type="containsText" dxfId="201" priority="3" operator="containsText" text="NO">
      <formula>NOT(ISERROR(SEARCH("NO",BW22)))</formula>
    </cfRule>
  </conditionalFormatting>
  <conditionalFormatting sqref="BW181:BY187">
    <cfRule type="containsText" dxfId="200" priority="34" operator="containsText" text="SI">
      <formula>NOT(ISERROR(SEARCH("SI",BW181)))</formula>
    </cfRule>
    <cfRule type="containsText" dxfId="199" priority="33" operator="containsText" text="NO">
      <formula>NOT(ISERROR(SEARCH("NO",BW181)))</formula>
    </cfRule>
  </conditionalFormatting>
  <conditionalFormatting sqref="BW216:BY260">
    <cfRule type="containsText" dxfId="198" priority="1" operator="containsText" text="NO">
      <formula>NOT(ISERROR(SEARCH("NO",BW216)))</formula>
    </cfRule>
    <cfRule type="containsText" dxfId="197" priority="2" operator="containsText" text="SI">
      <formula>NOT(ISERROR(SEARCH("SI",BW216)))</formula>
    </cfRule>
  </conditionalFormatting>
  <conditionalFormatting sqref="CL4:CL260 CM5:CN260 BH29:BJ101 BH114:BJ133 BW114:BY133 BH158:BJ162 BW158:BY173 BH192:BJ198 BH202:BJ208 BW202:BY208 BH236:BJ260">
    <cfRule type="containsText" dxfId="196" priority="198" operator="containsText" text="SI">
      <formula>NOT(ISERROR(SEARCH("SI",BH4)))</formula>
    </cfRule>
    <cfRule type="containsText" dxfId="195" priority="197" operator="containsText" text="NO">
      <formula>NOT(ISERROR(SEARCH("NO",BH4)))</formula>
    </cfRule>
  </conditionalFormatting>
  <dataValidations count="5">
    <dataValidation type="custom" allowBlank="1" showInputMessage="1" showErrorMessage="1" prompt="Recuerde que las acciones se generan bajo la medida de mitigar el riesgo" sqref="AM48:AM54 AM61:AM83 AM138:AM157 AM135:AM136" xr:uid="{891480EF-1CBE-4C48-AD96-1538FA09FB48}">
      <formula1>IF(OR(AI48=#REF!,AI48=#REF!,AI48=#REF!),ISBLANK(AI48),ISTEXT(AI48))</formula1>
    </dataValidation>
    <dataValidation type="custom" allowBlank="1" showInputMessage="1" showErrorMessage="1" prompt="Recuerde que las acciones se generan bajo la medida de mitigar el riesgo" sqref="AK61:AK83" xr:uid="{E922326D-8592-41CA-B6C3-C297DC3613B8}">
      <formula1>IF(OR(AI61=#REF!,AI61=#REF!,AI61=#REF!),ISBLANK(AI61),ISTEXT(AI61))</formula1>
    </dataValidation>
    <dataValidation type="custom" allowBlank="1" showInputMessage="1" showErrorMessage="1" prompt="Recuerde que las acciones se generan bajo la medida de mitigar el riesgo" sqref="AL61:AL83 AL135:AL136 AL138:AL157" xr:uid="{3443CE4D-F202-4EA8-852A-8C8C87E51467}">
      <formula1>IF(OR(AI61=#REF!,AI61=#REF!,AI61=#REF!),ISBLANK(AI61),ISTEXT(AI61))</formula1>
    </dataValidation>
    <dataValidation type="custom" allowBlank="1" showInputMessage="1" showErrorMessage="1" prompt="Recuerde que las acciones se generan bajo la medida de mitigar el riesgo" sqref="AJ135:AJ136 AJ138:AJ157 AJ61:AJ83" xr:uid="{77C9B347-508B-4F29-8435-FA8DBA76C13D}">
      <formula1>IF(OR(AI61=#REF!,AI61=#REF!,AI61=#REF!),ISBLANK(AI61),ISTEXT(AI61))</formula1>
    </dataValidation>
    <dataValidation type="list" allowBlank="1" showInputMessage="1" showErrorMessage="1" sqref="BH18:BH260 CL4:CL260 BH4:BH14 BW4:BW14 BW18:BW260 AS261:AS1048576" xr:uid="{C338064C-2F89-419F-BE3B-A2F84EDFCAD5}">
      <formula1>RespuestaC</formula1>
    </dataValidation>
  </dataValidations>
  <pageMargins left="0.70866141732283472" right="0.70866141732283472" top="0.74803149606299213" bottom="0.74803149606299213" header="0" footer="0"/>
  <pageSetup paperSize="5" scale="54" fitToHeight="0" orientation="landscape" r:id="rId1"/>
  <headerFooter>
    <oddHeader>&amp;L&amp;G&amp;C
MATRIZ DE RIESGOS</oddHeader>
    <oddFooter>&amp;RCódigo:E-02-F-014
Versión: 5
Fecha: Ver Isolución</oddFooter>
  </headerFooter>
  <rowBreaks count="1" manualBreakCount="1">
    <brk id="14" max="16383" man="1"/>
  </rowBreaks>
  <colBreaks count="2" manualBreakCount="2">
    <brk id="19" max="1048575" man="1"/>
    <brk id="35" max="1048575" man="1"/>
  </colBreaks>
  <ignoredErrors>
    <ignoredError sqref="P4" unlockedFormula="1"/>
  </ignoredErrors>
  <legacyDrawing r:id="rId2"/>
  <legacyDrawingHF r:id="rId3"/>
  <extLst>
    <ext xmlns:x14="http://schemas.microsoft.com/office/spreadsheetml/2009/9/main" uri="{CCE6A557-97BC-4b89-ADB6-D9C93CAAB3DF}">
      <x14:dataValidations xmlns:xm="http://schemas.microsoft.com/office/excel/2006/main" count="5">
        <x14:dataValidation type="custom" allowBlank="1" showInputMessage="1" showErrorMessage="1" prompt="Recuerde que las acciones se generan bajo la medida de mitigar el riesgo" xr:uid="{BF99B0AE-0F05-4820-A740-02AD0D3AA677}">
          <x14:formula1>
            <xm:f>IF(OR(AJ4='Base de datos gestión'!$B$2,AJ4='Base de datos gestión'!$B$3,AJ4='Base de datos gestión'!$B$4),ISBLANK(AJ4),ISTEXT(AJ4))</xm:f>
          </x14:formula1>
          <xm:sqref>AN198:AN202 AN4:AN9 AN15:AN18 AN22:AN195 AO4:AO260 AN204:AN260</xm:sqref>
        </x14:dataValidation>
        <x14:dataValidation type="list" allowBlank="1" showErrorMessage="1" xr:uid="{0160EA76-BC5E-4E5C-8AE5-F763994D08F8}">
          <x14:formula1>
            <xm:f>'Tabla Impacto'!$F$211:$F$222</xm:f>
          </x14:formula1>
          <xm:sqref>O4:O260</xm:sqref>
        </x14:dataValidation>
        <x14:dataValidation type="list" allowBlank="1" showInputMessage="1" showErrorMessage="1" xr:uid="{01FBFC0E-1CF3-43BA-AAFF-57C6D2F33BB0}">
          <x14:formula1>
            <xm:f>'Base de datos gestión'!$C$28:$C$49</xm:f>
          </x14:formula1>
          <xm:sqref>C4:C260</xm:sqref>
        </x14:dataValidation>
        <x14:dataValidation type="list" allowBlank="1" showInputMessage="1" showErrorMessage="1" xr:uid="{CCCBE052-F285-4A0D-B281-1EBFA37B1C71}">
          <x14:formula1>
            <xm:f>'Base de datos gestión'!$J$3:$J$20</xm:f>
          </x14:formula1>
          <xm:sqref>CM4:CM260 BI18:BI260 BI4:BI14 BX4:BX14 BX18:BX260</xm:sqref>
        </x14:dataValidation>
        <x14:dataValidation type="list" allowBlank="1" showErrorMessage="1" xr:uid="{C87FF5DD-A64F-4FE9-A1BE-F48C45C1AFEB}">
          <x14:formula1>
            <xm:f>'Base de datos gestión'!$B$13:$B$19</xm:f>
          </x14:formula1>
          <xm:sqref>J261:J1048576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825D5-2B8A-449A-B44B-48B3135BC230}">
  <sheetPr>
    <tabColor theme="2" tint="-0.34998626667073579"/>
  </sheetPr>
  <dimension ref="B4:BJ1004"/>
  <sheetViews>
    <sheetView topLeftCell="A2" zoomScale="160" zoomScaleNormal="160" workbookViewId="0">
      <selection activeCell="E17" sqref="E17"/>
    </sheetView>
  </sheetViews>
  <sheetFormatPr baseColWidth="10" defaultColWidth="12.625" defaultRowHeight="15" customHeight="1" x14ac:dyDescent="0.2"/>
  <cols>
    <col min="1" max="1" width="3.125" customWidth="1"/>
    <col min="2" max="2" width="9" customWidth="1"/>
    <col min="3" max="4" width="29.75" customWidth="1"/>
    <col min="5" max="19" width="5" customWidth="1"/>
    <col min="20" max="20" width="7.375" customWidth="1"/>
    <col min="21" max="24" width="5" customWidth="1"/>
    <col min="25" max="25" width="7.5" customWidth="1"/>
    <col min="26" max="27" width="5" customWidth="1"/>
    <col min="28" max="28" width="9.375" customWidth="1"/>
    <col min="29" max="29" width="5" customWidth="1"/>
    <col min="30" max="30" width="6.5" customWidth="1"/>
    <col min="31" max="34" width="5" customWidth="1"/>
    <col min="35" max="35" width="7.5" customWidth="1"/>
    <col min="36" max="40" width="5" customWidth="1"/>
    <col min="41" max="41" width="9.375" customWidth="1"/>
    <col min="42" max="47" width="5" customWidth="1"/>
    <col min="48" max="62" width="9.375" customWidth="1"/>
  </cols>
  <sheetData>
    <row r="4" spans="2:62" ht="10.5" customHeight="1" x14ac:dyDescent="0.25">
      <c r="BC4" s="115"/>
      <c r="BD4" s="115"/>
      <c r="BE4" s="115"/>
      <c r="BF4" s="115"/>
      <c r="BG4" s="115"/>
      <c r="BH4" s="115"/>
      <c r="BI4" s="115"/>
      <c r="BJ4" s="115"/>
    </row>
    <row r="5" spans="2:62" ht="22.5" customHeight="1" x14ac:dyDescent="0.25">
      <c r="B5" s="975" t="s">
        <v>1901</v>
      </c>
      <c r="C5" s="975"/>
      <c r="D5" s="975"/>
      <c r="BC5" s="115"/>
      <c r="BD5" s="115"/>
      <c r="BE5" s="115"/>
      <c r="BF5" s="115"/>
      <c r="BG5" s="115"/>
      <c r="BH5" s="115"/>
      <c r="BI5" s="115"/>
      <c r="BJ5" s="115"/>
    </row>
    <row r="6" spans="2:62" ht="6" customHeight="1" x14ac:dyDescent="0.25">
      <c r="BC6" s="115"/>
      <c r="BD6" s="115"/>
      <c r="BE6" s="115"/>
      <c r="BF6" s="115"/>
      <c r="BG6" s="115"/>
      <c r="BH6" s="115"/>
      <c r="BI6" s="115"/>
      <c r="BJ6" s="115"/>
    </row>
    <row r="7" spans="2:62" ht="15.75" customHeight="1" x14ac:dyDescent="0.25">
      <c r="B7" s="973" t="s">
        <v>1902</v>
      </c>
      <c r="C7" s="182" t="s">
        <v>1903</v>
      </c>
      <c r="D7" s="182" t="s">
        <v>1904</v>
      </c>
      <c r="BC7" s="115"/>
      <c r="BD7" s="115"/>
      <c r="BE7" s="115"/>
      <c r="BF7" s="115"/>
      <c r="BG7" s="115"/>
      <c r="BH7" s="115"/>
      <c r="BI7" s="115"/>
      <c r="BJ7" s="115"/>
    </row>
    <row r="8" spans="2:62" ht="27.75" customHeight="1" thickBot="1" x14ac:dyDescent="0.3">
      <c r="B8" s="974"/>
      <c r="C8" s="183" t="s">
        <v>1905</v>
      </c>
      <c r="D8" s="184" t="s">
        <v>1906</v>
      </c>
      <c r="BC8" s="115"/>
      <c r="BD8" s="115"/>
      <c r="BE8" s="115"/>
      <c r="BF8" s="115"/>
      <c r="BG8" s="115"/>
      <c r="BH8" s="115"/>
      <c r="BI8" s="115"/>
      <c r="BJ8" s="115"/>
    </row>
    <row r="9" spans="2:62" ht="26.25" thickBot="1" x14ac:dyDescent="0.3">
      <c r="B9" s="180" t="s">
        <v>1907</v>
      </c>
      <c r="C9" s="177" t="s">
        <v>1908</v>
      </c>
      <c r="D9" s="177" t="s">
        <v>1909</v>
      </c>
      <c r="BC9" s="115"/>
      <c r="BD9" s="115"/>
      <c r="BE9" s="115"/>
      <c r="BF9" s="115"/>
      <c r="BG9" s="115"/>
      <c r="BH9" s="115"/>
      <c r="BI9" s="115"/>
      <c r="BJ9" s="115"/>
    </row>
    <row r="10" spans="2:62" ht="15.75" thickBot="1" x14ac:dyDescent="0.3">
      <c r="B10" s="180" t="s">
        <v>1910</v>
      </c>
      <c r="C10" s="177" t="s">
        <v>1911</v>
      </c>
      <c r="D10" s="177" t="s">
        <v>1912</v>
      </c>
      <c r="BC10" s="115"/>
      <c r="BD10" s="115"/>
      <c r="BE10" s="115"/>
      <c r="BF10" s="115"/>
      <c r="BG10" s="115"/>
      <c r="BH10" s="115"/>
      <c r="BI10" s="115"/>
      <c r="BJ10" s="115"/>
    </row>
    <row r="11" spans="2:62" ht="39" thickBot="1" x14ac:dyDescent="0.3">
      <c r="B11" s="180" t="s">
        <v>1913</v>
      </c>
      <c r="C11" s="177" t="s">
        <v>1914</v>
      </c>
      <c r="D11" s="177" t="s">
        <v>1915</v>
      </c>
      <c r="BC11" s="115"/>
      <c r="BD11" s="115"/>
      <c r="BE11" s="115"/>
      <c r="BF11" s="115"/>
      <c r="BG11" s="115"/>
      <c r="BH11" s="115"/>
      <c r="BI11" s="115"/>
      <c r="BJ11" s="115"/>
    </row>
    <row r="12" spans="2:62" ht="33" customHeight="1" thickBot="1" x14ac:dyDescent="0.3">
      <c r="B12" s="180" t="s">
        <v>1916</v>
      </c>
      <c r="C12" s="177" t="s">
        <v>1917</v>
      </c>
      <c r="D12" s="177" t="s">
        <v>1918</v>
      </c>
      <c r="BC12" s="115"/>
      <c r="BD12" s="115"/>
      <c r="BE12" s="115"/>
      <c r="BF12" s="115"/>
      <c r="BG12" s="115"/>
      <c r="BH12" s="115"/>
      <c r="BI12" s="115"/>
      <c r="BJ12" s="115"/>
    </row>
    <row r="13" spans="2:62" ht="26.25" thickBot="1" x14ac:dyDescent="0.3">
      <c r="B13" s="180" t="s">
        <v>1919</v>
      </c>
      <c r="C13" s="177" t="s">
        <v>1920</v>
      </c>
      <c r="D13" s="177" t="s">
        <v>1921</v>
      </c>
      <c r="BC13" s="115"/>
      <c r="BD13" s="115"/>
      <c r="BE13" s="115"/>
      <c r="BF13" s="115"/>
      <c r="BG13" s="115"/>
      <c r="BH13" s="115"/>
      <c r="BI13" s="115"/>
      <c r="BJ13" s="115"/>
    </row>
    <row r="14" spans="2:62" ht="26.25" thickBot="1" x14ac:dyDescent="0.3">
      <c r="B14" s="180" t="s">
        <v>1922</v>
      </c>
      <c r="C14" s="178" t="s">
        <v>1923</v>
      </c>
      <c r="D14" s="177" t="s">
        <v>1924</v>
      </c>
      <c r="BC14" s="115"/>
      <c r="BD14" s="115"/>
      <c r="BE14" s="115"/>
      <c r="BF14" s="115"/>
      <c r="BG14" s="115"/>
      <c r="BH14" s="115"/>
      <c r="BI14" s="115"/>
      <c r="BJ14" s="115"/>
    </row>
    <row r="15" spans="2:62" ht="26.25" thickBot="1" x14ac:dyDescent="0.3">
      <c r="B15" s="180" t="s">
        <v>1925</v>
      </c>
      <c r="C15" s="177" t="s">
        <v>1926</v>
      </c>
      <c r="D15" s="177" t="s">
        <v>1927</v>
      </c>
      <c r="BC15" s="115"/>
      <c r="BD15" s="115"/>
      <c r="BE15" s="115"/>
      <c r="BF15" s="115"/>
      <c r="BG15" s="115"/>
      <c r="BH15" s="115"/>
      <c r="BI15" s="115"/>
      <c r="BJ15" s="115"/>
    </row>
    <row r="16" spans="2:62" ht="26.25" thickBot="1" x14ac:dyDescent="0.3">
      <c r="B16" s="180" t="s">
        <v>1928</v>
      </c>
      <c r="C16" s="177" t="s">
        <v>1923</v>
      </c>
      <c r="D16" s="177" t="s">
        <v>1929</v>
      </c>
      <c r="BC16" s="115"/>
      <c r="BD16" s="115"/>
      <c r="BE16" s="115"/>
      <c r="BF16" s="115"/>
      <c r="BG16" s="115"/>
      <c r="BH16" s="115"/>
      <c r="BI16" s="115"/>
      <c r="BJ16" s="115"/>
    </row>
    <row r="17" spans="2:62" ht="51.75" thickBot="1" x14ac:dyDescent="0.3">
      <c r="B17" s="180" t="s">
        <v>1930</v>
      </c>
      <c r="C17" s="177" t="s">
        <v>1931</v>
      </c>
      <c r="D17" s="177" t="s">
        <v>1932</v>
      </c>
      <c r="BC17" s="115"/>
      <c r="BD17" s="115"/>
      <c r="BE17" s="115"/>
      <c r="BF17" s="115"/>
      <c r="BG17" s="115"/>
      <c r="BH17" s="115"/>
      <c r="BI17" s="115"/>
      <c r="BJ17" s="115"/>
    </row>
    <row r="18" spans="2:62" ht="26.25" thickBot="1" x14ac:dyDescent="0.3">
      <c r="B18" s="180" t="s">
        <v>1933</v>
      </c>
      <c r="C18" s="177" t="s">
        <v>1934</v>
      </c>
      <c r="D18" s="177" t="s">
        <v>1935</v>
      </c>
      <c r="BC18" s="115"/>
      <c r="BD18" s="115"/>
      <c r="BE18" s="115"/>
      <c r="BF18" s="115"/>
      <c r="BG18" s="115"/>
      <c r="BH18" s="115"/>
      <c r="BI18" s="115"/>
      <c r="BJ18" s="115"/>
    </row>
    <row r="19" spans="2:62" ht="51.75" thickBot="1" x14ac:dyDescent="0.3">
      <c r="B19" s="180" t="s">
        <v>1936</v>
      </c>
      <c r="C19" s="177" t="s">
        <v>1937</v>
      </c>
      <c r="D19" s="177" t="s">
        <v>1938</v>
      </c>
      <c r="BC19" s="115"/>
      <c r="BD19" s="115"/>
      <c r="BE19" s="115"/>
      <c r="BF19" s="115"/>
      <c r="BG19" s="115"/>
      <c r="BH19" s="115"/>
      <c r="BI19" s="115"/>
      <c r="BJ19" s="115"/>
    </row>
    <row r="20" spans="2:62" ht="39" thickBot="1" x14ac:dyDescent="0.3">
      <c r="B20" s="180" t="s">
        <v>1939</v>
      </c>
      <c r="C20" s="177" t="s">
        <v>1940</v>
      </c>
      <c r="D20" s="177" t="s">
        <v>1941</v>
      </c>
      <c r="BC20" s="115"/>
      <c r="BD20" s="115"/>
      <c r="BE20" s="115"/>
      <c r="BF20" s="115"/>
      <c r="BG20" s="115"/>
      <c r="BH20" s="115"/>
      <c r="BI20" s="115"/>
      <c r="BJ20" s="115"/>
    </row>
    <row r="21" spans="2:62" ht="39" thickBot="1" x14ac:dyDescent="0.3">
      <c r="B21" s="180" t="s">
        <v>1942</v>
      </c>
      <c r="C21" s="177" t="s">
        <v>1943</v>
      </c>
      <c r="D21" s="177" t="s">
        <v>1944</v>
      </c>
      <c r="BC21" s="115"/>
      <c r="BD21" s="115"/>
      <c r="BE21" s="115"/>
      <c r="BF21" s="115"/>
      <c r="BG21" s="115"/>
      <c r="BH21" s="115"/>
      <c r="BI21" s="115"/>
      <c r="BJ21" s="115"/>
    </row>
    <row r="22" spans="2:62" ht="26.25" thickBot="1" x14ac:dyDescent="0.3">
      <c r="B22" s="180" t="s">
        <v>1945</v>
      </c>
      <c r="C22" s="177" t="s">
        <v>1946</v>
      </c>
      <c r="D22" s="177" t="s">
        <v>1947</v>
      </c>
      <c r="BC22" s="115"/>
      <c r="BD22" s="115"/>
      <c r="BE22" s="115"/>
      <c r="BF22" s="115"/>
      <c r="BG22" s="115"/>
      <c r="BH22" s="115"/>
      <c r="BI22" s="115"/>
      <c r="BJ22" s="115"/>
    </row>
    <row r="23" spans="2:62" ht="26.25" thickBot="1" x14ac:dyDescent="0.3">
      <c r="B23" s="180" t="s">
        <v>1948</v>
      </c>
      <c r="C23" s="177" t="s">
        <v>1949</v>
      </c>
      <c r="D23" s="177" t="s">
        <v>1950</v>
      </c>
      <c r="BC23" s="115"/>
      <c r="BD23" s="115"/>
      <c r="BE23" s="115"/>
      <c r="BF23" s="115"/>
      <c r="BG23" s="115"/>
      <c r="BH23" s="115"/>
      <c r="BI23" s="115"/>
      <c r="BJ23" s="115"/>
    </row>
    <row r="24" spans="2:62" ht="39" thickBot="1" x14ac:dyDescent="0.3">
      <c r="B24" s="180" t="s">
        <v>1951</v>
      </c>
      <c r="C24" s="177" t="s">
        <v>1952</v>
      </c>
      <c r="D24" s="177" t="s">
        <v>1953</v>
      </c>
      <c r="BC24" s="115"/>
      <c r="BD24" s="115"/>
      <c r="BE24" s="115"/>
      <c r="BF24" s="115"/>
      <c r="BG24" s="115"/>
      <c r="BH24" s="115"/>
      <c r="BI24" s="115"/>
      <c r="BJ24" s="115"/>
    </row>
    <row r="25" spans="2:62" ht="15.75" thickBot="1" x14ac:dyDescent="0.3">
      <c r="B25" s="180" t="s">
        <v>1954</v>
      </c>
      <c r="C25" s="177" t="s">
        <v>1955</v>
      </c>
      <c r="D25" s="177" t="s">
        <v>1956</v>
      </c>
      <c r="BC25" s="115"/>
      <c r="BD25" s="115"/>
      <c r="BE25" s="115"/>
      <c r="BF25" s="115"/>
      <c r="BG25" s="115"/>
      <c r="BH25" s="115"/>
      <c r="BI25" s="115"/>
      <c r="BJ25" s="115"/>
    </row>
    <row r="26" spans="2:62" ht="51.75" thickBot="1" x14ac:dyDescent="0.3">
      <c r="B26" s="180" t="s">
        <v>1957</v>
      </c>
      <c r="C26" s="177" t="s">
        <v>1955</v>
      </c>
      <c r="D26" s="177" t="s">
        <v>1958</v>
      </c>
      <c r="BC26" s="115"/>
      <c r="BD26" s="115"/>
      <c r="BE26" s="115"/>
      <c r="BF26" s="115"/>
      <c r="BG26" s="115"/>
      <c r="BH26" s="115"/>
      <c r="BI26" s="115"/>
      <c r="BJ26" s="115"/>
    </row>
    <row r="27" spans="2:62" ht="39" thickBot="1" x14ac:dyDescent="0.3">
      <c r="B27" s="180" t="s">
        <v>1959</v>
      </c>
      <c r="C27" s="177" t="s">
        <v>1955</v>
      </c>
      <c r="D27" s="177" t="s">
        <v>1960</v>
      </c>
      <c r="BC27" s="115"/>
      <c r="BD27" s="115"/>
      <c r="BE27" s="115"/>
      <c r="BF27" s="115"/>
      <c r="BG27" s="115"/>
      <c r="BH27" s="115"/>
      <c r="BI27" s="115"/>
      <c r="BJ27" s="115"/>
    </row>
    <row r="28" spans="2:62" ht="26.25" thickBot="1" x14ac:dyDescent="0.3">
      <c r="B28" s="180" t="s">
        <v>1961</v>
      </c>
      <c r="C28" s="177" t="s">
        <v>1955</v>
      </c>
      <c r="D28" s="177" t="s">
        <v>1962</v>
      </c>
      <c r="BC28" s="115"/>
      <c r="BD28" s="115"/>
      <c r="BE28" s="115"/>
      <c r="BF28" s="115"/>
      <c r="BG28" s="115"/>
      <c r="BH28" s="115"/>
      <c r="BI28" s="115"/>
      <c r="BJ28" s="115"/>
    </row>
    <row r="29" spans="2:62" ht="52.5" customHeight="1" thickBot="1" x14ac:dyDescent="0.3">
      <c r="B29" s="180" t="s">
        <v>1963</v>
      </c>
      <c r="C29" s="177" t="s">
        <v>1964</v>
      </c>
      <c r="D29" s="177" t="s">
        <v>1965</v>
      </c>
      <c r="BC29" s="115"/>
      <c r="BD29" s="115"/>
      <c r="BE29" s="115"/>
      <c r="BF29" s="115"/>
      <c r="BG29" s="115"/>
      <c r="BH29" s="115"/>
      <c r="BI29" s="115"/>
      <c r="BJ29" s="115"/>
    </row>
    <row r="30" spans="2:62" ht="26.25" thickBot="1" x14ac:dyDescent="0.3">
      <c r="B30" s="180" t="s">
        <v>1966</v>
      </c>
      <c r="C30" s="177" t="s">
        <v>1967</v>
      </c>
      <c r="D30" s="177" t="s">
        <v>1968</v>
      </c>
      <c r="BC30" s="115"/>
      <c r="BD30" s="115"/>
      <c r="BE30" s="115"/>
      <c r="BF30" s="115"/>
      <c r="BG30" s="115"/>
      <c r="BH30" s="115"/>
      <c r="BI30" s="115"/>
      <c r="BJ30" s="115"/>
    </row>
    <row r="31" spans="2:62" ht="39" thickBot="1" x14ac:dyDescent="0.3">
      <c r="B31" s="180" t="s">
        <v>1969</v>
      </c>
      <c r="C31" s="177" t="s">
        <v>1970</v>
      </c>
      <c r="D31" s="177" t="s">
        <v>1971</v>
      </c>
      <c r="BC31" s="115"/>
      <c r="BD31" s="115"/>
      <c r="BE31" s="115"/>
      <c r="BF31" s="115"/>
      <c r="BG31" s="115"/>
      <c r="BH31" s="115"/>
      <c r="BI31" s="115"/>
      <c r="BJ31" s="115"/>
    </row>
    <row r="32" spans="2:62" ht="51.75" thickBot="1" x14ac:dyDescent="0.3">
      <c r="B32" s="180" t="s">
        <v>1972</v>
      </c>
      <c r="C32" s="177" t="s">
        <v>1973</v>
      </c>
      <c r="D32" s="177" t="s">
        <v>1974</v>
      </c>
      <c r="BC32" s="115"/>
      <c r="BD32" s="115"/>
      <c r="BE32" s="115"/>
      <c r="BF32" s="115"/>
      <c r="BG32" s="115"/>
      <c r="BH32" s="115"/>
      <c r="BI32" s="115"/>
      <c r="BJ32" s="115"/>
    </row>
    <row r="33" spans="2:62" ht="26.25" thickBot="1" x14ac:dyDescent="0.3">
      <c r="B33" s="180" t="s">
        <v>1975</v>
      </c>
      <c r="C33" s="177" t="s">
        <v>1976</v>
      </c>
      <c r="D33" s="177" t="s">
        <v>1977</v>
      </c>
      <c r="BC33" s="115"/>
      <c r="BD33" s="115"/>
      <c r="BE33" s="115"/>
      <c r="BF33" s="115"/>
      <c r="BG33" s="115"/>
      <c r="BH33" s="115"/>
      <c r="BI33" s="115"/>
      <c r="BJ33" s="115"/>
    </row>
    <row r="34" spans="2:62" ht="39" thickBot="1" x14ac:dyDescent="0.3">
      <c r="B34" s="180" t="s">
        <v>1978</v>
      </c>
      <c r="C34" s="177" t="s">
        <v>1979</v>
      </c>
      <c r="D34" s="177" t="s">
        <v>1980</v>
      </c>
      <c r="BC34" s="115"/>
      <c r="BD34" s="115"/>
      <c r="BE34" s="115"/>
      <c r="BF34" s="115"/>
      <c r="BG34" s="115"/>
      <c r="BH34" s="115"/>
      <c r="BI34" s="115"/>
      <c r="BJ34" s="115"/>
    </row>
    <row r="35" spans="2:62" ht="26.25" thickBot="1" x14ac:dyDescent="0.3">
      <c r="B35" s="180" t="s">
        <v>1981</v>
      </c>
      <c r="C35" s="177" t="s">
        <v>1982</v>
      </c>
      <c r="D35" s="177" t="s">
        <v>1983</v>
      </c>
      <c r="BC35" s="115"/>
      <c r="BD35" s="115"/>
      <c r="BE35" s="115"/>
      <c r="BF35" s="115"/>
      <c r="BG35" s="115"/>
      <c r="BH35" s="115"/>
      <c r="BI35" s="115"/>
      <c r="BJ35" s="115"/>
    </row>
    <row r="36" spans="2:62" ht="26.25" thickBot="1" x14ac:dyDescent="0.3">
      <c r="B36" s="180" t="s">
        <v>1984</v>
      </c>
      <c r="C36" s="177" t="s">
        <v>1985</v>
      </c>
      <c r="D36" s="177" t="s">
        <v>1986</v>
      </c>
      <c r="BC36" s="115"/>
      <c r="BD36" s="115"/>
      <c r="BE36" s="115"/>
      <c r="BF36" s="115"/>
      <c r="BG36" s="115"/>
      <c r="BH36" s="115"/>
      <c r="BI36" s="115"/>
      <c r="BJ36" s="115"/>
    </row>
    <row r="37" spans="2:62" ht="26.25" thickBot="1" x14ac:dyDescent="0.3">
      <c r="B37" s="180" t="s">
        <v>1987</v>
      </c>
      <c r="C37" s="177" t="s">
        <v>1988</v>
      </c>
      <c r="D37" s="177" t="s">
        <v>1989</v>
      </c>
      <c r="BC37" s="115"/>
      <c r="BD37" s="115"/>
      <c r="BE37" s="115"/>
      <c r="BF37" s="115"/>
      <c r="BG37" s="115"/>
      <c r="BH37" s="115"/>
      <c r="BI37" s="115"/>
      <c r="BJ37" s="115"/>
    </row>
    <row r="38" spans="2:62" ht="39" thickBot="1" x14ac:dyDescent="0.3">
      <c r="B38" s="180" t="s">
        <v>1990</v>
      </c>
      <c r="C38" s="177" t="s">
        <v>1991</v>
      </c>
      <c r="D38" s="177" t="s">
        <v>1992</v>
      </c>
      <c r="BC38" s="115"/>
      <c r="BD38" s="115"/>
      <c r="BE38" s="115"/>
      <c r="BF38" s="115"/>
      <c r="BG38" s="115"/>
      <c r="BH38" s="115"/>
      <c r="BI38" s="115"/>
      <c r="BJ38" s="115"/>
    </row>
    <row r="39" spans="2:62" ht="26.25" thickBot="1" x14ac:dyDescent="0.3">
      <c r="B39" s="180" t="s">
        <v>1993</v>
      </c>
      <c r="C39" s="177" t="s">
        <v>1994</v>
      </c>
      <c r="D39" s="177" t="s">
        <v>1995</v>
      </c>
      <c r="BC39" s="115"/>
      <c r="BD39" s="115"/>
      <c r="BE39" s="115"/>
      <c r="BF39" s="115"/>
      <c r="BG39" s="115"/>
      <c r="BH39" s="115"/>
      <c r="BI39" s="115"/>
      <c r="BJ39" s="115"/>
    </row>
    <row r="40" spans="2:62" ht="15.75" thickBot="1" x14ac:dyDescent="0.3">
      <c r="B40" s="180" t="s">
        <v>1996</v>
      </c>
      <c r="C40" s="177" t="s">
        <v>1997</v>
      </c>
      <c r="D40" s="177" t="s">
        <v>1998</v>
      </c>
      <c r="BC40" s="115"/>
      <c r="BD40" s="115"/>
      <c r="BE40" s="115"/>
      <c r="BF40" s="115"/>
      <c r="BG40" s="115"/>
      <c r="BH40" s="115"/>
      <c r="BI40" s="115"/>
      <c r="BJ40" s="115"/>
    </row>
    <row r="41" spans="2:62" ht="26.25" thickBot="1" x14ac:dyDescent="0.3">
      <c r="B41" s="180" t="s">
        <v>1999</v>
      </c>
      <c r="C41" s="177" t="s">
        <v>2000</v>
      </c>
      <c r="D41" s="177" t="s">
        <v>2001</v>
      </c>
      <c r="BC41" s="115"/>
      <c r="BD41" s="115"/>
      <c r="BE41" s="115"/>
      <c r="BF41" s="115"/>
      <c r="BG41" s="115"/>
      <c r="BH41" s="115"/>
      <c r="BI41" s="115"/>
      <c r="BJ41" s="115"/>
    </row>
    <row r="42" spans="2:62" ht="15.75" thickBot="1" x14ac:dyDescent="0.3">
      <c r="B42" s="180" t="s">
        <v>2002</v>
      </c>
      <c r="C42" s="177" t="s">
        <v>2003</v>
      </c>
      <c r="D42" s="177" t="s">
        <v>2004</v>
      </c>
      <c r="BC42" s="115"/>
      <c r="BD42" s="115"/>
      <c r="BE42" s="115"/>
      <c r="BF42" s="115"/>
      <c r="BG42" s="115"/>
      <c r="BH42" s="115"/>
      <c r="BI42" s="115"/>
      <c r="BJ42" s="115"/>
    </row>
    <row r="43" spans="2:62" ht="26.25" thickBot="1" x14ac:dyDescent="0.3">
      <c r="B43" s="180" t="s">
        <v>2005</v>
      </c>
      <c r="C43" s="177" t="s">
        <v>2006</v>
      </c>
      <c r="D43" s="177" t="s">
        <v>2007</v>
      </c>
      <c r="BC43" s="115"/>
      <c r="BD43" s="115"/>
      <c r="BE43" s="115"/>
      <c r="BF43" s="115"/>
      <c r="BG43" s="115"/>
      <c r="BH43" s="115"/>
      <c r="BI43" s="115"/>
      <c r="BJ43" s="115"/>
    </row>
    <row r="44" spans="2:62" ht="26.25" thickBot="1" x14ac:dyDescent="0.3">
      <c r="B44" s="180" t="s">
        <v>2008</v>
      </c>
      <c r="C44" s="177" t="s">
        <v>1967</v>
      </c>
      <c r="D44" s="177" t="s">
        <v>2009</v>
      </c>
      <c r="BC44" s="115"/>
      <c r="BD44" s="115"/>
      <c r="BE44" s="115"/>
      <c r="BF44" s="115"/>
      <c r="BG44" s="115"/>
      <c r="BH44" s="115"/>
      <c r="BI44" s="115"/>
      <c r="BJ44" s="115"/>
    </row>
    <row r="45" spans="2:62" ht="26.25" thickBot="1" x14ac:dyDescent="0.3">
      <c r="B45" s="180" t="s">
        <v>2010</v>
      </c>
      <c r="C45" s="177" t="s">
        <v>2011</v>
      </c>
      <c r="D45" s="177" t="s">
        <v>2012</v>
      </c>
      <c r="BC45" s="115"/>
      <c r="BD45" s="115"/>
      <c r="BE45" s="115"/>
      <c r="BF45" s="115"/>
      <c r="BG45" s="115"/>
      <c r="BH45" s="115"/>
      <c r="BI45" s="115"/>
      <c r="BJ45" s="115"/>
    </row>
    <row r="46" spans="2:62" ht="26.25" thickBot="1" x14ac:dyDescent="0.3">
      <c r="B46" s="180" t="s">
        <v>2013</v>
      </c>
      <c r="C46" s="177" t="s">
        <v>2014</v>
      </c>
      <c r="D46" s="177" t="s">
        <v>2015</v>
      </c>
      <c r="BC46" s="115"/>
      <c r="BD46" s="115"/>
      <c r="BE46" s="115"/>
      <c r="BF46" s="115"/>
      <c r="BG46" s="115"/>
      <c r="BH46" s="115"/>
      <c r="BI46" s="115"/>
      <c r="BJ46" s="115"/>
    </row>
    <row r="47" spans="2:62" ht="26.25" thickBot="1" x14ac:dyDescent="0.3">
      <c r="B47" s="180" t="s">
        <v>2016</v>
      </c>
      <c r="C47" s="177" t="s">
        <v>2017</v>
      </c>
      <c r="D47" s="177" t="s">
        <v>2018</v>
      </c>
      <c r="BC47" s="115"/>
      <c r="BD47" s="115"/>
      <c r="BE47" s="115"/>
      <c r="BF47" s="115"/>
      <c r="BG47" s="115"/>
      <c r="BH47" s="115"/>
      <c r="BI47" s="115"/>
      <c r="BJ47" s="115"/>
    </row>
    <row r="48" spans="2:62" ht="39" thickBot="1" x14ac:dyDescent="0.3">
      <c r="B48" s="180" t="s">
        <v>2019</v>
      </c>
      <c r="C48" s="177" t="s">
        <v>2020</v>
      </c>
      <c r="D48" s="177" t="s">
        <v>2021</v>
      </c>
      <c r="BC48" s="115"/>
      <c r="BD48" s="115"/>
      <c r="BE48" s="115"/>
      <c r="BF48" s="115"/>
      <c r="BG48" s="115"/>
      <c r="BH48" s="115"/>
      <c r="BI48" s="115"/>
      <c r="BJ48" s="115"/>
    </row>
    <row r="49" spans="2:62" ht="39" thickBot="1" x14ac:dyDescent="0.25">
      <c r="B49" s="180" t="s">
        <v>2022</v>
      </c>
      <c r="C49" s="177" t="s">
        <v>2017</v>
      </c>
      <c r="D49" s="177" t="s">
        <v>2023</v>
      </c>
    </row>
    <row r="50" spans="2:62" ht="26.25" thickBot="1" x14ac:dyDescent="0.3">
      <c r="B50" s="180" t="s">
        <v>2024</v>
      </c>
      <c r="C50" s="177" t="s">
        <v>2025</v>
      </c>
      <c r="D50" s="177" t="s">
        <v>2026</v>
      </c>
      <c r="BC50" s="115"/>
      <c r="BD50" s="115"/>
      <c r="BE50" s="115"/>
      <c r="BF50" s="115"/>
      <c r="BG50" s="115"/>
      <c r="BH50" s="115"/>
      <c r="BI50" s="115"/>
      <c r="BJ50" s="115"/>
    </row>
    <row r="51" spans="2:62" ht="26.25" thickBot="1" x14ac:dyDescent="0.3">
      <c r="B51" s="180" t="s">
        <v>2027</v>
      </c>
      <c r="C51" s="177" t="s">
        <v>2028</v>
      </c>
      <c r="D51" s="177" t="s">
        <v>2029</v>
      </c>
      <c r="BC51" s="115"/>
      <c r="BD51" s="115"/>
      <c r="BE51" s="115"/>
      <c r="BF51" s="115"/>
      <c r="BG51" s="115"/>
      <c r="BH51" s="115"/>
      <c r="BI51" s="115"/>
      <c r="BJ51" s="115"/>
    </row>
    <row r="52" spans="2:62" ht="39" thickBot="1" x14ac:dyDescent="0.3">
      <c r="B52" s="180" t="s">
        <v>2027</v>
      </c>
      <c r="C52" s="177" t="s">
        <v>2030</v>
      </c>
      <c r="D52" s="177" t="s">
        <v>2031</v>
      </c>
      <c r="BC52" s="115"/>
      <c r="BD52" s="115"/>
      <c r="BE52" s="115"/>
      <c r="BF52" s="115"/>
      <c r="BG52" s="115"/>
      <c r="BH52" s="115"/>
      <c r="BI52" s="115"/>
      <c r="BJ52" s="115"/>
    </row>
    <row r="53" spans="2:62" ht="26.25" thickBot="1" x14ac:dyDescent="0.3">
      <c r="B53" s="180" t="s">
        <v>2032</v>
      </c>
      <c r="C53" s="177" t="s">
        <v>2033</v>
      </c>
      <c r="D53" s="177" t="s">
        <v>2034</v>
      </c>
      <c r="BC53" s="115"/>
      <c r="BD53" s="115"/>
      <c r="BE53" s="115"/>
      <c r="BF53" s="115"/>
      <c r="BG53" s="115"/>
      <c r="BH53" s="115"/>
      <c r="BI53" s="115"/>
      <c r="BJ53" s="115"/>
    </row>
    <row r="54" spans="2:62" ht="26.25" thickBot="1" x14ac:dyDescent="0.3">
      <c r="B54" s="180" t="s">
        <v>2035</v>
      </c>
      <c r="C54" s="177" t="s">
        <v>2036</v>
      </c>
      <c r="D54" s="177" t="s">
        <v>2037</v>
      </c>
      <c r="BC54" s="115"/>
      <c r="BD54" s="115"/>
      <c r="BE54" s="115"/>
      <c r="BF54" s="115"/>
      <c r="BG54" s="115"/>
      <c r="BH54" s="115"/>
      <c r="BI54" s="115"/>
      <c r="BJ54" s="115"/>
    </row>
    <row r="55" spans="2:62" ht="39" thickBot="1" x14ac:dyDescent="0.3">
      <c r="B55" s="180" t="s">
        <v>2038</v>
      </c>
      <c r="C55" s="177" t="s">
        <v>2039</v>
      </c>
      <c r="D55" s="177" t="s">
        <v>2040</v>
      </c>
      <c r="BC55" s="115"/>
      <c r="BD55" s="115"/>
      <c r="BE55" s="115"/>
      <c r="BF55" s="115"/>
      <c r="BG55" s="115"/>
      <c r="BH55" s="115"/>
      <c r="BI55" s="115"/>
      <c r="BJ55" s="115"/>
    </row>
    <row r="56" spans="2:62" ht="26.25" thickBot="1" x14ac:dyDescent="0.3">
      <c r="B56" s="180" t="s">
        <v>2041</v>
      </c>
      <c r="C56" s="177" t="s">
        <v>2042</v>
      </c>
      <c r="D56" s="177" t="s">
        <v>2043</v>
      </c>
      <c r="BC56" s="115"/>
      <c r="BD56" s="115"/>
      <c r="BE56" s="115"/>
      <c r="BF56" s="115"/>
      <c r="BG56" s="115"/>
      <c r="BH56" s="115"/>
      <c r="BI56" s="115"/>
      <c r="BJ56" s="115"/>
    </row>
    <row r="57" spans="2:62" ht="39" thickBot="1" x14ac:dyDescent="0.3">
      <c r="B57" s="180" t="s">
        <v>2044</v>
      </c>
      <c r="C57" s="177" t="s">
        <v>2042</v>
      </c>
      <c r="D57" s="177" t="s">
        <v>2045</v>
      </c>
      <c r="BC57" s="115"/>
      <c r="BD57" s="115"/>
      <c r="BE57" s="115"/>
      <c r="BF57" s="115"/>
      <c r="BG57" s="115"/>
      <c r="BH57" s="115"/>
      <c r="BI57" s="115"/>
      <c r="BJ57" s="115"/>
    </row>
    <row r="58" spans="2:62" ht="26.25" thickBot="1" x14ac:dyDescent="0.3">
      <c r="B58" s="180" t="s">
        <v>2046</v>
      </c>
      <c r="C58" s="177" t="s">
        <v>2042</v>
      </c>
      <c r="D58" s="177" t="s">
        <v>2047</v>
      </c>
      <c r="BC58" s="115"/>
      <c r="BD58" s="115"/>
      <c r="BE58" s="115"/>
      <c r="BF58" s="115"/>
      <c r="BG58" s="115"/>
      <c r="BH58" s="115"/>
      <c r="BI58" s="115"/>
      <c r="BJ58" s="115"/>
    </row>
    <row r="59" spans="2:62" ht="25.5" x14ac:dyDescent="0.25">
      <c r="B59" s="181" t="s">
        <v>2048</v>
      </c>
      <c r="C59" s="179" t="s">
        <v>2049</v>
      </c>
      <c r="D59" s="179" t="s">
        <v>2050</v>
      </c>
      <c r="BC59" s="115"/>
      <c r="BD59" s="115"/>
      <c r="BE59" s="115"/>
      <c r="BF59" s="115"/>
      <c r="BG59" s="115"/>
      <c r="BH59" s="115"/>
      <c r="BI59" s="115"/>
      <c r="BJ59" s="115"/>
    </row>
    <row r="60" spans="2:62" ht="15.75" customHeight="1" x14ac:dyDescent="0.25">
      <c r="BC60" s="115"/>
      <c r="BD60" s="115"/>
      <c r="BE60" s="115"/>
      <c r="BF60" s="115"/>
      <c r="BG60" s="115"/>
      <c r="BH60" s="115"/>
      <c r="BI60" s="115"/>
      <c r="BJ60" s="115"/>
    </row>
    <row r="61" spans="2:62" ht="15.75" customHeight="1" x14ac:dyDescent="0.25">
      <c r="BC61" s="115"/>
      <c r="BD61" s="115"/>
      <c r="BE61" s="115"/>
      <c r="BF61" s="115"/>
      <c r="BG61" s="115"/>
      <c r="BH61" s="115"/>
      <c r="BI61" s="115"/>
      <c r="BJ61" s="115"/>
    </row>
    <row r="62" spans="2:62" ht="15.75" customHeight="1" x14ac:dyDescent="0.25">
      <c r="BC62" s="115"/>
      <c r="BD62" s="115"/>
      <c r="BE62" s="115"/>
      <c r="BF62" s="115"/>
      <c r="BG62" s="115"/>
      <c r="BH62" s="115"/>
      <c r="BI62" s="115"/>
      <c r="BJ62" s="115"/>
    </row>
    <row r="63" spans="2:62" ht="15.75" customHeight="1" x14ac:dyDescent="0.25">
      <c r="BC63" s="115"/>
      <c r="BD63" s="115"/>
      <c r="BE63" s="115"/>
      <c r="BF63" s="115"/>
      <c r="BG63" s="115"/>
      <c r="BH63" s="115"/>
      <c r="BI63" s="115"/>
      <c r="BJ63" s="115"/>
    </row>
    <row r="64" spans="2:62" ht="15.75" customHeight="1" x14ac:dyDescent="0.25">
      <c r="BC64" s="115"/>
      <c r="BD64" s="115"/>
      <c r="BE64" s="115"/>
      <c r="BF64" s="115"/>
      <c r="BG64" s="115"/>
      <c r="BH64" s="115"/>
      <c r="BI64" s="115"/>
      <c r="BJ64" s="115"/>
    </row>
    <row r="65" spans="2:62" ht="15.75" customHeight="1" x14ac:dyDescent="0.25">
      <c r="BC65" s="115"/>
      <c r="BD65" s="115"/>
      <c r="BE65" s="115"/>
      <c r="BF65" s="115"/>
      <c r="BG65" s="115"/>
      <c r="BH65" s="115"/>
      <c r="BI65" s="115"/>
      <c r="BJ65" s="115"/>
    </row>
    <row r="66" spans="2:62" ht="15.75" customHeight="1" x14ac:dyDescent="0.25">
      <c r="BC66" s="115"/>
      <c r="BD66" s="115"/>
      <c r="BE66" s="115"/>
      <c r="BF66" s="115"/>
      <c r="BG66" s="115"/>
      <c r="BH66" s="115"/>
      <c r="BI66" s="115"/>
    </row>
    <row r="67" spans="2:62" ht="15" customHeight="1" x14ac:dyDescent="0.25">
      <c r="BC67" s="115"/>
      <c r="BD67" s="115"/>
      <c r="BE67" s="115"/>
      <c r="BF67" s="115"/>
      <c r="BG67" s="115"/>
      <c r="BH67" s="115"/>
      <c r="BI67" s="115"/>
    </row>
    <row r="68" spans="2:62" ht="15" customHeight="1" x14ac:dyDescent="0.25">
      <c r="BC68" s="115"/>
      <c r="BD68" s="115"/>
      <c r="BE68" s="115"/>
      <c r="BF68" s="115"/>
      <c r="BG68" s="115"/>
      <c r="BH68" s="115"/>
      <c r="BI68" s="115"/>
    </row>
    <row r="69" spans="2:62" ht="15.75" customHeight="1" x14ac:dyDescent="0.25">
      <c r="BC69" s="115"/>
      <c r="BD69" s="115"/>
      <c r="BE69" s="115"/>
      <c r="BF69" s="115"/>
      <c r="BG69" s="115"/>
      <c r="BH69" s="115"/>
      <c r="BI69" s="115"/>
    </row>
    <row r="70" spans="2:62" ht="15.75" customHeight="1" x14ac:dyDescent="0.25">
      <c r="BC70" s="115"/>
      <c r="BD70" s="115"/>
      <c r="BE70" s="115"/>
      <c r="BF70" s="115"/>
      <c r="BG70" s="115"/>
      <c r="BH70" s="115"/>
      <c r="BI70" s="115"/>
    </row>
    <row r="71" spans="2:62" ht="15.75" customHeight="1" x14ac:dyDescent="0.25">
      <c r="BC71" s="115"/>
      <c r="BD71" s="115"/>
      <c r="BE71" s="115"/>
      <c r="BF71" s="115"/>
      <c r="BG71" s="115"/>
      <c r="BH71" s="115"/>
      <c r="BI71" s="115"/>
    </row>
    <row r="72" spans="2:62" ht="15.75" customHeight="1" x14ac:dyDescent="0.25">
      <c r="BC72" s="115"/>
      <c r="BD72" s="115"/>
      <c r="BE72" s="115"/>
      <c r="BF72" s="115"/>
      <c r="BG72" s="115"/>
      <c r="BH72" s="115"/>
      <c r="BI72" s="115"/>
    </row>
    <row r="73" spans="2:62" ht="15.75" customHeight="1" x14ac:dyDescent="0.25">
      <c r="BC73" s="115"/>
      <c r="BD73" s="115"/>
      <c r="BE73" s="115"/>
      <c r="BF73" s="115"/>
      <c r="BG73" s="115"/>
      <c r="BH73" s="115"/>
      <c r="BI73" s="115"/>
    </row>
    <row r="74" spans="2:62" ht="15.75" customHeight="1" x14ac:dyDescent="0.25">
      <c r="BC74" s="115"/>
      <c r="BD74" s="115"/>
      <c r="BE74" s="115"/>
      <c r="BF74" s="115"/>
      <c r="BG74" s="115"/>
      <c r="BH74" s="115"/>
      <c r="BI74" s="115"/>
    </row>
    <row r="75" spans="2:62" ht="15.75" customHeight="1" x14ac:dyDescent="0.25">
      <c r="BC75" s="115"/>
      <c r="BD75" s="115"/>
      <c r="BE75" s="115"/>
      <c r="BF75" s="115"/>
      <c r="BG75" s="115"/>
      <c r="BH75" s="115"/>
      <c r="BI75" s="115"/>
    </row>
    <row r="76" spans="2:62" ht="15.75" customHeight="1" x14ac:dyDescent="0.25">
      <c r="BC76" s="115"/>
      <c r="BD76" s="115"/>
      <c r="BE76" s="115"/>
      <c r="BF76" s="115"/>
      <c r="BG76" s="115"/>
      <c r="BH76" s="115"/>
      <c r="BI76" s="115"/>
    </row>
    <row r="77" spans="2:62" ht="15.75" customHeight="1" x14ac:dyDescent="0.25">
      <c r="BC77" s="115"/>
      <c r="BD77" s="115"/>
      <c r="BE77" s="115"/>
      <c r="BF77" s="115"/>
      <c r="BG77" s="115"/>
      <c r="BH77" s="115"/>
      <c r="BI77" s="115"/>
    </row>
    <row r="78" spans="2:62" ht="15.75" customHeight="1" x14ac:dyDescent="0.25">
      <c r="BC78" s="115"/>
      <c r="BD78" s="115"/>
      <c r="BE78" s="115"/>
      <c r="BF78" s="115"/>
      <c r="BG78" s="115"/>
      <c r="BH78" s="115"/>
      <c r="BI78" s="115"/>
    </row>
    <row r="79" spans="2:62" ht="15.75" customHeight="1" x14ac:dyDescent="0.2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c r="AN79" s="115"/>
      <c r="AO79" s="115"/>
      <c r="AP79" s="115"/>
      <c r="AQ79" s="115"/>
      <c r="AR79" s="115"/>
      <c r="AS79" s="115"/>
      <c r="AT79" s="115"/>
      <c r="AU79" s="115"/>
      <c r="AV79" s="115"/>
      <c r="AW79" s="115"/>
      <c r="AX79" s="115"/>
      <c r="AY79" s="115"/>
      <c r="AZ79" s="115"/>
      <c r="BA79" s="115"/>
      <c r="BB79" s="115"/>
      <c r="BC79" s="115"/>
      <c r="BD79" s="115"/>
      <c r="BE79" s="115"/>
      <c r="BF79" s="115"/>
      <c r="BG79" s="115"/>
      <c r="BH79" s="115"/>
      <c r="BI79" s="115"/>
    </row>
    <row r="80" spans="2:62" ht="15.75" customHeight="1" x14ac:dyDescent="0.2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5"/>
      <c r="AY80" s="115"/>
      <c r="AZ80" s="115"/>
      <c r="BA80" s="115"/>
      <c r="BB80" s="115"/>
      <c r="BC80" s="115"/>
      <c r="BD80" s="115"/>
      <c r="BE80" s="115"/>
      <c r="BF80" s="115"/>
      <c r="BG80" s="115"/>
      <c r="BH80" s="115"/>
      <c r="BI80" s="115"/>
    </row>
    <row r="81" spans="2:61" ht="15.75" customHeight="1" x14ac:dyDescent="0.2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c r="BD81" s="115"/>
      <c r="BE81" s="115"/>
      <c r="BF81" s="115"/>
      <c r="BG81" s="115"/>
      <c r="BH81" s="115"/>
      <c r="BI81" s="115"/>
    </row>
    <row r="82" spans="2:61" ht="15.75" customHeight="1" x14ac:dyDescent="0.2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c r="BD82" s="115"/>
      <c r="BE82" s="115"/>
      <c r="BF82" s="115"/>
      <c r="BG82" s="115"/>
      <c r="BH82" s="115"/>
      <c r="BI82" s="115"/>
    </row>
    <row r="83" spans="2:61" ht="15.75" customHeight="1" x14ac:dyDescent="0.2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c r="AV83" s="115"/>
      <c r="AW83" s="115"/>
      <c r="AX83" s="115"/>
      <c r="AY83" s="115"/>
      <c r="AZ83" s="115"/>
      <c r="BA83" s="115"/>
      <c r="BB83" s="115"/>
      <c r="BC83" s="115"/>
      <c r="BD83" s="115"/>
      <c r="BE83" s="115"/>
      <c r="BF83" s="115"/>
      <c r="BG83" s="115"/>
      <c r="BH83" s="115"/>
      <c r="BI83" s="115"/>
    </row>
    <row r="84" spans="2:61" ht="15.75" customHeight="1" x14ac:dyDescent="0.2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c r="BI84" s="115"/>
    </row>
    <row r="85" spans="2:61" ht="15.75" customHeight="1" x14ac:dyDescent="0.2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c r="BG85" s="115"/>
      <c r="BH85" s="115"/>
      <c r="BI85" s="115"/>
    </row>
    <row r="86" spans="2:61" ht="15.75" customHeight="1" x14ac:dyDescent="0.2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c r="BG86" s="115"/>
      <c r="BH86" s="115"/>
      <c r="BI86" s="115"/>
    </row>
    <row r="87" spans="2:61" ht="15.75" customHeight="1" x14ac:dyDescent="0.2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c r="BG87" s="115"/>
      <c r="BH87" s="115"/>
      <c r="BI87" s="115"/>
    </row>
    <row r="88" spans="2:61" ht="15.75" customHeight="1" x14ac:dyDescent="0.2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c r="AN88" s="115"/>
      <c r="AO88" s="115"/>
      <c r="AP88" s="115"/>
      <c r="AQ88" s="115"/>
      <c r="AR88" s="115"/>
      <c r="AS88" s="115"/>
      <c r="AT88" s="115"/>
      <c r="AU88" s="115"/>
      <c r="AV88" s="115"/>
      <c r="AW88" s="115"/>
      <c r="AX88" s="115"/>
      <c r="AY88" s="115"/>
      <c r="AZ88" s="115"/>
      <c r="BA88" s="115"/>
      <c r="BB88" s="115"/>
      <c r="BC88" s="115"/>
      <c r="BD88" s="115"/>
      <c r="BE88" s="115"/>
      <c r="BF88" s="115"/>
      <c r="BG88" s="115"/>
      <c r="BH88" s="115"/>
      <c r="BI88" s="115"/>
    </row>
    <row r="89" spans="2:61" ht="15.75" customHeight="1" x14ac:dyDescent="0.2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c r="AN89" s="115"/>
      <c r="AO89" s="115"/>
      <c r="AP89" s="115"/>
      <c r="AQ89" s="115"/>
      <c r="AR89" s="115"/>
      <c r="AS89" s="115"/>
      <c r="AT89" s="115"/>
      <c r="AU89" s="115"/>
      <c r="AV89" s="115"/>
      <c r="AW89" s="115"/>
      <c r="AX89" s="115"/>
      <c r="AY89" s="115"/>
      <c r="AZ89" s="115"/>
      <c r="BA89" s="115"/>
      <c r="BB89" s="115"/>
      <c r="BC89" s="115"/>
      <c r="BD89" s="115"/>
      <c r="BE89" s="115"/>
      <c r="BF89" s="115"/>
      <c r="BG89" s="115"/>
      <c r="BH89" s="115"/>
      <c r="BI89" s="115"/>
    </row>
    <row r="90" spans="2:61" ht="15.75" customHeight="1" x14ac:dyDescent="0.2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c r="AP90" s="115"/>
      <c r="AQ90" s="115"/>
      <c r="AR90" s="115"/>
      <c r="AS90" s="115"/>
      <c r="AT90" s="115"/>
      <c r="AU90" s="115"/>
      <c r="AV90" s="115"/>
      <c r="AW90" s="115"/>
      <c r="AX90" s="115"/>
      <c r="AY90" s="115"/>
      <c r="AZ90" s="115"/>
      <c r="BA90" s="115"/>
      <c r="BB90" s="115"/>
      <c r="BC90" s="115"/>
      <c r="BD90" s="115"/>
      <c r="BE90" s="115"/>
      <c r="BF90" s="115"/>
      <c r="BG90" s="115"/>
      <c r="BH90" s="115"/>
      <c r="BI90" s="115"/>
    </row>
    <row r="91" spans="2:61" ht="15.75" customHeight="1" x14ac:dyDescent="0.2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c r="AP91" s="115"/>
      <c r="AQ91" s="115"/>
      <c r="AR91" s="115"/>
      <c r="AS91" s="115"/>
      <c r="AT91" s="115"/>
      <c r="AU91" s="115"/>
      <c r="AV91" s="115"/>
      <c r="AW91" s="115"/>
      <c r="AX91" s="115"/>
      <c r="AY91" s="115"/>
      <c r="AZ91" s="115"/>
      <c r="BA91" s="115"/>
      <c r="BB91" s="115"/>
      <c r="BC91" s="115"/>
      <c r="BD91" s="115"/>
      <c r="BE91" s="115"/>
      <c r="BF91" s="115"/>
      <c r="BG91" s="115"/>
      <c r="BH91" s="115"/>
      <c r="BI91" s="115"/>
    </row>
    <row r="92" spans="2:61" ht="15.75" customHeight="1" x14ac:dyDescent="0.2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5"/>
      <c r="BF92" s="115"/>
      <c r="BG92" s="115"/>
      <c r="BH92" s="115"/>
      <c r="BI92" s="115"/>
    </row>
    <row r="93" spans="2:61" ht="15.75" customHeight="1" x14ac:dyDescent="0.2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115"/>
      <c r="AQ93" s="115"/>
      <c r="AR93" s="115"/>
      <c r="AS93" s="115"/>
      <c r="AT93" s="115"/>
      <c r="AU93" s="115"/>
      <c r="AV93" s="115"/>
      <c r="AW93" s="115"/>
      <c r="AX93" s="115"/>
      <c r="AY93" s="115"/>
      <c r="AZ93" s="115"/>
      <c r="BA93" s="115"/>
      <c r="BB93" s="115"/>
      <c r="BC93" s="115"/>
      <c r="BD93" s="115"/>
      <c r="BE93" s="115"/>
      <c r="BF93" s="115"/>
      <c r="BG93" s="115"/>
      <c r="BH93" s="115"/>
      <c r="BI93" s="115"/>
    </row>
    <row r="94" spans="2:61" ht="15.75" customHeight="1" x14ac:dyDescent="0.2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c r="BG94" s="115"/>
      <c r="BH94" s="115"/>
      <c r="BI94" s="115"/>
    </row>
    <row r="95" spans="2:61" ht="15.75" customHeight="1" x14ac:dyDescent="0.25">
      <c r="B95" s="115"/>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c r="BG95" s="115"/>
      <c r="BH95" s="115"/>
      <c r="BI95" s="115"/>
    </row>
    <row r="96" spans="2:61" ht="15.75" customHeight="1" x14ac:dyDescent="0.25">
      <c r="B96" s="115"/>
      <c r="C96" s="115"/>
      <c r="D96" s="115"/>
      <c r="E96" s="115"/>
      <c r="F96" s="115"/>
      <c r="G96" s="115"/>
      <c r="H96" s="115"/>
      <c r="I96" s="115"/>
      <c r="J96" s="115"/>
      <c r="K96" s="115"/>
      <c r="L96" s="115"/>
      <c r="M96" s="115"/>
      <c r="N96" s="115"/>
      <c r="O96" s="115"/>
      <c r="P96" s="115"/>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c r="AN96" s="115"/>
      <c r="AO96" s="115"/>
      <c r="AP96" s="115"/>
      <c r="AQ96" s="115"/>
      <c r="AR96" s="115"/>
      <c r="AS96" s="115"/>
      <c r="AT96" s="115"/>
      <c r="AU96" s="115"/>
      <c r="AV96" s="115"/>
      <c r="AW96" s="115"/>
      <c r="AX96" s="115"/>
      <c r="AY96" s="115"/>
      <c r="AZ96" s="115"/>
      <c r="BA96" s="115"/>
      <c r="BB96" s="115"/>
      <c r="BC96" s="115"/>
      <c r="BD96" s="115"/>
      <c r="BE96" s="115"/>
      <c r="BF96" s="115"/>
      <c r="BG96" s="115"/>
      <c r="BH96" s="115"/>
      <c r="BI96" s="115"/>
    </row>
    <row r="97" spans="2:61" ht="15.75" customHeight="1" x14ac:dyDescent="0.25">
      <c r="B97" s="115"/>
      <c r="C97" s="115"/>
      <c r="D97" s="115"/>
      <c r="E97" s="115"/>
      <c r="F97" s="115"/>
      <c r="G97" s="115"/>
      <c r="H97" s="115"/>
      <c r="I97" s="115"/>
      <c r="J97" s="115"/>
      <c r="K97" s="115"/>
      <c r="L97" s="115"/>
      <c r="M97" s="115"/>
      <c r="N97" s="115"/>
      <c r="O97" s="115"/>
      <c r="P97" s="115"/>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c r="AN97" s="115"/>
      <c r="AO97" s="115"/>
      <c r="AP97" s="115"/>
      <c r="AQ97" s="115"/>
      <c r="AR97" s="115"/>
      <c r="AS97" s="115"/>
      <c r="AT97" s="115"/>
      <c r="AU97" s="115"/>
      <c r="AV97" s="115"/>
      <c r="AW97" s="115"/>
      <c r="AX97" s="115"/>
      <c r="AY97" s="115"/>
      <c r="AZ97" s="115"/>
      <c r="BA97" s="115"/>
      <c r="BB97" s="115"/>
      <c r="BC97" s="115"/>
      <c r="BD97" s="115"/>
      <c r="BE97" s="115"/>
      <c r="BF97" s="115"/>
      <c r="BG97" s="115"/>
      <c r="BH97" s="115"/>
      <c r="BI97" s="115"/>
    </row>
    <row r="98" spans="2:61" ht="15.75" customHeight="1" x14ac:dyDescent="0.25">
      <c r="B98" s="115"/>
      <c r="C98" s="115"/>
      <c r="D98" s="115"/>
      <c r="E98" s="115"/>
      <c r="F98" s="115"/>
      <c r="G98" s="115"/>
      <c r="H98" s="115"/>
      <c r="I98" s="115"/>
      <c r="J98" s="115"/>
      <c r="K98" s="115"/>
      <c r="L98" s="115"/>
      <c r="M98" s="115"/>
      <c r="N98" s="115"/>
      <c r="O98" s="115"/>
      <c r="P98" s="115"/>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c r="AN98" s="115"/>
      <c r="AO98" s="115"/>
      <c r="AP98" s="115"/>
      <c r="AQ98" s="115"/>
      <c r="AR98" s="115"/>
      <c r="AS98" s="115"/>
      <c r="AT98" s="115"/>
      <c r="AU98" s="115"/>
      <c r="AV98" s="115"/>
      <c r="AW98" s="115"/>
      <c r="AX98" s="115"/>
      <c r="AY98" s="115"/>
      <c r="AZ98" s="115"/>
      <c r="BA98" s="115"/>
      <c r="BB98" s="115"/>
      <c r="BC98" s="115"/>
      <c r="BD98" s="115"/>
      <c r="BE98" s="115"/>
      <c r="BF98" s="115"/>
      <c r="BG98" s="115"/>
      <c r="BH98" s="115"/>
      <c r="BI98" s="115"/>
    </row>
    <row r="99" spans="2:61" ht="15.75" customHeight="1" x14ac:dyDescent="0.25">
      <c r="B99" s="115"/>
      <c r="C99" s="115"/>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c r="BF99" s="115"/>
      <c r="BG99" s="115"/>
      <c r="BH99" s="115"/>
      <c r="BI99" s="115"/>
    </row>
    <row r="100" spans="2:61" ht="15.75" customHeight="1" x14ac:dyDescent="0.25">
      <c r="B100" s="115"/>
      <c r="C100" s="115"/>
      <c r="D100" s="115"/>
      <c r="E100" s="115"/>
      <c r="F100" s="115"/>
      <c r="G100" s="115"/>
      <c r="H100" s="115"/>
      <c r="I100" s="115"/>
      <c r="J100" s="115"/>
      <c r="K100" s="115"/>
      <c r="L100" s="115"/>
      <c r="M100" s="115"/>
      <c r="N100" s="115"/>
      <c r="O100" s="115"/>
      <c r="P100" s="115"/>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c r="AN100" s="115"/>
      <c r="AO100" s="115"/>
      <c r="AP100" s="115"/>
      <c r="AQ100" s="115"/>
      <c r="AR100" s="115"/>
      <c r="AS100" s="115"/>
      <c r="AT100" s="115"/>
      <c r="AU100" s="115"/>
      <c r="AV100" s="115"/>
      <c r="AW100" s="115"/>
      <c r="AX100" s="115"/>
      <c r="AY100" s="115"/>
      <c r="AZ100" s="115"/>
      <c r="BA100" s="115"/>
      <c r="BB100" s="115"/>
      <c r="BC100" s="115"/>
      <c r="BD100" s="115"/>
      <c r="BE100" s="115"/>
      <c r="BF100" s="115"/>
      <c r="BG100" s="115"/>
      <c r="BH100" s="115"/>
      <c r="BI100" s="115"/>
    </row>
    <row r="101" spans="2:61" ht="15.75" customHeight="1" x14ac:dyDescent="0.25">
      <c r="B101" s="115"/>
      <c r="C101" s="115"/>
      <c r="D101" s="115"/>
      <c r="E101" s="115"/>
      <c r="F101" s="115"/>
      <c r="G101" s="115"/>
      <c r="H101" s="115"/>
      <c r="I101" s="115"/>
      <c r="J101" s="115"/>
      <c r="K101" s="115"/>
      <c r="L101" s="115"/>
      <c r="M101" s="115"/>
      <c r="N101" s="115"/>
      <c r="O101" s="115"/>
      <c r="P101" s="115"/>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c r="AN101" s="115"/>
      <c r="AO101" s="115"/>
      <c r="AP101" s="115"/>
      <c r="AQ101" s="115"/>
      <c r="AR101" s="115"/>
      <c r="AS101" s="115"/>
      <c r="AT101" s="115"/>
      <c r="AU101" s="115"/>
      <c r="AV101" s="115"/>
      <c r="AW101" s="115"/>
      <c r="AX101" s="115"/>
      <c r="AY101" s="115"/>
      <c r="AZ101" s="115"/>
      <c r="BA101" s="115"/>
      <c r="BB101" s="115"/>
      <c r="BC101" s="115"/>
      <c r="BD101" s="115"/>
      <c r="BE101" s="115"/>
      <c r="BF101" s="115"/>
      <c r="BG101" s="115"/>
      <c r="BH101" s="115"/>
      <c r="BI101" s="115"/>
    </row>
    <row r="102" spans="2:61" ht="15.75" customHeight="1" x14ac:dyDescent="0.2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c r="BG102" s="115"/>
      <c r="BH102" s="115"/>
      <c r="BI102" s="115"/>
    </row>
    <row r="103" spans="2:61" ht="15.75" customHeight="1" x14ac:dyDescent="0.25">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5"/>
      <c r="AT103" s="115"/>
      <c r="AU103" s="115"/>
      <c r="AV103" s="115"/>
      <c r="AW103" s="115"/>
      <c r="AX103" s="115"/>
      <c r="AY103" s="115"/>
      <c r="AZ103" s="115"/>
      <c r="BA103" s="115"/>
      <c r="BB103" s="115"/>
      <c r="BC103" s="115"/>
      <c r="BD103" s="115"/>
      <c r="BE103" s="115"/>
      <c r="BF103" s="115"/>
      <c r="BG103" s="115"/>
      <c r="BH103" s="115"/>
      <c r="BI103" s="115"/>
    </row>
    <row r="104" spans="2:61" ht="15.75" customHeight="1" x14ac:dyDescent="0.25">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c r="BG104" s="115"/>
      <c r="BH104" s="115"/>
      <c r="BI104" s="115"/>
    </row>
    <row r="105" spans="2:61" ht="15.75" customHeight="1" x14ac:dyDescent="0.25">
      <c r="B105" s="115"/>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15"/>
      <c r="BF105" s="115"/>
      <c r="BG105" s="115"/>
      <c r="BH105" s="115"/>
      <c r="BI105" s="115"/>
    </row>
    <row r="106" spans="2:61" ht="15.75" customHeight="1" x14ac:dyDescent="0.25">
      <c r="B106" s="115"/>
      <c r="C106" s="115"/>
      <c r="D106" s="115"/>
      <c r="E106" s="115"/>
      <c r="F106" s="115"/>
      <c r="G106" s="115"/>
      <c r="H106" s="115"/>
      <c r="I106" s="115"/>
      <c r="J106" s="115"/>
      <c r="K106" s="115"/>
      <c r="L106" s="115"/>
      <c r="M106" s="115"/>
      <c r="N106" s="115"/>
      <c r="O106" s="115"/>
      <c r="P106" s="115"/>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5"/>
      <c r="AT106" s="115"/>
      <c r="AU106" s="115"/>
      <c r="AV106" s="115"/>
      <c r="AW106" s="115"/>
      <c r="AX106" s="115"/>
      <c r="AY106" s="115"/>
      <c r="AZ106" s="115"/>
      <c r="BA106" s="115"/>
      <c r="BB106" s="115"/>
      <c r="BC106" s="115"/>
      <c r="BD106" s="115"/>
      <c r="BE106" s="115"/>
      <c r="BF106" s="115"/>
      <c r="BG106" s="115"/>
      <c r="BH106" s="115"/>
      <c r="BI106" s="115"/>
    </row>
    <row r="107" spans="2:61" ht="15.75" customHeight="1" x14ac:dyDescent="0.25">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115"/>
      <c r="BI107" s="115"/>
    </row>
    <row r="108" spans="2:61" ht="15.75" customHeight="1" x14ac:dyDescent="0.2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c r="AN108" s="115"/>
      <c r="AO108" s="115"/>
      <c r="AP108" s="115"/>
      <c r="AQ108" s="115"/>
      <c r="AR108" s="115"/>
      <c r="AS108" s="115"/>
      <c r="AT108" s="115"/>
      <c r="AU108" s="115"/>
      <c r="AV108" s="115"/>
      <c r="AW108" s="115"/>
      <c r="AX108" s="115"/>
      <c r="AY108" s="115"/>
      <c r="AZ108" s="115"/>
      <c r="BA108" s="115"/>
      <c r="BB108" s="115"/>
      <c r="BC108" s="115"/>
      <c r="BD108" s="115"/>
      <c r="BE108" s="115"/>
      <c r="BF108" s="115"/>
      <c r="BG108" s="115"/>
      <c r="BH108" s="115"/>
      <c r="BI108" s="115"/>
    </row>
    <row r="109" spans="2:61" ht="15.75" customHeight="1" x14ac:dyDescent="0.25">
      <c r="B109" s="115"/>
      <c r="C109" s="115"/>
      <c r="D109" s="115"/>
      <c r="E109" s="115"/>
      <c r="F109" s="115"/>
      <c r="G109" s="115"/>
      <c r="H109" s="115"/>
      <c r="I109" s="115"/>
      <c r="J109" s="115"/>
      <c r="K109" s="115"/>
      <c r="L109" s="115"/>
      <c r="M109" s="115"/>
      <c r="N109" s="115"/>
      <c r="O109" s="115"/>
      <c r="P109" s="115"/>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c r="AN109" s="115"/>
      <c r="AO109" s="115"/>
      <c r="AP109" s="115"/>
      <c r="AQ109" s="115"/>
      <c r="AR109" s="115"/>
      <c r="AS109" s="115"/>
      <c r="AT109" s="115"/>
      <c r="AU109" s="115"/>
      <c r="AV109" s="115"/>
      <c r="AW109" s="115"/>
      <c r="AX109" s="115"/>
      <c r="AY109" s="115"/>
      <c r="AZ109" s="115"/>
      <c r="BA109" s="115"/>
      <c r="BB109" s="115"/>
      <c r="BC109" s="115"/>
      <c r="BD109" s="115"/>
      <c r="BE109" s="115"/>
      <c r="BF109" s="115"/>
      <c r="BG109" s="115"/>
      <c r="BH109" s="115"/>
      <c r="BI109" s="115"/>
    </row>
    <row r="110" spans="2:61" ht="15.75" customHeight="1" x14ac:dyDescent="0.25">
      <c r="B110" s="115"/>
      <c r="C110" s="115"/>
      <c r="D110" s="115"/>
      <c r="E110" s="115"/>
      <c r="F110" s="115"/>
      <c r="G110" s="115"/>
      <c r="H110" s="115"/>
      <c r="I110" s="115"/>
      <c r="J110" s="115"/>
      <c r="K110" s="115"/>
      <c r="L110" s="115"/>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115"/>
      <c r="BH110" s="115"/>
      <c r="BI110" s="115"/>
    </row>
    <row r="111" spans="2:61" ht="15.75" customHeight="1" x14ac:dyDescent="0.25">
      <c r="B111" s="115"/>
      <c r="C111" s="115"/>
      <c r="D111" s="115"/>
      <c r="E111" s="115"/>
      <c r="F111" s="115"/>
      <c r="G111" s="115"/>
      <c r="H111" s="115"/>
      <c r="I111" s="115"/>
      <c r="J111" s="115"/>
      <c r="K111" s="115"/>
      <c r="L111" s="115"/>
      <c r="M111" s="115"/>
      <c r="N111" s="115"/>
      <c r="O111" s="115"/>
      <c r="P111" s="115"/>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c r="AN111" s="115"/>
      <c r="AO111" s="115"/>
      <c r="AP111" s="115"/>
      <c r="AQ111" s="115"/>
      <c r="AR111" s="115"/>
      <c r="AS111" s="115"/>
      <c r="AT111" s="115"/>
      <c r="AU111" s="115"/>
      <c r="AV111" s="115"/>
      <c r="AW111" s="115"/>
      <c r="AX111" s="115"/>
      <c r="AY111" s="115"/>
      <c r="AZ111" s="115"/>
      <c r="BA111" s="115"/>
      <c r="BB111" s="115"/>
      <c r="BC111" s="115"/>
      <c r="BD111" s="115"/>
      <c r="BE111" s="115"/>
      <c r="BF111" s="115"/>
      <c r="BG111" s="115"/>
      <c r="BH111" s="115"/>
      <c r="BI111" s="115"/>
    </row>
    <row r="112" spans="2:61" ht="15.75" customHeight="1" x14ac:dyDescent="0.25">
      <c r="B112" s="115"/>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15"/>
      <c r="BF112" s="115"/>
      <c r="BG112" s="115"/>
      <c r="BH112" s="115"/>
      <c r="BI112" s="115"/>
    </row>
    <row r="113" spans="2:61" ht="15.75" customHeight="1" x14ac:dyDescent="0.25">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c r="AN113" s="115"/>
      <c r="AO113" s="115"/>
      <c r="AP113" s="115"/>
      <c r="AQ113" s="115"/>
      <c r="AR113" s="115"/>
      <c r="AS113" s="115"/>
      <c r="AT113" s="115"/>
      <c r="AU113" s="115"/>
      <c r="AV113" s="115"/>
      <c r="AW113" s="115"/>
      <c r="AX113" s="115"/>
      <c r="AY113" s="115"/>
      <c r="AZ113" s="115"/>
      <c r="BA113" s="115"/>
      <c r="BB113" s="115"/>
      <c r="BC113" s="115"/>
      <c r="BD113" s="115"/>
      <c r="BE113" s="115"/>
      <c r="BF113" s="115"/>
      <c r="BG113" s="115"/>
      <c r="BH113" s="115"/>
      <c r="BI113" s="115"/>
    </row>
    <row r="114" spans="2:61" ht="15.75" customHeight="1" x14ac:dyDescent="0.25">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15"/>
      <c r="AY114" s="115"/>
      <c r="AZ114" s="115"/>
      <c r="BA114" s="115"/>
      <c r="BB114" s="115"/>
      <c r="BC114" s="115"/>
      <c r="BD114" s="115"/>
      <c r="BE114" s="115"/>
      <c r="BF114" s="115"/>
      <c r="BG114" s="115"/>
      <c r="BH114" s="115"/>
      <c r="BI114" s="115"/>
    </row>
    <row r="115" spans="2:61" ht="15.75" customHeight="1" x14ac:dyDescent="0.25">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c r="AN115" s="115"/>
      <c r="AO115" s="115"/>
      <c r="AP115" s="115"/>
      <c r="AQ115" s="115"/>
      <c r="AR115" s="115"/>
      <c r="AS115" s="115"/>
      <c r="AT115" s="115"/>
      <c r="AU115" s="115"/>
      <c r="AV115" s="115"/>
      <c r="AW115" s="115"/>
      <c r="AX115" s="115"/>
      <c r="AY115" s="115"/>
      <c r="AZ115" s="115"/>
      <c r="BA115" s="115"/>
      <c r="BB115" s="115"/>
      <c r="BC115" s="115"/>
      <c r="BD115" s="115"/>
      <c r="BE115" s="115"/>
      <c r="BF115" s="115"/>
      <c r="BG115" s="115"/>
      <c r="BH115" s="115"/>
      <c r="BI115" s="115"/>
    </row>
    <row r="116" spans="2:61" ht="15.75" customHeight="1" x14ac:dyDescent="0.25">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5"/>
      <c r="BF116" s="115"/>
      <c r="BG116" s="115"/>
      <c r="BH116" s="115"/>
      <c r="BI116" s="115"/>
    </row>
    <row r="117" spans="2:61" ht="15.75" customHeight="1" x14ac:dyDescent="0.25">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c r="AN117" s="115"/>
      <c r="AO117" s="115"/>
      <c r="AP117" s="115"/>
      <c r="AQ117" s="115"/>
      <c r="AR117" s="115"/>
      <c r="AS117" s="115"/>
      <c r="AT117" s="115"/>
      <c r="AU117" s="115"/>
      <c r="AV117" s="115"/>
      <c r="AW117" s="115"/>
      <c r="AX117" s="115"/>
      <c r="AY117" s="115"/>
      <c r="AZ117" s="115"/>
      <c r="BA117" s="115"/>
      <c r="BB117" s="115"/>
      <c r="BC117" s="115"/>
      <c r="BD117" s="115"/>
      <c r="BE117" s="115"/>
      <c r="BF117" s="115"/>
      <c r="BG117" s="115"/>
      <c r="BH117" s="115"/>
      <c r="BI117" s="115"/>
    </row>
    <row r="118" spans="2:61" ht="15.75" customHeight="1" x14ac:dyDescent="0.25">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c r="BG118" s="115"/>
      <c r="BH118" s="115"/>
      <c r="BI118" s="115"/>
    </row>
    <row r="119" spans="2:61" ht="15.75" customHeight="1" x14ac:dyDescent="0.25">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15"/>
      <c r="BF119" s="115"/>
      <c r="BG119" s="115"/>
      <c r="BH119" s="115"/>
      <c r="BI119" s="115"/>
    </row>
    <row r="120" spans="2:61" ht="15.75" customHeight="1" x14ac:dyDescent="0.25">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W120" s="115"/>
      <c r="AX120" s="115"/>
      <c r="AY120" s="115"/>
      <c r="AZ120" s="115"/>
      <c r="BA120" s="115"/>
      <c r="BB120" s="115"/>
      <c r="BC120" s="115"/>
      <c r="BD120" s="115"/>
      <c r="BE120" s="115"/>
      <c r="BF120" s="115"/>
      <c r="BG120" s="115"/>
      <c r="BH120" s="115"/>
      <c r="BI120" s="115"/>
    </row>
    <row r="121" spans="2:61" ht="15.75" customHeight="1" x14ac:dyDescent="0.2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W121" s="115"/>
      <c r="AX121" s="115"/>
      <c r="AY121" s="115"/>
      <c r="AZ121" s="115"/>
      <c r="BA121" s="115"/>
      <c r="BB121" s="115"/>
      <c r="BC121" s="115"/>
      <c r="BD121" s="115"/>
      <c r="BE121" s="115"/>
      <c r="BF121" s="115"/>
      <c r="BG121" s="115"/>
      <c r="BH121" s="115"/>
      <c r="BI121" s="115"/>
    </row>
    <row r="122" spans="2:61" ht="15.75" customHeight="1" x14ac:dyDescent="0.25">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115"/>
      <c r="BF122" s="115"/>
      <c r="BG122" s="115"/>
      <c r="BH122" s="115"/>
      <c r="BI122" s="115"/>
    </row>
    <row r="123" spans="2:61" ht="15.75" customHeight="1" x14ac:dyDescent="0.25">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c r="AN123" s="115"/>
      <c r="AO123" s="115"/>
      <c r="AP123" s="115"/>
      <c r="AQ123" s="115"/>
      <c r="AR123" s="115"/>
      <c r="AS123" s="115"/>
      <c r="AT123" s="115"/>
      <c r="AU123" s="115"/>
      <c r="AV123" s="115"/>
      <c r="AW123" s="115"/>
      <c r="AX123" s="115"/>
      <c r="AY123" s="115"/>
      <c r="AZ123" s="115"/>
      <c r="BA123" s="115"/>
      <c r="BB123" s="115"/>
      <c r="BC123" s="115"/>
      <c r="BD123" s="115"/>
      <c r="BE123" s="115"/>
      <c r="BF123" s="115"/>
      <c r="BG123" s="115"/>
      <c r="BH123" s="115"/>
      <c r="BI123" s="115"/>
    </row>
    <row r="124" spans="2:61" ht="15.75" customHeight="1" x14ac:dyDescent="0.25">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115"/>
      <c r="BH124" s="115"/>
      <c r="BI124" s="115"/>
    </row>
    <row r="125" spans="2:61" ht="15.75" customHeight="1" x14ac:dyDescent="0.25">
      <c r="B125" s="115"/>
      <c r="C125" s="115"/>
      <c r="D125" s="115"/>
      <c r="E125" s="115"/>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c r="BI125" s="115"/>
    </row>
    <row r="126" spans="2:61" ht="15.75" customHeight="1" x14ac:dyDescent="0.2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5"/>
      <c r="BF126" s="115"/>
      <c r="BG126" s="115"/>
      <c r="BH126" s="115"/>
      <c r="BI126" s="115"/>
    </row>
    <row r="127" spans="2:61" ht="15.75" customHeight="1" x14ac:dyDescent="0.25">
      <c r="B127" s="115"/>
      <c r="C127" s="115"/>
      <c r="D127" s="115"/>
      <c r="E127" s="115"/>
      <c r="F127" s="115"/>
      <c r="G127" s="115"/>
      <c r="H127" s="115"/>
      <c r="I127" s="115"/>
      <c r="J127" s="115"/>
      <c r="K127" s="115"/>
      <c r="L127" s="115"/>
      <c r="M127" s="115"/>
      <c r="N127" s="115"/>
      <c r="O127" s="115"/>
      <c r="P127" s="115"/>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c r="AN127" s="115"/>
      <c r="AO127" s="115"/>
      <c r="AP127" s="115"/>
      <c r="AQ127" s="115"/>
      <c r="AR127" s="115"/>
      <c r="AS127" s="115"/>
      <c r="AT127" s="115"/>
      <c r="AU127" s="115"/>
      <c r="AV127" s="115"/>
      <c r="AW127" s="115"/>
      <c r="AX127" s="115"/>
      <c r="AY127" s="115"/>
      <c r="AZ127" s="115"/>
      <c r="BA127" s="115"/>
      <c r="BB127" s="115"/>
      <c r="BC127" s="115"/>
      <c r="BD127" s="115"/>
      <c r="BE127" s="115"/>
      <c r="BF127" s="115"/>
      <c r="BG127" s="115"/>
      <c r="BH127" s="115"/>
      <c r="BI127" s="115"/>
    </row>
    <row r="128" spans="2:61" ht="15.75" customHeight="1" x14ac:dyDescent="0.25">
      <c r="B128" s="115"/>
      <c r="C128" s="115"/>
      <c r="D128" s="115"/>
      <c r="E128" s="115"/>
      <c r="F128" s="115"/>
      <c r="G128" s="115"/>
      <c r="H128" s="115"/>
      <c r="I128" s="115"/>
      <c r="J128" s="115"/>
      <c r="K128" s="115"/>
      <c r="L128" s="115"/>
      <c r="M128" s="115"/>
      <c r="N128" s="115"/>
      <c r="O128" s="115"/>
      <c r="P128" s="115"/>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c r="AN128" s="115"/>
      <c r="AO128" s="115"/>
      <c r="AP128" s="115"/>
      <c r="AQ128" s="115"/>
      <c r="AR128" s="115"/>
      <c r="AS128" s="115"/>
      <c r="AT128" s="115"/>
      <c r="AU128" s="115"/>
      <c r="AV128" s="115"/>
      <c r="AW128" s="115"/>
      <c r="AX128" s="115"/>
      <c r="AY128" s="115"/>
      <c r="AZ128" s="115"/>
      <c r="BA128" s="115"/>
      <c r="BB128" s="115"/>
      <c r="BC128" s="115"/>
      <c r="BD128" s="115"/>
      <c r="BE128" s="115"/>
      <c r="BF128" s="115"/>
      <c r="BG128" s="115"/>
      <c r="BH128" s="115"/>
      <c r="BI128" s="115"/>
    </row>
    <row r="129" spans="2:61" ht="15.75" customHeight="1" x14ac:dyDescent="0.2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c r="BG129" s="115"/>
      <c r="BH129" s="115"/>
      <c r="BI129" s="115"/>
    </row>
    <row r="130" spans="2:61" ht="15.75" customHeight="1" x14ac:dyDescent="0.25">
      <c r="B130" s="115"/>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15"/>
      <c r="BF130" s="115"/>
      <c r="BG130" s="115"/>
      <c r="BH130" s="115"/>
      <c r="BI130" s="115"/>
    </row>
    <row r="131" spans="2:61" ht="15.75" customHeight="1" x14ac:dyDescent="0.25">
      <c r="B131" s="115"/>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c r="AN131" s="115"/>
      <c r="AO131" s="115"/>
      <c r="AP131" s="115"/>
      <c r="AQ131" s="115"/>
      <c r="AR131" s="115"/>
      <c r="AS131" s="115"/>
      <c r="AT131" s="115"/>
      <c r="AU131" s="115"/>
      <c r="AV131" s="115"/>
      <c r="AW131" s="115"/>
      <c r="AX131" s="115"/>
      <c r="AY131" s="115"/>
      <c r="AZ131" s="115"/>
      <c r="BA131" s="115"/>
      <c r="BB131" s="115"/>
      <c r="BC131" s="115"/>
      <c r="BD131" s="115"/>
      <c r="BE131" s="115"/>
      <c r="BF131" s="115"/>
      <c r="BG131" s="115"/>
      <c r="BH131" s="115"/>
      <c r="BI131" s="115"/>
    </row>
    <row r="132" spans="2:61" ht="15.75" customHeight="1" x14ac:dyDescent="0.2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c r="BI132" s="115"/>
    </row>
    <row r="133" spans="2:61" ht="15.75" customHeight="1" x14ac:dyDescent="0.2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c r="AN133" s="115"/>
      <c r="AO133" s="115"/>
      <c r="AP133" s="115"/>
      <c r="AQ133" s="115"/>
      <c r="AR133" s="115"/>
      <c r="AS133" s="115"/>
      <c r="AT133" s="115"/>
      <c r="AU133" s="115"/>
      <c r="AV133" s="115"/>
      <c r="AW133" s="115"/>
      <c r="AX133" s="115"/>
      <c r="AY133" s="115"/>
      <c r="AZ133" s="115"/>
      <c r="BA133" s="115"/>
      <c r="BB133" s="115"/>
      <c r="BC133" s="115"/>
      <c r="BD133" s="115"/>
      <c r="BE133" s="115"/>
      <c r="BF133" s="115"/>
      <c r="BG133" s="115"/>
      <c r="BH133" s="115"/>
      <c r="BI133" s="115"/>
    </row>
    <row r="134" spans="2:61" ht="15.75" customHeight="1" x14ac:dyDescent="0.25">
      <c r="B134" s="115"/>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c r="BF134" s="115"/>
      <c r="BG134" s="115"/>
      <c r="BH134" s="115"/>
      <c r="BI134" s="115"/>
    </row>
    <row r="135" spans="2:61" ht="15.75" customHeight="1" x14ac:dyDescent="0.25">
      <c r="B135" s="115"/>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115"/>
      <c r="BH135" s="115"/>
      <c r="BI135" s="115"/>
    </row>
    <row r="136" spans="2:61" ht="15.75" customHeight="1" x14ac:dyDescent="0.25">
      <c r="B136" s="115"/>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c r="AN136" s="115"/>
      <c r="AO136" s="115"/>
      <c r="AP136" s="115"/>
      <c r="AQ136" s="115"/>
      <c r="AR136" s="115"/>
      <c r="AS136" s="115"/>
      <c r="AT136" s="115"/>
      <c r="AU136" s="115"/>
      <c r="AV136" s="115"/>
      <c r="AW136" s="115"/>
      <c r="AX136" s="115"/>
      <c r="AY136" s="115"/>
      <c r="AZ136" s="115"/>
      <c r="BA136" s="115"/>
      <c r="BB136" s="115"/>
      <c r="BC136" s="115"/>
      <c r="BD136" s="115"/>
      <c r="BE136" s="115"/>
      <c r="BF136" s="115"/>
      <c r="BG136" s="115"/>
      <c r="BH136" s="115"/>
      <c r="BI136" s="115"/>
    </row>
    <row r="137" spans="2:61" ht="15.75" customHeight="1" x14ac:dyDescent="0.25">
      <c r="B137" s="115"/>
      <c r="C137" s="115"/>
      <c r="D137" s="115"/>
      <c r="E137" s="115"/>
      <c r="F137" s="115"/>
      <c r="G137" s="115"/>
      <c r="H137" s="115"/>
      <c r="I137" s="115"/>
      <c r="J137" s="115"/>
      <c r="K137" s="115"/>
      <c r="L137" s="115"/>
      <c r="M137" s="115"/>
      <c r="N137" s="115"/>
      <c r="O137" s="115"/>
      <c r="P137" s="115"/>
      <c r="Q137" s="115"/>
      <c r="R137" s="115"/>
      <c r="S137" s="115"/>
      <c r="T137" s="115"/>
      <c r="U137" s="115"/>
      <c r="V137" s="115"/>
      <c r="W137" s="115"/>
      <c r="X137" s="115"/>
      <c r="Y137" s="115"/>
      <c r="Z137" s="115"/>
      <c r="AA137" s="115"/>
      <c r="AB137" s="115"/>
      <c r="AC137" s="115"/>
      <c r="AD137" s="115"/>
      <c r="AE137" s="115"/>
      <c r="AF137" s="115"/>
      <c r="AG137" s="115"/>
      <c r="AH137" s="115"/>
      <c r="AI137" s="115"/>
      <c r="AJ137" s="115"/>
      <c r="AK137" s="115"/>
      <c r="AL137" s="115"/>
      <c r="AM137" s="115"/>
      <c r="AN137" s="115"/>
      <c r="AO137" s="115"/>
      <c r="AP137" s="115"/>
      <c r="AQ137" s="115"/>
      <c r="AR137" s="115"/>
      <c r="AS137" s="115"/>
      <c r="AT137" s="115"/>
      <c r="AU137" s="115"/>
      <c r="AV137" s="115"/>
      <c r="AW137" s="115"/>
      <c r="AX137" s="115"/>
      <c r="AY137" s="115"/>
      <c r="AZ137" s="115"/>
      <c r="BA137" s="115"/>
      <c r="BB137" s="115"/>
      <c r="BC137" s="115"/>
      <c r="BD137" s="115"/>
      <c r="BE137" s="115"/>
      <c r="BF137" s="115"/>
      <c r="BG137" s="115"/>
      <c r="BH137" s="115"/>
      <c r="BI137" s="115"/>
    </row>
    <row r="138" spans="2:61" ht="15.75" customHeight="1" x14ac:dyDescent="0.25">
      <c r="B138" s="115"/>
      <c r="C138" s="115"/>
      <c r="D138" s="115"/>
      <c r="E138" s="115"/>
      <c r="F138" s="115"/>
      <c r="G138" s="115"/>
      <c r="H138" s="115"/>
      <c r="I138" s="115"/>
      <c r="J138" s="115"/>
      <c r="K138" s="115"/>
      <c r="L138" s="115"/>
      <c r="M138" s="115"/>
      <c r="N138" s="115"/>
      <c r="O138" s="115"/>
      <c r="P138" s="115"/>
      <c r="Q138" s="115"/>
      <c r="R138" s="115"/>
      <c r="S138" s="115"/>
      <c r="T138" s="115"/>
      <c r="U138" s="115"/>
      <c r="V138" s="115"/>
      <c r="W138" s="115"/>
      <c r="X138" s="115"/>
      <c r="Y138" s="115"/>
      <c r="Z138" s="115"/>
      <c r="AA138" s="115"/>
      <c r="AB138" s="115"/>
      <c r="AC138" s="115"/>
      <c r="AD138" s="115"/>
      <c r="AE138" s="115"/>
      <c r="AF138" s="115"/>
      <c r="AG138" s="115"/>
      <c r="AH138" s="115"/>
      <c r="AI138" s="115"/>
      <c r="AJ138" s="115"/>
      <c r="AK138" s="115"/>
      <c r="AL138" s="115"/>
      <c r="AM138" s="115"/>
      <c r="AN138" s="115"/>
      <c r="AO138" s="115"/>
      <c r="AP138" s="115"/>
      <c r="AQ138" s="115"/>
      <c r="AR138" s="115"/>
      <c r="AS138" s="115"/>
      <c r="AT138" s="115"/>
      <c r="AU138" s="115"/>
      <c r="AV138" s="115"/>
      <c r="AW138" s="115"/>
      <c r="AX138" s="115"/>
      <c r="AY138" s="115"/>
      <c r="AZ138" s="115"/>
      <c r="BA138" s="115"/>
      <c r="BB138" s="115"/>
      <c r="BC138" s="115"/>
      <c r="BD138" s="115"/>
      <c r="BE138" s="115"/>
      <c r="BF138" s="115"/>
      <c r="BG138" s="115"/>
      <c r="BH138" s="115"/>
      <c r="BI138" s="115"/>
    </row>
    <row r="139" spans="2:61" ht="15.75" customHeight="1" x14ac:dyDescent="0.25">
      <c r="B139" s="115"/>
      <c r="C139" s="115"/>
      <c r="D139" s="115"/>
      <c r="E139" s="115"/>
      <c r="F139" s="115"/>
      <c r="G139" s="115"/>
      <c r="H139" s="115"/>
      <c r="I139" s="115"/>
      <c r="J139" s="115"/>
      <c r="K139" s="115"/>
      <c r="L139" s="115"/>
      <c r="M139" s="115"/>
      <c r="N139" s="115"/>
      <c r="O139" s="115"/>
      <c r="P139" s="115"/>
      <c r="Q139" s="115"/>
      <c r="R139" s="115"/>
      <c r="S139" s="115"/>
      <c r="T139" s="115"/>
      <c r="U139" s="115"/>
      <c r="V139" s="115"/>
      <c r="W139" s="115"/>
      <c r="X139" s="115"/>
      <c r="Y139" s="115"/>
      <c r="Z139" s="115"/>
      <c r="AA139" s="115"/>
      <c r="AB139" s="115"/>
      <c r="AC139" s="115"/>
      <c r="AD139" s="115"/>
      <c r="AE139" s="115"/>
      <c r="AF139" s="115"/>
      <c r="AG139" s="115"/>
      <c r="AH139" s="115"/>
      <c r="AI139" s="115"/>
      <c r="AJ139" s="115"/>
      <c r="AK139" s="115"/>
      <c r="AL139" s="115"/>
      <c r="AM139" s="115"/>
      <c r="AN139" s="115"/>
      <c r="AO139" s="115"/>
      <c r="AP139" s="115"/>
      <c r="AQ139" s="115"/>
      <c r="AR139" s="115"/>
      <c r="AS139" s="115"/>
      <c r="AT139" s="115"/>
      <c r="AU139" s="115"/>
      <c r="AV139" s="115"/>
      <c r="AW139" s="115"/>
      <c r="AX139" s="115"/>
      <c r="AY139" s="115"/>
      <c r="AZ139" s="115"/>
      <c r="BA139" s="115"/>
      <c r="BB139" s="115"/>
      <c r="BC139" s="115"/>
      <c r="BD139" s="115"/>
      <c r="BE139" s="115"/>
      <c r="BF139" s="115"/>
      <c r="BG139" s="115"/>
      <c r="BH139" s="115"/>
      <c r="BI139" s="115"/>
    </row>
    <row r="140" spans="2:61" ht="15.75" customHeight="1" x14ac:dyDescent="0.25">
      <c r="B140" s="115"/>
      <c r="C140" s="115"/>
      <c r="D140" s="115"/>
      <c r="E140" s="115"/>
      <c r="F140" s="115"/>
      <c r="G140" s="115"/>
      <c r="H140" s="115"/>
      <c r="I140" s="115"/>
      <c r="J140" s="115"/>
      <c r="K140" s="115"/>
      <c r="L140" s="115"/>
      <c r="M140" s="115"/>
      <c r="N140" s="115"/>
      <c r="O140" s="115"/>
      <c r="P140" s="115"/>
      <c r="Q140" s="115"/>
      <c r="R140" s="115"/>
      <c r="S140" s="115"/>
      <c r="T140" s="115"/>
      <c r="U140" s="115"/>
      <c r="V140" s="115"/>
      <c r="W140" s="115"/>
      <c r="X140" s="115"/>
      <c r="Y140" s="115"/>
      <c r="Z140" s="115"/>
      <c r="AA140" s="115"/>
      <c r="AB140" s="115"/>
      <c r="AC140" s="115"/>
      <c r="AD140" s="115"/>
      <c r="AE140" s="115"/>
      <c r="AF140" s="115"/>
      <c r="AG140" s="115"/>
      <c r="AH140" s="115"/>
      <c r="AI140" s="115"/>
      <c r="AJ140" s="115"/>
      <c r="AK140" s="115"/>
      <c r="AL140" s="115"/>
      <c r="AM140" s="115"/>
      <c r="AN140" s="115"/>
      <c r="AO140" s="115"/>
      <c r="AP140" s="115"/>
      <c r="AQ140" s="115"/>
      <c r="AR140" s="115"/>
      <c r="AS140" s="115"/>
      <c r="AT140" s="115"/>
      <c r="AU140" s="115"/>
      <c r="AV140" s="115"/>
      <c r="AW140" s="115"/>
      <c r="AX140" s="115"/>
      <c r="AY140" s="115"/>
      <c r="AZ140" s="115"/>
      <c r="BA140" s="115"/>
      <c r="BB140" s="115"/>
      <c r="BC140" s="115"/>
      <c r="BD140" s="115"/>
      <c r="BE140" s="115"/>
      <c r="BF140" s="115"/>
      <c r="BG140" s="115"/>
      <c r="BH140" s="115"/>
      <c r="BI140" s="115"/>
    </row>
    <row r="141" spans="2:61" ht="15.75" customHeight="1" x14ac:dyDescent="0.25">
      <c r="B141" s="115"/>
      <c r="C141" s="115"/>
      <c r="D141" s="115"/>
      <c r="E141" s="115"/>
      <c r="F141" s="115"/>
      <c r="G141" s="115"/>
      <c r="H141" s="115"/>
      <c r="I141" s="115"/>
      <c r="J141" s="115"/>
      <c r="K141" s="115"/>
      <c r="L141" s="115"/>
      <c r="M141" s="115"/>
      <c r="N141" s="115"/>
      <c r="O141" s="115"/>
      <c r="P141" s="115"/>
      <c r="Q141" s="115"/>
      <c r="R141" s="115"/>
      <c r="S141" s="115"/>
      <c r="T141" s="115"/>
      <c r="U141" s="115"/>
      <c r="V141" s="115"/>
      <c r="W141" s="115"/>
      <c r="X141" s="115"/>
      <c r="Y141" s="115"/>
      <c r="Z141" s="115"/>
      <c r="AA141" s="115"/>
      <c r="AB141" s="115"/>
      <c r="AC141" s="115"/>
      <c r="AD141" s="115"/>
      <c r="AE141" s="115"/>
      <c r="AF141" s="115"/>
      <c r="AG141" s="115"/>
      <c r="AH141" s="115"/>
      <c r="AI141" s="115"/>
      <c r="AJ141" s="115"/>
      <c r="AK141" s="115"/>
      <c r="AL141" s="115"/>
      <c r="AM141" s="115"/>
      <c r="AN141" s="115"/>
      <c r="AO141" s="115"/>
      <c r="AP141" s="115"/>
      <c r="AQ141" s="115"/>
      <c r="AR141" s="115"/>
      <c r="AS141" s="115"/>
      <c r="AT141" s="115"/>
      <c r="AU141" s="115"/>
      <c r="AV141" s="115"/>
      <c r="AW141" s="115"/>
      <c r="AX141" s="115"/>
      <c r="AY141" s="115"/>
      <c r="AZ141" s="115"/>
      <c r="BA141" s="115"/>
      <c r="BB141" s="115"/>
      <c r="BC141" s="115"/>
      <c r="BD141" s="115"/>
      <c r="BE141" s="115"/>
      <c r="BF141" s="115"/>
      <c r="BG141" s="115"/>
      <c r="BH141" s="115"/>
      <c r="BI141" s="115"/>
    </row>
    <row r="142" spans="2:61" ht="15.75" customHeight="1" x14ac:dyDescent="0.25">
      <c r="B142" s="115"/>
      <c r="C142" s="115"/>
      <c r="D142" s="115"/>
      <c r="E142" s="115"/>
      <c r="F142" s="115"/>
      <c r="G142" s="115"/>
      <c r="H142" s="115"/>
      <c r="I142" s="115"/>
      <c r="J142" s="115"/>
      <c r="K142" s="115"/>
      <c r="L142" s="115"/>
      <c r="M142" s="115"/>
      <c r="N142" s="115"/>
      <c r="O142" s="115"/>
      <c r="P142" s="115"/>
      <c r="Q142" s="115"/>
      <c r="R142" s="115"/>
      <c r="S142" s="115"/>
      <c r="T142" s="115"/>
      <c r="U142" s="115"/>
      <c r="V142" s="115"/>
      <c r="W142" s="115"/>
      <c r="X142" s="115"/>
      <c r="Y142" s="115"/>
      <c r="Z142" s="115"/>
      <c r="AA142" s="115"/>
      <c r="AB142" s="115"/>
      <c r="AC142" s="115"/>
      <c r="AD142" s="115"/>
      <c r="AE142" s="115"/>
      <c r="AF142" s="115"/>
      <c r="AG142" s="115"/>
      <c r="AH142" s="115"/>
      <c r="AI142" s="115"/>
      <c r="AJ142" s="115"/>
      <c r="AK142" s="115"/>
      <c r="AL142" s="115"/>
      <c r="AM142" s="115"/>
      <c r="AN142" s="115"/>
      <c r="AO142" s="115"/>
      <c r="AP142" s="115"/>
      <c r="AQ142" s="115"/>
      <c r="AR142" s="115"/>
      <c r="AS142" s="115"/>
      <c r="AT142" s="115"/>
      <c r="AU142" s="115"/>
      <c r="AV142" s="115"/>
      <c r="AW142" s="115"/>
      <c r="AX142" s="115"/>
      <c r="AY142" s="115"/>
      <c r="AZ142" s="115"/>
      <c r="BA142" s="115"/>
      <c r="BB142" s="115"/>
      <c r="BC142" s="115"/>
      <c r="BD142" s="115"/>
      <c r="BE142" s="115"/>
      <c r="BF142" s="115"/>
      <c r="BG142" s="115"/>
      <c r="BH142" s="115"/>
      <c r="BI142" s="115"/>
    </row>
    <row r="143" spans="2:61" ht="15.75" customHeight="1" x14ac:dyDescent="0.25">
      <c r="B143" s="115"/>
      <c r="C143" s="115"/>
      <c r="D143" s="115"/>
      <c r="E143" s="115"/>
      <c r="F143" s="115"/>
      <c r="G143" s="115"/>
      <c r="H143" s="115"/>
      <c r="I143" s="115"/>
      <c r="J143" s="115"/>
      <c r="K143" s="115"/>
      <c r="L143" s="115"/>
      <c r="M143" s="115"/>
      <c r="N143" s="115"/>
      <c r="O143" s="115"/>
      <c r="P143" s="115"/>
      <c r="Q143" s="115"/>
      <c r="R143" s="115"/>
      <c r="S143" s="115"/>
      <c r="T143" s="115"/>
      <c r="U143" s="115"/>
      <c r="V143" s="115"/>
      <c r="W143" s="115"/>
      <c r="X143" s="115"/>
      <c r="Y143" s="115"/>
      <c r="Z143" s="115"/>
      <c r="AA143" s="115"/>
      <c r="AB143" s="115"/>
      <c r="AC143" s="115"/>
      <c r="AD143" s="115"/>
      <c r="AE143" s="115"/>
      <c r="AF143" s="115"/>
      <c r="AG143" s="115"/>
      <c r="AH143" s="115"/>
      <c r="AI143" s="115"/>
      <c r="AJ143" s="115"/>
      <c r="AK143" s="115"/>
      <c r="AL143" s="115"/>
      <c r="AM143" s="115"/>
      <c r="AN143" s="115"/>
      <c r="AO143" s="115"/>
      <c r="AP143" s="115"/>
      <c r="AQ143" s="115"/>
      <c r="AR143" s="115"/>
      <c r="AS143" s="115"/>
      <c r="AT143" s="115"/>
      <c r="AU143" s="115"/>
      <c r="AV143" s="115"/>
      <c r="AW143" s="115"/>
      <c r="AX143" s="115"/>
      <c r="AY143" s="115"/>
      <c r="AZ143" s="115"/>
      <c r="BA143" s="115"/>
      <c r="BB143" s="115"/>
      <c r="BC143" s="115"/>
      <c r="BD143" s="115"/>
      <c r="BE143" s="115"/>
      <c r="BF143" s="115"/>
      <c r="BG143" s="115"/>
      <c r="BH143" s="115"/>
      <c r="BI143" s="115"/>
    </row>
    <row r="144" spans="2:61" ht="15.75" customHeight="1" x14ac:dyDescent="0.25">
      <c r="B144" s="115"/>
      <c r="C144" s="115"/>
      <c r="D144" s="115"/>
      <c r="E144" s="115"/>
      <c r="F144" s="115"/>
      <c r="G144" s="115"/>
      <c r="H144" s="115"/>
      <c r="I144" s="115"/>
      <c r="J144" s="115"/>
      <c r="K144" s="115"/>
      <c r="L144" s="115"/>
      <c r="M144" s="115"/>
      <c r="N144" s="115"/>
      <c r="O144" s="115"/>
      <c r="P144" s="115"/>
      <c r="Q144" s="115"/>
      <c r="R144" s="115"/>
      <c r="S144" s="115"/>
      <c r="T144" s="115"/>
      <c r="U144" s="115"/>
      <c r="V144" s="115"/>
      <c r="W144" s="115"/>
      <c r="X144" s="115"/>
      <c r="Y144" s="115"/>
      <c r="Z144" s="115"/>
      <c r="AA144" s="115"/>
      <c r="AB144" s="115"/>
      <c r="AC144" s="115"/>
      <c r="AD144" s="115"/>
      <c r="AE144" s="115"/>
      <c r="AF144" s="115"/>
      <c r="AG144" s="115"/>
      <c r="AH144" s="115"/>
      <c r="AI144" s="115"/>
      <c r="AJ144" s="115"/>
      <c r="AK144" s="115"/>
      <c r="AL144" s="115"/>
      <c r="AM144" s="115"/>
      <c r="AN144" s="115"/>
      <c r="AO144" s="115"/>
      <c r="AP144" s="115"/>
      <c r="AQ144" s="115"/>
      <c r="AR144" s="115"/>
      <c r="AS144" s="115"/>
      <c r="AT144" s="115"/>
      <c r="AU144" s="115"/>
      <c r="AV144" s="115"/>
      <c r="AW144" s="115"/>
      <c r="AX144" s="115"/>
      <c r="AY144" s="115"/>
      <c r="AZ144" s="115"/>
      <c r="BA144" s="115"/>
      <c r="BB144" s="115"/>
      <c r="BC144" s="115"/>
      <c r="BD144" s="115"/>
      <c r="BE144" s="115"/>
      <c r="BF144" s="115"/>
      <c r="BG144" s="115"/>
      <c r="BH144" s="115"/>
      <c r="BI144" s="115"/>
    </row>
    <row r="145" spans="2:61" ht="15.75" customHeight="1" x14ac:dyDescent="0.25">
      <c r="B145" s="115"/>
      <c r="C145" s="115"/>
      <c r="D145" s="115"/>
      <c r="E145" s="115"/>
      <c r="F145" s="115"/>
      <c r="G145" s="115"/>
      <c r="H145" s="115"/>
      <c r="I145" s="115"/>
      <c r="J145" s="115"/>
      <c r="K145" s="115"/>
      <c r="L145" s="115"/>
      <c r="M145" s="115"/>
      <c r="N145" s="115"/>
      <c r="O145" s="115"/>
      <c r="P145" s="115"/>
      <c r="Q145" s="115"/>
      <c r="R145" s="115"/>
      <c r="S145" s="115"/>
      <c r="T145" s="115"/>
      <c r="U145" s="115"/>
      <c r="V145" s="115"/>
      <c r="W145" s="115"/>
      <c r="X145" s="115"/>
      <c r="Y145" s="115"/>
      <c r="Z145" s="115"/>
      <c r="AA145" s="115"/>
      <c r="AB145" s="115"/>
      <c r="AC145" s="115"/>
      <c r="AD145" s="115"/>
      <c r="AE145" s="115"/>
      <c r="AF145" s="115"/>
      <c r="AG145" s="115"/>
      <c r="AH145" s="115"/>
      <c r="AI145" s="115"/>
      <c r="AJ145" s="115"/>
      <c r="AK145" s="115"/>
      <c r="AL145" s="115"/>
      <c r="AM145" s="115"/>
      <c r="AN145" s="115"/>
      <c r="AO145" s="115"/>
      <c r="AP145" s="115"/>
      <c r="AQ145" s="115"/>
      <c r="AR145" s="115"/>
      <c r="AS145" s="115"/>
      <c r="AT145" s="115"/>
      <c r="AU145" s="115"/>
      <c r="AV145" s="115"/>
      <c r="AW145" s="115"/>
      <c r="AX145" s="115"/>
      <c r="AY145" s="115"/>
      <c r="AZ145" s="115"/>
      <c r="BA145" s="115"/>
      <c r="BB145" s="115"/>
      <c r="BC145" s="115"/>
      <c r="BD145" s="115"/>
      <c r="BE145" s="115"/>
      <c r="BF145" s="115"/>
      <c r="BG145" s="115"/>
      <c r="BH145" s="115"/>
      <c r="BI145" s="115"/>
    </row>
    <row r="146" spans="2:61" ht="15.75" customHeight="1" x14ac:dyDescent="0.25">
      <c r="B146" s="115"/>
      <c r="C146" s="115"/>
      <c r="D146" s="115"/>
      <c r="E146" s="115"/>
      <c r="F146" s="115"/>
      <c r="G146" s="115"/>
      <c r="H146" s="115"/>
      <c r="I146" s="115"/>
      <c r="J146" s="115"/>
      <c r="K146" s="115"/>
      <c r="L146" s="115"/>
      <c r="M146" s="115"/>
      <c r="N146" s="115"/>
      <c r="O146" s="115"/>
      <c r="P146" s="115"/>
      <c r="Q146" s="115"/>
      <c r="R146" s="115"/>
      <c r="S146" s="115"/>
      <c r="T146" s="115"/>
      <c r="U146" s="115"/>
      <c r="V146" s="115"/>
      <c r="W146" s="115"/>
      <c r="X146" s="115"/>
      <c r="Y146" s="115"/>
      <c r="Z146" s="115"/>
      <c r="AA146" s="115"/>
      <c r="AB146" s="115"/>
      <c r="AC146" s="115"/>
      <c r="AD146" s="115"/>
      <c r="AE146" s="115"/>
      <c r="AF146" s="115"/>
      <c r="AG146" s="115"/>
      <c r="AH146" s="115"/>
      <c r="AI146" s="115"/>
      <c r="AJ146" s="115"/>
      <c r="AK146" s="115"/>
      <c r="AL146" s="115"/>
      <c r="AM146" s="115"/>
      <c r="AN146" s="115"/>
      <c r="AO146" s="115"/>
      <c r="AP146" s="115"/>
      <c r="AQ146" s="115"/>
      <c r="AR146" s="115"/>
      <c r="AS146" s="115"/>
      <c r="AT146" s="115"/>
      <c r="AU146" s="115"/>
      <c r="AV146" s="115"/>
      <c r="AW146" s="115"/>
      <c r="AX146" s="115"/>
      <c r="AY146" s="115"/>
      <c r="AZ146" s="115"/>
      <c r="BA146" s="115"/>
      <c r="BB146" s="115"/>
      <c r="BC146" s="115"/>
      <c r="BD146" s="115"/>
      <c r="BE146" s="115"/>
      <c r="BF146" s="115"/>
      <c r="BG146" s="115"/>
      <c r="BH146" s="115"/>
      <c r="BI146" s="115"/>
    </row>
    <row r="147" spans="2:61" ht="15.75" customHeight="1" x14ac:dyDescent="0.25">
      <c r="B147" s="115"/>
      <c r="C147" s="115"/>
      <c r="D147" s="115"/>
      <c r="E147" s="115"/>
      <c r="F147" s="115"/>
      <c r="G147" s="115"/>
      <c r="H147" s="115"/>
      <c r="I147" s="115"/>
      <c r="J147" s="115"/>
      <c r="K147" s="115"/>
      <c r="L147" s="115"/>
      <c r="M147" s="115"/>
      <c r="N147" s="115"/>
      <c r="O147" s="115"/>
      <c r="P147" s="115"/>
      <c r="Q147" s="115"/>
      <c r="R147" s="115"/>
      <c r="S147" s="115"/>
      <c r="T147" s="115"/>
      <c r="U147" s="115"/>
      <c r="V147" s="115"/>
      <c r="W147" s="115"/>
      <c r="X147" s="115"/>
      <c r="Y147" s="115"/>
      <c r="Z147" s="115"/>
      <c r="AA147" s="115"/>
      <c r="AB147" s="115"/>
      <c r="AC147" s="115"/>
      <c r="AD147" s="115"/>
      <c r="AE147" s="115"/>
      <c r="AF147" s="115"/>
      <c r="AG147" s="115"/>
      <c r="AH147" s="115"/>
      <c r="AI147" s="115"/>
      <c r="AJ147" s="115"/>
      <c r="AK147" s="115"/>
      <c r="AL147" s="115"/>
      <c r="AM147" s="115"/>
      <c r="AN147" s="115"/>
      <c r="AO147" s="115"/>
      <c r="AP147" s="115"/>
      <c r="AQ147" s="115"/>
      <c r="AR147" s="115"/>
      <c r="AS147" s="115"/>
      <c r="AT147" s="115"/>
      <c r="AU147" s="115"/>
      <c r="AV147" s="115"/>
      <c r="AW147" s="115"/>
      <c r="AX147" s="115"/>
      <c r="AY147" s="115"/>
      <c r="AZ147" s="115"/>
      <c r="BA147" s="115"/>
      <c r="BB147" s="115"/>
      <c r="BC147" s="115"/>
      <c r="BD147" s="115"/>
      <c r="BE147" s="115"/>
      <c r="BF147" s="115"/>
      <c r="BG147" s="115"/>
      <c r="BH147" s="115"/>
      <c r="BI147" s="115"/>
    </row>
    <row r="148" spans="2:61" ht="15.75" customHeight="1" x14ac:dyDescent="0.25">
      <c r="B148" s="115"/>
      <c r="C148" s="115"/>
      <c r="D148" s="115"/>
      <c r="E148" s="115"/>
      <c r="F148" s="115"/>
      <c r="G148" s="115"/>
      <c r="H148" s="115"/>
      <c r="I148" s="115"/>
      <c r="J148" s="115"/>
      <c r="K148" s="115"/>
      <c r="L148" s="115"/>
      <c r="M148" s="115"/>
      <c r="N148" s="115"/>
      <c r="O148" s="115"/>
      <c r="P148" s="115"/>
      <c r="Q148" s="115"/>
      <c r="R148" s="115"/>
      <c r="S148" s="115"/>
      <c r="T148" s="115"/>
      <c r="U148" s="115"/>
      <c r="V148" s="115"/>
      <c r="W148" s="115"/>
      <c r="X148" s="115"/>
      <c r="Y148" s="115"/>
      <c r="Z148" s="115"/>
      <c r="AA148" s="115"/>
      <c r="AB148" s="115"/>
      <c r="AC148" s="115"/>
      <c r="AD148" s="115"/>
      <c r="AE148" s="115"/>
      <c r="AF148" s="115"/>
      <c r="AG148" s="115"/>
      <c r="AH148" s="115"/>
      <c r="AI148" s="115"/>
      <c r="AJ148" s="115"/>
      <c r="AK148" s="115"/>
      <c r="AL148" s="115"/>
      <c r="AM148" s="115"/>
      <c r="AN148" s="115"/>
      <c r="AO148" s="115"/>
      <c r="AP148" s="115"/>
      <c r="AQ148" s="115"/>
      <c r="AR148" s="115"/>
      <c r="AS148" s="115"/>
      <c r="AT148" s="115"/>
      <c r="AU148" s="115"/>
      <c r="AV148" s="115"/>
      <c r="AW148" s="115"/>
      <c r="AX148" s="115"/>
      <c r="AY148" s="115"/>
      <c r="AZ148" s="115"/>
      <c r="BA148" s="115"/>
      <c r="BB148" s="115"/>
      <c r="BC148" s="115"/>
      <c r="BD148" s="115"/>
      <c r="BE148" s="115"/>
      <c r="BF148" s="115"/>
      <c r="BG148" s="115"/>
      <c r="BH148" s="115"/>
      <c r="BI148" s="115"/>
    </row>
    <row r="149" spans="2:61" ht="15.75" customHeight="1" x14ac:dyDescent="0.25">
      <c r="B149" s="115"/>
      <c r="C149" s="115"/>
      <c r="D149" s="115"/>
      <c r="E149" s="115"/>
      <c r="F149" s="115"/>
      <c r="G149" s="115"/>
      <c r="H149" s="115"/>
      <c r="I149" s="115"/>
      <c r="J149" s="115"/>
      <c r="K149" s="115"/>
      <c r="L149" s="115"/>
      <c r="M149" s="115"/>
      <c r="N149" s="115"/>
      <c r="O149" s="115"/>
      <c r="P149" s="115"/>
      <c r="Q149" s="115"/>
      <c r="R149" s="115"/>
      <c r="S149" s="115"/>
      <c r="T149" s="115"/>
      <c r="U149" s="115"/>
      <c r="V149" s="115"/>
      <c r="W149" s="115"/>
      <c r="X149" s="115"/>
      <c r="Y149" s="115"/>
      <c r="Z149" s="115"/>
      <c r="AA149" s="115"/>
      <c r="AB149" s="115"/>
      <c r="AC149" s="115"/>
      <c r="AD149" s="115"/>
      <c r="AE149" s="115"/>
      <c r="AF149" s="115"/>
      <c r="AG149" s="115"/>
      <c r="AH149" s="115"/>
      <c r="AI149" s="115"/>
      <c r="AJ149" s="115"/>
      <c r="AK149" s="115"/>
      <c r="AL149" s="115"/>
      <c r="AM149" s="115"/>
      <c r="AN149" s="115"/>
      <c r="AO149" s="115"/>
      <c r="AP149" s="115"/>
      <c r="AQ149" s="115"/>
      <c r="AR149" s="115"/>
      <c r="AS149" s="115"/>
      <c r="AT149" s="115"/>
      <c r="AU149" s="115"/>
      <c r="AV149" s="115"/>
      <c r="AW149" s="115"/>
      <c r="AX149" s="115"/>
      <c r="AY149" s="115"/>
      <c r="AZ149" s="115"/>
      <c r="BA149" s="115"/>
      <c r="BB149" s="115"/>
      <c r="BC149" s="115"/>
      <c r="BD149" s="115"/>
      <c r="BE149" s="115"/>
      <c r="BF149" s="115"/>
      <c r="BG149" s="115"/>
      <c r="BH149" s="115"/>
      <c r="BI149" s="115"/>
    </row>
    <row r="150" spans="2:61" ht="15.75" customHeight="1" x14ac:dyDescent="0.25">
      <c r="B150" s="115"/>
      <c r="C150" s="115"/>
      <c r="D150" s="115"/>
      <c r="E150" s="115"/>
      <c r="F150" s="115"/>
      <c r="G150" s="115"/>
      <c r="H150" s="115"/>
      <c r="I150" s="115"/>
      <c r="J150" s="115"/>
      <c r="K150" s="115"/>
      <c r="L150" s="115"/>
      <c r="M150" s="115"/>
      <c r="N150" s="115"/>
      <c r="O150" s="115"/>
      <c r="P150" s="115"/>
      <c r="Q150" s="115"/>
      <c r="R150" s="115"/>
      <c r="S150" s="115"/>
      <c r="T150" s="115"/>
      <c r="U150" s="115"/>
      <c r="V150" s="115"/>
      <c r="W150" s="115"/>
      <c r="X150" s="115"/>
      <c r="Y150" s="115"/>
      <c r="Z150" s="115"/>
      <c r="AA150" s="115"/>
      <c r="AB150" s="115"/>
      <c r="AC150" s="115"/>
      <c r="AD150" s="115"/>
      <c r="AE150" s="115"/>
      <c r="AF150" s="115"/>
      <c r="AG150" s="115"/>
      <c r="AH150" s="115"/>
      <c r="AI150" s="115"/>
      <c r="AJ150" s="115"/>
      <c r="AK150" s="115"/>
      <c r="AL150" s="115"/>
      <c r="AM150" s="115"/>
      <c r="AN150" s="115"/>
      <c r="AO150" s="115"/>
      <c r="AP150" s="115"/>
      <c r="AQ150" s="115"/>
      <c r="AR150" s="115"/>
      <c r="AS150" s="115"/>
      <c r="AT150" s="115"/>
      <c r="AU150" s="115"/>
      <c r="AV150" s="115"/>
      <c r="AW150" s="115"/>
      <c r="AX150" s="115"/>
      <c r="AY150" s="115"/>
      <c r="AZ150" s="115"/>
      <c r="BA150" s="115"/>
      <c r="BB150" s="115"/>
      <c r="BC150" s="115"/>
      <c r="BD150" s="115"/>
      <c r="BE150" s="115"/>
      <c r="BF150" s="115"/>
      <c r="BG150" s="115"/>
      <c r="BH150" s="115"/>
      <c r="BI150" s="115"/>
    </row>
    <row r="151" spans="2:61" ht="15.75" customHeight="1" x14ac:dyDescent="0.25">
      <c r="B151" s="115"/>
      <c r="C151" s="115"/>
      <c r="D151" s="115"/>
      <c r="E151" s="115"/>
      <c r="F151" s="115"/>
      <c r="G151" s="115"/>
      <c r="H151" s="115"/>
      <c r="I151" s="115"/>
      <c r="J151" s="115"/>
      <c r="K151" s="115"/>
      <c r="L151" s="115"/>
      <c r="M151" s="115"/>
      <c r="N151" s="115"/>
      <c r="O151" s="115"/>
      <c r="P151" s="115"/>
      <c r="Q151" s="115"/>
      <c r="R151" s="115"/>
      <c r="S151" s="115"/>
      <c r="T151" s="115"/>
      <c r="U151" s="115"/>
      <c r="V151" s="115"/>
      <c r="W151" s="115"/>
      <c r="X151" s="115"/>
      <c r="Y151" s="115"/>
      <c r="Z151" s="115"/>
      <c r="AA151" s="115"/>
      <c r="AB151" s="115"/>
      <c r="AC151" s="115"/>
      <c r="AD151" s="115"/>
      <c r="AE151" s="115"/>
      <c r="AF151" s="115"/>
      <c r="AG151" s="115"/>
      <c r="AH151" s="115"/>
      <c r="AI151" s="115"/>
      <c r="AJ151" s="115"/>
      <c r="AK151" s="115"/>
      <c r="AL151" s="115"/>
      <c r="AM151" s="115"/>
      <c r="AN151" s="115"/>
      <c r="AO151" s="115"/>
      <c r="AP151" s="115"/>
      <c r="AQ151" s="115"/>
      <c r="AR151" s="115"/>
      <c r="AS151" s="115"/>
      <c r="AT151" s="115"/>
      <c r="AU151" s="115"/>
      <c r="AV151" s="115"/>
      <c r="AW151" s="115"/>
      <c r="AX151" s="115"/>
      <c r="AY151" s="115"/>
      <c r="AZ151" s="115"/>
      <c r="BA151" s="115"/>
      <c r="BB151" s="115"/>
      <c r="BC151" s="115"/>
      <c r="BD151" s="115"/>
      <c r="BE151" s="115"/>
      <c r="BF151" s="115"/>
      <c r="BG151" s="115"/>
      <c r="BH151" s="115"/>
      <c r="BI151" s="115"/>
    </row>
    <row r="152" spans="2:61" ht="15.75" customHeight="1" x14ac:dyDescent="0.25">
      <c r="B152" s="115"/>
      <c r="C152" s="115"/>
      <c r="D152" s="115"/>
      <c r="E152" s="115"/>
      <c r="F152" s="115"/>
      <c r="G152" s="115"/>
      <c r="H152" s="115"/>
      <c r="I152" s="115"/>
      <c r="J152" s="115"/>
      <c r="K152" s="115"/>
      <c r="L152" s="115"/>
      <c r="M152" s="115"/>
      <c r="N152" s="115"/>
      <c r="O152" s="115"/>
      <c r="P152" s="115"/>
      <c r="Q152" s="115"/>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15"/>
      <c r="AQ152" s="115"/>
      <c r="AR152" s="115"/>
      <c r="AS152" s="115"/>
      <c r="AT152" s="115"/>
      <c r="AU152" s="115"/>
      <c r="AV152" s="115"/>
      <c r="AW152" s="115"/>
      <c r="AX152" s="115"/>
      <c r="AY152" s="115"/>
      <c r="AZ152" s="115"/>
      <c r="BA152" s="115"/>
      <c r="BB152" s="115"/>
      <c r="BC152" s="115"/>
      <c r="BD152" s="115"/>
      <c r="BE152" s="115"/>
      <c r="BF152" s="115"/>
      <c r="BG152" s="115"/>
      <c r="BH152" s="115"/>
      <c r="BI152" s="115"/>
    </row>
    <row r="153" spans="2:61" ht="15.75" customHeight="1" x14ac:dyDescent="0.25">
      <c r="B153" s="115"/>
      <c r="C153" s="115"/>
      <c r="D153" s="115"/>
      <c r="E153" s="115"/>
      <c r="F153" s="115"/>
      <c r="G153" s="115"/>
      <c r="H153" s="115"/>
      <c r="I153" s="115"/>
      <c r="J153" s="115"/>
      <c r="K153" s="115"/>
      <c r="L153" s="115"/>
      <c r="M153" s="115"/>
      <c r="N153" s="115"/>
      <c r="O153" s="115"/>
      <c r="P153" s="115"/>
      <c r="Q153" s="115"/>
      <c r="R153" s="115"/>
      <c r="S153" s="115"/>
      <c r="T153" s="115"/>
      <c r="U153" s="115"/>
      <c r="V153" s="115"/>
      <c r="W153" s="115"/>
      <c r="X153" s="115"/>
      <c r="Y153" s="115"/>
      <c r="Z153" s="115"/>
      <c r="AA153" s="115"/>
      <c r="AB153" s="115"/>
      <c r="AC153" s="115"/>
      <c r="AD153" s="115"/>
      <c r="AE153" s="115"/>
      <c r="AF153" s="115"/>
      <c r="AG153" s="115"/>
      <c r="AH153" s="115"/>
      <c r="AI153" s="115"/>
      <c r="AJ153" s="115"/>
      <c r="AK153" s="115"/>
      <c r="AL153" s="115"/>
      <c r="AM153" s="115"/>
      <c r="AN153" s="115"/>
      <c r="AO153" s="115"/>
      <c r="AP153" s="115"/>
      <c r="AQ153" s="115"/>
      <c r="AR153" s="115"/>
      <c r="AS153" s="115"/>
      <c r="AT153" s="115"/>
      <c r="AU153" s="115"/>
      <c r="AV153" s="115"/>
      <c r="AW153" s="115"/>
      <c r="AX153" s="115"/>
      <c r="AY153" s="115"/>
      <c r="AZ153" s="115"/>
      <c r="BA153" s="115"/>
      <c r="BB153" s="115"/>
      <c r="BC153" s="115"/>
      <c r="BD153" s="115"/>
      <c r="BE153" s="115"/>
      <c r="BF153" s="115"/>
      <c r="BG153" s="115"/>
      <c r="BH153" s="115"/>
      <c r="BI153" s="115"/>
    </row>
    <row r="154" spans="2:61" ht="15.75" customHeight="1" x14ac:dyDescent="0.25">
      <c r="B154" s="115"/>
      <c r="C154" s="115"/>
      <c r="D154" s="115"/>
      <c r="E154" s="115"/>
      <c r="F154" s="115"/>
      <c r="G154" s="115"/>
      <c r="H154" s="115"/>
      <c r="I154" s="115"/>
      <c r="J154" s="115"/>
      <c r="K154" s="115"/>
      <c r="L154" s="115"/>
      <c r="M154" s="115"/>
      <c r="N154" s="115"/>
      <c r="O154" s="115"/>
      <c r="P154" s="115"/>
      <c r="Q154" s="115"/>
      <c r="R154" s="115"/>
      <c r="S154" s="115"/>
      <c r="T154" s="115"/>
      <c r="U154" s="115"/>
      <c r="V154" s="115"/>
      <c r="W154" s="115"/>
      <c r="X154" s="115"/>
      <c r="Y154" s="115"/>
      <c r="Z154" s="115"/>
      <c r="AA154" s="115"/>
      <c r="AB154" s="115"/>
      <c r="AC154" s="115"/>
      <c r="AD154" s="115"/>
      <c r="AE154" s="115"/>
      <c r="AF154" s="115"/>
      <c r="AG154" s="115"/>
      <c r="AH154" s="115"/>
      <c r="AI154" s="115"/>
      <c r="AJ154" s="115"/>
      <c r="AK154" s="115"/>
      <c r="AL154" s="115"/>
      <c r="AM154" s="115"/>
      <c r="AN154" s="115"/>
      <c r="AO154" s="115"/>
      <c r="AP154" s="115"/>
      <c r="AQ154" s="115"/>
      <c r="AR154" s="115"/>
      <c r="AS154" s="115"/>
      <c r="AT154" s="115"/>
      <c r="AU154" s="115"/>
      <c r="AV154" s="115"/>
      <c r="AW154" s="115"/>
      <c r="AX154" s="115"/>
      <c r="AY154" s="115"/>
      <c r="AZ154" s="115"/>
      <c r="BA154" s="115"/>
      <c r="BB154" s="115"/>
      <c r="BC154" s="115"/>
      <c r="BD154" s="115"/>
      <c r="BE154" s="115"/>
      <c r="BF154" s="115"/>
      <c r="BG154" s="115"/>
      <c r="BH154" s="115"/>
      <c r="BI154" s="115"/>
    </row>
    <row r="155" spans="2:61" ht="15.75" customHeight="1" x14ac:dyDescent="0.25">
      <c r="B155" s="115"/>
      <c r="C155" s="115"/>
      <c r="D155" s="115"/>
      <c r="E155" s="115"/>
      <c r="F155" s="115"/>
      <c r="G155" s="115"/>
      <c r="H155" s="115"/>
      <c r="I155" s="115"/>
      <c r="J155" s="115"/>
      <c r="K155" s="115"/>
      <c r="L155" s="115"/>
      <c r="M155" s="115"/>
      <c r="N155" s="115"/>
      <c r="O155" s="115"/>
      <c r="P155" s="115"/>
      <c r="Q155" s="115"/>
      <c r="R155" s="115"/>
      <c r="S155" s="115"/>
      <c r="T155" s="115"/>
      <c r="U155" s="115"/>
      <c r="V155" s="115"/>
      <c r="W155" s="115"/>
      <c r="X155" s="115"/>
      <c r="Y155" s="115"/>
      <c r="Z155" s="115"/>
      <c r="AA155" s="115"/>
      <c r="AB155" s="115"/>
      <c r="AC155" s="115"/>
      <c r="AD155" s="115"/>
      <c r="AE155" s="115"/>
      <c r="AF155" s="115"/>
      <c r="AG155" s="115"/>
      <c r="AH155" s="115"/>
      <c r="AI155" s="115"/>
      <c r="AJ155" s="115"/>
      <c r="AK155" s="115"/>
      <c r="AL155" s="115"/>
      <c r="AM155" s="115"/>
      <c r="AN155" s="115"/>
      <c r="AO155" s="115"/>
      <c r="AP155" s="115"/>
      <c r="AQ155" s="115"/>
      <c r="AR155" s="115"/>
      <c r="AS155" s="115"/>
      <c r="AT155" s="115"/>
      <c r="AU155" s="115"/>
      <c r="AV155" s="115"/>
      <c r="AW155" s="115"/>
      <c r="AX155" s="115"/>
      <c r="AY155" s="115"/>
      <c r="AZ155" s="115"/>
      <c r="BA155" s="115"/>
      <c r="BB155" s="115"/>
      <c r="BC155" s="115"/>
      <c r="BD155" s="115"/>
      <c r="BE155" s="115"/>
      <c r="BF155" s="115"/>
      <c r="BG155" s="115"/>
      <c r="BH155" s="115"/>
      <c r="BI155" s="115"/>
    </row>
    <row r="156" spans="2:61" ht="15.75" customHeight="1" x14ac:dyDescent="0.25">
      <c r="B156" s="115"/>
      <c r="C156" s="115"/>
      <c r="D156" s="115"/>
      <c r="E156" s="115"/>
      <c r="F156" s="115"/>
      <c r="G156" s="115"/>
      <c r="H156" s="115"/>
      <c r="I156" s="115"/>
      <c r="J156" s="115"/>
      <c r="K156" s="115"/>
      <c r="L156" s="115"/>
      <c r="M156" s="115"/>
      <c r="N156" s="115"/>
      <c r="O156" s="115"/>
      <c r="P156" s="115"/>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115"/>
      <c r="BA156" s="115"/>
      <c r="BB156" s="115"/>
      <c r="BC156" s="115"/>
      <c r="BD156" s="115"/>
      <c r="BE156" s="115"/>
      <c r="BF156" s="115"/>
      <c r="BG156" s="115"/>
      <c r="BH156" s="115"/>
      <c r="BI156" s="115"/>
    </row>
    <row r="157" spans="2:61" ht="15.75" customHeight="1" x14ac:dyDescent="0.25">
      <c r="B157" s="115"/>
      <c r="C157" s="115"/>
      <c r="D157" s="115"/>
      <c r="E157" s="115"/>
      <c r="F157" s="115"/>
      <c r="G157" s="115"/>
      <c r="H157" s="115"/>
      <c r="I157" s="115"/>
      <c r="J157" s="115"/>
      <c r="K157" s="115"/>
      <c r="L157" s="115"/>
      <c r="M157" s="115"/>
      <c r="N157" s="115"/>
      <c r="O157" s="115"/>
      <c r="P157" s="115"/>
      <c r="Q157" s="115"/>
      <c r="R157" s="115"/>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c r="AN157" s="115"/>
      <c r="AO157" s="115"/>
      <c r="AP157" s="115"/>
      <c r="AQ157" s="115"/>
      <c r="AR157" s="115"/>
      <c r="AS157" s="115"/>
      <c r="AT157" s="115"/>
      <c r="AU157" s="115"/>
      <c r="AV157" s="115"/>
      <c r="AW157" s="115"/>
      <c r="AX157" s="115"/>
      <c r="AY157" s="115"/>
      <c r="AZ157" s="115"/>
      <c r="BA157" s="115"/>
      <c r="BB157" s="115"/>
      <c r="BC157" s="115"/>
      <c r="BD157" s="115"/>
      <c r="BE157" s="115"/>
      <c r="BF157" s="115"/>
      <c r="BG157" s="115"/>
      <c r="BH157" s="115"/>
      <c r="BI157" s="115"/>
    </row>
    <row r="158" spans="2:61" ht="15.75" customHeight="1" x14ac:dyDescent="0.25">
      <c r="B158" s="115"/>
      <c r="C158" s="115"/>
      <c r="D158" s="115"/>
      <c r="E158" s="115"/>
      <c r="F158" s="115"/>
      <c r="G158" s="115"/>
      <c r="H158" s="115"/>
      <c r="I158" s="115"/>
      <c r="J158" s="115"/>
      <c r="K158" s="115"/>
      <c r="L158" s="115"/>
      <c r="M158" s="115"/>
      <c r="N158" s="115"/>
      <c r="O158" s="115"/>
      <c r="P158" s="115"/>
      <c r="Q158" s="115"/>
      <c r="R158" s="115"/>
      <c r="S158" s="115"/>
      <c r="T158" s="115"/>
      <c r="U158" s="115"/>
      <c r="V158" s="115"/>
      <c r="W158" s="115"/>
      <c r="X158" s="115"/>
      <c r="Y158" s="115"/>
      <c r="Z158" s="115"/>
      <c r="AA158" s="115"/>
      <c r="AB158" s="115"/>
      <c r="AC158" s="115"/>
      <c r="AD158" s="115"/>
      <c r="AE158" s="115"/>
      <c r="AF158" s="115"/>
      <c r="AG158" s="115"/>
      <c r="AH158" s="115"/>
      <c r="AI158" s="115"/>
      <c r="AJ158" s="115"/>
      <c r="AK158" s="115"/>
      <c r="AL158" s="115"/>
      <c r="AM158" s="115"/>
      <c r="AN158" s="115"/>
      <c r="AO158" s="115"/>
      <c r="AP158" s="115"/>
      <c r="AQ158" s="115"/>
      <c r="AR158" s="115"/>
      <c r="AS158" s="115"/>
      <c r="AT158" s="115"/>
      <c r="AU158" s="115"/>
      <c r="AV158" s="115"/>
      <c r="AW158" s="115"/>
      <c r="AX158" s="115"/>
      <c r="AY158" s="115"/>
      <c r="AZ158" s="115"/>
      <c r="BA158" s="115"/>
      <c r="BB158" s="115"/>
      <c r="BC158" s="115"/>
      <c r="BD158" s="115"/>
      <c r="BE158" s="115"/>
      <c r="BF158" s="115"/>
      <c r="BG158" s="115"/>
      <c r="BH158" s="115"/>
      <c r="BI158" s="115"/>
    </row>
    <row r="159" spans="2:61" ht="15.75" customHeight="1" x14ac:dyDescent="0.25">
      <c r="B159" s="115"/>
      <c r="C159" s="115"/>
      <c r="D159" s="115"/>
      <c r="E159" s="115"/>
      <c r="F159" s="115"/>
      <c r="G159" s="115"/>
      <c r="H159" s="115"/>
      <c r="I159" s="115"/>
      <c r="J159" s="115"/>
      <c r="K159" s="115"/>
      <c r="L159" s="115"/>
      <c r="M159" s="115"/>
      <c r="N159" s="115"/>
      <c r="O159" s="115"/>
      <c r="P159" s="115"/>
      <c r="Q159" s="115"/>
      <c r="R159" s="115"/>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c r="AN159" s="115"/>
      <c r="AO159" s="115"/>
      <c r="AP159" s="115"/>
      <c r="AQ159" s="115"/>
      <c r="AR159" s="115"/>
      <c r="AS159" s="115"/>
      <c r="AT159" s="115"/>
      <c r="AU159" s="115"/>
      <c r="AV159" s="115"/>
      <c r="AW159" s="115"/>
      <c r="AX159" s="115"/>
      <c r="AY159" s="115"/>
      <c r="AZ159" s="115"/>
      <c r="BA159" s="115"/>
      <c r="BB159" s="115"/>
      <c r="BC159" s="115"/>
      <c r="BD159" s="115"/>
      <c r="BE159" s="115"/>
      <c r="BF159" s="115"/>
      <c r="BG159" s="115"/>
      <c r="BH159" s="115"/>
      <c r="BI159" s="115"/>
    </row>
    <row r="160" spans="2:61" ht="15.75" customHeight="1" x14ac:dyDescent="0.25">
      <c r="B160" s="115"/>
      <c r="C160" s="115"/>
      <c r="D160" s="115"/>
      <c r="E160" s="115"/>
      <c r="F160" s="115"/>
      <c r="G160" s="115"/>
      <c r="H160" s="115"/>
      <c r="I160" s="115"/>
      <c r="J160" s="115"/>
      <c r="K160" s="115"/>
      <c r="L160" s="115"/>
      <c r="M160" s="115"/>
      <c r="N160" s="115"/>
      <c r="O160" s="115"/>
      <c r="P160" s="115"/>
      <c r="Q160" s="115"/>
      <c r="R160" s="115"/>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c r="AN160" s="115"/>
      <c r="AO160" s="115"/>
      <c r="AP160" s="115"/>
      <c r="AQ160" s="115"/>
      <c r="AR160" s="115"/>
      <c r="AS160" s="115"/>
      <c r="AT160" s="115"/>
      <c r="AU160" s="115"/>
      <c r="AV160" s="115"/>
      <c r="AW160" s="115"/>
      <c r="AX160" s="115"/>
      <c r="AY160" s="115"/>
      <c r="AZ160" s="115"/>
      <c r="BA160" s="115"/>
      <c r="BB160" s="115"/>
      <c r="BC160" s="115"/>
      <c r="BD160" s="115"/>
      <c r="BE160" s="115"/>
      <c r="BF160" s="115"/>
      <c r="BG160" s="115"/>
      <c r="BH160" s="115"/>
      <c r="BI160" s="115"/>
    </row>
    <row r="161" spans="2:61" ht="15.75" customHeight="1" x14ac:dyDescent="0.25">
      <c r="B161" s="115"/>
      <c r="C161" s="115"/>
      <c r="D161" s="115"/>
      <c r="E161" s="115"/>
      <c r="F161" s="115"/>
      <c r="G161" s="115"/>
      <c r="H161" s="115"/>
      <c r="I161" s="115"/>
      <c r="J161" s="115"/>
      <c r="K161" s="115"/>
      <c r="L161" s="115"/>
      <c r="M161" s="115"/>
      <c r="N161" s="115"/>
      <c r="O161" s="115"/>
      <c r="P161" s="115"/>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15"/>
      <c r="AQ161" s="115"/>
      <c r="AR161" s="115"/>
      <c r="AS161" s="115"/>
      <c r="AT161" s="115"/>
      <c r="AU161" s="115"/>
      <c r="AV161" s="115"/>
      <c r="AW161" s="115"/>
      <c r="AX161" s="115"/>
      <c r="AY161" s="115"/>
      <c r="AZ161" s="115"/>
      <c r="BA161" s="115"/>
      <c r="BB161" s="115"/>
      <c r="BC161" s="115"/>
      <c r="BD161" s="115"/>
      <c r="BE161" s="115"/>
      <c r="BF161" s="115"/>
      <c r="BG161" s="115"/>
      <c r="BH161" s="115"/>
      <c r="BI161" s="115"/>
    </row>
    <row r="162" spans="2:61" ht="15.75" customHeight="1" x14ac:dyDescent="0.25">
      <c r="B162" s="115"/>
      <c r="C162" s="115"/>
      <c r="D162" s="115"/>
      <c r="E162" s="115"/>
      <c r="F162" s="115"/>
      <c r="G162" s="115"/>
      <c r="H162" s="115"/>
      <c r="I162" s="115"/>
      <c r="J162" s="115"/>
      <c r="K162" s="115"/>
      <c r="L162" s="115"/>
      <c r="M162" s="115"/>
      <c r="N162" s="115"/>
      <c r="O162" s="115"/>
      <c r="P162" s="115"/>
      <c r="Q162" s="115"/>
      <c r="R162" s="115"/>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c r="AN162" s="115"/>
      <c r="AO162" s="115"/>
      <c r="AP162" s="115"/>
      <c r="AQ162" s="115"/>
      <c r="AR162" s="115"/>
      <c r="AS162" s="115"/>
      <c r="AT162" s="115"/>
      <c r="AU162" s="115"/>
      <c r="AV162" s="115"/>
      <c r="AW162" s="115"/>
      <c r="AX162" s="115"/>
      <c r="AY162" s="115"/>
      <c r="AZ162" s="115"/>
      <c r="BA162" s="115"/>
      <c r="BB162" s="115"/>
      <c r="BC162" s="115"/>
      <c r="BD162" s="115"/>
      <c r="BE162" s="115"/>
      <c r="BF162" s="115"/>
      <c r="BG162" s="115"/>
      <c r="BH162" s="115"/>
      <c r="BI162" s="115"/>
    </row>
    <row r="163" spans="2:61" ht="15.75" customHeight="1" x14ac:dyDescent="0.25">
      <c r="B163" s="115"/>
      <c r="C163" s="115"/>
      <c r="D163" s="115"/>
      <c r="E163" s="115"/>
      <c r="F163" s="115"/>
      <c r="G163" s="115"/>
      <c r="H163" s="115"/>
      <c r="I163" s="115"/>
      <c r="J163" s="115"/>
      <c r="K163" s="115"/>
      <c r="L163" s="115"/>
      <c r="M163" s="115"/>
      <c r="N163" s="115"/>
      <c r="O163" s="115"/>
      <c r="P163" s="115"/>
      <c r="Q163" s="115"/>
      <c r="R163" s="115"/>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115"/>
      <c r="BA163" s="115"/>
      <c r="BB163" s="115"/>
      <c r="BC163" s="115"/>
      <c r="BD163" s="115"/>
      <c r="BE163" s="115"/>
      <c r="BF163" s="115"/>
      <c r="BG163" s="115"/>
      <c r="BH163" s="115"/>
      <c r="BI163" s="115"/>
    </row>
    <row r="164" spans="2:61" ht="15.75" customHeight="1" x14ac:dyDescent="0.25">
      <c r="B164" s="115"/>
      <c r="C164" s="115"/>
      <c r="D164" s="115"/>
      <c r="E164" s="115"/>
      <c r="F164" s="115"/>
      <c r="G164" s="115"/>
      <c r="H164" s="115"/>
      <c r="I164" s="115"/>
      <c r="J164" s="115"/>
      <c r="K164" s="115"/>
      <c r="L164" s="115"/>
      <c r="M164" s="115"/>
      <c r="N164" s="115"/>
      <c r="O164" s="115"/>
      <c r="P164" s="115"/>
      <c r="Q164" s="115"/>
      <c r="R164" s="115"/>
      <c r="S164" s="115"/>
      <c r="T164" s="115"/>
      <c r="U164" s="115"/>
      <c r="V164" s="115"/>
      <c r="W164" s="115"/>
      <c r="X164" s="115"/>
      <c r="Y164" s="115"/>
      <c r="Z164" s="115"/>
      <c r="AA164" s="115"/>
      <c r="AB164" s="115"/>
      <c r="AC164" s="115"/>
      <c r="AD164" s="115"/>
      <c r="AE164" s="115"/>
      <c r="AF164" s="115"/>
      <c r="AG164" s="115"/>
      <c r="AH164" s="115"/>
      <c r="AI164" s="115"/>
      <c r="AJ164" s="115"/>
      <c r="AK164" s="115"/>
      <c r="AL164" s="115"/>
      <c r="AM164" s="115"/>
      <c r="AN164" s="115"/>
      <c r="AO164" s="115"/>
      <c r="AP164" s="115"/>
      <c r="AQ164" s="115"/>
      <c r="AR164" s="115"/>
      <c r="AS164" s="115"/>
      <c r="AT164" s="115"/>
      <c r="AU164" s="115"/>
      <c r="AV164" s="115"/>
      <c r="AW164" s="115"/>
      <c r="AX164" s="115"/>
      <c r="AY164" s="115"/>
      <c r="AZ164" s="115"/>
      <c r="BA164" s="115"/>
      <c r="BB164" s="115"/>
      <c r="BC164" s="115"/>
      <c r="BD164" s="115"/>
      <c r="BE164" s="115"/>
      <c r="BF164" s="115"/>
      <c r="BG164" s="115"/>
      <c r="BH164" s="115"/>
      <c r="BI164" s="115"/>
    </row>
    <row r="165" spans="2:61" ht="15.75" customHeight="1" x14ac:dyDescent="0.25">
      <c r="B165" s="115"/>
      <c r="C165" s="115"/>
      <c r="D165" s="115"/>
      <c r="E165" s="115"/>
      <c r="F165" s="115"/>
      <c r="G165" s="115"/>
      <c r="H165" s="115"/>
      <c r="I165" s="115"/>
      <c r="J165" s="115"/>
      <c r="K165" s="115"/>
      <c r="L165" s="115"/>
      <c r="M165" s="115"/>
      <c r="N165" s="115"/>
      <c r="O165" s="115"/>
      <c r="P165" s="115"/>
      <c r="Q165" s="115"/>
      <c r="R165" s="115"/>
      <c r="S165" s="115"/>
      <c r="T165" s="115"/>
      <c r="U165" s="115"/>
      <c r="V165" s="115"/>
      <c r="W165" s="115"/>
      <c r="X165" s="115"/>
      <c r="Y165" s="115"/>
      <c r="Z165" s="115"/>
      <c r="AA165" s="115"/>
      <c r="AB165" s="115"/>
      <c r="AC165" s="115"/>
      <c r="AD165" s="115"/>
      <c r="AE165" s="115"/>
      <c r="AF165" s="115"/>
      <c r="AG165" s="115"/>
      <c r="AH165" s="115"/>
      <c r="AI165" s="115"/>
      <c r="AJ165" s="115"/>
      <c r="AK165" s="115"/>
      <c r="AL165" s="115"/>
      <c r="AM165" s="115"/>
      <c r="AN165" s="115"/>
      <c r="AO165" s="115"/>
      <c r="AP165" s="115"/>
      <c r="AQ165" s="115"/>
      <c r="AR165" s="115"/>
      <c r="AS165" s="115"/>
      <c r="AT165" s="115"/>
      <c r="AU165" s="115"/>
      <c r="AV165" s="115"/>
      <c r="AW165" s="115"/>
      <c r="AX165" s="115"/>
      <c r="AY165" s="115"/>
      <c r="AZ165" s="115"/>
      <c r="BA165" s="115"/>
      <c r="BB165" s="115"/>
      <c r="BC165" s="115"/>
      <c r="BD165" s="115"/>
      <c r="BE165" s="115"/>
      <c r="BF165" s="115"/>
      <c r="BG165" s="115"/>
      <c r="BH165" s="115"/>
      <c r="BI165" s="115"/>
    </row>
    <row r="166" spans="2:61" ht="15.75" customHeight="1" x14ac:dyDescent="0.25">
      <c r="B166" s="115"/>
      <c r="C166" s="115"/>
      <c r="D166" s="115"/>
      <c r="E166" s="115"/>
      <c r="F166" s="115"/>
      <c r="G166" s="115"/>
      <c r="H166" s="115"/>
      <c r="I166" s="115"/>
      <c r="J166" s="115"/>
      <c r="K166" s="115"/>
      <c r="L166" s="115"/>
      <c r="M166" s="115"/>
      <c r="N166" s="115"/>
      <c r="O166" s="115"/>
      <c r="P166" s="115"/>
      <c r="Q166" s="115"/>
      <c r="R166" s="115"/>
      <c r="S166" s="115"/>
      <c r="T166" s="115"/>
      <c r="U166" s="115"/>
      <c r="V166" s="115"/>
      <c r="W166" s="115"/>
      <c r="X166" s="115"/>
      <c r="Y166" s="115"/>
      <c r="Z166" s="115"/>
      <c r="AA166" s="115"/>
      <c r="AB166" s="115"/>
      <c r="AC166" s="115"/>
      <c r="AD166" s="115"/>
      <c r="AE166" s="115"/>
      <c r="AF166" s="115"/>
      <c r="AG166" s="115"/>
      <c r="AH166" s="115"/>
      <c r="AI166" s="115"/>
      <c r="AJ166" s="115"/>
      <c r="AK166" s="115"/>
      <c r="AL166" s="115"/>
      <c r="AM166" s="115"/>
      <c r="AN166" s="115"/>
      <c r="AO166" s="115"/>
      <c r="AP166" s="115"/>
      <c r="AQ166" s="115"/>
      <c r="AR166" s="115"/>
      <c r="AS166" s="115"/>
      <c r="AT166" s="115"/>
      <c r="AU166" s="115"/>
      <c r="AV166" s="115"/>
      <c r="AW166" s="115"/>
      <c r="AX166" s="115"/>
      <c r="AY166" s="115"/>
      <c r="AZ166" s="115"/>
      <c r="BA166" s="115"/>
      <c r="BB166" s="115"/>
      <c r="BC166" s="115"/>
      <c r="BD166" s="115"/>
      <c r="BE166" s="115"/>
      <c r="BF166" s="115"/>
      <c r="BG166" s="115"/>
      <c r="BH166" s="115"/>
      <c r="BI166" s="115"/>
    </row>
    <row r="167" spans="2:61" ht="15.75" customHeight="1" x14ac:dyDescent="0.25">
      <c r="B167" s="115"/>
      <c r="C167" s="115"/>
      <c r="D167" s="115"/>
      <c r="E167" s="115"/>
      <c r="F167" s="115"/>
      <c r="G167" s="115"/>
      <c r="H167" s="115"/>
      <c r="I167" s="115"/>
      <c r="J167" s="115"/>
      <c r="K167" s="115"/>
      <c r="L167" s="115"/>
      <c r="M167" s="115"/>
      <c r="N167" s="115"/>
      <c r="O167" s="115"/>
      <c r="P167" s="115"/>
      <c r="Q167" s="115"/>
      <c r="R167" s="115"/>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c r="AN167" s="115"/>
      <c r="AO167" s="115"/>
      <c r="AP167" s="115"/>
      <c r="AQ167" s="115"/>
      <c r="AR167" s="115"/>
      <c r="AS167" s="115"/>
      <c r="AT167" s="115"/>
      <c r="AU167" s="115"/>
      <c r="AV167" s="115"/>
      <c r="AW167" s="115"/>
      <c r="AX167" s="115"/>
      <c r="AY167" s="115"/>
      <c r="AZ167" s="115"/>
      <c r="BA167" s="115"/>
      <c r="BB167" s="115"/>
      <c r="BC167" s="115"/>
      <c r="BD167" s="115"/>
      <c r="BE167" s="115"/>
      <c r="BF167" s="115"/>
      <c r="BG167" s="115"/>
      <c r="BH167" s="115"/>
      <c r="BI167" s="115"/>
    </row>
    <row r="168" spans="2:61" ht="15.75" customHeight="1" x14ac:dyDescent="0.25">
      <c r="B168" s="115"/>
      <c r="C168" s="115"/>
      <c r="D168" s="115"/>
      <c r="E168" s="115"/>
      <c r="F168" s="115"/>
      <c r="G168" s="115"/>
      <c r="H168" s="115"/>
      <c r="I168" s="115"/>
      <c r="J168" s="115"/>
      <c r="K168" s="115"/>
      <c r="L168" s="115"/>
      <c r="M168" s="115"/>
      <c r="N168" s="115"/>
      <c r="O168" s="115"/>
      <c r="P168" s="115"/>
      <c r="Q168" s="115"/>
      <c r="R168" s="115"/>
      <c r="S168" s="115"/>
      <c r="T168" s="115"/>
      <c r="U168" s="115"/>
      <c r="V168" s="115"/>
      <c r="W168" s="115"/>
      <c r="X168" s="115"/>
      <c r="Y168" s="115"/>
      <c r="Z168" s="115"/>
      <c r="AA168" s="115"/>
      <c r="AB168" s="115"/>
      <c r="AC168" s="115"/>
      <c r="AD168" s="115"/>
      <c r="AE168" s="115"/>
      <c r="AF168" s="115"/>
      <c r="AG168" s="115"/>
      <c r="AH168" s="115"/>
      <c r="AI168" s="115"/>
      <c r="AJ168" s="115"/>
      <c r="AK168" s="115"/>
      <c r="AL168" s="115"/>
      <c r="AM168" s="115"/>
      <c r="AN168" s="115"/>
      <c r="AO168" s="115"/>
      <c r="AP168" s="115"/>
      <c r="AQ168" s="115"/>
      <c r="AR168" s="115"/>
      <c r="AS168" s="115"/>
      <c r="AT168" s="115"/>
      <c r="AU168" s="115"/>
      <c r="AV168" s="115"/>
      <c r="AW168" s="115"/>
      <c r="AX168" s="115"/>
      <c r="AY168" s="115"/>
      <c r="AZ168" s="115"/>
      <c r="BA168" s="115"/>
      <c r="BB168" s="115"/>
      <c r="BC168" s="115"/>
      <c r="BD168" s="115"/>
      <c r="BE168" s="115"/>
      <c r="BF168" s="115"/>
      <c r="BG168" s="115"/>
      <c r="BH168" s="115"/>
      <c r="BI168" s="115"/>
    </row>
    <row r="169" spans="2:61" ht="15.75" customHeight="1" x14ac:dyDescent="0.25">
      <c r="B169" s="115"/>
      <c r="C169" s="115"/>
      <c r="D169" s="115"/>
      <c r="E169" s="115"/>
      <c r="F169" s="115"/>
      <c r="G169" s="115"/>
      <c r="H169" s="115"/>
      <c r="I169" s="115"/>
      <c r="J169" s="115"/>
      <c r="K169" s="115"/>
      <c r="L169" s="115"/>
      <c r="M169" s="115"/>
      <c r="N169" s="115"/>
      <c r="O169" s="115"/>
      <c r="P169" s="115"/>
      <c r="Q169" s="115"/>
      <c r="R169" s="115"/>
      <c r="S169" s="115"/>
      <c r="T169" s="115"/>
      <c r="U169" s="115"/>
      <c r="V169" s="115"/>
      <c r="W169" s="115"/>
      <c r="X169" s="115"/>
      <c r="Y169" s="115"/>
      <c r="Z169" s="115"/>
      <c r="AA169" s="115"/>
      <c r="AB169" s="115"/>
      <c r="AC169" s="115"/>
      <c r="AD169" s="115"/>
      <c r="AE169" s="115"/>
      <c r="AF169" s="115"/>
      <c r="AG169" s="115"/>
      <c r="AH169" s="115"/>
      <c r="AI169" s="115"/>
      <c r="AJ169" s="115"/>
      <c r="AK169" s="115"/>
      <c r="AL169" s="115"/>
      <c r="AM169" s="115"/>
      <c r="AN169" s="115"/>
      <c r="AO169" s="115"/>
      <c r="AP169" s="115"/>
      <c r="AQ169" s="115"/>
      <c r="AR169" s="115"/>
      <c r="AS169" s="115"/>
      <c r="AT169" s="115"/>
      <c r="AU169" s="115"/>
      <c r="AV169" s="115"/>
      <c r="AW169" s="115"/>
      <c r="AX169" s="115"/>
      <c r="AY169" s="115"/>
      <c r="AZ169" s="115"/>
      <c r="BA169" s="115"/>
      <c r="BB169" s="115"/>
      <c r="BC169" s="115"/>
      <c r="BD169" s="115"/>
      <c r="BE169" s="115"/>
      <c r="BF169" s="115"/>
      <c r="BG169" s="115"/>
      <c r="BH169" s="115"/>
      <c r="BI169" s="115"/>
    </row>
    <row r="170" spans="2:61" ht="15.75" customHeight="1" x14ac:dyDescent="0.25">
      <c r="B170" s="115"/>
      <c r="C170" s="115"/>
      <c r="D170" s="115"/>
      <c r="E170" s="115"/>
      <c r="F170" s="115"/>
      <c r="G170" s="115"/>
      <c r="H170" s="115"/>
      <c r="I170" s="115"/>
      <c r="J170" s="115"/>
      <c r="K170" s="115"/>
      <c r="L170" s="115"/>
      <c r="M170" s="115"/>
      <c r="N170" s="115"/>
      <c r="O170" s="115"/>
      <c r="P170" s="115"/>
      <c r="Q170" s="115"/>
      <c r="R170" s="115"/>
      <c r="S170" s="115"/>
      <c r="T170" s="115"/>
      <c r="U170" s="115"/>
      <c r="V170" s="115"/>
      <c r="W170" s="115"/>
      <c r="X170" s="115"/>
      <c r="Y170" s="115"/>
      <c r="Z170" s="115"/>
      <c r="AA170" s="115"/>
      <c r="AB170" s="115"/>
      <c r="AC170" s="115"/>
      <c r="AD170" s="115"/>
      <c r="AE170" s="115"/>
      <c r="AF170" s="115"/>
      <c r="AG170" s="115"/>
      <c r="AH170" s="115"/>
      <c r="AI170" s="115"/>
      <c r="AJ170" s="115"/>
      <c r="AK170" s="115"/>
      <c r="AL170" s="115"/>
      <c r="AM170" s="115"/>
      <c r="AN170" s="115"/>
      <c r="AO170" s="115"/>
      <c r="AP170" s="115"/>
      <c r="AQ170" s="115"/>
      <c r="AR170" s="115"/>
      <c r="AS170" s="115"/>
      <c r="AT170" s="115"/>
      <c r="AU170" s="115"/>
      <c r="AV170" s="115"/>
      <c r="AW170" s="115"/>
      <c r="AX170" s="115"/>
      <c r="AY170" s="115"/>
      <c r="AZ170" s="115"/>
      <c r="BA170" s="115"/>
      <c r="BB170" s="115"/>
      <c r="BC170" s="115"/>
      <c r="BD170" s="115"/>
      <c r="BE170" s="115"/>
      <c r="BF170" s="115"/>
      <c r="BG170" s="115"/>
      <c r="BH170" s="115"/>
      <c r="BI170" s="115"/>
    </row>
    <row r="171" spans="2:61" ht="15.75" customHeight="1" x14ac:dyDescent="0.25">
      <c r="B171" s="115"/>
      <c r="C171" s="115"/>
      <c r="D171" s="115"/>
      <c r="E171" s="115"/>
      <c r="F171" s="115"/>
      <c r="G171" s="115"/>
      <c r="H171" s="115"/>
      <c r="I171" s="115"/>
      <c r="J171" s="115"/>
      <c r="K171" s="115"/>
      <c r="L171" s="115"/>
      <c r="M171" s="115"/>
      <c r="N171" s="115"/>
      <c r="O171" s="115"/>
      <c r="P171" s="115"/>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c r="AN171" s="115"/>
      <c r="AO171" s="115"/>
      <c r="AP171" s="115"/>
      <c r="AQ171" s="115"/>
      <c r="AR171" s="115"/>
      <c r="AS171" s="115"/>
      <c r="AT171" s="115"/>
      <c r="AU171" s="115"/>
      <c r="AV171" s="115"/>
      <c r="AW171" s="115"/>
      <c r="AX171" s="115"/>
      <c r="AY171" s="115"/>
      <c r="AZ171" s="115"/>
      <c r="BA171" s="115"/>
      <c r="BB171" s="115"/>
      <c r="BC171" s="115"/>
      <c r="BD171" s="115"/>
      <c r="BE171" s="115"/>
      <c r="BF171" s="115"/>
      <c r="BG171" s="115"/>
      <c r="BH171" s="115"/>
      <c r="BI171" s="115"/>
    </row>
    <row r="172" spans="2:61" ht="15.75" customHeight="1" x14ac:dyDescent="0.25">
      <c r="B172" s="115"/>
      <c r="C172" s="115"/>
      <c r="D172" s="115"/>
      <c r="E172" s="115"/>
      <c r="F172" s="115"/>
      <c r="G172" s="115"/>
      <c r="H172" s="115"/>
      <c r="I172" s="115"/>
      <c r="J172" s="115"/>
      <c r="K172" s="115"/>
      <c r="L172" s="115"/>
      <c r="M172" s="115"/>
      <c r="N172" s="115"/>
      <c r="O172" s="115"/>
      <c r="P172" s="115"/>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c r="AN172" s="115"/>
      <c r="AO172" s="115"/>
      <c r="AP172" s="115"/>
      <c r="AQ172" s="115"/>
      <c r="AR172" s="115"/>
      <c r="AS172" s="115"/>
      <c r="AT172" s="115"/>
      <c r="AU172" s="115"/>
      <c r="AV172" s="115"/>
      <c r="AW172" s="115"/>
      <c r="AX172" s="115"/>
      <c r="AY172" s="115"/>
      <c r="AZ172" s="115"/>
      <c r="BA172" s="115"/>
      <c r="BB172" s="115"/>
      <c r="BC172" s="115"/>
      <c r="BD172" s="115"/>
      <c r="BE172" s="115"/>
      <c r="BF172" s="115"/>
      <c r="BG172" s="115"/>
      <c r="BH172" s="115"/>
      <c r="BI172" s="115"/>
    </row>
    <row r="173" spans="2:61" ht="15.75" customHeight="1" x14ac:dyDescent="0.25">
      <c r="B173" s="115"/>
      <c r="C173" s="115"/>
      <c r="D173" s="115"/>
      <c r="E173" s="115"/>
      <c r="F173" s="115"/>
      <c r="G173" s="115"/>
      <c r="H173" s="115"/>
      <c r="I173" s="115"/>
      <c r="J173" s="115"/>
      <c r="K173" s="115"/>
      <c r="L173" s="115"/>
      <c r="M173" s="115"/>
      <c r="N173" s="115"/>
      <c r="O173" s="115"/>
      <c r="P173" s="115"/>
      <c r="Q173" s="115"/>
      <c r="R173" s="115"/>
      <c r="S173" s="115"/>
      <c r="T173" s="115"/>
      <c r="U173" s="115"/>
      <c r="V173" s="115"/>
      <c r="W173" s="115"/>
      <c r="X173" s="115"/>
      <c r="Y173" s="115"/>
      <c r="Z173" s="115"/>
      <c r="AA173" s="115"/>
      <c r="AB173" s="115"/>
      <c r="AC173" s="115"/>
      <c r="AD173" s="115"/>
      <c r="AE173" s="115"/>
      <c r="AF173" s="115"/>
      <c r="AG173" s="115"/>
      <c r="AH173" s="115"/>
      <c r="AI173" s="115"/>
      <c r="AJ173" s="115"/>
      <c r="AK173" s="115"/>
      <c r="AL173" s="115"/>
      <c r="AM173" s="115"/>
      <c r="AN173" s="115"/>
      <c r="AO173" s="115"/>
      <c r="AP173" s="115"/>
      <c r="AQ173" s="115"/>
      <c r="AR173" s="115"/>
      <c r="AS173" s="115"/>
      <c r="AT173" s="115"/>
      <c r="AU173" s="115"/>
      <c r="AV173" s="115"/>
      <c r="AW173" s="115"/>
      <c r="AX173" s="115"/>
      <c r="AY173" s="115"/>
      <c r="AZ173" s="115"/>
      <c r="BA173" s="115"/>
      <c r="BB173" s="115"/>
      <c r="BC173" s="115"/>
      <c r="BD173" s="115"/>
      <c r="BE173" s="115"/>
      <c r="BF173" s="115"/>
      <c r="BG173" s="115"/>
      <c r="BH173" s="115"/>
      <c r="BI173" s="115"/>
    </row>
    <row r="174" spans="2:61" ht="15.75" customHeight="1" x14ac:dyDescent="0.25">
      <c r="B174" s="115"/>
      <c r="C174" s="115"/>
      <c r="D174" s="115"/>
      <c r="E174" s="115"/>
      <c r="F174" s="115"/>
      <c r="G174" s="115"/>
      <c r="H174" s="115"/>
      <c r="I174" s="115"/>
      <c r="J174" s="115"/>
      <c r="K174" s="115"/>
      <c r="L174" s="115"/>
      <c r="M174" s="115"/>
      <c r="N174" s="115"/>
      <c r="O174" s="115"/>
      <c r="P174" s="115"/>
      <c r="Q174" s="115"/>
      <c r="R174" s="115"/>
      <c r="S174" s="115"/>
      <c r="T174" s="115"/>
      <c r="U174" s="115"/>
      <c r="V174" s="115"/>
      <c r="W174" s="115"/>
      <c r="X174" s="115"/>
      <c r="Y174" s="115"/>
      <c r="Z174" s="115"/>
      <c r="AA174" s="115"/>
      <c r="AB174" s="115"/>
      <c r="AC174" s="115"/>
      <c r="AD174" s="115"/>
      <c r="AE174" s="115"/>
      <c r="AF174" s="115"/>
      <c r="AG174" s="115"/>
      <c r="AH174" s="115"/>
      <c r="AI174" s="115"/>
      <c r="AJ174" s="115"/>
      <c r="AK174" s="115"/>
      <c r="AL174" s="115"/>
      <c r="AM174" s="115"/>
      <c r="AN174" s="115"/>
      <c r="AO174" s="115"/>
      <c r="AP174" s="115"/>
      <c r="AQ174" s="115"/>
      <c r="AR174" s="115"/>
      <c r="AS174" s="115"/>
      <c r="AT174" s="115"/>
      <c r="AU174" s="115"/>
      <c r="AV174" s="115"/>
      <c r="AW174" s="115"/>
      <c r="AX174" s="115"/>
      <c r="AY174" s="115"/>
      <c r="AZ174" s="115"/>
      <c r="BA174" s="115"/>
      <c r="BB174" s="115"/>
      <c r="BC174" s="115"/>
      <c r="BD174" s="115"/>
      <c r="BE174" s="115"/>
      <c r="BF174" s="115"/>
      <c r="BG174" s="115"/>
      <c r="BH174" s="115"/>
      <c r="BI174" s="115"/>
    </row>
    <row r="175" spans="2:61" ht="15.75" customHeight="1" x14ac:dyDescent="0.25">
      <c r="B175" s="115"/>
      <c r="C175" s="115"/>
      <c r="D175" s="115"/>
      <c r="E175" s="115"/>
      <c r="F175" s="115"/>
      <c r="G175" s="115"/>
      <c r="H175" s="115"/>
      <c r="I175" s="115"/>
      <c r="J175" s="115"/>
      <c r="K175" s="115"/>
      <c r="L175" s="115"/>
      <c r="M175" s="115"/>
      <c r="N175" s="115"/>
      <c r="O175" s="115"/>
      <c r="P175" s="115"/>
      <c r="Q175" s="115"/>
      <c r="R175" s="115"/>
      <c r="S175" s="115"/>
      <c r="T175" s="115"/>
      <c r="U175" s="115"/>
      <c r="V175" s="115"/>
      <c r="W175" s="115"/>
      <c r="X175" s="115"/>
      <c r="Y175" s="115"/>
      <c r="Z175" s="115"/>
      <c r="AA175" s="115"/>
      <c r="AB175" s="115"/>
      <c r="AC175" s="115"/>
      <c r="AD175" s="115"/>
      <c r="AE175" s="115"/>
      <c r="AF175" s="115"/>
      <c r="AG175" s="115"/>
      <c r="AH175" s="115"/>
      <c r="AI175" s="115"/>
      <c r="AJ175" s="115"/>
      <c r="AK175" s="115"/>
      <c r="AL175" s="115"/>
      <c r="AM175" s="115"/>
      <c r="AN175" s="115"/>
      <c r="AO175" s="115"/>
      <c r="AP175" s="115"/>
      <c r="AQ175" s="115"/>
      <c r="AR175" s="115"/>
      <c r="AS175" s="115"/>
      <c r="AT175" s="115"/>
      <c r="AU175" s="115"/>
      <c r="AV175" s="115"/>
      <c r="AW175" s="115"/>
      <c r="AX175" s="115"/>
      <c r="AY175" s="115"/>
      <c r="AZ175" s="115"/>
      <c r="BA175" s="115"/>
      <c r="BB175" s="115"/>
      <c r="BC175" s="115"/>
      <c r="BD175" s="115"/>
      <c r="BE175" s="115"/>
      <c r="BF175" s="115"/>
      <c r="BG175" s="115"/>
      <c r="BH175" s="115"/>
      <c r="BI175" s="115"/>
    </row>
    <row r="176" spans="2:61" ht="15.75" customHeight="1" x14ac:dyDescent="0.25">
      <c r="B176" s="115"/>
      <c r="C176" s="115"/>
      <c r="D176" s="115"/>
      <c r="E176" s="115"/>
      <c r="F176" s="115"/>
      <c r="G176" s="115"/>
      <c r="H176" s="115"/>
      <c r="I176" s="115"/>
      <c r="J176" s="115"/>
      <c r="K176" s="115"/>
      <c r="L176" s="115"/>
      <c r="M176" s="115"/>
      <c r="N176" s="115"/>
      <c r="O176" s="115"/>
      <c r="P176" s="115"/>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5"/>
      <c r="AM176" s="115"/>
      <c r="AN176" s="115"/>
      <c r="AO176" s="115"/>
      <c r="AP176" s="115"/>
      <c r="AQ176" s="115"/>
      <c r="AR176" s="115"/>
      <c r="AS176" s="115"/>
      <c r="AT176" s="115"/>
      <c r="AU176" s="115"/>
      <c r="AV176" s="115"/>
      <c r="AW176" s="115"/>
      <c r="AX176" s="115"/>
      <c r="AY176" s="115"/>
      <c r="AZ176" s="115"/>
      <c r="BA176" s="115"/>
      <c r="BB176" s="115"/>
      <c r="BC176" s="115"/>
      <c r="BD176" s="115"/>
      <c r="BE176" s="115"/>
      <c r="BF176" s="115"/>
      <c r="BG176" s="115"/>
      <c r="BH176" s="115"/>
      <c r="BI176" s="115"/>
    </row>
    <row r="177" spans="2:61" ht="15.75" customHeight="1" x14ac:dyDescent="0.25">
      <c r="B177" s="115"/>
      <c r="C177" s="115"/>
      <c r="D177" s="115"/>
      <c r="E177" s="115"/>
      <c r="F177" s="115"/>
      <c r="G177" s="115"/>
      <c r="H177" s="115"/>
      <c r="I177" s="115"/>
      <c r="J177" s="115"/>
      <c r="K177" s="115"/>
      <c r="L177" s="115"/>
      <c r="M177" s="115"/>
      <c r="N177" s="115"/>
      <c r="O177" s="115"/>
      <c r="P177" s="115"/>
      <c r="Q177" s="115"/>
      <c r="R177" s="115"/>
      <c r="S177" s="115"/>
      <c r="T177" s="115"/>
      <c r="U177" s="115"/>
      <c r="V177" s="115"/>
      <c r="W177" s="115"/>
      <c r="X177" s="115"/>
      <c r="Y177" s="115"/>
      <c r="Z177" s="115"/>
      <c r="AA177" s="115"/>
      <c r="AB177" s="115"/>
      <c r="AC177" s="115"/>
      <c r="AD177" s="115"/>
      <c r="AE177" s="115"/>
      <c r="AF177" s="115"/>
      <c r="AG177" s="115"/>
      <c r="AH177" s="115"/>
      <c r="AI177" s="115"/>
      <c r="AJ177" s="115"/>
      <c r="AK177" s="115"/>
      <c r="AL177" s="115"/>
      <c r="AM177" s="115"/>
      <c r="AN177" s="115"/>
      <c r="AO177" s="115"/>
      <c r="AP177" s="115"/>
      <c r="AQ177" s="115"/>
      <c r="AR177" s="115"/>
      <c r="AS177" s="115"/>
      <c r="AT177" s="115"/>
      <c r="AU177" s="115"/>
      <c r="AV177" s="115"/>
      <c r="AW177" s="115"/>
      <c r="AX177" s="115"/>
      <c r="AY177" s="115"/>
      <c r="AZ177" s="115"/>
      <c r="BA177" s="115"/>
      <c r="BB177" s="115"/>
      <c r="BC177" s="115"/>
      <c r="BD177" s="115"/>
      <c r="BE177" s="115"/>
      <c r="BF177" s="115"/>
      <c r="BG177" s="115"/>
      <c r="BH177" s="115"/>
      <c r="BI177" s="115"/>
    </row>
    <row r="178" spans="2:61" ht="15.75" customHeight="1" x14ac:dyDescent="0.25">
      <c r="B178" s="115"/>
      <c r="C178" s="115"/>
      <c r="D178" s="115"/>
      <c r="E178" s="115"/>
      <c r="F178" s="115"/>
      <c r="G178" s="115"/>
      <c r="H178" s="115"/>
      <c r="I178" s="115"/>
      <c r="J178" s="115"/>
      <c r="K178" s="115"/>
      <c r="L178" s="115"/>
      <c r="M178" s="115"/>
      <c r="N178" s="115"/>
      <c r="O178" s="115"/>
      <c r="P178" s="115"/>
      <c r="Q178" s="115"/>
      <c r="R178" s="115"/>
      <c r="S178" s="115"/>
      <c r="T178" s="115"/>
      <c r="U178" s="115"/>
      <c r="V178" s="115"/>
      <c r="W178" s="115"/>
      <c r="X178" s="115"/>
      <c r="Y178" s="115"/>
      <c r="Z178" s="115"/>
      <c r="AA178" s="115"/>
      <c r="AB178" s="115"/>
      <c r="AC178" s="115"/>
      <c r="AD178" s="115"/>
      <c r="AE178" s="115"/>
      <c r="AF178" s="115"/>
      <c r="AG178" s="115"/>
      <c r="AH178" s="115"/>
      <c r="AI178" s="115"/>
      <c r="AJ178" s="115"/>
      <c r="AK178" s="115"/>
      <c r="AL178" s="115"/>
      <c r="AM178" s="115"/>
      <c r="AN178" s="115"/>
      <c r="AO178" s="115"/>
      <c r="AP178" s="115"/>
      <c r="AQ178" s="115"/>
      <c r="AR178" s="115"/>
      <c r="AS178" s="115"/>
      <c r="AT178" s="115"/>
      <c r="AU178" s="115"/>
      <c r="AV178" s="115"/>
      <c r="AW178" s="115"/>
      <c r="AX178" s="115"/>
      <c r="AY178" s="115"/>
      <c r="AZ178" s="115"/>
      <c r="BA178" s="115"/>
      <c r="BB178" s="115"/>
      <c r="BC178" s="115"/>
      <c r="BD178" s="115"/>
      <c r="BE178" s="115"/>
      <c r="BF178" s="115"/>
      <c r="BG178" s="115"/>
      <c r="BH178" s="115"/>
      <c r="BI178" s="115"/>
    </row>
    <row r="179" spans="2:61" ht="15.75" customHeight="1" x14ac:dyDescent="0.25">
      <c r="B179" s="115"/>
      <c r="C179" s="115"/>
      <c r="D179" s="115"/>
      <c r="E179" s="115"/>
      <c r="F179" s="115"/>
      <c r="G179" s="115"/>
      <c r="H179" s="115"/>
      <c r="I179" s="115"/>
      <c r="J179" s="115"/>
      <c r="K179" s="115"/>
      <c r="L179" s="115"/>
      <c r="M179" s="115"/>
      <c r="N179" s="115"/>
      <c r="O179" s="115"/>
      <c r="P179" s="115"/>
      <c r="Q179" s="115"/>
      <c r="R179" s="115"/>
      <c r="S179" s="115"/>
      <c r="T179" s="115"/>
      <c r="U179" s="115"/>
      <c r="V179" s="115"/>
      <c r="W179" s="115"/>
      <c r="X179" s="115"/>
      <c r="Y179" s="115"/>
      <c r="Z179" s="115"/>
      <c r="AA179" s="115"/>
      <c r="AB179" s="115"/>
      <c r="AC179" s="115"/>
      <c r="AD179" s="115"/>
      <c r="AE179" s="115"/>
      <c r="AF179" s="115"/>
      <c r="AG179" s="115"/>
      <c r="AH179" s="115"/>
      <c r="AI179" s="115"/>
      <c r="AJ179" s="115"/>
      <c r="AK179" s="115"/>
      <c r="AL179" s="115"/>
      <c r="AM179" s="115"/>
      <c r="AN179" s="115"/>
      <c r="AO179" s="115"/>
      <c r="AP179" s="115"/>
      <c r="AQ179" s="115"/>
      <c r="AR179" s="115"/>
      <c r="AS179" s="115"/>
      <c r="AT179" s="115"/>
      <c r="AU179" s="115"/>
      <c r="AV179" s="115"/>
      <c r="AW179" s="115"/>
      <c r="AX179" s="115"/>
      <c r="AY179" s="115"/>
      <c r="AZ179" s="115"/>
      <c r="BA179" s="115"/>
      <c r="BB179" s="115"/>
      <c r="BC179" s="115"/>
      <c r="BD179" s="115"/>
      <c r="BE179" s="115"/>
      <c r="BF179" s="115"/>
      <c r="BG179" s="115"/>
      <c r="BH179" s="115"/>
      <c r="BI179" s="115"/>
    </row>
    <row r="180" spans="2:61" ht="15.75" customHeight="1" x14ac:dyDescent="0.25">
      <c r="B180" s="115"/>
      <c r="C180" s="115"/>
      <c r="D180" s="115"/>
      <c r="E180" s="115"/>
      <c r="F180" s="115"/>
      <c r="G180" s="115"/>
      <c r="H180" s="115"/>
      <c r="I180" s="115"/>
      <c r="J180" s="115"/>
      <c r="K180" s="115"/>
      <c r="L180" s="115"/>
      <c r="M180" s="115"/>
      <c r="N180" s="115"/>
      <c r="O180" s="115"/>
      <c r="P180" s="115"/>
      <c r="Q180" s="115"/>
      <c r="R180" s="115"/>
      <c r="S180" s="115"/>
      <c r="T180" s="115"/>
      <c r="U180" s="115"/>
      <c r="V180" s="115"/>
      <c r="W180" s="115"/>
      <c r="X180" s="115"/>
      <c r="Y180" s="115"/>
      <c r="Z180" s="115"/>
      <c r="AA180" s="115"/>
      <c r="AB180" s="115"/>
      <c r="AC180" s="115"/>
      <c r="AD180" s="115"/>
      <c r="AE180" s="115"/>
      <c r="AF180" s="115"/>
      <c r="AG180" s="115"/>
      <c r="AH180" s="115"/>
      <c r="AI180" s="115"/>
      <c r="AJ180" s="115"/>
      <c r="AK180" s="115"/>
      <c r="AL180" s="115"/>
      <c r="AM180" s="115"/>
      <c r="AN180" s="115"/>
      <c r="AO180" s="115"/>
      <c r="AP180" s="115"/>
      <c r="AQ180" s="115"/>
      <c r="AR180" s="115"/>
      <c r="AS180" s="115"/>
      <c r="AT180" s="115"/>
      <c r="AU180" s="115"/>
      <c r="AV180" s="115"/>
      <c r="AW180" s="115"/>
      <c r="AX180" s="115"/>
      <c r="AY180" s="115"/>
      <c r="AZ180" s="115"/>
      <c r="BA180" s="115"/>
      <c r="BB180" s="115"/>
      <c r="BC180" s="115"/>
      <c r="BD180" s="115"/>
      <c r="BE180" s="115"/>
      <c r="BF180" s="115"/>
      <c r="BG180" s="115"/>
      <c r="BH180" s="115"/>
      <c r="BI180" s="115"/>
    </row>
    <row r="181" spans="2:61" ht="15.75" customHeight="1" x14ac:dyDescent="0.25">
      <c r="B181" s="115"/>
      <c r="C181" s="115"/>
      <c r="D181" s="115"/>
      <c r="E181" s="115"/>
      <c r="F181" s="115"/>
      <c r="G181" s="115"/>
      <c r="H181" s="115"/>
      <c r="I181" s="115"/>
      <c r="J181" s="115"/>
      <c r="K181" s="115"/>
      <c r="L181" s="115"/>
      <c r="M181" s="115"/>
      <c r="N181" s="115"/>
      <c r="O181" s="115"/>
      <c r="P181" s="115"/>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c r="AN181" s="115"/>
      <c r="AO181" s="115"/>
      <c r="AP181" s="115"/>
      <c r="AQ181" s="115"/>
      <c r="AR181" s="115"/>
      <c r="AS181" s="115"/>
      <c r="AT181" s="115"/>
      <c r="AU181" s="115"/>
      <c r="AV181" s="115"/>
      <c r="AW181" s="115"/>
      <c r="AX181" s="115"/>
      <c r="AY181" s="115"/>
      <c r="AZ181" s="115"/>
      <c r="BA181" s="115"/>
      <c r="BB181" s="115"/>
      <c r="BC181" s="115"/>
      <c r="BD181" s="115"/>
      <c r="BE181" s="115"/>
      <c r="BF181" s="115"/>
      <c r="BG181" s="115"/>
      <c r="BH181" s="115"/>
      <c r="BI181" s="115"/>
    </row>
    <row r="182" spans="2:61" ht="15.75" customHeight="1" x14ac:dyDescent="0.25">
      <c r="B182" s="115"/>
      <c r="C182" s="115"/>
      <c r="D182" s="115"/>
      <c r="E182" s="115"/>
      <c r="F182" s="115"/>
      <c r="G182" s="115"/>
      <c r="H182" s="115"/>
      <c r="I182" s="115"/>
      <c r="J182" s="115"/>
      <c r="K182" s="115"/>
      <c r="L182" s="115"/>
      <c r="M182" s="115"/>
      <c r="N182" s="115"/>
      <c r="O182" s="115"/>
      <c r="P182" s="115"/>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5"/>
      <c r="AM182" s="115"/>
      <c r="AN182" s="115"/>
      <c r="AO182" s="115"/>
      <c r="AP182" s="115"/>
      <c r="AQ182" s="115"/>
      <c r="AR182" s="115"/>
      <c r="AS182" s="115"/>
      <c r="AT182" s="115"/>
      <c r="AU182" s="115"/>
      <c r="AV182" s="115"/>
      <c r="AW182" s="115"/>
      <c r="AX182" s="115"/>
      <c r="AY182" s="115"/>
      <c r="AZ182" s="115"/>
      <c r="BA182" s="115"/>
      <c r="BB182" s="115"/>
      <c r="BC182" s="115"/>
      <c r="BD182" s="115"/>
      <c r="BE182" s="115"/>
      <c r="BF182" s="115"/>
      <c r="BG182" s="115"/>
      <c r="BH182" s="115"/>
      <c r="BI182" s="115"/>
    </row>
    <row r="183" spans="2:61" ht="15.75" customHeight="1" x14ac:dyDescent="0.25">
      <c r="B183" s="115"/>
      <c r="C183" s="115"/>
      <c r="D183" s="115"/>
      <c r="E183" s="115"/>
      <c r="F183" s="115"/>
      <c r="G183" s="115"/>
      <c r="H183" s="115"/>
      <c r="I183" s="115"/>
      <c r="J183" s="115"/>
      <c r="K183" s="115"/>
      <c r="L183" s="115"/>
      <c r="M183" s="115"/>
      <c r="N183" s="115"/>
      <c r="O183" s="115"/>
      <c r="P183" s="115"/>
      <c r="Q183" s="115"/>
      <c r="R183" s="115"/>
      <c r="S183" s="115"/>
      <c r="T183" s="115"/>
      <c r="U183" s="115"/>
      <c r="V183" s="115"/>
      <c r="W183" s="115"/>
      <c r="X183" s="115"/>
      <c r="Y183" s="115"/>
      <c r="Z183" s="115"/>
      <c r="AA183" s="115"/>
      <c r="AB183" s="115"/>
      <c r="AC183" s="115"/>
      <c r="AD183" s="115"/>
      <c r="AE183" s="115"/>
      <c r="AF183" s="115"/>
      <c r="AG183" s="115"/>
      <c r="AH183" s="115"/>
      <c r="AI183" s="115"/>
      <c r="AJ183" s="115"/>
      <c r="AK183" s="115"/>
      <c r="AL183" s="115"/>
      <c r="AM183" s="115"/>
      <c r="AN183" s="115"/>
      <c r="AO183" s="115"/>
      <c r="AP183" s="115"/>
      <c r="AQ183" s="115"/>
      <c r="AR183" s="115"/>
      <c r="AS183" s="115"/>
      <c r="AT183" s="115"/>
      <c r="AU183" s="115"/>
      <c r="AV183" s="115"/>
      <c r="AW183" s="115"/>
      <c r="AX183" s="115"/>
      <c r="AY183" s="115"/>
      <c r="AZ183" s="115"/>
      <c r="BA183" s="115"/>
      <c r="BB183" s="115"/>
      <c r="BC183" s="115"/>
      <c r="BD183" s="115"/>
      <c r="BE183" s="115"/>
      <c r="BF183" s="115"/>
      <c r="BG183" s="115"/>
      <c r="BH183" s="115"/>
      <c r="BI183" s="115"/>
    </row>
    <row r="184" spans="2:61" ht="15.75" customHeight="1" x14ac:dyDescent="0.25">
      <c r="B184" s="115"/>
      <c r="C184" s="115"/>
      <c r="D184" s="115"/>
      <c r="E184" s="115"/>
      <c r="F184" s="115"/>
      <c r="G184" s="115"/>
      <c r="H184" s="115"/>
      <c r="I184" s="115"/>
      <c r="J184" s="115"/>
      <c r="K184" s="115"/>
      <c r="L184" s="115"/>
      <c r="M184" s="115"/>
      <c r="N184" s="115"/>
      <c r="O184" s="115"/>
      <c r="P184" s="115"/>
      <c r="Q184" s="115"/>
      <c r="R184" s="115"/>
      <c r="S184" s="115"/>
      <c r="T184" s="115"/>
      <c r="U184" s="115"/>
      <c r="V184" s="115"/>
      <c r="W184" s="115"/>
      <c r="X184" s="115"/>
      <c r="Y184" s="115"/>
      <c r="Z184" s="115"/>
      <c r="AA184" s="115"/>
      <c r="AB184" s="115"/>
      <c r="AC184" s="115"/>
      <c r="AD184" s="115"/>
      <c r="AE184" s="115"/>
      <c r="AF184" s="115"/>
      <c r="AG184" s="115"/>
      <c r="AH184" s="115"/>
      <c r="AI184" s="115"/>
      <c r="AJ184" s="115"/>
      <c r="AK184" s="115"/>
      <c r="AL184" s="115"/>
      <c r="AM184" s="115"/>
      <c r="AN184" s="115"/>
      <c r="AO184" s="115"/>
      <c r="AP184" s="115"/>
      <c r="AQ184" s="115"/>
      <c r="AR184" s="115"/>
      <c r="AS184" s="115"/>
      <c r="AT184" s="115"/>
      <c r="AU184" s="115"/>
      <c r="AV184" s="115"/>
      <c r="AW184" s="115"/>
      <c r="AX184" s="115"/>
      <c r="AY184" s="115"/>
      <c r="AZ184" s="115"/>
      <c r="BA184" s="115"/>
      <c r="BB184" s="115"/>
      <c r="BC184" s="115"/>
      <c r="BD184" s="115"/>
      <c r="BE184" s="115"/>
      <c r="BF184" s="115"/>
      <c r="BG184" s="115"/>
      <c r="BH184" s="115"/>
      <c r="BI184" s="115"/>
    </row>
    <row r="185" spans="2:61" ht="15.75" customHeight="1" x14ac:dyDescent="0.25">
      <c r="B185" s="115"/>
      <c r="C185" s="115"/>
      <c r="D185" s="115"/>
      <c r="E185" s="115"/>
      <c r="F185" s="115"/>
      <c r="G185" s="115"/>
      <c r="H185" s="115"/>
      <c r="I185" s="115"/>
      <c r="J185" s="115"/>
      <c r="K185" s="115"/>
      <c r="L185" s="115"/>
      <c r="M185" s="115"/>
      <c r="N185" s="115"/>
      <c r="O185" s="115"/>
      <c r="P185" s="115"/>
      <c r="Q185" s="115"/>
      <c r="R185" s="115"/>
      <c r="S185" s="115"/>
      <c r="T185" s="115"/>
      <c r="U185" s="115"/>
      <c r="V185" s="115"/>
      <c r="W185" s="115"/>
      <c r="X185" s="115"/>
      <c r="Y185" s="115"/>
      <c r="Z185" s="115"/>
      <c r="AA185" s="115"/>
      <c r="AB185" s="115"/>
      <c r="AC185" s="115"/>
      <c r="AD185" s="115"/>
      <c r="AE185" s="115"/>
      <c r="AF185" s="115"/>
      <c r="AG185" s="115"/>
      <c r="AH185" s="115"/>
      <c r="AI185" s="115"/>
      <c r="AJ185" s="115"/>
      <c r="AK185" s="115"/>
      <c r="AL185" s="115"/>
      <c r="AM185" s="115"/>
      <c r="AN185" s="115"/>
      <c r="AO185" s="115"/>
      <c r="AP185" s="115"/>
      <c r="AQ185" s="115"/>
      <c r="AR185" s="115"/>
      <c r="AS185" s="115"/>
      <c r="AT185" s="115"/>
      <c r="AU185" s="115"/>
      <c r="AV185" s="115"/>
      <c r="AW185" s="115"/>
      <c r="AX185" s="115"/>
      <c r="AY185" s="115"/>
      <c r="AZ185" s="115"/>
      <c r="BA185" s="115"/>
      <c r="BB185" s="115"/>
      <c r="BC185" s="115"/>
      <c r="BD185" s="115"/>
      <c r="BE185" s="115"/>
      <c r="BF185" s="115"/>
      <c r="BG185" s="115"/>
      <c r="BH185" s="115"/>
      <c r="BI185" s="115"/>
    </row>
    <row r="186" spans="2:61" ht="15.75" customHeight="1" x14ac:dyDescent="0.25">
      <c r="B186" s="115"/>
      <c r="C186" s="115"/>
      <c r="D186" s="115"/>
      <c r="E186" s="115"/>
      <c r="F186" s="115"/>
      <c r="G186" s="115"/>
      <c r="H186" s="115"/>
      <c r="I186" s="115"/>
      <c r="J186" s="115"/>
      <c r="K186" s="115"/>
      <c r="L186" s="115"/>
      <c r="M186" s="115"/>
      <c r="N186" s="115"/>
      <c r="O186" s="115"/>
      <c r="P186" s="115"/>
      <c r="Q186" s="115"/>
      <c r="R186" s="115"/>
      <c r="S186" s="115"/>
      <c r="T186" s="115"/>
      <c r="U186" s="115"/>
      <c r="V186" s="115"/>
      <c r="W186" s="115"/>
      <c r="X186" s="115"/>
      <c r="Y186" s="115"/>
      <c r="Z186" s="115"/>
      <c r="AA186" s="115"/>
      <c r="AB186" s="115"/>
      <c r="AC186" s="115"/>
      <c r="AD186" s="115"/>
      <c r="AE186" s="115"/>
      <c r="AF186" s="115"/>
      <c r="AG186" s="115"/>
      <c r="AH186" s="115"/>
      <c r="AI186" s="115"/>
      <c r="AJ186" s="115"/>
      <c r="AK186" s="115"/>
      <c r="AL186" s="115"/>
      <c r="AM186" s="115"/>
      <c r="AN186" s="115"/>
      <c r="AO186" s="115"/>
      <c r="AP186" s="115"/>
      <c r="AQ186" s="115"/>
      <c r="AR186" s="115"/>
      <c r="AS186" s="115"/>
      <c r="AT186" s="115"/>
      <c r="AU186" s="115"/>
      <c r="AV186" s="115"/>
      <c r="AW186" s="115"/>
      <c r="AX186" s="115"/>
      <c r="AY186" s="115"/>
      <c r="AZ186" s="115"/>
      <c r="BA186" s="115"/>
      <c r="BB186" s="115"/>
      <c r="BC186" s="115"/>
      <c r="BD186" s="115"/>
      <c r="BE186" s="115"/>
      <c r="BF186" s="115"/>
      <c r="BG186" s="115"/>
      <c r="BH186" s="115"/>
      <c r="BI186" s="115"/>
    </row>
    <row r="187" spans="2:61" ht="15.75" customHeight="1" x14ac:dyDescent="0.25">
      <c r="B187" s="115"/>
      <c r="C187" s="115"/>
      <c r="D187" s="115"/>
      <c r="E187" s="115"/>
      <c r="F187" s="115"/>
      <c r="G187" s="115"/>
      <c r="H187" s="115"/>
      <c r="I187" s="115"/>
      <c r="J187" s="115"/>
      <c r="K187" s="115"/>
      <c r="L187" s="115"/>
      <c r="M187" s="115"/>
      <c r="N187" s="115"/>
      <c r="O187" s="115"/>
      <c r="P187" s="115"/>
      <c r="Q187" s="115"/>
      <c r="R187" s="115"/>
      <c r="S187" s="115"/>
      <c r="T187" s="115"/>
      <c r="U187" s="115"/>
      <c r="V187" s="115"/>
      <c r="W187" s="115"/>
      <c r="X187" s="115"/>
      <c r="Y187" s="115"/>
      <c r="Z187" s="115"/>
      <c r="AA187" s="115"/>
      <c r="AB187" s="115"/>
      <c r="AC187" s="115"/>
      <c r="AD187" s="115"/>
      <c r="AE187" s="115"/>
      <c r="AF187" s="115"/>
      <c r="AG187" s="115"/>
      <c r="AH187" s="115"/>
      <c r="AI187" s="115"/>
      <c r="AJ187" s="115"/>
      <c r="AK187" s="115"/>
      <c r="AL187" s="115"/>
      <c r="AM187" s="115"/>
      <c r="AN187" s="115"/>
      <c r="AO187" s="115"/>
      <c r="AP187" s="115"/>
      <c r="AQ187" s="115"/>
      <c r="AR187" s="115"/>
      <c r="AS187" s="115"/>
      <c r="AT187" s="115"/>
      <c r="AU187" s="115"/>
      <c r="AV187" s="115"/>
      <c r="AW187" s="115"/>
      <c r="AX187" s="115"/>
      <c r="AY187" s="115"/>
      <c r="AZ187" s="115"/>
      <c r="BA187" s="115"/>
      <c r="BB187" s="115"/>
      <c r="BC187" s="115"/>
      <c r="BD187" s="115"/>
      <c r="BE187" s="115"/>
      <c r="BF187" s="115"/>
      <c r="BG187" s="115"/>
      <c r="BH187" s="115"/>
      <c r="BI187" s="115"/>
    </row>
    <row r="188" spans="2:61" ht="15.75" customHeight="1" x14ac:dyDescent="0.25">
      <c r="B188" s="115"/>
      <c r="C188" s="115"/>
      <c r="D188" s="115"/>
      <c r="E188" s="115"/>
      <c r="F188" s="115"/>
      <c r="G188" s="115"/>
      <c r="H188" s="115"/>
      <c r="I188" s="115"/>
      <c r="J188" s="115"/>
      <c r="K188" s="115"/>
      <c r="L188" s="115"/>
      <c r="M188" s="115"/>
      <c r="N188" s="115"/>
      <c r="O188" s="115"/>
      <c r="P188" s="115"/>
      <c r="Q188" s="115"/>
      <c r="R188" s="115"/>
      <c r="S188" s="115"/>
      <c r="T188" s="115"/>
      <c r="U188" s="115"/>
      <c r="V188" s="115"/>
      <c r="W188" s="115"/>
      <c r="X188" s="115"/>
      <c r="Y188" s="115"/>
      <c r="Z188" s="115"/>
      <c r="AA188" s="115"/>
      <c r="AB188" s="115"/>
      <c r="AC188" s="115"/>
      <c r="AD188" s="115"/>
      <c r="AE188" s="115"/>
      <c r="AF188" s="115"/>
      <c r="AG188" s="115"/>
      <c r="AH188" s="115"/>
      <c r="AI188" s="115"/>
      <c r="AJ188" s="115"/>
      <c r="AK188" s="115"/>
      <c r="AL188" s="115"/>
      <c r="AM188" s="115"/>
      <c r="AN188" s="115"/>
      <c r="AO188" s="115"/>
      <c r="AP188" s="115"/>
      <c r="AQ188" s="115"/>
      <c r="AR188" s="115"/>
      <c r="AS188" s="115"/>
      <c r="AT188" s="115"/>
      <c r="AU188" s="115"/>
      <c r="AV188" s="115"/>
      <c r="AW188" s="115"/>
      <c r="AX188" s="115"/>
      <c r="AY188" s="115"/>
      <c r="AZ188" s="115"/>
      <c r="BA188" s="115"/>
      <c r="BB188" s="115"/>
      <c r="BC188" s="115"/>
      <c r="BD188" s="115"/>
      <c r="BE188" s="115"/>
      <c r="BF188" s="115"/>
      <c r="BG188" s="115"/>
      <c r="BH188" s="115"/>
      <c r="BI188" s="115"/>
    </row>
    <row r="189" spans="2:61" ht="15.75" customHeight="1" x14ac:dyDescent="0.25">
      <c r="B189" s="115"/>
      <c r="C189" s="115"/>
      <c r="D189" s="115"/>
      <c r="E189" s="115"/>
      <c r="F189" s="115"/>
      <c r="G189" s="115"/>
      <c r="H189" s="115"/>
      <c r="I189" s="115"/>
      <c r="J189" s="115"/>
      <c r="K189" s="115"/>
      <c r="L189" s="115"/>
      <c r="M189" s="115"/>
      <c r="N189" s="115"/>
      <c r="O189" s="115"/>
      <c r="P189" s="115"/>
      <c r="Q189" s="115"/>
      <c r="R189" s="115"/>
      <c r="S189" s="115"/>
      <c r="T189" s="115"/>
      <c r="U189" s="115"/>
      <c r="V189" s="115"/>
      <c r="W189" s="115"/>
      <c r="X189" s="115"/>
      <c r="Y189" s="115"/>
      <c r="Z189" s="115"/>
      <c r="AA189" s="115"/>
      <c r="AB189" s="115"/>
      <c r="AC189" s="115"/>
      <c r="AD189" s="115"/>
      <c r="AE189" s="115"/>
      <c r="AF189" s="115"/>
      <c r="AG189" s="115"/>
      <c r="AH189" s="115"/>
      <c r="AI189" s="115"/>
      <c r="AJ189" s="115"/>
      <c r="AK189" s="115"/>
      <c r="AL189" s="115"/>
      <c r="AM189" s="115"/>
      <c r="AN189" s="115"/>
      <c r="AO189" s="115"/>
      <c r="AP189" s="115"/>
      <c r="AQ189" s="115"/>
      <c r="AR189" s="115"/>
      <c r="AS189" s="115"/>
      <c r="AT189" s="115"/>
      <c r="AU189" s="115"/>
      <c r="AV189" s="115"/>
      <c r="AW189" s="115"/>
      <c r="AX189" s="115"/>
      <c r="AY189" s="115"/>
      <c r="AZ189" s="115"/>
      <c r="BA189" s="115"/>
      <c r="BB189" s="115"/>
      <c r="BC189" s="115"/>
      <c r="BD189" s="115"/>
      <c r="BE189" s="115"/>
      <c r="BF189" s="115"/>
      <c r="BG189" s="115"/>
      <c r="BH189" s="115"/>
      <c r="BI189" s="115"/>
    </row>
    <row r="190" spans="2:61" ht="15.75" customHeight="1" x14ac:dyDescent="0.25">
      <c r="B190" s="115"/>
      <c r="C190" s="115"/>
      <c r="D190" s="115"/>
      <c r="E190" s="115"/>
      <c r="F190" s="115"/>
      <c r="G190" s="115"/>
      <c r="H190" s="115"/>
      <c r="I190" s="115"/>
      <c r="J190" s="115"/>
      <c r="K190" s="115"/>
      <c r="L190" s="115"/>
      <c r="M190" s="115"/>
      <c r="N190" s="115"/>
      <c r="O190" s="115"/>
      <c r="P190" s="115"/>
      <c r="Q190" s="115"/>
      <c r="R190" s="115"/>
      <c r="S190" s="115"/>
      <c r="T190" s="115"/>
      <c r="U190" s="115"/>
      <c r="V190" s="115"/>
      <c r="W190" s="115"/>
      <c r="X190" s="115"/>
      <c r="Y190" s="115"/>
      <c r="Z190" s="115"/>
      <c r="AA190" s="115"/>
      <c r="AB190" s="115"/>
      <c r="AC190" s="115"/>
      <c r="AD190" s="115"/>
      <c r="AE190" s="115"/>
      <c r="AF190" s="115"/>
      <c r="AG190" s="115"/>
      <c r="AH190" s="115"/>
      <c r="AI190" s="115"/>
      <c r="AJ190" s="115"/>
      <c r="AK190" s="115"/>
      <c r="AL190" s="115"/>
      <c r="AM190" s="115"/>
      <c r="AN190" s="115"/>
      <c r="AO190" s="115"/>
      <c r="AP190" s="115"/>
      <c r="AQ190" s="115"/>
      <c r="AR190" s="115"/>
      <c r="AS190" s="115"/>
      <c r="AT190" s="115"/>
      <c r="AU190" s="115"/>
      <c r="AV190" s="115"/>
      <c r="AW190" s="115"/>
      <c r="AX190" s="115"/>
      <c r="AY190" s="115"/>
      <c r="AZ190" s="115"/>
      <c r="BA190" s="115"/>
      <c r="BB190" s="115"/>
      <c r="BC190" s="115"/>
      <c r="BD190" s="115"/>
      <c r="BE190" s="115"/>
      <c r="BF190" s="115"/>
      <c r="BG190" s="115"/>
      <c r="BH190" s="115"/>
      <c r="BI190" s="115"/>
    </row>
    <row r="191" spans="2:61" ht="15.75" customHeight="1" x14ac:dyDescent="0.25">
      <c r="B191" s="115"/>
      <c r="C191" s="115"/>
      <c r="D191" s="115"/>
      <c r="E191" s="115"/>
      <c r="F191" s="115"/>
      <c r="G191" s="115"/>
      <c r="H191" s="115"/>
      <c r="I191" s="115"/>
      <c r="J191" s="115"/>
      <c r="K191" s="115"/>
      <c r="L191" s="115"/>
      <c r="M191" s="115"/>
      <c r="N191" s="115"/>
      <c r="O191" s="115"/>
      <c r="P191" s="115"/>
      <c r="Q191" s="115"/>
      <c r="R191" s="115"/>
      <c r="S191" s="115"/>
      <c r="T191" s="115"/>
      <c r="U191" s="115"/>
      <c r="V191" s="115"/>
      <c r="W191" s="115"/>
      <c r="X191" s="115"/>
      <c r="Y191" s="115"/>
      <c r="Z191" s="115"/>
      <c r="AA191" s="115"/>
      <c r="AB191" s="115"/>
      <c r="AC191" s="115"/>
      <c r="AD191" s="115"/>
      <c r="AE191" s="115"/>
      <c r="AF191" s="115"/>
      <c r="AG191" s="115"/>
      <c r="AH191" s="115"/>
      <c r="AI191" s="115"/>
      <c r="AJ191" s="115"/>
      <c r="AK191" s="115"/>
      <c r="AL191" s="115"/>
      <c r="AM191" s="115"/>
      <c r="AN191" s="115"/>
      <c r="AO191" s="115"/>
      <c r="AP191" s="115"/>
      <c r="AQ191" s="115"/>
      <c r="AR191" s="115"/>
      <c r="AS191" s="115"/>
      <c r="AT191" s="115"/>
      <c r="AU191" s="115"/>
      <c r="AV191" s="115"/>
      <c r="AW191" s="115"/>
      <c r="AX191" s="115"/>
      <c r="AY191" s="115"/>
      <c r="AZ191" s="115"/>
      <c r="BA191" s="115"/>
      <c r="BB191" s="115"/>
      <c r="BC191" s="115"/>
      <c r="BD191" s="115"/>
      <c r="BE191" s="115"/>
      <c r="BF191" s="115"/>
      <c r="BG191" s="115"/>
      <c r="BH191" s="115"/>
      <c r="BI191" s="115"/>
    </row>
    <row r="192" spans="2:61" ht="15.75" customHeight="1" x14ac:dyDescent="0.25">
      <c r="B192" s="115"/>
      <c r="C192" s="115"/>
      <c r="D192" s="115"/>
      <c r="E192" s="115"/>
      <c r="F192" s="115"/>
      <c r="G192" s="115"/>
      <c r="H192" s="115"/>
      <c r="I192" s="115"/>
      <c r="J192" s="115"/>
      <c r="K192" s="115"/>
      <c r="L192" s="115"/>
      <c r="M192" s="115"/>
      <c r="N192" s="115"/>
      <c r="O192" s="115"/>
      <c r="P192" s="115"/>
      <c r="Q192" s="115"/>
      <c r="R192" s="115"/>
      <c r="S192" s="115"/>
      <c r="T192" s="115"/>
      <c r="U192" s="115"/>
      <c r="V192" s="115"/>
      <c r="W192" s="115"/>
      <c r="X192" s="115"/>
      <c r="Y192" s="115"/>
      <c r="Z192" s="115"/>
      <c r="AA192" s="115"/>
      <c r="AB192" s="115"/>
      <c r="AC192" s="115"/>
      <c r="AD192" s="115"/>
      <c r="AE192" s="115"/>
      <c r="AF192" s="115"/>
      <c r="AG192" s="115"/>
      <c r="AH192" s="115"/>
      <c r="AI192" s="115"/>
      <c r="AJ192" s="115"/>
      <c r="AK192" s="115"/>
      <c r="AL192" s="115"/>
      <c r="AM192" s="115"/>
      <c r="AN192" s="115"/>
      <c r="AO192" s="115"/>
      <c r="AP192" s="115"/>
      <c r="AQ192" s="115"/>
      <c r="AR192" s="115"/>
      <c r="AS192" s="115"/>
      <c r="AT192" s="115"/>
      <c r="AU192" s="115"/>
      <c r="AV192" s="115"/>
      <c r="AW192" s="115"/>
      <c r="AX192" s="115"/>
      <c r="AY192" s="115"/>
      <c r="AZ192" s="115"/>
      <c r="BA192" s="115"/>
      <c r="BB192" s="115"/>
      <c r="BC192" s="115"/>
      <c r="BD192" s="115"/>
      <c r="BE192" s="115"/>
      <c r="BF192" s="115"/>
      <c r="BG192" s="115"/>
      <c r="BH192" s="115"/>
      <c r="BI192" s="115"/>
    </row>
    <row r="193" spans="2:61" ht="15.75" customHeight="1" x14ac:dyDescent="0.25">
      <c r="B193" s="115"/>
      <c r="C193" s="115"/>
      <c r="D193" s="115"/>
      <c r="E193" s="115"/>
      <c r="F193" s="115"/>
      <c r="G193" s="115"/>
      <c r="H193" s="115"/>
      <c r="I193" s="115"/>
      <c r="J193" s="115"/>
      <c r="K193" s="115"/>
      <c r="L193" s="115"/>
      <c r="M193" s="115"/>
      <c r="N193" s="115"/>
      <c r="O193" s="115"/>
      <c r="P193" s="115"/>
      <c r="Q193" s="115"/>
      <c r="R193" s="115"/>
      <c r="S193" s="115"/>
      <c r="T193" s="115"/>
      <c r="U193" s="115"/>
      <c r="V193" s="115"/>
      <c r="W193" s="115"/>
      <c r="X193" s="115"/>
      <c r="Y193" s="115"/>
      <c r="Z193" s="115"/>
      <c r="AA193" s="115"/>
      <c r="AB193" s="115"/>
      <c r="AC193" s="115"/>
      <c r="AD193" s="115"/>
      <c r="AE193" s="115"/>
      <c r="AF193" s="115"/>
      <c r="AG193" s="115"/>
      <c r="AH193" s="115"/>
      <c r="AI193" s="115"/>
      <c r="AJ193" s="115"/>
      <c r="AK193" s="115"/>
      <c r="AL193" s="115"/>
      <c r="AM193" s="115"/>
      <c r="AN193" s="115"/>
      <c r="AO193" s="115"/>
      <c r="AP193" s="115"/>
      <c r="AQ193" s="115"/>
      <c r="AR193" s="115"/>
      <c r="AS193" s="115"/>
      <c r="AT193" s="115"/>
      <c r="AU193" s="115"/>
      <c r="AV193" s="115"/>
      <c r="AW193" s="115"/>
      <c r="AX193" s="115"/>
      <c r="AY193" s="115"/>
      <c r="AZ193" s="115"/>
      <c r="BA193" s="115"/>
      <c r="BB193" s="115"/>
      <c r="BC193" s="115"/>
      <c r="BD193" s="115"/>
      <c r="BE193" s="115"/>
      <c r="BF193" s="115"/>
      <c r="BG193" s="115"/>
      <c r="BH193" s="115"/>
      <c r="BI193" s="115"/>
    </row>
    <row r="194" spans="2:61" ht="15.75" customHeight="1" x14ac:dyDescent="0.25">
      <c r="B194" s="115"/>
      <c r="C194" s="115"/>
      <c r="D194" s="115"/>
      <c r="E194" s="115"/>
      <c r="F194" s="115"/>
      <c r="G194" s="115"/>
      <c r="H194" s="115"/>
      <c r="I194" s="115"/>
      <c r="J194" s="115"/>
      <c r="K194" s="115"/>
      <c r="L194" s="115"/>
      <c r="M194" s="115"/>
      <c r="N194" s="115"/>
      <c r="O194" s="115"/>
      <c r="P194" s="115"/>
      <c r="Q194" s="115"/>
      <c r="R194" s="115"/>
      <c r="S194" s="115"/>
      <c r="T194" s="115"/>
      <c r="U194" s="115"/>
      <c r="V194" s="115"/>
      <c r="W194" s="115"/>
      <c r="X194" s="115"/>
      <c r="Y194" s="115"/>
      <c r="Z194" s="115"/>
      <c r="AA194" s="115"/>
      <c r="AB194" s="115"/>
      <c r="AC194" s="115"/>
      <c r="AD194" s="115"/>
      <c r="AE194" s="115"/>
      <c r="AF194" s="115"/>
      <c r="AG194" s="115"/>
      <c r="AH194" s="115"/>
      <c r="AI194" s="115"/>
      <c r="AJ194" s="115"/>
      <c r="AK194" s="115"/>
      <c r="AL194" s="115"/>
      <c r="AM194" s="115"/>
      <c r="AN194" s="115"/>
      <c r="AO194" s="115"/>
      <c r="AP194" s="115"/>
      <c r="AQ194" s="115"/>
      <c r="AR194" s="115"/>
      <c r="AS194" s="115"/>
      <c r="AT194" s="115"/>
      <c r="AU194" s="115"/>
      <c r="AV194" s="115"/>
      <c r="AW194" s="115"/>
      <c r="AX194" s="115"/>
      <c r="AY194" s="115"/>
      <c r="AZ194" s="115"/>
      <c r="BA194" s="115"/>
      <c r="BB194" s="115"/>
      <c r="BC194" s="115"/>
      <c r="BD194" s="115"/>
      <c r="BE194" s="115"/>
      <c r="BF194" s="115"/>
      <c r="BG194" s="115"/>
      <c r="BH194" s="115"/>
      <c r="BI194" s="115"/>
    </row>
    <row r="195" spans="2:61" ht="15.75" customHeight="1" x14ac:dyDescent="0.25">
      <c r="B195" s="115"/>
      <c r="K195" s="115"/>
      <c r="L195" s="115"/>
      <c r="M195" s="115"/>
      <c r="N195" s="115"/>
      <c r="O195" s="115"/>
      <c r="P195" s="115"/>
      <c r="Q195" s="115"/>
      <c r="R195" s="115"/>
      <c r="S195" s="115"/>
      <c r="T195" s="115"/>
      <c r="U195" s="115"/>
      <c r="V195" s="115"/>
      <c r="W195" s="115"/>
      <c r="X195" s="115"/>
      <c r="Y195" s="115"/>
      <c r="Z195" s="115"/>
      <c r="AA195" s="115"/>
      <c r="AB195" s="115"/>
      <c r="AC195" s="115"/>
      <c r="AD195" s="115"/>
      <c r="AE195" s="115"/>
      <c r="AF195" s="115"/>
      <c r="AG195" s="115"/>
      <c r="AH195" s="115"/>
      <c r="AI195" s="115"/>
      <c r="AJ195" s="115"/>
      <c r="AK195" s="115"/>
      <c r="AL195" s="115"/>
      <c r="AM195" s="115"/>
      <c r="AN195" s="115"/>
      <c r="AO195" s="115"/>
      <c r="AP195" s="115"/>
      <c r="AQ195" s="115"/>
      <c r="AR195" s="115"/>
      <c r="AS195" s="115"/>
      <c r="AT195" s="115"/>
      <c r="AU195" s="115"/>
      <c r="AV195" s="115"/>
      <c r="AW195" s="115"/>
      <c r="AX195" s="115"/>
      <c r="AY195" s="115"/>
      <c r="AZ195" s="115"/>
      <c r="BA195" s="115"/>
      <c r="BB195" s="115"/>
      <c r="BC195" s="115"/>
      <c r="BD195" s="115"/>
      <c r="BE195" s="115"/>
      <c r="BF195" s="115"/>
      <c r="BG195" s="115"/>
      <c r="BH195" s="115"/>
      <c r="BI195" s="115"/>
    </row>
    <row r="196" spans="2:61" ht="15.75" customHeight="1" x14ac:dyDescent="0.25">
      <c r="B196" s="115"/>
      <c r="K196" s="115"/>
      <c r="L196" s="115"/>
      <c r="M196" s="115"/>
      <c r="N196" s="115"/>
      <c r="O196" s="115"/>
      <c r="P196" s="115"/>
      <c r="Q196" s="115"/>
      <c r="R196" s="115"/>
      <c r="S196" s="115"/>
      <c r="T196" s="115"/>
      <c r="U196" s="115"/>
      <c r="V196" s="115"/>
      <c r="W196" s="115"/>
      <c r="X196" s="115"/>
      <c r="Y196" s="115"/>
      <c r="Z196" s="115"/>
      <c r="AA196" s="115"/>
      <c r="AB196" s="115"/>
      <c r="AC196" s="115"/>
      <c r="AD196" s="115"/>
      <c r="AE196" s="115"/>
      <c r="AF196" s="115"/>
      <c r="AG196" s="115"/>
      <c r="AH196" s="115"/>
      <c r="AI196" s="115"/>
      <c r="AJ196" s="115"/>
      <c r="AK196" s="115"/>
      <c r="AL196" s="115"/>
      <c r="AM196" s="115"/>
      <c r="AN196" s="115"/>
      <c r="AO196" s="115"/>
      <c r="AP196" s="115"/>
      <c r="AQ196" s="115"/>
      <c r="AR196" s="115"/>
      <c r="AS196" s="115"/>
      <c r="AT196" s="115"/>
      <c r="AU196" s="115"/>
      <c r="AV196" s="115"/>
      <c r="AW196" s="115"/>
      <c r="AX196" s="115"/>
      <c r="AY196" s="115"/>
      <c r="AZ196" s="115"/>
      <c r="BA196" s="115"/>
      <c r="BB196" s="115"/>
      <c r="BC196" s="115"/>
      <c r="BD196" s="115"/>
      <c r="BE196" s="115"/>
      <c r="BF196" s="115"/>
      <c r="BG196" s="115"/>
      <c r="BH196" s="115"/>
      <c r="BI196" s="115"/>
    </row>
    <row r="197" spans="2:61" ht="15.75" customHeight="1" x14ac:dyDescent="0.25">
      <c r="B197" s="115"/>
      <c r="K197" s="115"/>
      <c r="L197" s="115"/>
      <c r="M197" s="115"/>
      <c r="N197" s="115"/>
      <c r="O197" s="115"/>
      <c r="P197" s="115"/>
      <c r="Q197" s="115"/>
      <c r="R197" s="115"/>
      <c r="S197" s="115"/>
      <c r="T197" s="115"/>
      <c r="U197" s="115"/>
      <c r="V197" s="115"/>
      <c r="W197" s="115"/>
      <c r="X197" s="115"/>
      <c r="Y197" s="115"/>
      <c r="Z197" s="115"/>
      <c r="AA197" s="115"/>
      <c r="AB197" s="115"/>
      <c r="AC197" s="115"/>
      <c r="AD197" s="115"/>
      <c r="AE197" s="115"/>
      <c r="AF197" s="115"/>
      <c r="AG197" s="115"/>
      <c r="AH197" s="115"/>
      <c r="AI197" s="115"/>
      <c r="AJ197" s="115"/>
      <c r="AK197" s="115"/>
      <c r="AL197" s="115"/>
      <c r="AM197" s="115"/>
      <c r="AN197" s="115"/>
      <c r="AO197" s="115"/>
      <c r="AP197" s="115"/>
      <c r="AQ197" s="115"/>
      <c r="AR197" s="115"/>
      <c r="AS197" s="115"/>
      <c r="AT197" s="115"/>
      <c r="AU197" s="115"/>
      <c r="AV197" s="115"/>
      <c r="AW197" s="115"/>
      <c r="AX197" s="115"/>
      <c r="AY197" s="115"/>
      <c r="AZ197" s="115"/>
      <c r="BA197" s="115"/>
      <c r="BB197" s="115"/>
      <c r="BC197" s="115"/>
      <c r="BD197" s="115"/>
      <c r="BE197" s="115"/>
      <c r="BF197" s="115"/>
      <c r="BG197" s="115"/>
      <c r="BH197" s="115"/>
      <c r="BI197" s="115"/>
    </row>
    <row r="198" spans="2:61" ht="15.75" customHeight="1" x14ac:dyDescent="0.25">
      <c r="B198" s="115"/>
      <c r="K198" s="115"/>
      <c r="L198" s="115"/>
      <c r="M198" s="115"/>
      <c r="N198" s="115"/>
      <c r="O198" s="115"/>
      <c r="P198" s="115"/>
      <c r="Q198" s="115"/>
      <c r="R198" s="115"/>
      <c r="S198" s="115"/>
      <c r="T198" s="115"/>
      <c r="U198" s="115"/>
      <c r="V198" s="115"/>
      <c r="W198" s="115"/>
      <c r="X198" s="115"/>
      <c r="Y198" s="115"/>
      <c r="Z198" s="115"/>
      <c r="AA198" s="115"/>
      <c r="AB198" s="115"/>
      <c r="AC198" s="115"/>
      <c r="AD198" s="115"/>
      <c r="AE198" s="115"/>
      <c r="AF198" s="115"/>
      <c r="AG198" s="115"/>
      <c r="AH198" s="115"/>
      <c r="AI198" s="115"/>
      <c r="AJ198" s="115"/>
      <c r="AK198" s="115"/>
      <c r="AL198" s="115"/>
      <c r="AM198" s="115"/>
      <c r="AN198" s="115"/>
      <c r="AO198" s="115"/>
      <c r="AP198" s="115"/>
      <c r="AQ198" s="115"/>
      <c r="AR198" s="115"/>
      <c r="AS198" s="115"/>
      <c r="AT198" s="115"/>
      <c r="AU198" s="115"/>
      <c r="AV198" s="115"/>
      <c r="AW198" s="115"/>
      <c r="AX198" s="115"/>
      <c r="AY198" s="115"/>
      <c r="AZ198" s="115"/>
      <c r="BA198" s="115"/>
      <c r="BB198" s="115"/>
      <c r="BC198" s="115"/>
      <c r="BD198" s="115"/>
      <c r="BE198" s="115"/>
      <c r="BF198" s="115"/>
      <c r="BG198" s="115"/>
      <c r="BH198" s="115"/>
      <c r="BI198" s="115"/>
    </row>
    <row r="199" spans="2:61" ht="15.75" customHeight="1" x14ac:dyDescent="0.25">
      <c r="B199" s="115"/>
      <c r="K199" s="115"/>
      <c r="L199" s="115"/>
      <c r="M199" s="115"/>
      <c r="N199" s="115"/>
      <c r="O199" s="115"/>
      <c r="P199" s="115"/>
      <c r="Q199" s="115"/>
      <c r="R199" s="115"/>
      <c r="S199" s="115"/>
      <c r="T199" s="115"/>
      <c r="U199" s="115"/>
      <c r="V199" s="115"/>
      <c r="W199" s="115"/>
      <c r="X199" s="115"/>
      <c r="Y199" s="115"/>
      <c r="Z199" s="115"/>
      <c r="AA199" s="115"/>
      <c r="AB199" s="115"/>
      <c r="AC199" s="115"/>
      <c r="AD199" s="115"/>
      <c r="AE199" s="115"/>
      <c r="AF199" s="115"/>
      <c r="AG199" s="115"/>
      <c r="AH199" s="115"/>
      <c r="AI199" s="115"/>
      <c r="AJ199" s="115"/>
      <c r="AK199" s="115"/>
      <c r="AL199" s="115"/>
      <c r="AM199" s="115"/>
      <c r="AN199" s="115"/>
      <c r="AO199" s="115"/>
      <c r="AP199" s="115"/>
      <c r="AQ199" s="115"/>
      <c r="AR199" s="115"/>
      <c r="AS199" s="115"/>
      <c r="AT199" s="115"/>
      <c r="AU199" s="115"/>
      <c r="AV199" s="115"/>
      <c r="AW199" s="115"/>
      <c r="AX199" s="115"/>
      <c r="AY199" s="115"/>
      <c r="AZ199" s="115"/>
      <c r="BA199" s="115"/>
      <c r="BB199" s="115"/>
      <c r="BC199" s="115"/>
      <c r="BD199" s="115"/>
      <c r="BE199" s="115"/>
      <c r="BF199" s="115"/>
      <c r="BG199" s="115"/>
      <c r="BH199" s="115"/>
      <c r="BI199" s="115"/>
    </row>
    <row r="200" spans="2:61" ht="15.75" customHeight="1" x14ac:dyDescent="0.25">
      <c r="B200" s="115"/>
      <c r="K200" s="115"/>
      <c r="L200" s="115"/>
      <c r="M200" s="115"/>
      <c r="N200" s="115"/>
      <c r="O200" s="115"/>
      <c r="P200" s="115"/>
      <c r="Q200" s="115"/>
      <c r="R200" s="115"/>
      <c r="S200" s="115"/>
      <c r="T200" s="115"/>
      <c r="U200" s="115"/>
      <c r="V200" s="115"/>
      <c r="W200" s="115"/>
      <c r="X200" s="115"/>
      <c r="Y200" s="115"/>
      <c r="Z200" s="115"/>
      <c r="AA200" s="115"/>
      <c r="AB200" s="115"/>
      <c r="AC200" s="115"/>
      <c r="AD200" s="115"/>
      <c r="AE200" s="115"/>
      <c r="AF200" s="115"/>
      <c r="AG200" s="115"/>
      <c r="AH200" s="115"/>
      <c r="AI200" s="115"/>
      <c r="AJ200" s="115"/>
      <c r="AK200" s="115"/>
      <c r="AL200" s="115"/>
      <c r="AM200" s="115"/>
      <c r="AN200" s="115"/>
      <c r="AO200" s="115"/>
      <c r="AP200" s="115"/>
      <c r="AQ200" s="115"/>
      <c r="AR200" s="115"/>
      <c r="AS200" s="115"/>
      <c r="AT200" s="115"/>
      <c r="AU200" s="115"/>
      <c r="AV200" s="115"/>
      <c r="AW200" s="115"/>
      <c r="AX200" s="115"/>
      <c r="AY200" s="115"/>
      <c r="AZ200" s="115"/>
      <c r="BA200" s="115"/>
      <c r="BB200" s="115"/>
      <c r="BC200" s="115"/>
      <c r="BD200" s="115"/>
      <c r="BE200" s="115"/>
      <c r="BF200" s="115"/>
      <c r="BG200" s="115"/>
      <c r="BH200" s="115"/>
      <c r="BI200" s="115"/>
    </row>
    <row r="201" spans="2:61" ht="15.75" customHeight="1" x14ac:dyDescent="0.25">
      <c r="B201" s="115"/>
      <c r="K201" s="115"/>
      <c r="L201" s="115"/>
      <c r="M201" s="115"/>
      <c r="N201" s="115"/>
      <c r="O201" s="115"/>
      <c r="P201" s="115"/>
      <c r="Q201" s="115"/>
      <c r="R201" s="115"/>
      <c r="S201" s="115"/>
      <c r="T201" s="115"/>
      <c r="U201" s="115"/>
      <c r="V201" s="115"/>
      <c r="W201" s="115"/>
      <c r="X201" s="115"/>
      <c r="Y201" s="115"/>
      <c r="Z201" s="115"/>
      <c r="AA201" s="115"/>
      <c r="AB201" s="115"/>
      <c r="AC201" s="115"/>
      <c r="AD201" s="115"/>
      <c r="AE201" s="115"/>
      <c r="AF201" s="115"/>
      <c r="AG201" s="115"/>
      <c r="AH201" s="115"/>
      <c r="AI201" s="115"/>
      <c r="AJ201" s="115"/>
      <c r="AK201" s="115"/>
      <c r="AL201" s="115"/>
      <c r="AM201" s="115"/>
      <c r="AN201" s="115"/>
      <c r="AO201" s="115"/>
      <c r="AP201" s="115"/>
      <c r="AQ201" s="115"/>
      <c r="AR201" s="115"/>
      <c r="AS201" s="115"/>
      <c r="AT201" s="115"/>
      <c r="AU201" s="115"/>
      <c r="AV201" s="115"/>
      <c r="AW201" s="115"/>
      <c r="AX201" s="115"/>
      <c r="AY201" s="115"/>
      <c r="AZ201" s="115"/>
      <c r="BA201" s="115"/>
      <c r="BB201" s="115"/>
      <c r="BC201" s="115"/>
      <c r="BD201" s="115"/>
      <c r="BE201" s="115"/>
      <c r="BF201" s="115"/>
      <c r="BG201" s="115"/>
      <c r="BH201" s="115"/>
      <c r="BI201" s="115"/>
    </row>
    <row r="202" spans="2:61" ht="15.75" customHeight="1" x14ac:dyDescent="0.25">
      <c r="B202" s="115"/>
      <c r="K202" s="115"/>
      <c r="L202" s="115"/>
      <c r="M202" s="115"/>
      <c r="N202" s="115"/>
      <c r="O202" s="115"/>
      <c r="P202" s="115"/>
      <c r="Q202" s="115"/>
      <c r="R202" s="115"/>
      <c r="S202" s="115"/>
      <c r="T202" s="115"/>
      <c r="U202" s="115"/>
      <c r="V202" s="115"/>
      <c r="W202" s="115"/>
      <c r="X202" s="115"/>
      <c r="Y202" s="115"/>
      <c r="Z202" s="115"/>
      <c r="AA202" s="115"/>
      <c r="AB202" s="115"/>
      <c r="AC202" s="115"/>
      <c r="AD202" s="115"/>
      <c r="AE202" s="115"/>
      <c r="AF202" s="115"/>
      <c r="AG202" s="115"/>
      <c r="AH202" s="115"/>
      <c r="AI202" s="115"/>
      <c r="AJ202" s="115"/>
      <c r="AK202" s="115"/>
      <c r="AL202" s="115"/>
      <c r="AM202" s="115"/>
      <c r="AN202" s="115"/>
      <c r="AO202" s="115"/>
      <c r="AP202" s="115"/>
      <c r="AQ202" s="115"/>
      <c r="AR202" s="115"/>
      <c r="AS202" s="115"/>
      <c r="AT202" s="115"/>
      <c r="AU202" s="115"/>
      <c r="AV202" s="115"/>
      <c r="AW202" s="115"/>
      <c r="AX202" s="115"/>
      <c r="AY202" s="115"/>
      <c r="AZ202" s="115"/>
      <c r="BA202" s="115"/>
      <c r="BB202" s="115"/>
      <c r="BC202" s="115"/>
      <c r="BD202" s="115"/>
      <c r="BE202" s="115"/>
      <c r="BF202" s="115"/>
      <c r="BG202" s="115"/>
      <c r="BH202" s="115"/>
      <c r="BI202" s="115"/>
    </row>
    <row r="203" spans="2:61" ht="15.75" customHeight="1" x14ac:dyDescent="0.25">
      <c r="B203" s="115"/>
      <c r="K203" s="115"/>
      <c r="L203" s="115"/>
      <c r="M203" s="115"/>
      <c r="N203" s="115"/>
      <c r="O203" s="115"/>
      <c r="P203" s="115"/>
      <c r="Q203" s="115"/>
      <c r="R203" s="115"/>
      <c r="S203" s="115"/>
      <c r="T203" s="115"/>
      <c r="U203" s="115"/>
      <c r="V203" s="115"/>
      <c r="W203" s="115"/>
      <c r="X203" s="115"/>
      <c r="Y203" s="115"/>
      <c r="Z203" s="115"/>
      <c r="AA203" s="115"/>
      <c r="AB203" s="115"/>
      <c r="AC203" s="115"/>
      <c r="AD203" s="115"/>
      <c r="AE203" s="115"/>
      <c r="AF203" s="115"/>
      <c r="AG203" s="115"/>
      <c r="AH203" s="115"/>
      <c r="AI203" s="115"/>
      <c r="AJ203" s="115"/>
      <c r="AK203" s="115"/>
      <c r="AL203" s="115"/>
      <c r="AM203" s="115"/>
      <c r="AN203" s="115"/>
      <c r="AO203" s="115"/>
      <c r="AP203" s="115"/>
      <c r="AQ203" s="115"/>
      <c r="AR203" s="115"/>
      <c r="AS203" s="115"/>
      <c r="AT203" s="115"/>
      <c r="AU203" s="115"/>
      <c r="AV203" s="115"/>
      <c r="AW203" s="115"/>
      <c r="AX203" s="115"/>
      <c r="AY203" s="115"/>
      <c r="AZ203" s="115"/>
      <c r="BA203" s="115"/>
      <c r="BB203" s="115"/>
      <c r="BC203" s="115"/>
      <c r="BD203" s="115"/>
      <c r="BE203" s="115"/>
      <c r="BF203" s="115"/>
      <c r="BG203" s="115"/>
      <c r="BH203" s="115"/>
      <c r="BI203" s="115"/>
    </row>
    <row r="204" spans="2:61" ht="15.75" customHeight="1" x14ac:dyDescent="0.25">
      <c r="B204" s="115"/>
      <c r="K204" s="115"/>
      <c r="L204" s="115"/>
      <c r="M204" s="115"/>
      <c r="N204" s="115"/>
      <c r="O204" s="115"/>
      <c r="P204" s="115"/>
      <c r="Q204" s="115"/>
      <c r="R204" s="115"/>
      <c r="S204" s="115"/>
      <c r="T204" s="115"/>
      <c r="U204" s="115"/>
      <c r="V204" s="115"/>
      <c r="W204" s="115"/>
      <c r="X204" s="115"/>
      <c r="Y204" s="115"/>
      <c r="Z204" s="115"/>
      <c r="AA204" s="115"/>
      <c r="AB204" s="115"/>
      <c r="AC204" s="115"/>
      <c r="AD204" s="115"/>
      <c r="AE204" s="115"/>
      <c r="AF204" s="115"/>
      <c r="AG204" s="115"/>
      <c r="AH204" s="115"/>
      <c r="AI204" s="115"/>
      <c r="AJ204" s="115"/>
      <c r="AK204" s="115"/>
      <c r="AL204" s="115"/>
      <c r="AM204" s="115"/>
      <c r="AN204" s="115"/>
      <c r="AO204" s="115"/>
      <c r="AP204" s="115"/>
      <c r="AQ204" s="115"/>
      <c r="AR204" s="115"/>
      <c r="AS204" s="115"/>
      <c r="AT204" s="115"/>
      <c r="AU204" s="115"/>
      <c r="AV204" s="115"/>
      <c r="AW204" s="115"/>
      <c r="AX204" s="115"/>
      <c r="AY204" s="115"/>
      <c r="AZ204" s="115"/>
      <c r="BA204" s="115"/>
      <c r="BB204" s="115"/>
      <c r="BC204" s="115"/>
      <c r="BD204" s="115"/>
      <c r="BE204" s="115"/>
      <c r="BF204" s="115"/>
      <c r="BG204" s="115"/>
      <c r="BH204" s="115"/>
      <c r="BI204" s="115"/>
    </row>
    <row r="205" spans="2:61" ht="15.75" customHeight="1" x14ac:dyDescent="0.25">
      <c r="B205" s="115"/>
      <c r="K205" s="115"/>
      <c r="L205" s="115"/>
      <c r="M205" s="115"/>
      <c r="N205" s="115"/>
      <c r="O205" s="115"/>
      <c r="P205" s="115"/>
      <c r="Q205" s="115"/>
      <c r="R205" s="115"/>
      <c r="S205" s="115"/>
      <c r="T205" s="115"/>
      <c r="U205" s="115"/>
      <c r="V205" s="115"/>
      <c r="W205" s="115"/>
      <c r="X205" s="115"/>
      <c r="Y205" s="115"/>
      <c r="Z205" s="115"/>
      <c r="AA205" s="115"/>
      <c r="AB205" s="115"/>
      <c r="AC205" s="115"/>
      <c r="AD205" s="115"/>
      <c r="AE205" s="115"/>
      <c r="AF205" s="115"/>
      <c r="AG205" s="115"/>
      <c r="AH205" s="115"/>
      <c r="AI205" s="115"/>
      <c r="AJ205" s="115"/>
      <c r="AK205" s="115"/>
      <c r="AL205" s="115"/>
      <c r="AM205" s="115"/>
      <c r="AN205" s="115"/>
      <c r="AO205" s="115"/>
      <c r="AP205" s="115"/>
      <c r="AQ205" s="115"/>
      <c r="AR205" s="115"/>
      <c r="AS205" s="115"/>
      <c r="AT205" s="115"/>
      <c r="AU205" s="115"/>
      <c r="AV205" s="115"/>
      <c r="AW205" s="115"/>
      <c r="AX205" s="115"/>
      <c r="AY205" s="115"/>
      <c r="AZ205" s="115"/>
      <c r="BA205" s="115"/>
      <c r="BB205" s="115"/>
      <c r="BC205" s="115"/>
      <c r="BD205" s="115"/>
      <c r="BE205" s="115"/>
      <c r="BF205" s="115"/>
      <c r="BG205" s="115"/>
      <c r="BH205" s="115"/>
      <c r="BI205" s="115"/>
    </row>
    <row r="206" spans="2:61" ht="15.75" customHeight="1" x14ac:dyDescent="0.25">
      <c r="B206" s="115"/>
      <c r="K206" s="115"/>
      <c r="L206" s="115"/>
      <c r="M206" s="115"/>
      <c r="N206" s="115"/>
      <c r="O206" s="115"/>
      <c r="P206" s="115"/>
      <c r="Q206" s="115"/>
      <c r="R206" s="115"/>
      <c r="S206" s="115"/>
      <c r="T206" s="115"/>
      <c r="U206" s="115"/>
      <c r="V206" s="115"/>
      <c r="W206" s="115"/>
      <c r="X206" s="115"/>
      <c r="Y206" s="115"/>
      <c r="Z206" s="115"/>
      <c r="AA206" s="115"/>
      <c r="AB206" s="115"/>
      <c r="AC206" s="115"/>
      <c r="AD206" s="115"/>
      <c r="AE206" s="115"/>
      <c r="AF206" s="115"/>
      <c r="AG206" s="115"/>
      <c r="AH206" s="115"/>
      <c r="AI206" s="115"/>
      <c r="AJ206" s="115"/>
      <c r="AK206" s="115"/>
      <c r="AL206" s="115"/>
      <c r="AM206" s="115"/>
      <c r="AN206" s="115"/>
      <c r="AO206" s="115"/>
      <c r="AP206" s="115"/>
      <c r="AQ206" s="115"/>
      <c r="AR206" s="115"/>
      <c r="AS206" s="115"/>
      <c r="AT206" s="115"/>
      <c r="AU206" s="115"/>
      <c r="AV206" s="115"/>
      <c r="AW206" s="115"/>
      <c r="AX206" s="115"/>
      <c r="AY206" s="115"/>
      <c r="AZ206" s="115"/>
      <c r="BA206" s="115"/>
      <c r="BB206" s="115"/>
      <c r="BC206" s="115"/>
      <c r="BD206" s="115"/>
      <c r="BE206" s="115"/>
      <c r="BF206" s="115"/>
      <c r="BG206" s="115"/>
      <c r="BH206" s="115"/>
      <c r="BI206" s="115"/>
    </row>
    <row r="207" spans="2:61" ht="15.75" customHeight="1" x14ac:dyDescent="0.25">
      <c r="B207" s="115"/>
      <c r="K207" s="115"/>
      <c r="L207" s="115"/>
      <c r="M207" s="115"/>
      <c r="N207" s="115"/>
      <c r="O207" s="115"/>
      <c r="P207" s="115"/>
      <c r="Q207" s="115"/>
      <c r="R207" s="115"/>
      <c r="S207" s="115"/>
      <c r="T207" s="115"/>
      <c r="U207" s="115"/>
      <c r="V207" s="115"/>
      <c r="W207" s="115"/>
      <c r="X207" s="115"/>
      <c r="Y207" s="115"/>
      <c r="Z207" s="115"/>
      <c r="AA207" s="115"/>
      <c r="AB207" s="115"/>
      <c r="AC207" s="115"/>
      <c r="AD207" s="115"/>
      <c r="AE207" s="115"/>
      <c r="AF207" s="115"/>
      <c r="AG207" s="115"/>
      <c r="AH207" s="115"/>
      <c r="AI207" s="115"/>
      <c r="AJ207" s="115"/>
      <c r="AK207" s="115"/>
      <c r="AL207" s="115"/>
      <c r="AM207" s="115"/>
      <c r="AN207" s="115"/>
      <c r="AO207" s="115"/>
      <c r="AP207" s="115"/>
      <c r="AQ207" s="115"/>
      <c r="AR207" s="115"/>
      <c r="AS207" s="115"/>
      <c r="AT207" s="115"/>
      <c r="AU207" s="115"/>
      <c r="AV207" s="115"/>
      <c r="AW207" s="115"/>
      <c r="AX207" s="115"/>
      <c r="AY207" s="115"/>
      <c r="AZ207" s="115"/>
      <c r="BA207" s="115"/>
      <c r="BB207" s="115"/>
      <c r="BC207" s="115"/>
      <c r="BD207" s="115"/>
      <c r="BE207" s="115"/>
      <c r="BF207" s="115"/>
      <c r="BG207" s="115"/>
      <c r="BH207" s="115"/>
      <c r="BI207" s="115"/>
    </row>
    <row r="208" spans="2:61" ht="15.75" customHeight="1" x14ac:dyDescent="0.25">
      <c r="B208" s="115"/>
      <c r="K208" s="115"/>
      <c r="L208" s="115"/>
      <c r="M208" s="115"/>
      <c r="N208" s="115"/>
      <c r="O208" s="115"/>
      <c r="P208" s="115"/>
      <c r="Q208" s="115"/>
      <c r="R208" s="115"/>
      <c r="S208" s="115"/>
      <c r="T208" s="115"/>
      <c r="U208" s="115"/>
      <c r="V208" s="115"/>
      <c r="W208" s="115"/>
      <c r="X208" s="115"/>
      <c r="Y208" s="115"/>
      <c r="Z208" s="115"/>
      <c r="AA208" s="115"/>
      <c r="AB208" s="115"/>
      <c r="AC208" s="115"/>
      <c r="AD208" s="115"/>
      <c r="AE208" s="115"/>
      <c r="AF208" s="115"/>
      <c r="AG208" s="115"/>
      <c r="AH208" s="115"/>
      <c r="AI208" s="115"/>
      <c r="AJ208" s="115"/>
      <c r="AK208" s="115"/>
      <c r="AL208" s="115"/>
      <c r="AM208" s="115"/>
      <c r="AN208" s="115"/>
      <c r="AO208" s="115"/>
      <c r="AP208" s="115"/>
      <c r="AQ208" s="115"/>
      <c r="AR208" s="115"/>
      <c r="AS208" s="115"/>
      <c r="AT208" s="115"/>
      <c r="AU208" s="115"/>
      <c r="AV208" s="115"/>
      <c r="AW208" s="115"/>
      <c r="AX208" s="115"/>
      <c r="AY208" s="115"/>
      <c r="AZ208" s="115"/>
      <c r="BA208" s="115"/>
      <c r="BB208" s="115"/>
      <c r="BC208" s="115"/>
      <c r="BD208" s="115"/>
      <c r="BE208" s="115"/>
      <c r="BF208" s="115"/>
      <c r="BG208" s="115"/>
      <c r="BH208" s="115"/>
      <c r="BI208" s="115"/>
    </row>
    <row r="209" spans="2:61" ht="15.75" customHeight="1" x14ac:dyDescent="0.25">
      <c r="B209" s="115"/>
      <c r="K209" s="115"/>
      <c r="L209" s="115"/>
      <c r="M209" s="115"/>
      <c r="N209" s="115"/>
      <c r="O209" s="115"/>
      <c r="P209" s="115"/>
      <c r="Q209" s="115"/>
      <c r="R209" s="115"/>
      <c r="S209" s="115"/>
      <c r="T209" s="115"/>
      <c r="U209" s="115"/>
      <c r="V209" s="115"/>
      <c r="W209" s="115"/>
      <c r="X209" s="115"/>
      <c r="Y209" s="115"/>
      <c r="Z209" s="115"/>
      <c r="AA209" s="115"/>
      <c r="AB209" s="115"/>
      <c r="AC209" s="115"/>
      <c r="AD209" s="115"/>
      <c r="AE209" s="115"/>
      <c r="AF209" s="115"/>
      <c r="AG209" s="115"/>
      <c r="AH209" s="115"/>
      <c r="AI209" s="115"/>
      <c r="AJ209" s="115"/>
      <c r="AK209" s="115"/>
      <c r="AL209" s="115"/>
      <c r="AM209" s="115"/>
      <c r="AN209" s="115"/>
      <c r="AO209" s="115"/>
      <c r="AP209" s="115"/>
      <c r="AQ209" s="115"/>
      <c r="AR209" s="115"/>
      <c r="AS209" s="115"/>
      <c r="AT209" s="115"/>
      <c r="AU209" s="115"/>
      <c r="AV209" s="115"/>
      <c r="AW209" s="115"/>
      <c r="AX209" s="115"/>
      <c r="AY209" s="115"/>
      <c r="AZ209" s="115"/>
      <c r="BA209" s="115"/>
      <c r="BB209" s="115"/>
      <c r="BC209" s="115"/>
      <c r="BD209" s="115"/>
      <c r="BE209" s="115"/>
      <c r="BF209" s="115"/>
      <c r="BG209" s="115"/>
      <c r="BH209" s="115"/>
      <c r="BI209" s="115"/>
    </row>
    <row r="210" spans="2:61" ht="15.75" customHeight="1" x14ac:dyDescent="0.25">
      <c r="B210" s="115"/>
      <c r="K210" s="115"/>
      <c r="L210" s="115"/>
      <c r="M210" s="115"/>
      <c r="N210" s="115"/>
      <c r="O210" s="115"/>
      <c r="P210" s="115"/>
      <c r="Q210" s="115"/>
      <c r="R210" s="115"/>
      <c r="S210" s="115"/>
      <c r="T210" s="115"/>
      <c r="U210" s="115"/>
      <c r="V210" s="115"/>
      <c r="W210" s="115"/>
      <c r="X210" s="115"/>
      <c r="Y210" s="115"/>
      <c r="Z210" s="115"/>
      <c r="AA210" s="115"/>
      <c r="AB210" s="115"/>
      <c r="AC210" s="115"/>
      <c r="AD210" s="115"/>
      <c r="AE210" s="115"/>
      <c r="AF210" s="115"/>
      <c r="AG210" s="115"/>
      <c r="AH210" s="115"/>
      <c r="AI210" s="115"/>
      <c r="AJ210" s="115"/>
      <c r="AK210" s="115"/>
      <c r="AL210" s="115"/>
      <c r="AM210" s="115"/>
      <c r="AN210" s="115"/>
      <c r="AO210" s="115"/>
      <c r="AP210" s="115"/>
      <c r="AQ210" s="115"/>
      <c r="AR210" s="115"/>
      <c r="AS210" s="115"/>
      <c r="AT210" s="115"/>
      <c r="AU210" s="115"/>
      <c r="AV210" s="115"/>
      <c r="AW210" s="115"/>
      <c r="AX210" s="115"/>
      <c r="AY210" s="115"/>
      <c r="AZ210" s="115"/>
      <c r="BA210" s="115"/>
      <c r="BB210" s="115"/>
      <c r="BC210" s="115"/>
      <c r="BD210" s="115"/>
      <c r="BE210" s="115"/>
      <c r="BF210" s="115"/>
      <c r="BG210" s="115"/>
      <c r="BH210" s="115"/>
      <c r="BI210" s="115"/>
    </row>
    <row r="211" spans="2:61" ht="15.75" customHeight="1" x14ac:dyDescent="0.25">
      <c r="B211" s="115"/>
      <c r="K211" s="115"/>
      <c r="L211" s="115"/>
      <c r="M211" s="115"/>
      <c r="N211" s="115"/>
      <c r="O211" s="115"/>
      <c r="P211" s="115"/>
      <c r="Q211" s="115"/>
      <c r="R211" s="115"/>
      <c r="S211" s="115"/>
      <c r="T211" s="115"/>
      <c r="U211" s="115"/>
      <c r="V211" s="115"/>
      <c r="W211" s="115"/>
      <c r="X211" s="115"/>
      <c r="Y211" s="115"/>
      <c r="Z211" s="115"/>
      <c r="AA211" s="115"/>
      <c r="AB211" s="115"/>
      <c r="AC211" s="115"/>
      <c r="AD211" s="115"/>
      <c r="AE211" s="115"/>
      <c r="AF211" s="115"/>
      <c r="AG211" s="115"/>
      <c r="AH211" s="115"/>
      <c r="AI211" s="115"/>
      <c r="AJ211" s="115"/>
      <c r="AK211" s="115"/>
      <c r="AL211" s="115"/>
      <c r="AM211" s="115"/>
      <c r="AN211" s="115"/>
      <c r="AO211" s="115"/>
      <c r="AP211" s="115"/>
      <c r="AQ211" s="115"/>
      <c r="AR211" s="115"/>
      <c r="AS211" s="115"/>
      <c r="AT211" s="115"/>
      <c r="AU211" s="115"/>
      <c r="AV211" s="115"/>
      <c r="AW211" s="115"/>
      <c r="AX211" s="115"/>
      <c r="AY211" s="115"/>
      <c r="AZ211" s="115"/>
      <c r="BA211" s="115"/>
      <c r="BB211" s="115"/>
      <c r="BC211" s="115"/>
      <c r="BD211" s="115"/>
      <c r="BE211" s="115"/>
      <c r="BF211" s="115"/>
      <c r="BG211" s="115"/>
      <c r="BH211" s="115"/>
      <c r="BI211" s="115"/>
    </row>
    <row r="212" spans="2:61" ht="15.75" customHeight="1" x14ac:dyDescent="0.25">
      <c r="B212" s="115"/>
      <c r="K212" s="115"/>
      <c r="L212" s="115"/>
      <c r="M212" s="115"/>
      <c r="N212" s="115"/>
      <c r="O212" s="115"/>
      <c r="P212" s="115"/>
      <c r="Q212" s="115"/>
      <c r="R212" s="115"/>
      <c r="S212" s="115"/>
      <c r="T212" s="115"/>
      <c r="U212" s="115"/>
      <c r="V212" s="115"/>
      <c r="W212" s="115"/>
      <c r="X212" s="115"/>
      <c r="Y212" s="115"/>
      <c r="Z212" s="115"/>
      <c r="AA212" s="115"/>
      <c r="AB212" s="115"/>
      <c r="AC212" s="115"/>
      <c r="AD212" s="115"/>
      <c r="AE212" s="115"/>
      <c r="AF212" s="115"/>
      <c r="AG212" s="115"/>
      <c r="AH212" s="115"/>
      <c r="AI212" s="115"/>
      <c r="AJ212" s="115"/>
      <c r="AK212" s="115"/>
      <c r="AL212" s="115"/>
      <c r="AM212" s="115"/>
      <c r="AN212" s="115"/>
      <c r="AO212" s="115"/>
      <c r="AP212" s="115"/>
      <c r="AQ212" s="115"/>
      <c r="AR212" s="115"/>
      <c r="AS212" s="115"/>
      <c r="AT212" s="115"/>
      <c r="AU212" s="115"/>
      <c r="AV212" s="115"/>
      <c r="AW212" s="115"/>
      <c r="AX212" s="115"/>
      <c r="AY212" s="115"/>
      <c r="AZ212" s="115"/>
      <c r="BA212" s="115"/>
      <c r="BB212" s="115"/>
      <c r="BC212" s="115"/>
      <c r="BD212" s="115"/>
      <c r="BE212" s="115"/>
      <c r="BF212" s="115"/>
      <c r="BG212" s="115"/>
      <c r="BH212" s="115"/>
      <c r="BI212" s="115"/>
    </row>
    <row r="213" spans="2:61" ht="15.75" customHeight="1" x14ac:dyDescent="0.25">
      <c r="B213" s="115"/>
      <c r="K213" s="115"/>
      <c r="L213" s="115"/>
      <c r="M213" s="115"/>
      <c r="N213" s="115"/>
      <c r="O213" s="115"/>
      <c r="P213" s="115"/>
      <c r="Q213" s="115"/>
      <c r="R213" s="115"/>
      <c r="S213" s="115"/>
      <c r="T213" s="115"/>
      <c r="U213" s="115"/>
      <c r="V213" s="115"/>
      <c r="W213" s="115"/>
      <c r="X213" s="115"/>
      <c r="Y213" s="115"/>
      <c r="Z213" s="115"/>
      <c r="AA213" s="115"/>
      <c r="AB213" s="115"/>
      <c r="AC213" s="115"/>
      <c r="AD213" s="115"/>
      <c r="AE213" s="115"/>
      <c r="AF213" s="115"/>
      <c r="AG213" s="115"/>
      <c r="AH213" s="115"/>
      <c r="AI213" s="115"/>
      <c r="AJ213" s="115"/>
      <c r="AK213" s="115"/>
      <c r="AL213" s="115"/>
      <c r="AM213" s="115"/>
      <c r="AN213" s="115"/>
      <c r="AO213" s="115"/>
      <c r="AP213" s="115"/>
      <c r="AQ213" s="115"/>
      <c r="AR213" s="115"/>
      <c r="AS213" s="115"/>
      <c r="AT213" s="115"/>
      <c r="AU213" s="115"/>
      <c r="AV213" s="115"/>
      <c r="AW213" s="115"/>
      <c r="AX213" s="115"/>
      <c r="AY213" s="115"/>
      <c r="AZ213" s="115"/>
      <c r="BA213" s="115"/>
      <c r="BB213" s="115"/>
      <c r="BC213" s="115"/>
      <c r="BD213" s="115"/>
      <c r="BE213" s="115"/>
      <c r="BF213" s="115"/>
      <c r="BG213" s="115"/>
      <c r="BH213" s="115"/>
      <c r="BI213" s="115"/>
    </row>
    <row r="214" spans="2:61" ht="15.75" customHeight="1" x14ac:dyDescent="0.25">
      <c r="B214" s="115"/>
      <c r="K214" s="115"/>
      <c r="L214" s="115"/>
      <c r="M214" s="115"/>
      <c r="N214" s="115"/>
      <c r="O214" s="115"/>
      <c r="P214" s="115"/>
      <c r="Q214" s="115"/>
      <c r="R214" s="115"/>
      <c r="S214" s="115"/>
      <c r="T214" s="115"/>
      <c r="U214" s="115"/>
      <c r="V214" s="115"/>
      <c r="W214" s="115"/>
      <c r="X214" s="115"/>
      <c r="Y214" s="115"/>
      <c r="Z214" s="115"/>
      <c r="AA214" s="115"/>
      <c r="AB214" s="115"/>
      <c r="AC214" s="115"/>
      <c r="AD214" s="115"/>
      <c r="AE214" s="115"/>
      <c r="AF214" s="115"/>
      <c r="AG214" s="115"/>
      <c r="AH214" s="115"/>
      <c r="AI214" s="115"/>
      <c r="AJ214" s="115"/>
      <c r="AK214" s="115"/>
      <c r="AL214" s="115"/>
      <c r="AM214" s="115"/>
      <c r="AN214" s="115"/>
      <c r="AO214" s="115"/>
      <c r="AP214" s="115"/>
      <c r="AQ214" s="115"/>
      <c r="AR214" s="115"/>
      <c r="AS214" s="115"/>
      <c r="AT214" s="115"/>
      <c r="AU214" s="115"/>
      <c r="AV214" s="115"/>
      <c r="AW214" s="115"/>
      <c r="AX214" s="115"/>
      <c r="AY214" s="115"/>
      <c r="AZ214" s="115"/>
      <c r="BA214" s="115"/>
      <c r="BB214" s="115"/>
      <c r="BC214" s="115"/>
      <c r="BD214" s="115"/>
      <c r="BE214" s="115"/>
      <c r="BF214" s="115"/>
      <c r="BG214" s="115"/>
      <c r="BH214" s="115"/>
      <c r="BI214" s="115"/>
    </row>
    <row r="215" spans="2:61" ht="15.75" customHeight="1" x14ac:dyDescent="0.25">
      <c r="B215" s="115"/>
      <c r="K215" s="115"/>
      <c r="L215" s="115"/>
      <c r="M215" s="115"/>
      <c r="N215" s="115"/>
      <c r="O215" s="115"/>
      <c r="P215" s="115"/>
      <c r="Q215" s="115"/>
      <c r="R215" s="115"/>
      <c r="S215" s="115"/>
      <c r="T215" s="115"/>
      <c r="U215" s="115"/>
      <c r="V215" s="115"/>
      <c r="W215" s="115"/>
      <c r="X215" s="115"/>
      <c r="Y215" s="115"/>
      <c r="Z215" s="115"/>
      <c r="AA215" s="115"/>
      <c r="AB215" s="115"/>
      <c r="AC215" s="115"/>
      <c r="AD215" s="115"/>
      <c r="AE215" s="115"/>
      <c r="AF215" s="115"/>
      <c r="AG215" s="115"/>
      <c r="AH215" s="115"/>
      <c r="AI215" s="115"/>
      <c r="AJ215" s="115"/>
      <c r="AK215" s="115"/>
      <c r="AL215" s="115"/>
      <c r="AM215" s="115"/>
      <c r="AN215" s="115"/>
      <c r="AO215" s="115"/>
      <c r="AP215" s="115"/>
      <c r="AQ215" s="115"/>
      <c r="AR215" s="115"/>
      <c r="AS215" s="115"/>
      <c r="AT215" s="115"/>
      <c r="AU215" s="115"/>
      <c r="AV215" s="115"/>
      <c r="AW215" s="115"/>
      <c r="AX215" s="115"/>
      <c r="AY215" s="115"/>
      <c r="AZ215" s="115"/>
      <c r="BA215" s="115"/>
      <c r="BB215" s="115"/>
      <c r="BC215" s="115"/>
      <c r="BD215" s="115"/>
      <c r="BE215" s="115"/>
      <c r="BF215" s="115"/>
      <c r="BG215" s="115"/>
      <c r="BH215" s="115"/>
      <c r="BI215" s="115"/>
    </row>
    <row r="216" spans="2:61" ht="15.75" customHeight="1" x14ac:dyDescent="0.25">
      <c r="B216" s="115"/>
      <c r="K216" s="115"/>
      <c r="L216" s="115"/>
      <c r="M216" s="115"/>
      <c r="N216" s="115"/>
      <c r="O216" s="115"/>
      <c r="P216" s="115"/>
      <c r="Q216" s="115"/>
      <c r="R216" s="115"/>
      <c r="S216" s="115"/>
      <c r="T216" s="115"/>
      <c r="U216" s="115"/>
      <c r="V216" s="115"/>
      <c r="W216" s="115"/>
      <c r="X216" s="115"/>
      <c r="Y216" s="115"/>
      <c r="Z216" s="115"/>
      <c r="AA216" s="115"/>
      <c r="AB216" s="115"/>
      <c r="AC216" s="115"/>
      <c r="AD216" s="115"/>
      <c r="AE216" s="115"/>
      <c r="AF216" s="115"/>
      <c r="AG216" s="115"/>
      <c r="AH216" s="115"/>
      <c r="AI216" s="115"/>
      <c r="AJ216" s="115"/>
      <c r="AK216" s="115"/>
      <c r="AL216" s="115"/>
      <c r="AM216" s="115"/>
      <c r="AN216" s="115"/>
      <c r="AO216" s="115"/>
      <c r="AP216" s="115"/>
      <c r="AQ216" s="115"/>
      <c r="AR216" s="115"/>
      <c r="AS216" s="115"/>
      <c r="AT216" s="115"/>
      <c r="AU216" s="115"/>
      <c r="AV216" s="115"/>
      <c r="AW216" s="115"/>
      <c r="AX216" s="115"/>
      <c r="AY216" s="115"/>
      <c r="AZ216" s="115"/>
      <c r="BA216" s="115"/>
      <c r="BB216" s="115"/>
      <c r="BC216" s="115"/>
      <c r="BD216" s="115"/>
      <c r="BE216" s="115"/>
      <c r="BF216" s="115"/>
      <c r="BG216" s="115"/>
      <c r="BH216" s="115"/>
      <c r="BI216" s="115"/>
    </row>
    <row r="217" spans="2:61" ht="15.75" customHeight="1" x14ac:dyDescent="0.25">
      <c r="B217" s="115"/>
      <c r="K217" s="115"/>
      <c r="L217" s="115"/>
      <c r="M217" s="115"/>
      <c r="N217" s="115"/>
      <c r="O217" s="115"/>
      <c r="P217" s="115"/>
      <c r="Q217" s="115"/>
      <c r="R217" s="115"/>
      <c r="S217" s="115"/>
      <c r="T217" s="115"/>
      <c r="U217" s="115"/>
      <c r="V217" s="115"/>
      <c r="W217" s="115"/>
      <c r="X217" s="115"/>
      <c r="Y217" s="115"/>
      <c r="Z217" s="115"/>
      <c r="AA217" s="115"/>
      <c r="AB217" s="115"/>
      <c r="AC217" s="115"/>
      <c r="AD217" s="115"/>
      <c r="AE217" s="115"/>
      <c r="AF217" s="115"/>
      <c r="AG217" s="115"/>
      <c r="AH217" s="115"/>
      <c r="AI217" s="115"/>
      <c r="AJ217" s="115"/>
      <c r="AK217" s="115"/>
      <c r="AL217" s="115"/>
      <c r="AM217" s="115"/>
      <c r="AN217" s="115"/>
      <c r="AO217" s="115"/>
      <c r="AP217" s="115"/>
      <c r="AQ217" s="115"/>
      <c r="AR217" s="115"/>
      <c r="AS217" s="115"/>
      <c r="AT217" s="115"/>
      <c r="AU217" s="115"/>
      <c r="AV217" s="115"/>
      <c r="AW217" s="115"/>
      <c r="AX217" s="115"/>
      <c r="AY217" s="115"/>
      <c r="AZ217" s="115"/>
      <c r="BA217" s="115"/>
      <c r="BB217" s="115"/>
      <c r="BC217" s="115"/>
      <c r="BD217" s="115"/>
      <c r="BE217" s="115"/>
      <c r="BF217" s="115"/>
      <c r="BG217" s="115"/>
      <c r="BH217" s="115"/>
      <c r="BI217" s="115"/>
    </row>
    <row r="218" spans="2:61" ht="15.75" customHeight="1" x14ac:dyDescent="0.25">
      <c r="B218" s="115"/>
      <c r="K218" s="115"/>
      <c r="L218" s="115"/>
      <c r="M218" s="115"/>
      <c r="N218" s="115"/>
      <c r="O218" s="115"/>
      <c r="P218" s="115"/>
      <c r="Q218" s="115"/>
      <c r="R218" s="115"/>
      <c r="S218" s="115"/>
      <c r="T218" s="115"/>
      <c r="U218" s="115"/>
      <c r="V218" s="115"/>
      <c r="W218" s="115"/>
      <c r="X218" s="115"/>
      <c r="Y218" s="115"/>
      <c r="Z218" s="115"/>
      <c r="AA218" s="115"/>
      <c r="AB218" s="115"/>
      <c r="AC218" s="115"/>
      <c r="AD218" s="115"/>
      <c r="AE218" s="115"/>
      <c r="AF218" s="115"/>
      <c r="AG218" s="115"/>
      <c r="AH218" s="115"/>
      <c r="AI218" s="115"/>
      <c r="AJ218" s="115"/>
      <c r="AK218" s="115"/>
      <c r="AL218" s="115"/>
      <c r="AM218" s="115"/>
      <c r="AN218" s="115"/>
      <c r="AO218" s="115"/>
      <c r="AP218" s="115"/>
      <c r="AQ218" s="115"/>
      <c r="AR218" s="115"/>
      <c r="AS218" s="115"/>
      <c r="AT218" s="115"/>
      <c r="AU218" s="115"/>
      <c r="AV218" s="115"/>
      <c r="AW218" s="115"/>
      <c r="AX218" s="115"/>
      <c r="AY218" s="115"/>
      <c r="AZ218" s="115"/>
      <c r="BA218" s="115"/>
      <c r="BB218" s="115"/>
      <c r="BC218" s="115"/>
      <c r="BD218" s="115"/>
      <c r="BE218" s="115"/>
      <c r="BF218" s="115"/>
      <c r="BG218" s="115"/>
      <c r="BH218" s="115"/>
      <c r="BI218" s="115"/>
    </row>
    <row r="219" spans="2:61" ht="15.75" customHeight="1" x14ac:dyDescent="0.25">
      <c r="B219" s="115"/>
      <c r="K219" s="115"/>
      <c r="L219" s="115"/>
      <c r="M219" s="115"/>
      <c r="N219" s="115"/>
      <c r="O219" s="115"/>
      <c r="P219" s="115"/>
      <c r="Q219" s="115"/>
      <c r="R219" s="115"/>
      <c r="S219" s="115"/>
      <c r="T219" s="115"/>
      <c r="U219" s="115"/>
      <c r="V219" s="115"/>
      <c r="W219" s="115"/>
      <c r="X219" s="115"/>
      <c r="Y219" s="115"/>
      <c r="Z219" s="115"/>
      <c r="AA219" s="115"/>
      <c r="AB219" s="115"/>
      <c r="AC219" s="115"/>
      <c r="AD219" s="115"/>
      <c r="AE219" s="115"/>
      <c r="AF219" s="115"/>
      <c r="AG219" s="115"/>
      <c r="AH219" s="115"/>
      <c r="AI219" s="115"/>
      <c r="AJ219" s="115"/>
      <c r="AK219" s="115"/>
      <c r="AL219" s="115"/>
      <c r="AM219" s="115"/>
      <c r="AN219" s="115"/>
      <c r="AO219" s="115"/>
      <c r="AP219" s="115"/>
      <c r="AQ219" s="115"/>
      <c r="AR219" s="115"/>
      <c r="AS219" s="115"/>
      <c r="AT219" s="115"/>
      <c r="AU219" s="115"/>
      <c r="AV219" s="115"/>
      <c r="AW219" s="115"/>
      <c r="AX219" s="115"/>
      <c r="AY219" s="115"/>
      <c r="AZ219" s="115"/>
      <c r="BA219" s="115"/>
      <c r="BB219" s="115"/>
      <c r="BC219" s="115"/>
      <c r="BD219" s="115"/>
      <c r="BE219" s="115"/>
      <c r="BF219" s="115"/>
      <c r="BG219" s="115"/>
      <c r="BH219" s="115"/>
      <c r="BI219" s="115"/>
    </row>
    <row r="220" spans="2:61" ht="15.75" customHeight="1" x14ac:dyDescent="0.25">
      <c r="B220" s="115"/>
      <c r="K220" s="115"/>
      <c r="L220" s="115"/>
      <c r="M220" s="115"/>
      <c r="N220" s="115"/>
      <c r="O220" s="115"/>
      <c r="P220" s="115"/>
      <c r="Q220" s="115"/>
      <c r="R220" s="115"/>
      <c r="S220" s="115"/>
      <c r="T220" s="115"/>
      <c r="U220" s="115"/>
      <c r="V220" s="115"/>
      <c r="W220" s="115"/>
      <c r="X220" s="115"/>
      <c r="Y220" s="115"/>
      <c r="Z220" s="115"/>
      <c r="AA220" s="115"/>
      <c r="AB220" s="115"/>
      <c r="AC220" s="115"/>
      <c r="AD220" s="115"/>
      <c r="AE220" s="115"/>
      <c r="AF220" s="115"/>
      <c r="AG220" s="115"/>
      <c r="AH220" s="115"/>
      <c r="AI220" s="115"/>
      <c r="AJ220" s="115"/>
      <c r="AK220" s="115"/>
      <c r="AL220" s="115"/>
      <c r="AM220" s="115"/>
      <c r="AN220" s="115"/>
      <c r="AO220" s="115"/>
      <c r="AP220" s="115"/>
      <c r="AQ220" s="115"/>
      <c r="AR220" s="115"/>
      <c r="AS220" s="115"/>
      <c r="AT220" s="115"/>
      <c r="AU220" s="115"/>
      <c r="AV220" s="115"/>
      <c r="AW220" s="115"/>
      <c r="AX220" s="115"/>
      <c r="AY220" s="115"/>
      <c r="AZ220" s="115"/>
      <c r="BA220" s="115"/>
      <c r="BB220" s="115"/>
      <c r="BC220" s="115"/>
      <c r="BD220" s="115"/>
      <c r="BE220" s="115"/>
      <c r="BF220" s="115"/>
      <c r="BG220" s="115"/>
      <c r="BH220" s="115"/>
      <c r="BI220" s="115"/>
    </row>
    <row r="221" spans="2:61" ht="15.75" customHeight="1" x14ac:dyDescent="0.25">
      <c r="B221" s="115"/>
      <c r="K221" s="115"/>
      <c r="L221" s="115"/>
      <c r="M221" s="115"/>
      <c r="N221" s="115"/>
      <c r="O221" s="115"/>
      <c r="P221" s="115"/>
      <c r="Q221" s="115"/>
      <c r="R221" s="115"/>
      <c r="S221" s="115"/>
      <c r="T221" s="115"/>
      <c r="U221" s="115"/>
      <c r="V221" s="115"/>
      <c r="W221" s="115"/>
      <c r="X221" s="115"/>
      <c r="Y221" s="115"/>
      <c r="Z221" s="115"/>
      <c r="AA221" s="115"/>
      <c r="AB221" s="115"/>
      <c r="AC221" s="115"/>
      <c r="AD221" s="115"/>
      <c r="AE221" s="115"/>
      <c r="AF221" s="115"/>
      <c r="AG221" s="115"/>
      <c r="AH221" s="115"/>
      <c r="AI221" s="115"/>
      <c r="AJ221" s="115"/>
      <c r="AK221" s="115"/>
      <c r="AL221" s="115"/>
      <c r="AM221" s="115"/>
      <c r="AN221" s="115"/>
      <c r="AO221" s="115"/>
      <c r="AP221" s="115"/>
      <c r="AQ221" s="115"/>
      <c r="AR221" s="115"/>
      <c r="AS221" s="115"/>
      <c r="AT221" s="115"/>
      <c r="AU221" s="115"/>
      <c r="AV221" s="115"/>
      <c r="AW221" s="115"/>
      <c r="AX221" s="115"/>
      <c r="AY221" s="115"/>
      <c r="AZ221" s="115"/>
      <c r="BA221" s="115"/>
      <c r="BB221" s="115"/>
      <c r="BC221" s="115"/>
      <c r="BD221" s="115"/>
      <c r="BE221" s="115"/>
      <c r="BF221" s="115"/>
      <c r="BG221" s="115"/>
      <c r="BH221" s="115"/>
      <c r="BI221" s="115"/>
    </row>
    <row r="222" spans="2:61" ht="15.75" customHeight="1" x14ac:dyDescent="0.25">
      <c r="B222" s="115"/>
      <c r="K222" s="115"/>
      <c r="L222" s="115"/>
      <c r="M222" s="115"/>
      <c r="N222" s="115"/>
      <c r="O222" s="115"/>
      <c r="P222" s="115"/>
      <c r="Q222" s="115"/>
      <c r="R222" s="115"/>
      <c r="S222" s="115"/>
      <c r="T222" s="115"/>
      <c r="U222" s="115"/>
      <c r="V222" s="115"/>
      <c r="W222" s="115"/>
      <c r="X222" s="115"/>
      <c r="Y222" s="115"/>
      <c r="Z222" s="115"/>
      <c r="AA222" s="115"/>
      <c r="AB222" s="115"/>
      <c r="AC222" s="115"/>
      <c r="AD222" s="115"/>
      <c r="AE222" s="115"/>
      <c r="AF222" s="115"/>
      <c r="AG222" s="115"/>
      <c r="AH222" s="115"/>
      <c r="AI222" s="115"/>
      <c r="AJ222" s="115"/>
      <c r="AK222" s="115"/>
      <c r="AL222" s="115"/>
      <c r="AM222" s="115"/>
      <c r="AN222" s="115"/>
      <c r="AO222" s="115"/>
      <c r="AP222" s="115"/>
      <c r="AQ222" s="115"/>
      <c r="AR222" s="115"/>
      <c r="AS222" s="115"/>
      <c r="AT222" s="115"/>
      <c r="AU222" s="115"/>
      <c r="AV222" s="115"/>
      <c r="AW222" s="115"/>
      <c r="AX222" s="115"/>
      <c r="AY222" s="115"/>
      <c r="AZ222" s="115"/>
      <c r="BA222" s="115"/>
      <c r="BB222" s="115"/>
      <c r="BC222" s="115"/>
      <c r="BD222" s="115"/>
      <c r="BE222" s="115"/>
      <c r="BF222" s="115"/>
      <c r="BG222" s="115"/>
      <c r="BH222" s="115"/>
      <c r="BI222" s="115"/>
    </row>
    <row r="223" spans="2:61" ht="15.75" customHeight="1" x14ac:dyDescent="0.25">
      <c r="B223" s="115"/>
      <c r="K223" s="115"/>
      <c r="L223" s="115"/>
      <c r="M223" s="115"/>
      <c r="N223" s="115"/>
      <c r="O223" s="115"/>
      <c r="P223" s="115"/>
      <c r="Q223" s="115"/>
      <c r="R223" s="115"/>
      <c r="S223" s="115"/>
      <c r="T223" s="115"/>
      <c r="U223" s="115"/>
      <c r="V223" s="115"/>
      <c r="W223" s="115"/>
      <c r="X223" s="115"/>
      <c r="Y223" s="115"/>
      <c r="Z223" s="115"/>
      <c r="AA223" s="115"/>
      <c r="AB223" s="115"/>
      <c r="AC223" s="115"/>
      <c r="AD223" s="115"/>
      <c r="AE223" s="115"/>
      <c r="AF223" s="115"/>
      <c r="AG223" s="115"/>
      <c r="AH223" s="115"/>
      <c r="AI223" s="115"/>
      <c r="AJ223" s="115"/>
      <c r="AK223" s="115"/>
      <c r="AL223" s="115"/>
      <c r="AM223" s="115"/>
      <c r="AN223" s="115"/>
      <c r="AO223" s="115"/>
      <c r="AP223" s="115"/>
      <c r="AQ223" s="115"/>
      <c r="AR223" s="115"/>
      <c r="AS223" s="115"/>
      <c r="AT223" s="115"/>
      <c r="AU223" s="115"/>
      <c r="AV223" s="115"/>
      <c r="AW223" s="115"/>
      <c r="AX223" s="115"/>
      <c r="AY223" s="115"/>
      <c r="AZ223" s="115"/>
      <c r="BA223" s="115"/>
      <c r="BB223" s="115"/>
      <c r="BC223" s="115"/>
      <c r="BD223" s="115"/>
      <c r="BE223" s="115"/>
      <c r="BF223" s="115"/>
      <c r="BG223" s="115"/>
      <c r="BH223" s="115"/>
      <c r="BI223" s="115"/>
    </row>
    <row r="224" spans="2:61" ht="15.75" customHeight="1" x14ac:dyDescent="0.25">
      <c r="B224" s="115"/>
      <c r="K224" s="115"/>
      <c r="L224" s="115"/>
      <c r="M224" s="115"/>
      <c r="N224" s="115"/>
      <c r="O224" s="115"/>
      <c r="P224" s="115"/>
      <c r="Q224" s="115"/>
      <c r="R224" s="115"/>
      <c r="S224" s="115"/>
      <c r="T224" s="115"/>
      <c r="U224" s="115"/>
      <c r="V224" s="115"/>
      <c r="W224" s="115"/>
      <c r="X224" s="115"/>
      <c r="Y224" s="115"/>
      <c r="Z224" s="115"/>
      <c r="AA224" s="115"/>
      <c r="AB224" s="115"/>
      <c r="AC224" s="115"/>
      <c r="AD224" s="115"/>
      <c r="AE224" s="115"/>
      <c r="AF224" s="115"/>
      <c r="AG224" s="115"/>
      <c r="AH224" s="115"/>
      <c r="AI224" s="115"/>
      <c r="AJ224" s="115"/>
      <c r="AK224" s="115"/>
      <c r="AL224" s="115"/>
      <c r="AM224" s="115"/>
      <c r="AN224" s="115"/>
      <c r="AO224" s="115"/>
      <c r="AP224" s="115"/>
      <c r="AQ224" s="115"/>
      <c r="AR224" s="115"/>
      <c r="AS224" s="115"/>
      <c r="AT224" s="115"/>
      <c r="AU224" s="115"/>
      <c r="AV224" s="115"/>
      <c r="AW224" s="115"/>
      <c r="AX224" s="115"/>
      <c r="AY224" s="115"/>
      <c r="AZ224" s="115"/>
      <c r="BA224" s="115"/>
      <c r="BB224" s="115"/>
      <c r="BC224" s="115"/>
      <c r="BD224" s="115"/>
      <c r="BE224" s="115"/>
      <c r="BF224" s="115"/>
      <c r="BG224" s="115"/>
      <c r="BH224" s="115"/>
      <c r="BI224" s="115"/>
    </row>
    <row r="225" spans="2:61" ht="15.75" customHeight="1" x14ac:dyDescent="0.25">
      <c r="B225" s="115"/>
      <c r="K225" s="115"/>
      <c r="L225" s="115"/>
      <c r="M225" s="115"/>
      <c r="N225" s="115"/>
      <c r="O225" s="115"/>
      <c r="P225" s="115"/>
      <c r="Q225" s="115"/>
      <c r="R225" s="115"/>
      <c r="S225" s="115"/>
      <c r="T225" s="115"/>
      <c r="U225" s="115"/>
      <c r="V225" s="115"/>
      <c r="W225" s="115"/>
      <c r="X225" s="115"/>
      <c r="Y225" s="115"/>
      <c r="Z225" s="115"/>
      <c r="AA225" s="115"/>
      <c r="AB225" s="115"/>
      <c r="AC225" s="115"/>
      <c r="AD225" s="115"/>
      <c r="AE225" s="115"/>
      <c r="AF225" s="115"/>
      <c r="AG225" s="115"/>
      <c r="AH225" s="115"/>
      <c r="AI225" s="115"/>
      <c r="AJ225" s="115"/>
      <c r="AK225" s="115"/>
      <c r="AL225" s="115"/>
      <c r="AM225" s="115"/>
      <c r="AN225" s="115"/>
      <c r="AO225" s="115"/>
      <c r="AP225" s="115"/>
      <c r="AQ225" s="115"/>
      <c r="AR225" s="115"/>
      <c r="AS225" s="115"/>
      <c r="AT225" s="115"/>
      <c r="AU225" s="115"/>
      <c r="AV225" s="115"/>
      <c r="AW225" s="115"/>
      <c r="AX225" s="115"/>
      <c r="AY225" s="115"/>
      <c r="AZ225" s="115"/>
      <c r="BA225" s="115"/>
      <c r="BB225" s="115"/>
      <c r="BC225" s="115"/>
      <c r="BD225" s="115"/>
      <c r="BE225" s="115"/>
      <c r="BF225" s="115"/>
      <c r="BG225" s="115"/>
      <c r="BH225" s="115"/>
      <c r="BI225" s="115"/>
    </row>
    <row r="226" spans="2:61" ht="15.75" customHeight="1" x14ac:dyDescent="0.25">
      <c r="B226" s="115"/>
      <c r="K226" s="115"/>
      <c r="L226" s="115"/>
      <c r="M226" s="115"/>
      <c r="N226" s="115"/>
      <c r="O226" s="115"/>
      <c r="P226" s="115"/>
      <c r="Q226" s="115"/>
      <c r="R226" s="115"/>
      <c r="S226" s="115"/>
      <c r="T226" s="115"/>
      <c r="U226" s="115"/>
      <c r="V226" s="115"/>
      <c r="W226" s="115"/>
      <c r="X226" s="115"/>
      <c r="Y226" s="115"/>
      <c r="Z226" s="115"/>
      <c r="AA226" s="115"/>
      <c r="AB226" s="115"/>
      <c r="AC226" s="115"/>
      <c r="AD226" s="115"/>
      <c r="AE226" s="115"/>
      <c r="AF226" s="115"/>
      <c r="AG226" s="115"/>
      <c r="AH226" s="115"/>
      <c r="AI226" s="115"/>
      <c r="AJ226" s="115"/>
      <c r="AK226" s="115"/>
      <c r="AL226" s="115"/>
      <c r="AM226" s="115"/>
      <c r="AN226" s="115"/>
      <c r="AO226" s="115"/>
      <c r="AP226" s="115"/>
      <c r="AQ226" s="115"/>
      <c r="AR226" s="115"/>
      <c r="AS226" s="115"/>
      <c r="AT226" s="115"/>
      <c r="AU226" s="115"/>
      <c r="AV226" s="115"/>
      <c r="AW226" s="115"/>
      <c r="AX226" s="115"/>
      <c r="AY226" s="115"/>
      <c r="AZ226" s="115"/>
      <c r="BA226" s="115"/>
      <c r="BB226" s="115"/>
      <c r="BC226" s="115"/>
      <c r="BD226" s="115"/>
      <c r="BE226" s="115"/>
      <c r="BF226" s="115"/>
      <c r="BG226" s="115"/>
      <c r="BH226" s="115"/>
      <c r="BI226" s="115"/>
    </row>
    <row r="227" spans="2:61" ht="15.75" customHeight="1" x14ac:dyDescent="0.25">
      <c r="B227" s="115"/>
      <c r="K227" s="115"/>
      <c r="L227" s="115"/>
      <c r="M227" s="115"/>
      <c r="N227" s="115"/>
      <c r="O227" s="115"/>
      <c r="P227" s="115"/>
      <c r="Q227" s="115"/>
      <c r="R227" s="115"/>
      <c r="S227" s="115"/>
      <c r="T227" s="115"/>
      <c r="U227" s="115"/>
      <c r="V227" s="115"/>
      <c r="W227" s="115"/>
      <c r="X227" s="115"/>
      <c r="Y227" s="115"/>
      <c r="Z227" s="115"/>
      <c r="AA227" s="115"/>
      <c r="AB227" s="115"/>
      <c r="AC227" s="115"/>
      <c r="AD227" s="115"/>
      <c r="AE227" s="115"/>
      <c r="AF227" s="115"/>
      <c r="AG227" s="115"/>
      <c r="AH227" s="115"/>
      <c r="AI227" s="115"/>
      <c r="AJ227" s="115"/>
      <c r="AK227" s="115"/>
      <c r="AL227" s="115"/>
      <c r="AM227" s="115"/>
      <c r="AN227" s="115"/>
      <c r="AO227" s="115"/>
      <c r="AP227" s="115"/>
      <c r="AQ227" s="115"/>
      <c r="AR227" s="115"/>
      <c r="AS227" s="115"/>
      <c r="AT227" s="115"/>
      <c r="AU227" s="115"/>
      <c r="AV227" s="115"/>
      <c r="AW227" s="115"/>
      <c r="AX227" s="115"/>
      <c r="AY227" s="115"/>
      <c r="AZ227" s="115"/>
      <c r="BA227" s="115"/>
      <c r="BB227" s="115"/>
      <c r="BC227" s="115"/>
      <c r="BD227" s="115"/>
      <c r="BE227" s="115"/>
      <c r="BF227" s="115"/>
      <c r="BG227" s="115"/>
      <c r="BH227" s="115"/>
      <c r="BI227" s="115"/>
    </row>
    <row r="228" spans="2:61" ht="15.75" customHeight="1" x14ac:dyDescent="0.25">
      <c r="B228" s="115"/>
      <c r="K228" s="115"/>
      <c r="L228" s="115"/>
      <c r="M228" s="115"/>
      <c r="N228" s="115"/>
      <c r="O228" s="115"/>
      <c r="P228" s="115"/>
      <c r="Q228" s="115"/>
      <c r="R228" s="115"/>
      <c r="S228" s="115"/>
      <c r="T228" s="115"/>
      <c r="U228" s="115"/>
      <c r="V228" s="115"/>
      <c r="W228" s="115"/>
      <c r="X228" s="115"/>
      <c r="Y228" s="115"/>
      <c r="Z228" s="115"/>
      <c r="AA228" s="115"/>
      <c r="AB228" s="115"/>
      <c r="AC228" s="115"/>
      <c r="AD228" s="115"/>
      <c r="AE228" s="115"/>
      <c r="AF228" s="115"/>
      <c r="AG228" s="115"/>
      <c r="AH228" s="115"/>
      <c r="AI228" s="115"/>
      <c r="AJ228" s="115"/>
      <c r="AK228" s="115"/>
      <c r="AL228" s="115"/>
      <c r="AM228" s="115"/>
      <c r="AN228" s="115"/>
      <c r="AO228" s="115"/>
      <c r="AP228" s="115"/>
      <c r="AQ228" s="115"/>
      <c r="AR228" s="115"/>
      <c r="AS228" s="115"/>
      <c r="AT228" s="115"/>
      <c r="AU228" s="115"/>
      <c r="AV228" s="115"/>
      <c r="AW228" s="115"/>
      <c r="AX228" s="115"/>
      <c r="AY228" s="115"/>
      <c r="AZ228" s="115"/>
      <c r="BA228" s="115"/>
      <c r="BB228" s="115"/>
      <c r="BC228" s="115"/>
      <c r="BD228" s="115"/>
      <c r="BE228" s="115"/>
      <c r="BF228" s="115"/>
      <c r="BG228" s="115"/>
      <c r="BH228" s="115"/>
      <c r="BI228" s="115"/>
    </row>
    <row r="229" spans="2:61" ht="15.75" customHeight="1" x14ac:dyDescent="0.25">
      <c r="B229" s="115"/>
      <c r="K229" s="115"/>
      <c r="L229" s="115"/>
      <c r="M229" s="115"/>
      <c r="N229" s="115"/>
      <c r="O229" s="115"/>
      <c r="P229" s="115"/>
      <c r="Q229" s="115"/>
      <c r="R229" s="115"/>
      <c r="S229" s="115"/>
      <c r="T229" s="115"/>
      <c r="U229" s="115"/>
      <c r="V229" s="115"/>
      <c r="W229" s="115"/>
      <c r="X229" s="115"/>
      <c r="Y229" s="115"/>
      <c r="Z229" s="115"/>
      <c r="AA229" s="115"/>
      <c r="AB229" s="115"/>
      <c r="AC229" s="115"/>
      <c r="AD229" s="115"/>
      <c r="AE229" s="115"/>
      <c r="AF229" s="115"/>
      <c r="AG229" s="115"/>
      <c r="AH229" s="115"/>
      <c r="AI229" s="115"/>
      <c r="AJ229" s="115"/>
      <c r="AK229" s="115"/>
      <c r="AL229" s="115"/>
      <c r="AM229" s="115"/>
      <c r="AN229" s="115"/>
      <c r="AO229" s="115"/>
      <c r="AP229" s="115"/>
      <c r="AQ229" s="115"/>
      <c r="AR229" s="115"/>
      <c r="AS229" s="115"/>
      <c r="AT229" s="115"/>
      <c r="AU229" s="115"/>
      <c r="AV229" s="115"/>
      <c r="AW229" s="115"/>
      <c r="AX229" s="115"/>
      <c r="AY229" s="115"/>
      <c r="AZ229" s="115"/>
      <c r="BA229" s="115"/>
      <c r="BB229" s="115"/>
      <c r="BC229" s="115"/>
      <c r="BD229" s="115"/>
      <c r="BE229" s="115"/>
      <c r="BF229" s="115"/>
      <c r="BG229" s="115"/>
      <c r="BH229" s="115"/>
      <c r="BI229" s="115"/>
    </row>
    <row r="230" spans="2:61" ht="15.75" customHeight="1" x14ac:dyDescent="0.25">
      <c r="B230" s="115"/>
      <c r="K230" s="115"/>
      <c r="L230" s="115"/>
      <c r="M230" s="115"/>
      <c r="N230" s="115"/>
      <c r="O230" s="115"/>
      <c r="P230" s="115"/>
      <c r="Q230" s="115"/>
      <c r="R230" s="115"/>
      <c r="S230" s="115"/>
      <c r="T230" s="115"/>
      <c r="U230" s="115"/>
      <c r="V230" s="115"/>
      <c r="W230" s="115"/>
      <c r="X230" s="115"/>
      <c r="Y230" s="115"/>
      <c r="Z230" s="115"/>
      <c r="AA230" s="115"/>
      <c r="AB230" s="115"/>
      <c r="AC230" s="115"/>
      <c r="AD230" s="115"/>
      <c r="AE230" s="115"/>
      <c r="AF230" s="115"/>
      <c r="AG230" s="115"/>
      <c r="AH230" s="115"/>
      <c r="AI230" s="115"/>
      <c r="AJ230" s="115"/>
      <c r="AK230" s="115"/>
      <c r="AL230" s="115"/>
      <c r="AM230" s="115"/>
      <c r="AN230" s="115"/>
      <c r="AO230" s="115"/>
      <c r="AP230" s="115"/>
      <c r="AQ230" s="115"/>
      <c r="AR230" s="115"/>
      <c r="AS230" s="115"/>
      <c r="AT230" s="115"/>
      <c r="AU230" s="115"/>
      <c r="AV230" s="115"/>
      <c r="AW230" s="115"/>
      <c r="AX230" s="115"/>
      <c r="AY230" s="115"/>
      <c r="AZ230" s="115"/>
      <c r="BA230" s="115"/>
      <c r="BB230" s="115"/>
      <c r="BC230" s="115"/>
      <c r="BD230" s="115"/>
      <c r="BE230" s="115"/>
      <c r="BF230" s="115"/>
      <c r="BG230" s="115"/>
      <c r="BH230" s="115"/>
      <c r="BI230" s="115"/>
    </row>
    <row r="231" spans="2:61" ht="15.75" customHeight="1" x14ac:dyDescent="0.25">
      <c r="B231" s="115"/>
      <c r="K231" s="115"/>
      <c r="L231" s="115"/>
      <c r="M231" s="115"/>
      <c r="N231" s="115"/>
      <c r="O231" s="115"/>
      <c r="P231" s="115"/>
      <c r="Q231" s="115"/>
      <c r="R231" s="115"/>
      <c r="S231" s="115"/>
      <c r="T231" s="115"/>
      <c r="U231" s="115"/>
      <c r="V231" s="115"/>
      <c r="W231" s="115"/>
      <c r="X231" s="115"/>
      <c r="Y231" s="115"/>
      <c r="Z231" s="115"/>
      <c r="AA231" s="115"/>
      <c r="AB231" s="115"/>
      <c r="AC231" s="115"/>
      <c r="AD231" s="115"/>
      <c r="AE231" s="115"/>
      <c r="AF231" s="115"/>
      <c r="AG231" s="115"/>
      <c r="AH231" s="115"/>
      <c r="AI231" s="115"/>
      <c r="AJ231" s="115"/>
      <c r="AK231" s="115"/>
      <c r="AL231" s="115"/>
      <c r="AM231" s="115"/>
      <c r="AN231" s="115"/>
      <c r="AO231" s="115"/>
      <c r="AP231" s="115"/>
      <c r="AQ231" s="115"/>
      <c r="AR231" s="115"/>
      <c r="AS231" s="115"/>
      <c r="AT231" s="115"/>
      <c r="AU231" s="115"/>
      <c r="AV231" s="115"/>
      <c r="AW231" s="115"/>
      <c r="AX231" s="115"/>
      <c r="AY231" s="115"/>
      <c r="AZ231" s="115"/>
      <c r="BA231" s="115"/>
      <c r="BB231" s="115"/>
      <c r="BC231" s="115"/>
      <c r="BD231" s="115"/>
      <c r="BE231" s="115"/>
      <c r="BF231" s="115"/>
      <c r="BG231" s="115"/>
      <c r="BH231" s="115"/>
      <c r="BI231" s="115"/>
    </row>
    <row r="232" spans="2:61" ht="15.75" customHeight="1" x14ac:dyDescent="0.25">
      <c r="B232" s="115"/>
      <c r="K232" s="115"/>
      <c r="L232" s="115"/>
      <c r="M232" s="115"/>
      <c r="N232" s="115"/>
      <c r="O232" s="115"/>
      <c r="P232" s="115"/>
      <c r="Q232" s="115"/>
      <c r="R232" s="115"/>
      <c r="S232" s="115"/>
      <c r="T232" s="115"/>
      <c r="U232" s="115"/>
      <c r="V232" s="115"/>
      <c r="W232" s="115"/>
      <c r="X232" s="115"/>
      <c r="Y232" s="115"/>
      <c r="Z232" s="115"/>
      <c r="AA232" s="115"/>
      <c r="AB232" s="115"/>
      <c r="AC232" s="115"/>
      <c r="AD232" s="115"/>
      <c r="AE232" s="115"/>
      <c r="AF232" s="115"/>
      <c r="AG232" s="115"/>
      <c r="AH232" s="115"/>
      <c r="AI232" s="115"/>
      <c r="AJ232" s="115"/>
      <c r="AK232" s="115"/>
      <c r="AL232" s="115"/>
      <c r="AM232" s="115"/>
      <c r="AN232" s="115"/>
      <c r="AO232" s="115"/>
      <c r="AP232" s="115"/>
      <c r="AQ232" s="115"/>
      <c r="AR232" s="115"/>
      <c r="AS232" s="115"/>
      <c r="AT232" s="115"/>
      <c r="AU232" s="115"/>
      <c r="AV232" s="115"/>
      <c r="AW232" s="115"/>
      <c r="AX232" s="115"/>
      <c r="AY232" s="115"/>
      <c r="AZ232" s="115"/>
      <c r="BA232" s="115"/>
      <c r="BB232" s="115"/>
      <c r="BC232" s="115"/>
      <c r="BD232" s="115"/>
      <c r="BE232" s="115"/>
      <c r="BF232" s="115"/>
      <c r="BG232" s="115"/>
      <c r="BH232" s="115"/>
      <c r="BI232" s="115"/>
    </row>
    <row r="233" spans="2:61" ht="15.75" customHeight="1" x14ac:dyDescent="0.25">
      <c r="B233" s="115"/>
      <c r="K233" s="115"/>
      <c r="L233" s="115"/>
      <c r="M233" s="115"/>
      <c r="N233" s="115"/>
      <c r="O233" s="115"/>
      <c r="P233" s="115"/>
      <c r="Q233" s="115"/>
      <c r="R233" s="115"/>
      <c r="S233" s="115"/>
      <c r="T233" s="115"/>
      <c r="U233" s="115"/>
      <c r="V233" s="115"/>
      <c r="W233" s="115"/>
      <c r="X233" s="115"/>
      <c r="Y233" s="115"/>
      <c r="Z233" s="115"/>
      <c r="AA233" s="115"/>
      <c r="AB233" s="115"/>
      <c r="AC233" s="115"/>
      <c r="AD233" s="115"/>
      <c r="AE233" s="115"/>
      <c r="AF233" s="115"/>
      <c r="AG233" s="115"/>
      <c r="AH233" s="115"/>
      <c r="AI233" s="115"/>
      <c r="AJ233" s="115"/>
      <c r="AK233" s="115"/>
      <c r="AL233" s="115"/>
      <c r="AM233" s="115"/>
      <c r="AN233" s="115"/>
      <c r="AO233" s="115"/>
      <c r="AP233" s="115"/>
      <c r="AQ233" s="115"/>
      <c r="AR233" s="115"/>
      <c r="AS233" s="115"/>
      <c r="AT233" s="115"/>
      <c r="AU233" s="115"/>
      <c r="AV233" s="115"/>
      <c r="AW233" s="115"/>
      <c r="AX233" s="115"/>
      <c r="AY233" s="115"/>
      <c r="AZ233" s="115"/>
      <c r="BA233" s="115"/>
      <c r="BB233" s="115"/>
      <c r="BC233" s="115"/>
      <c r="BD233" s="115"/>
      <c r="BE233" s="115"/>
      <c r="BF233" s="115"/>
      <c r="BG233" s="115"/>
      <c r="BH233" s="115"/>
      <c r="BI233" s="115"/>
    </row>
    <row r="234" spans="2:61" ht="15.75" customHeight="1" x14ac:dyDescent="0.25">
      <c r="B234" s="115"/>
      <c r="K234" s="115"/>
      <c r="L234" s="115"/>
      <c r="M234" s="115"/>
      <c r="N234" s="115"/>
      <c r="O234" s="115"/>
      <c r="P234" s="115"/>
      <c r="Q234" s="115"/>
      <c r="R234" s="115"/>
      <c r="S234" s="115"/>
      <c r="T234" s="115"/>
      <c r="U234" s="115"/>
      <c r="V234" s="115"/>
      <c r="W234" s="115"/>
      <c r="X234" s="115"/>
      <c r="Y234" s="115"/>
      <c r="Z234" s="115"/>
      <c r="AA234" s="115"/>
      <c r="AB234" s="115"/>
      <c r="AC234" s="115"/>
      <c r="AD234" s="115"/>
      <c r="AE234" s="115"/>
      <c r="AF234" s="115"/>
      <c r="AG234" s="115"/>
      <c r="AH234" s="115"/>
      <c r="AI234" s="115"/>
      <c r="AJ234" s="115"/>
      <c r="AK234" s="115"/>
      <c r="AL234" s="115"/>
      <c r="AM234" s="115"/>
      <c r="AN234" s="115"/>
      <c r="AO234" s="115"/>
      <c r="AP234" s="115"/>
      <c r="AQ234" s="115"/>
      <c r="AR234" s="115"/>
      <c r="AS234" s="115"/>
      <c r="AT234" s="115"/>
      <c r="AU234" s="115"/>
      <c r="AV234" s="115"/>
      <c r="AW234" s="115"/>
      <c r="AX234" s="115"/>
      <c r="AY234" s="115"/>
      <c r="AZ234" s="115"/>
      <c r="BA234" s="115"/>
      <c r="BB234" s="115"/>
      <c r="BC234" s="115"/>
      <c r="BD234" s="115"/>
      <c r="BE234" s="115"/>
      <c r="BF234" s="115"/>
      <c r="BG234" s="115"/>
      <c r="BH234" s="115"/>
      <c r="BI234" s="115"/>
    </row>
    <row r="235" spans="2:61" ht="15.75" customHeight="1" x14ac:dyDescent="0.25">
      <c r="B235" s="115"/>
      <c r="K235" s="115"/>
      <c r="L235" s="115"/>
      <c r="M235" s="115"/>
      <c r="N235" s="115"/>
      <c r="O235" s="115"/>
      <c r="P235" s="115"/>
      <c r="Q235" s="115"/>
      <c r="R235" s="115"/>
      <c r="S235" s="115"/>
      <c r="T235" s="115"/>
      <c r="U235" s="115"/>
      <c r="V235" s="115"/>
      <c r="W235" s="115"/>
      <c r="X235" s="115"/>
      <c r="Y235" s="115"/>
      <c r="Z235" s="115"/>
      <c r="AA235" s="115"/>
      <c r="AB235" s="115"/>
      <c r="AC235" s="115"/>
      <c r="AD235" s="115"/>
      <c r="AE235" s="115"/>
      <c r="AF235" s="115"/>
      <c r="AG235" s="115"/>
      <c r="AH235" s="115"/>
      <c r="AI235" s="115"/>
      <c r="AJ235" s="115"/>
      <c r="AK235" s="115"/>
      <c r="AL235" s="115"/>
      <c r="AM235" s="115"/>
      <c r="AN235" s="115"/>
      <c r="AO235" s="115"/>
      <c r="AP235" s="115"/>
      <c r="AQ235" s="115"/>
      <c r="AR235" s="115"/>
      <c r="AS235" s="115"/>
      <c r="AT235" s="115"/>
      <c r="AU235" s="115"/>
      <c r="AV235" s="115"/>
      <c r="AW235" s="115"/>
      <c r="AX235" s="115"/>
      <c r="AY235" s="115"/>
      <c r="AZ235" s="115"/>
      <c r="BA235" s="115"/>
      <c r="BB235" s="115"/>
      <c r="BC235" s="115"/>
      <c r="BD235" s="115"/>
      <c r="BE235" s="115"/>
      <c r="BF235" s="115"/>
      <c r="BG235" s="115"/>
      <c r="BH235" s="115"/>
      <c r="BI235" s="115"/>
    </row>
    <row r="236" spans="2:61" ht="15.75" customHeight="1" x14ac:dyDescent="0.25">
      <c r="B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5"/>
      <c r="AY236" s="115"/>
      <c r="AZ236" s="115"/>
      <c r="BA236" s="115"/>
      <c r="BB236" s="115"/>
      <c r="BC236" s="115"/>
      <c r="BD236" s="115"/>
      <c r="BE236" s="115"/>
      <c r="BF236" s="115"/>
      <c r="BG236" s="115"/>
      <c r="BH236" s="115"/>
      <c r="BI236" s="115"/>
    </row>
    <row r="237" spans="2:61" ht="15.75" customHeight="1" x14ac:dyDescent="0.25">
      <c r="B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5"/>
      <c r="AY237" s="115"/>
      <c r="AZ237" s="115"/>
      <c r="BA237" s="115"/>
      <c r="BB237" s="115"/>
      <c r="BC237" s="115"/>
      <c r="BD237" s="115"/>
      <c r="BE237" s="115"/>
      <c r="BF237" s="115"/>
      <c r="BG237" s="115"/>
      <c r="BH237" s="115"/>
      <c r="BI237" s="115"/>
    </row>
    <row r="238" spans="2:61" ht="15.75" customHeight="1" x14ac:dyDescent="0.25">
      <c r="B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5"/>
      <c r="AY238" s="115"/>
      <c r="AZ238" s="115"/>
      <c r="BA238" s="115"/>
      <c r="BB238" s="115"/>
      <c r="BC238" s="115"/>
      <c r="BD238" s="115"/>
      <c r="BE238" s="115"/>
      <c r="BF238" s="115"/>
      <c r="BG238" s="115"/>
      <c r="BH238" s="115"/>
      <c r="BI238" s="115"/>
    </row>
    <row r="239" spans="2:61" ht="15.75" customHeight="1" x14ac:dyDescent="0.25">
      <c r="B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5"/>
      <c r="AY239" s="115"/>
      <c r="AZ239" s="115"/>
      <c r="BA239" s="115"/>
      <c r="BB239" s="115"/>
      <c r="BC239" s="115"/>
      <c r="BD239" s="115"/>
      <c r="BE239" s="115"/>
      <c r="BF239" s="115"/>
      <c r="BG239" s="115"/>
      <c r="BH239" s="115"/>
      <c r="BI239" s="115"/>
    </row>
    <row r="240" spans="2:61" ht="15.75" customHeight="1" x14ac:dyDescent="0.25">
      <c r="B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5"/>
      <c r="AY240" s="115"/>
      <c r="AZ240" s="115"/>
      <c r="BA240" s="115"/>
      <c r="BB240" s="115"/>
      <c r="BC240" s="115"/>
      <c r="BD240" s="115"/>
      <c r="BE240" s="115"/>
      <c r="BF240" s="115"/>
      <c r="BG240" s="115"/>
      <c r="BH240" s="115"/>
      <c r="BI240" s="115"/>
    </row>
    <row r="241" spans="2:61" ht="15.75" customHeight="1" x14ac:dyDescent="0.25">
      <c r="B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5"/>
      <c r="AY241" s="115"/>
      <c r="AZ241" s="115"/>
      <c r="BA241" s="115"/>
      <c r="BB241" s="115"/>
      <c r="BC241" s="115"/>
      <c r="BD241" s="115"/>
      <c r="BE241" s="115"/>
      <c r="BF241" s="115"/>
      <c r="BG241" s="115"/>
      <c r="BH241" s="115"/>
      <c r="BI241" s="115"/>
    </row>
    <row r="242" spans="2:61" ht="15.75" customHeight="1" x14ac:dyDescent="0.25">
      <c r="B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5"/>
      <c r="AY242" s="115"/>
      <c r="AZ242" s="115"/>
      <c r="BA242" s="115"/>
      <c r="BB242" s="115"/>
      <c r="BC242" s="115"/>
      <c r="BD242" s="115"/>
      <c r="BE242" s="115"/>
      <c r="BF242" s="115"/>
      <c r="BG242" s="115"/>
      <c r="BH242" s="115"/>
      <c r="BI242" s="115"/>
    </row>
    <row r="243" spans="2:61" ht="15.75" customHeight="1" x14ac:dyDescent="0.25">
      <c r="B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5"/>
      <c r="AY243" s="115"/>
      <c r="AZ243" s="115"/>
      <c r="BA243" s="115"/>
      <c r="BB243" s="115"/>
      <c r="BC243" s="115"/>
      <c r="BD243" s="115"/>
      <c r="BE243" s="115"/>
      <c r="BF243" s="115"/>
      <c r="BG243" s="115"/>
      <c r="BH243" s="115"/>
      <c r="BI243" s="115"/>
    </row>
    <row r="244" spans="2:61" ht="15.75" customHeight="1" x14ac:dyDescent="0.25">
      <c r="B244" s="115"/>
      <c r="K244" s="115"/>
      <c r="L244" s="115"/>
      <c r="M244" s="115"/>
      <c r="N244" s="115"/>
      <c r="O244" s="115"/>
      <c r="P244" s="115"/>
      <c r="Q244" s="115"/>
      <c r="R244" s="115"/>
      <c r="S244" s="115"/>
      <c r="T244" s="115"/>
      <c r="U244" s="115"/>
      <c r="V244" s="115"/>
      <c r="W244" s="115"/>
      <c r="X244" s="115"/>
      <c r="Y244" s="115"/>
      <c r="Z244" s="115"/>
      <c r="AA244" s="115"/>
      <c r="AB244" s="115"/>
      <c r="AC244" s="115"/>
      <c r="AD244" s="115"/>
      <c r="AE244" s="115"/>
      <c r="AF244" s="115"/>
      <c r="AG244" s="115"/>
      <c r="AH244" s="115"/>
      <c r="AI244" s="115"/>
      <c r="AJ244" s="115"/>
      <c r="AK244" s="115"/>
      <c r="AL244" s="115"/>
      <c r="AM244" s="115"/>
      <c r="AN244" s="115"/>
      <c r="AO244" s="115"/>
      <c r="AP244" s="115"/>
      <c r="AQ244" s="115"/>
      <c r="AR244" s="115"/>
      <c r="AS244" s="115"/>
      <c r="AT244" s="115"/>
      <c r="AU244" s="115"/>
      <c r="AV244" s="115"/>
      <c r="AW244" s="115"/>
      <c r="AX244" s="115"/>
      <c r="AY244" s="115"/>
      <c r="AZ244" s="115"/>
      <c r="BA244" s="115"/>
      <c r="BB244" s="115"/>
      <c r="BC244" s="115"/>
      <c r="BD244" s="115"/>
      <c r="BE244" s="115"/>
      <c r="BF244" s="115"/>
      <c r="BG244" s="115"/>
      <c r="BH244" s="115"/>
      <c r="BI244" s="115"/>
    </row>
    <row r="245" spans="2:61" ht="15.75" customHeight="1" x14ac:dyDescent="0.25">
      <c r="B245" s="115"/>
      <c r="K245" s="115"/>
      <c r="L245" s="115"/>
      <c r="M245" s="115"/>
      <c r="N245" s="115"/>
      <c r="O245" s="115"/>
      <c r="P245" s="115"/>
      <c r="Q245" s="115"/>
      <c r="R245" s="115"/>
      <c r="S245" s="115"/>
      <c r="T245" s="115"/>
      <c r="U245" s="115"/>
      <c r="V245" s="115"/>
      <c r="W245" s="115"/>
      <c r="X245" s="115"/>
      <c r="Y245" s="115"/>
      <c r="Z245" s="115"/>
      <c r="AA245" s="115"/>
      <c r="AB245" s="115"/>
      <c r="AC245" s="115"/>
      <c r="AD245" s="115"/>
      <c r="AE245" s="115"/>
      <c r="AF245" s="115"/>
      <c r="AG245" s="115"/>
      <c r="AH245" s="115"/>
      <c r="AI245" s="115"/>
      <c r="AJ245" s="115"/>
      <c r="AK245" s="115"/>
      <c r="AL245" s="115"/>
      <c r="AM245" s="115"/>
      <c r="AN245" s="115"/>
      <c r="AO245" s="115"/>
      <c r="AP245" s="115"/>
      <c r="AQ245" s="115"/>
      <c r="AR245" s="115"/>
      <c r="AS245" s="115"/>
      <c r="AT245" s="115"/>
      <c r="AU245" s="115"/>
      <c r="AV245" s="115"/>
      <c r="AW245" s="115"/>
      <c r="AX245" s="115"/>
      <c r="AY245" s="115"/>
      <c r="AZ245" s="115"/>
      <c r="BA245" s="115"/>
      <c r="BB245" s="115"/>
      <c r="BC245" s="115"/>
      <c r="BD245" s="115"/>
      <c r="BE245" s="115"/>
      <c r="BF245" s="115"/>
      <c r="BG245" s="115"/>
      <c r="BH245" s="115"/>
      <c r="BI245" s="115"/>
    </row>
    <row r="246" spans="2:61" ht="15.75" customHeight="1" x14ac:dyDescent="0.25">
      <c r="B246" s="115"/>
      <c r="K246" s="115"/>
      <c r="L246" s="115"/>
      <c r="M246" s="115"/>
      <c r="N246" s="115"/>
      <c r="O246" s="115"/>
      <c r="P246" s="115"/>
      <c r="Q246" s="115"/>
      <c r="R246" s="115"/>
      <c r="S246" s="115"/>
      <c r="T246" s="115"/>
      <c r="U246" s="115"/>
      <c r="V246" s="115"/>
      <c r="W246" s="115"/>
      <c r="X246" s="115"/>
      <c r="Y246" s="115"/>
      <c r="Z246" s="115"/>
      <c r="AA246" s="115"/>
      <c r="AB246" s="115"/>
      <c r="AC246" s="115"/>
      <c r="AD246" s="115"/>
      <c r="AE246" s="115"/>
      <c r="AF246" s="115"/>
      <c r="AG246" s="115"/>
      <c r="AH246" s="115"/>
      <c r="AI246" s="115"/>
      <c r="AJ246" s="115"/>
      <c r="AK246" s="115"/>
      <c r="AL246" s="115"/>
      <c r="AM246" s="115"/>
      <c r="AN246" s="115"/>
      <c r="AO246" s="115"/>
      <c r="AP246" s="115"/>
      <c r="AQ246" s="115"/>
      <c r="AR246" s="115"/>
      <c r="AS246" s="115"/>
      <c r="AT246" s="115"/>
      <c r="AU246" s="115"/>
      <c r="AV246" s="115"/>
      <c r="AW246" s="115"/>
      <c r="AX246" s="115"/>
      <c r="AY246" s="115"/>
      <c r="AZ246" s="115"/>
      <c r="BA246" s="115"/>
      <c r="BB246" s="115"/>
      <c r="BC246" s="115"/>
      <c r="BD246" s="115"/>
      <c r="BE246" s="115"/>
      <c r="BF246" s="115"/>
      <c r="BG246" s="115"/>
      <c r="BH246" s="115"/>
      <c r="BI246" s="115"/>
    </row>
    <row r="247" spans="2:61" ht="15.75" customHeight="1" x14ac:dyDescent="0.25">
      <c r="B247" s="115"/>
      <c r="K247" s="115"/>
      <c r="L247" s="115"/>
      <c r="M247" s="115"/>
      <c r="N247" s="115"/>
      <c r="O247" s="115"/>
      <c r="P247" s="115"/>
      <c r="Q247" s="115"/>
      <c r="R247" s="115"/>
      <c r="S247" s="115"/>
      <c r="T247" s="115"/>
      <c r="U247" s="115"/>
      <c r="V247" s="115"/>
      <c r="W247" s="115"/>
      <c r="X247" s="115"/>
      <c r="Y247" s="115"/>
      <c r="Z247" s="115"/>
      <c r="AA247" s="115"/>
      <c r="AB247" s="115"/>
      <c r="AC247" s="115"/>
      <c r="AD247" s="115"/>
      <c r="AE247" s="115"/>
      <c r="AF247" s="115"/>
      <c r="AG247" s="115"/>
      <c r="AH247" s="115"/>
      <c r="AI247" s="115"/>
      <c r="AJ247" s="115"/>
      <c r="AK247" s="115"/>
      <c r="AL247" s="115"/>
      <c r="AM247" s="115"/>
      <c r="AN247" s="115"/>
      <c r="AO247" s="115"/>
      <c r="AP247" s="115"/>
      <c r="AQ247" s="115"/>
      <c r="AR247" s="115"/>
      <c r="AS247" s="115"/>
      <c r="AT247" s="115"/>
      <c r="AU247" s="115"/>
      <c r="AV247" s="115"/>
      <c r="AW247" s="115"/>
      <c r="AX247" s="115"/>
      <c r="AY247" s="115"/>
      <c r="AZ247" s="115"/>
      <c r="BA247" s="115"/>
      <c r="BB247" s="115"/>
      <c r="BC247" s="115"/>
      <c r="BD247" s="115"/>
      <c r="BE247" s="115"/>
      <c r="BF247" s="115"/>
      <c r="BG247" s="115"/>
      <c r="BH247" s="115"/>
      <c r="BI247" s="115"/>
    </row>
    <row r="248" spans="2:61" ht="15.75" customHeight="1" x14ac:dyDescent="0.25">
      <c r="B248" s="115"/>
      <c r="K248" s="115"/>
      <c r="L248" s="115"/>
      <c r="M248" s="115"/>
      <c r="N248" s="115"/>
      <c r="O248" s="115"/>
      <c r="P248" s="115"/>
      <c r="Q248" s="115"/>
      <c r="R248" s="115"/>
      <c r="S248" s="115"/>
      <c r="T248" s="115"/>
      <c r="U248" s="115"/>
      <c r="V248" s="115"/>
      <c r="W248" s="115"/>
      <c r="X248" s="115"/>
      <c r="Y248" s="115"/>
      <c r="Z248" s="115"/>
      <c r="AA248" s="115"/>
      <c r="AB248" s="115"/>
      <c r="AC248" s="115"/>
      <c r="AD248" s="115"/>
      <c r="AE248" s="115"/>
      <c r="AF248" s="115"/>
      <c r="AG248" s="115"/>
      <c r="AH248" s="115"/>
      <c r="AI248" s="115"/>
      <c r="AJ248" s="115"/>
      <c r="AK248" s="115"/>
      <c r="AL248" s="115"/>
      <c r="AM248" s="115"/>
      <c r="AN248" s="115"/>
      <c r="AO248" s="115"/>
      <c r="AP248" s="115"/>
      <c r="AQ248" s="115"/>
      <c r="AR248" s="115"/>
      <c r="AS248" s="115"/>
      <c r="AT248" s="115"/>
      <c r="AU248" s="115"/>
      <c r="AV248" s="115"/>
      <c r="AW248" s="115"/>
      <c r="AX248" s="115"/>
      <c r="AY248" s="115"/>
      <c r="AZ248" s="115"/>
      <c r="BA248" s="115"/>
      <c r="BB248" s="115"/>
      <c r="BC248" s="115"/>
      <c r="BD248" s="115"/>
      <c r="BE248" s="115"/>
      <c r="BF248" s="115"/>
      <c r="BG248" s="115"/>
      <c r="BH248" s="115"/>
      <c r="BI248" s="115"/>
    </row>
    <row r="249" spans="2:61" ht="15.75" customHeight="1" x14ac:dyDescent="0.25">
      <c r="B249" s="115"/>
    </row>
    <row r="250" spans="2:61" ht="15.75" customHeight="1" x14ac:dyDescent="0.25">
      <c r="B250" s="115"/>
    </row>
    <row r="251" spans="2:61" ht="15.75" customHeight="1" x14ac:dyDescent="0.25">
      <c r="B251" s="115"/>
    </row>
    <row r="252" spans="2:61" ht="15.75" customHeight="1" x14ac:dyDescent="0.25">
      <c r="B252" s="115"/>
    </row>
    <row r="253" spans="2:61" ht="15.75" customHeight="1" x14ac:dyDescent="0.2"/>
    <row r="254" spans="2:61" ht="15.75" customHeight="1" x14ac:dyDescent="0.2"/>
    <row r="255" spans="2:61" ht="15.75" customHeight="1" x14ac:dyDescent="0.2"/>
    <row r="256" spans="2:61"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mergeCells count="2">
    <mergeCell ref="B7:B8"/>
    <mergeCell ref="B5:D5"/>
  </mergeCells>
  <pageMargins left="0.70866141732283472" right="0.70866141732283472" top="0.74803149606299213" bottom="0.74803149606299213" header="0" footer="0"/>
  <pageSetup scale="39" orientation="portrait" r:id="rId1"/>
  <headerFooter>
    <oddHeader>&amp;L&amp;G&amp;C
MATRIZ DE RIESGOS</oddHeader>
    <oddFooter>&amp;RCódigo:E-02-F-014
Versión: 5
Fecha: Ver Isolución</oddFooter>
  </headerFooter>
  <colBreaks count="1" manualBreakCount="1">
    <brk id="40" max="1048575" man="1"/>
  </colBreaks>
  <legacyDrawingHF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55599-DD50-4A8D-AEAD-F509BAAFB31A}">
  <sheetPr>
    <tabColor theme="2" tint="-0.34998626667073579"/>
  </sheetPr>
  <dimension ref="A1:DB646"/>
  <sheetViews>
    <sheetView topLeftCell="F2" zoomScale="70" zoomScaleNormal="70" zoomScaleSheetLayoutView="25" workbookViewId="0">
      <selection activeCell="I7" sqref="I7"/>
    </sheetView>
  </sheetViews>
  <sheetFormatPr baseColWidth="10" defaultColWidth="9" defaultRowHeight="15" customHeight="1" x14ac:dyDescent="0.2"/>
  <cols>
    <col min="1" max="1" width="13" style="224" customWidth="1"/>
    <col min="2" max="2" width="20.875" style="224" customWidth="1"/>
    <col min="3" max="3" width="24.125" style="260" customWidth="1"/>
    <col min="4" max="4" width="38.75" style="224" customWidth="1"/>
    <col min="5" max="5" width="63.125" style="224" customWidth="1"/>
    <col min="6" max="7" width="29.125" style="224" customWidth="1"/>
    <col min="8" max="8" width="27.375" style="260" customWidth="1"/>
    <col min="9" max="9" width="66.125" style="258" customWidth="1"/>
    <col min="10" max="10" width="33.375" style="258" customWidth="1"/>
    <col min="11" max="11" width="44.125" style="258" customWidth="1"/>
    <col min="12" max="12" width="16.625" style="258" customWidth="1"/>
    <col min="13" max="13" width="17" style="258" customWidth="1"/>
    <col min="14" max="14" width="15.625" style="261" customWidth="1"/>
    <col min="15" max="15" width="14.5" style="273" customWidth="1"/>
    <col min="16" max="16" width="5.5" style="260" customWidth="1"/>
    <col min="17" max="17" width="23.875" style="260" customWidth="1"/>
    <col min="18" max="18" width="26.75" style="260" customWidth="1"/>
    <col min="19" max="19" width="15.375" style="260" customWidth="1"/>
    <col min="20" max="20" width="5.5" style="260" customWidth="1"/>
    <col min="21" max="21" width="14" style="260" customWidth="1"/>
    <col min="22" max="22" width="5.125" style="258" customWidth="1"/>
    <col min="23" max="23" width="72.25" style="258" customWidth="1"/>
    <col min="24" max="24" width="13.25" style="258" customWidth="1"/>
    <col min="25" max="25" width="6" style="258" customWidth="1"/>
    <col min="26" max="27" width="4.875" style="258" customWidth="1"/>
    <col min="28" max="28" width="6.25" style="258" customWidth="1"/>
    <col min="29" max="29" width="5.875" style="258" customWidth="1"/>
    <col min="30" max="30" width="6.625" style="258" customWidth="1"/>
    <col min="31" max="31" width="33.5" style="258" customWidth="1"/>
    <col min="32" max="32" width="7.625" style="258" customWidth="1"/>
    <col min="33" max="33" width="9.125" style="258" customWidth="1"/>
    <col min="34" max="34" width="8.125" style="258" customWidth="1"/>
    <col min="35" max="35" width="8" style="258" customWidth="1"/>
    <col min="36" max="36" width="7.375" style="258" customWidth="1"/>
    <col min="37" max="37" width="6.375" style="258" customWidth="1"/>
    <col min="38" max="38" width="38" style="258" customWidth="1"/>
    <col min="39" max="39" width="33.375" style="259" customWidth="1"/>
    <col min="40" max="40" width="14.75" style="258" customWidth="1"/>
    <col min="41" max="41" width="28.625" style="258" customWidth="1"/>
    <col min="42" max="42" width="41.375" style="224" customWidth="1"/>
    <col min="43" max="43" width="10" style="224" customWidth="1"/>
    <col min="44" max="44" width="18.875" style="250" customWidth="1"/>
    <col min="45" max="45" width="20.75" style="250" customWidth="1"/>
    <col min="46" max="46" width="58.5" style="250" customWidth="1"/>
    <col min="47" max="47" width="25.75" style="275" customWidth="1"/>
    <col min="48" max="48" width="15.375" style="248" customWidth="1"/>
    <col min="49" max="49" width="21.625" style="253" customWidth="1"/>
    <col min="50" max="50" width="31" style="252" customWidth="1"/>
    <col min="51" max="51" width="3" style="250" customWidth="1"/>
    <col min="52" max="52" width="12.625" style="252" customWidth="1"/>
    <col min="53" max="53" width="20.75" style="252" customWidth="1"/>
    <col min="54" max="54" width="85.75" style="252" customWidth="1"/>
    <col min="55" max="55" width="4" style="250" customWidth="1"/>
    <col min="56" max="56" width="12.625" style="252" customWidth="1"/>
    <col min="57" max="57" width="20.75" style="252" customWidth="1"/>
    <col min="58" max="58" width="85.75" style="252" customWidth="1"/>
    <col min="59" max="59" width="3.125" style="250" customWidth="1"/>
    <col min="60" max="60" width="18.875" style="250" customWidth="1"/>
    <col min="61" max="61" width="20.75" style="250" customWidth="1"/>
    <col min="62" max="62" width="85.75" style="250" customWidth="1"/>
    <col min="63" max="63" width="25.75" style="275" customWidth="1"/>
    <col min="64" max="64" width="15.375" style="248" customWidth="1"/>
    <col min="65" max="65" width="21.625" style="253" customWidth="1"/>
    <col min="66" max="66" width="31" style="252" customWidth="1"/>
    <col min="67" max="67" width="2.625" style="250" customWidth="1"/>
    <col min="68" max="68" width="12.625" style="252" customWidth="1"/>
    <col min="69" max="69" width="20.75" style="252" customWidth="1"/>
    <col min="70" max="70" width="85.75" style="252" customWidth="1"/>
    <col min="71" max="71" width="4" style="250" customWidth="1"/>
    <col min="72" max="72" width="12.625" style="252" customWidth="1"/>
    <col min="73" max="73" width="20.75" style="252" customWidth="1"/>
    <col min="74" max="74" width="85.75" style="252" customWidth="1"/>
    <col min="75" max="75" width="2.875" style="250" customWidth="1"/>
    <col min="76" max="76" width="18.875" style="250" customWidth="1"/>
    <col min="77" max="77" width="20.75" style="250" customWidth="1"/>
    <col min="78" max="78" width="85.75" style="250" customWidth="1"/>
    <col min="79" max="79" width="25.75" style="275" customWidth="1"/>
    <col min="80" max="80" width="15.375" style="248" customWidth="1"/>
    <col min="81" max="81" width="21.625" style="253" customWidth="1"/>
    <col min="82" max="82" width="31" style="252" customWidth="1"/>
    <col min="83" max="83" width="2.625" style="250" customWidth="1"/>
    <col min="84" max="84" width="12.875" style="252" bestFit="1" customWidth="1"/>
    <col min="85" max="85" width="20.75" style="252" customWidth="1"/>
    <col min="86" max="86" width="85.75" style="252" customWidth="1"/>
    <col min="87" max="87" width="4" style="250" customWidth="1"/>
    <col min="88" max="88" width="15.875" style="252" customWidth="1"/>
    <col min="89" max="89" width="20.75" style="252" customWidth="1"/>
    <col min="90" max="90" width="85.75" style="252" customWidth="1"/>
    <col min="91" max="91" width="3" style="250" customWidth="1"/>
    <col min="92" max="92" width="18.875" style="250" customWidth="1"/>
    <col min="93" max="93" width="20.75" style="250" customWidth="1"/>
    <col min="94" max="94" width="85.75" style="250" customWidth="1"/>
    <col min="95" max="95" width="25.75" style="275" customWidth="1"/>
    <col min="96" max="96" width="15.375" style="248" customWidth="1"/>
    <col min="97" max="97" width="21.625" style="253" customWidth="1"/>
    <col min="98" max="98" width="31" style="252" customWidth="1"/>
    <col min="99" max="99" width="2.625" style="250" customWidth="1"/>
    <col min="100" max="100" width="14.625" style="252" customWidth="1"/>
    <col min="101" max="101" width="20.75" style="252" customWidth="1"/>
    <col min="102" max="102" width="85.75" style="252" customWidth="1"/>
    <col min="103" max="103" width="4" style="250" customWidth="1"/>
    <col min="104" max="104" width="14.125" style="252" customWidth="1"/>
    <col min="105" max="105" width="20.75" style="252" customWidth="1"/>
    <col min="106" max="106" width="85.75" style="252" customWidth="1"/>
    <col min="107" max="16384" width="9" style="224"/>
  </cols>
  <sheetData>
    <row r="1" spans="1:106" ht="42" customHeight="1" x14ac:dyDescent="0.3">
      <c r="A1" s="1001" t="s">
        <v>133</v>
      </c>
      <c r="B1" s="1002"/>
      <c r="C1" s="1002"/>
      <c r="D1" s="1002"/>
      <c r="E1" s="1003"/>
      <c r="F1" s="1003"/>
      <c r="G1" s="1003"/>
      <c r="H1" s="1004"/>
      <c r="I1" s="987"/>
      <c r="J1" s="987"/>
      <c r="K1" s="987"/>
      <c r="L1" s="987"/>
      <c r="M1" s="987"/>
      <c r="N1" s="988"/>
      <c r="O1" s="1001" t="s">
        <v>134</v>
      </c>
      <c r="P1" s="1004"/>
      <c r="Q1" s="1004"/>
      <c r="R1" s="1004"/>
      <c r="S1" s="1004"/>
      <c r="T1" s="1004"/>
      <c r="U1" s="1005"/>
      <c r="V1" s="1001" t="s">
        <v>135</v>
      </c>
      <c r="W1" s="987"/>
      <c r="X1" s="987"/>
      <c r="Y1" s="987"/>
      <c r="Z1" s="987"/>
      <c r="AA1" s="987"/>
      <c r="AB1" s="987"/>
      <c r="AC1" s="987"/>
      <c r="AD1" s="988"/>
      <c r="AE1" s="1001" t="s">
        <v>136</v>
      </c>
      <c r="AF1" s="987"/>
      <c r="AG1" s="987"/>
      <c r="AH1" s="987"/>
      <c r="AI1" s="987"/>
      <c r="AJ1" s="987"/>
      <c r="AK1" s="988"/>
      <c r="AL1" s="1006" t="s">
        <v>137</v>
      </c>
      <c r="AM1" s="1007"/>
      <c r="AN1" s="1007"/>
      <c r="AO1" s="1007"/>
      <c r="AP1" s="222" t="s">
        <v>2051</v>
      </c>
      <c r="AQ1" s="223"/>
      <c r="AR1" s="1000" t="s">
        <v>2052</v>
      </c>
      <c r="AS1" s="1000"/>
      <c r="AT1" s="1000"/>
      <c r="AU1" s="1000"/>
      <c r="AV1" s="1000"/>
      <c r="AW1" s="1000"/>
      <c r="AX1" s="1000"/>
      <c r="AY1" s="1000"/>
      <c r="AZ1" s="1000"/>
      <c r="BA1" s="1000"/>
      <c r="BB1" s="1000"/>
      <c r="BC1" s="1000"/>
      <c r="BD1" s="1000"/>
      <c r="BE1" s="1000"/>
      <c r="BF1" s="1000"/>
      <c r="BG1" s="1000"/>
      <c r="BH1" s="1000"/>
      <c r="BI1" s="1000"/>
      <c r="BJ1" s="1000"/>
      <c r="BK1" s="1000"/>
      <c r="BL1" s="1000"/>
      <c r="BM1" s="1000"/>
      <c r="BN1" s="1000"/>
      <c r="BO1" s="1000"/>
      <c r="BP1" s="1000"/>
      <c r="BQ1" s="1000"/>
      <c r="BR1" s="1000"/>
      <c r="BS1" s="1000"/>
      <c r="BT1" s="1000"/>
      <c r="BU1" s="1000"/>
      <c r="BV1" s="1000"/>
      <c r="BW1" s="1000"/>
      <c r="BX1" s="1000"/>
      <c r="BY1" s="1000"/>
      <c r="BZ1" s="1000"/>
      <c r="CA1" s="1000"/>
      <c r="CB1" s="1000"/>
      <c r="CC1" s="1000"/>
      <c r="CD1" s="1000"/>
      <c r="CE1" s="1000"/>
      <c r="CF1" s="1000"/>
      <c r="CG1" s="1000"/>
      <c r="CH1" s="1000"/>
      <c r="CI1" s="1000"/>
      <c r="CJ1" s="1000"/>
      <c r="CK1" s="1000"/>
      <c r="CL1" s="1000"/>
      <c r="CM1" s="1000"/>
      <c r="CN1" s="1000"/>
      <c r="CO1" s="1000"/>
      <c r="CP1" s="1000"/>
      <c r="CQ1" s="1000"/>
      <c r="CR1" s="1000"/>
      <c r="CS1" s="1000"/>
      <c r="CT1" s="1000"/>
      <c r="CU1" s="1000"/>
      <c r="CV1" s="1000"/>
      <c r="CW1" s="1000"/>
      <c r="CX1" s="1000"/>
      <c r="CY1" s="1000"/>
      <c r="CZ1" s="1000"/>
      <c r="DA1" s="1000"/>
      <c r="DB1" s="1000"/>
    </row>
    <row r="2" spans="1:106" ht="66.75" customHeight="1" x14ac:dyDescent="0.3">
      <c r="A2" s="287" t="s">
        <v>171</v>
      </c>
      <c r="B2" s="288" t="s">
        <v>2053</v>
      </c>
      <c r="C2" s="289" t="s">
        <v>79</v>
      </c>
      <c r="D2" s="290" t="s">
        <v>81</v>
      </c>
      <c r="E2" s="289" t="s">
        <v>83</v>
      </c>
      <c r="F2" s="984" t="s">
        <v>2054</v>
      </c>
      <c r="G2" s="985"/>
      <c r="H2" s="291" t="s">
        <v>2055</v>
      </c>
      <c r="I2" s="292" t="s">
        <v>2056</v>
      </c>
      <c r="J2" s="292" t="s">
        <v>2057</v>
      </c>
      <c r="K2" s="292" t="s">
        <v>2058</v>
      </c>
      <c r="L2" s="292" t="s">
        <v>92</v>
      </c>
      <c r="M2" s="293" t="s">
        <v>94</v>
      </c>
      <c r="N2" s="294" t="s">
        <v>155</v>
      </c>
      <c r="O2" s="292" t="s">
        <v>156</v>
      </c>
      <c r="P2" s="295" t="s">
        <v>157</v>
      </c>
      <c r="Q2" s="294" t="s">
        <v>158</v>
      </c>
      <c r="R2" s="294" t="s">
        <v>159</v>
      </c>
      <c r="S2" s="296" t="s">
        <v>160</v>
      </c>
      <c r="T2" s="295" t="s">
        <v>157</v>
      </c>
      <c r="U2" s="292" t="s">
        <v>100</v>
      </c>
      <c r="V2" s="297" t="s">
        <v>161</v>
      </c>
      <c r="W2" s="294" t="s">
        <v>102</v>
      </c>
      <c r="X2" s="294" t="s">
        <v>104</v>
      </c>
      <c r="Y2" s="986" t="s">
        <v>162</v>
      </c>
      <c r="Z2" s="987"/>
      <c r="AA2" s="987"/>
      <c r="AB2" s="987"/>
      <c r="AC2" s="987"/>
      <c r="AD2" s="988"/>
      <c r="AE2" s="297" t="s">
        <v>163</v>
      </c>
      <c r="AF2" s="297" t="s">
        <v>164</v>
      </c>
      <c r="AG2" s="297" t="s">
        <v>157</v>
      </c>
      <c r="AH2" s="297" t="s">
        <v>165</v>
      </c>
      <c r="AI2" s="297" t="s">
        <v>157</v>
      </c>
      <c r="AJ2" s="297" t="s">
        <v>166</v>
      </c>
      <c r="AK2" s="297" t="s">
        <v>120</v>
      </c>
      <c r="AL2" s="294" t="s">
        <v>2059</v>
      </c>
      <c r="AM2" s="294" t="s">
        <v>169</v>
      </c>
      <c r="AN2" s="294" t="s">
        <v>170</v>
      </c>
      <c r="AO2" s="294" t="s">
        <v>124</v>
      </c>
      <c r="AP2" s="989" t="s">
        <v>2060</v>
      </c>
      <c r="AQ2" s="223"/>
      <c r="AR2" s="976" t="s">
        <v>138</v>
      </c>
      <c r="AS2" s="976"/>
      <c r="AT2" s="976"/>
      <c r="AU2" s="976"/>
      <c r="AV2" s="976"/>
      <c r="AW2" s="976"/>
      <c r="AX2" s="976"/>
      <c r="AY2" s="226"/>
      <c r="AZ2" s="977" t="s">
        <v>139</v>
      </c>
      <c r="BA2" s="977"/>
      <c r="BB2" s="977"/>
      <c r="BC2" s="226"/>
      <c r="BD2" s="978" t="s">
        <v>140</v>
      </c>
      <c r="BE2" s="978"/>
      <c r="BF2" s="978"/>
      <c r="BG2" s="226"/>
      <c r="BH2" s="976" t="s">
        <v>141</v>
      </c>
      <c r="BI2" s="976"/>
      <c r="BJ2" s="976"/>
      <c r="BK2" s="976"/>
      <c r="BL2" s="976"/>
      <c r="BM2" s="976"/>
      <c r="BN2" s="976"/>
      <c r="BO2" s="226"/>
      <c r="BP2" s="977" t="s">
        <v>142</v>
      </c>
      <c r="BQ2" s="977"/>
      <c r="BR2" s="977"/>
      <c r="BS2" s="226"/>
      <c r="BT2" s="978" t="s">
        <v>143</v>
      </c>
      <c r="BU2" s="978"/>
      <c r="BV2" s="978"/>
      <c r="BW2" s="226"/>
      <c r="BX2" s="976" t="s">
        <v>144</v>
      </c>
      <c r="BY2" s="976"/>
      <c r="BZ2" s="976"/>
      <c r="CA2" s="976"/>
      <c r="CB2" s="976"/>
      <c r="CC2" s="976"/>
      <c r="CD2" s="976"/>
      <c r="CE2" s="226"/>
      <c r="CF2" s="977" t="s">
        <v>145</v>
      </c>
      <c r="CG2" s="977"/>
      <c r="CH2" s="977"/>
      <c r="CI2" s="226"/>
      <c r="CJ2" s="978" t="s">
        <v>146</v>
      </c>
      <c r="CK2" s="978"/>
      <c r="CL2" s="978"/>
      <c r="CM2" s="226"/>
      <c r="CN2" s="976" t="s">
        <v>147</v>
      </c>
      <c r="CO2" s="976"/>
      <c r="CP2" s="976"/>
      <c r="CQ2" s="976"/>
      <c r="CR2" s="976"/>
      <c r="CS2" s="976"/>
      <c r="CT2" s="976"/>
      <c r="CU2" s="226"/>
      <c r="CV2" s="977" t="s">
        <v>148</v>
      </c>
      <c r="CW2" s="977"/>
      <c r="CX2" s="977"/>
      <c r="CY2" s="226"/>
      <c r="CZ2" s="978" t="s">
        <v>149</v>
      </c>
      <c r="DA2" s="978"/>
      <c r="DB2" s="978"/>
    </row>
    <row r="3" spans="1:106" ht="73.5" customHeight="1" x14ac:dyDescent="0.2">
      <c r="A3" s="287" t="s">
        <v>171</v>
      </c>
      <c r="B3" s="288" t="s">
        <v>2053</v>
      </c>
      <c r="C3" s="289" t="s">
        <v>79</v>
      </c>
      <c r="D3" s="290" t="s">
        <v>81</v>
      </c>
      <c r="E3" s="289" t="s">
        <v>83</v>
      </c>
      <c r="F3" s="298" t="s">
        <v>2061</v>
      </c>
      <c r="G3" s="299" t="s">
        <v>2062</v>
      </c>
      <c r="H3" s="291" t="s">
        <v>2055</v>
      </c>
      <c r="I3" s="292" t="s">
        <v>2056</v>
      </c>
      <c r="J3" s="292" t="s">
        <v>2057</v>
      </c>
      <c r="K3" s="292" t="s">
        <v>2058</v>
      </c>
      <c r="L3" s="292" t="s">
        <v>92</v>
      </c>
      <c r="M3" s="293" t="s">
        <v>94</v>
      </c>
      <c r="N3" s="294" t="s">
        <v>155</v>
      </c>
      <c r="O3" s="292" t="s">
        <v>156</v>
      </c>
      <c r="P3" s="295" t="s">
        <v>157</v>
      </c>
      <c r="Q3" s="294" t="s">
        <v>158</v>
      </c>
      <c r="R3" s="294" t="s">
        <v>159</v>
      </c>
      <c r="S3" s="296" t="s">
        <v>160</v>
      </c>
      <c r="T3" s="295" t="s">
        <v>157</v>
      </c>
      <c r="U3" s="292" t="s">
        <v>100</v>
      </c>
      <c r="V3" s="297" t="s">
        <v>161</v>
      </c>
      <c r="W3" s="294" t="s">
        <v>102</v>
      </c>
      <c r="X3" s="294" t="s">
        <v>104</v>
      </c>
      <c r="Y3" s="300" t="s">
        <v>174</v>
      </c>
      <c r="Z3" s="300" t="s">
        <v>175</v>
      </c>
      <c r="AA3" s="300" t="s">
        <v>176</v>
      </c>
      <c r="AB3" s="300" t="s">
        <v>177</v>
      </c>
      <c r="AC3" s="300" t="s">
        <v>178</v>
      </c>
      <c r="AD3" s="300" t="s">
        <v>179</v>
      </c>
      <c r="AE3" s="297" t="s">
        <v>163</v>
      </c>
      <c r="AF3" s="297" t="s">
        <v>164</v>
      </c>
      <c r="AG3" s="297" t="s">
        <v>157</v>
      </c>
      <c r="AH3" s="297" t="s">
        <v>165</v>
      </c>
      <c r="AI3" s="297" t="s">
        <v>157</v>
      </c>
      <c r="AJ3" s="297" t="s">
        <v>166</v>
      </c>
      <c r="AK3" s="297" t="s">
        <v>120</v>
      </c>
      <c r="AL3" s="294" t="s">
        <v>2059</v>
      </c>
      <c r="AM3" s="294" t="s">
        <v>169</v>
      </c>
      <c r="AN3" s="294" t="s">
        <v>170</v>
      </c>
      <c r="AO3" s="294" t="s">
        <v>124</v>
      </c>
      <c r="AP3" s="990"/>
      <c r="AQ3" s="227"/>
      <c r="AR3" s="228" t="s">
        <v>180</v>
      </c>
      <c r="AS3" s="228" t="s">
        <v>181</v>
      </c>
      <c r="AT3" s="228" t="s">
        <v>182</v>
      </c>
      <c r="AU3" s="225" t="s">
        <v>183</v>
      </c>
      <c r="AV3" s="225" t="s">
        <v>184</v>
      </c>
      <c r="AW3" s="225" t="s">
        <v>185</v>
      </c>
      <c r="AX3" s="225" t="s">
        <v>2063</v>
      </c>
      <c r="AY3" s="229"/>
      <c r="AZ3" s="230" t="s">
        <v>180</v>
      </c>
      <c r="BA3" s="230" t="s">
        <v>181</v>
      </c>
      <c r="BB3" s="230" t="s">
        <v>182</v>
      </c>
      <c r="BC3" s="229"/>
      <c r="BD3" s="231" t="s">
        <v>180</v>
      </c>
      <c r="BE3" s="231" t="s">
        <v>181</v>
      </c>
      <c r="BF3" s="231" t="s">
        <v>182</v>
      </c>
      <c r="BG3" s="229"/>
      <c r="BH3" s="225" t="s">
        <v>180</v>
      </c>
      <c r="BI3" s="225" t="s">
        <v>181</v>
      </c>
      <c r="BJ3" s="225" t="s">
        <v>182</v>
      </c>
      <c r="BK3" s="225" t="s">
        <v>183</v>
      </c>
      <c r="BL3" s="225" t="s">
        <v>184</v>
      </c>
      <c r="BM3" s="225" t="s">
        <v>185</v>
      </c>
      <c r="BN3" s="225" t="s">
        <v>2063</v>
      </c>
      <c r="BO3" s="229"/>
      <c r="BP3" s="230" t="s">
        <v>180</v>
      </c>
      <c r="BQ3" s="230" t="s">
        <v>181</v>
      </c>
      <c r="BR3" s="230" t="s">
        <v>182</v>
      </c>
      <c r="BS3" s="229"/>
      <c r="BT3" s="231" t="s">
        <v>180</v>
      </c>
      <c r="BU3" s="231" t="s">
        <v>181</v>
      </c>
      <c r="BV3" s="231" t="s">
        <v>182</v>
      </c>
      <c r="BW3" s="229"/>
      <c r="BX3" s="225" t="s">
        <v>180</v>
      </c>
      <c r="BY3" s="225" t="s">
        <v>181</v>
      </c>
      <c r="BZ3" s="225" t="s">
        <v>182</v>
      </c>
      <c r="CA3" s="225" t="s">
        <v>183</v>
      </c>
      <c r="CB3" s="225" t="s">
        <v>184</v>
      </c>
      <c r="CC3" s="225" t="s">
        <v>185</v>
      </c>
      <c r="CD3" s="225" t="s">
        <v>2063</v>
      </c>
      <c r="CE3" s="229"/>
      <c r="CF3" s="230" t="s">
        <v>180</v>
      </c>
      <c r="CG3" s="230" t="s">
        <v>181</v>
      </c>
      <c r="CH3" s="230" t="s">
        <v>182</v>
      </c>
      <c r="CI3" s="229"/>
      <c r="CJ3" s="231" t="s">
        <v>180</v>
      </c>
      <c r="CK3" s="231" t="s">
        <v>181</v>
      </c>
      <c r="CL3" s="231" t="s">
        <v>182</v>
      </c>
      <c r="CM3" s="229"/>
      <c r="CN3" s="225" t="s">
        <v>180</v>
      </c>
      <c r="CO3" s="225" t="s">
        <v>181</v>
      </c>
      <c r="CP3" s="225" t="s">
        <v>182</v>
      </c>
      <c r="CQ3" s="225" t="s">
        <v>183</v>
      </c>
      <c r="CR3" s="225" t="s">
        <v>184</v>
      </c>
      <c r="CS3" s="225" t="s">
        <v>185</v>
      </c>
      <c r="CT3" s="225" t="s">
        <v>2063</v>
      </c>
      <c r="CU3" s="229"/>
      <c r="CV3" s="230" t="s">
        <v>180</v>
      </c>
      <c r="CW3" s="230" t="s">
        <v>181</v>
      </c>
      <c r="CX3" s="230" t="s">
        <v>182</v>
      </c>
      <c r="CY3" s="229"/>
      <c r="CZ3" s="231" t="s">
        <v>180</v>
      </c>
      <c r="DA3" s="231" t="s">
        <v>181</v>
      </c>
      <c r="DB3" s="231" t="s">
        <v>182</v>
      </c>
    </row>
    <row r="4" spans="1:106" ht="270.75" x14ac:dyDescent="0.2">
      <c r="A4" s="509">
        <v>1</v>
      </c>
      <c r="B4" s="510" t="s">
        <v>2064</v>
      </c>
      <c r="C4" s="511" t="s">
        <v>1270</v>
      </c>
      <c r="D4" s="511" t="str">
        <f>IFERROR(INDEX('[4]Base de datos gestión'!$D$28:$D$50,MATCH(C4,'[4]Base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4" s="512" t="str">
        <f>IFERROR(INDEX('[4]Base de datos gestión'!$E$28:$E$50,MATCH(C4,'[4]Base de datos gestión'!$C$28:$C$50,0)), 0)</f>
        <v>Inicia desde la desagregación del presupuesto de gastos e ingresos y termina con la gestión del pago y el registro de las operaciones.</v>
      </c>
      <c r="F4" s="513" t="s">
        <v>2065</v>
      </c>
      <c r="G4" s="513" t="s">
        <v>2065</v>
      </c>
      <c r="H4" s="511" t="s">
        <v>652</v>
      </c>
      <c r="I4" s="511" t="s">
        <v>2066</v>
      </c>
      <c r="J4" s="511" t="s">
        <v>2067</v>
      </c>
      <c r="K4" s="511" t="s">
        <v>2068</v>
      </c>
      <c r="L4" s="511" t="s">
        <v>2069</v>
      </c>
      <c r="M4" s="511" t="s">
        <v>2070</v>
      </c>
      <c r="N4" s="509">
        <v>1500</v>
      </c>
      <c r="O4" s="232" t="str">
        <f>IF(N4&lt;=0,"",IF(N4&lt;=2,"Muy Baja",IF(N4&lt;=24,"Baja",IF(N4&lt;=500,"Media",IF(N4&lt;=5000,"Alta","Muy Alta")))))</f>
        <v>Alta</v>
      </c>
      <c r="P4" s="233">
        <f>IF(O4="","",IF(O4="Muy Baja",0.2,IF(O4="Baja",0.4,IF(O4="Media",0.6,IF(O4="Alta",0.8,IF(O4="Muy Alta",1,))))))</f>
        <v>0.8</v>
      </c>
      <c r="Q4" s="233" t="s">
        <v>979</v>
      </c>
      <c r="R4" s="233" t="str">
        <f>IF(NOT(ISERROR(MATCH(Q4,'[4]Tabla Impacto'!$B$222:$B$224,0))),'[4]Tabla Impacto'!$F$224&amp;"Por favor no seleccionar los criterios de impacto(Afectación Económica o presupuestal y Pérdida Reputacional)",Q4)</f>
        <v xml:space="preserve">     Entre 50 y 100 SMLMV </v>
      </c>
      <c r="S4" s="232" t="str">
        <f>IF(OR(R4='[4]Tabla Impacto'!$C$12,R4='[4]Tabla Impacto'!$D$12),"Leve",IF(OR(R4='[4]Tabla Impacto'!$C$13,R4='[4]Tabla Impacto'!$D$13),"Menor",IF(OR(R4='[4]Tabla Impacto'!$C$14,R4='[4]Tabla Impacto'!$D$14),"Moderado",IF(OR(R4='[4]Tabla Impacto'!$C$15,R4='[4]Tabla Impacto'!$D$15),"Mayor",IF(OR(R4='[4]Tabla Impacto'!$C$16,R4='[4]Tabla Impacto'!$D$16),"Catastrófico","")))))</f>
        <v>Moderado</v>
      </c>
      <c r="T4" s="233">
        <f>IF(S4="","",IF(S4="Leve",0.2,IF(S4="Menor",0.4,IF(S4="Moderado",0.6,IF(S4="Mayor",0.8,IF(S4="Catastrófico",1,))))))</f>
        <v>0.6</v>
      </c>
      <c r="U4" s="235" t="str">
        <f>IF(OR(AND(O4="Muy Baja",S4="Leve"),AND(O4="Muy Baja",S4="Menor"),AND(O4="Baja",S4="Leve")),"Bajo",IF(OR(AND(O4="Muy baja",S4="Moderado"),AND(O4="Baja",S4="Menor"),AND(O4="Baja",S4="Moderado"),AND(O4="Media",S4="Leve"),AND(O4="Media",S4="Menor"),AND(O4="Media",S4="Moderado"),AND(O4="Alta",S4="Leve"),AND(O4="Alta",S4="Menor")),"Moderado",IF(OR(AND(O4="Muy Baja",S4="Mayor"),AND(O4="Baja",S4="Mayor"),AND(O4="Media",S4="Mayor"),AND(O4="Alta",S4="Moderado"),AND(O4="Alta",S4="Mayor"),AND(O4="Muy Alta",S4="Leve"),AND(O4="Muy Alta",S4="Menor"),AND(O4="Muy Alta",S4="Moderado"),AND(O4="Muy Alta",S4="Mayor")),"Alto",IF(OR(AND(O4="Muy Baja",S4="Catastrófico"),AND(O4="Baja",S4="Catastrófico"),AND(O4="Media",S4="Catastrófico"),AND(O4="Alta",S4="Catastrófico"),AND(O4="Muy Alta",S4="Catastrófico")),"Extremo",""))))</f>
        <v>Alto</v>
      </c>
      <c r="V4" s="236">
        <v>1</v>
      </c>
      <c r="W4" s="514" t="s">
        <v>2071</v>
      </c>
      <c r="X4" s="236" t="str">
        <f t="shared" ref="X4:X18" si="0">IF(OR(Y4="Preventivo",Y4="Detectivo"),"Probabilidad",IF(Y4="Correctivo","Impacto",""))</f>
        <v>Probabilidad</v>
      </c>
      <c r="Y4" s="515" t="s">
        <v>197</v>
      </c>
      <c r="Z4" s="515" t="s">
        <v>198</v>
      </c>
      <c r="AA4" s="238" t="str">
        <f t="shared" ref="AA4:AA18" si="1">IF(AND(Y4="Preventivo",Z4="Automático"),"50%",IF(AND(Y4="Preventivo",Z4="Manual"),"40%",IF(AND(Y4="Detectivo",Z4="Automático"),"40%",IF(AND(Y4="Detectivo",Z4="Manual"),"30%",IF(AND(Y4="Correctivo",Z4="Automático"),"35%",IF(AND(Y4="Correctivo",Z4="Manual"),"25%",""))))))</f>
        <v>40%</v>
      </c>
      <c r="AB4" s="515" t="s">
        <v>259</v>
      </c>
      <c r="AC4" s="515" t="s">
        <v>200</v>
      </c>
      <c r="AD4" s="515" t="s">
        <v>201</v>
      </c>
      <c r="AE4" s="516">
        <f>IFERROR(IF(X4="Probabilidad",(P4-(+P4*AA4)),IF(X4="Impacto",P4,"")),"")</f>
        <v>0.48</v>
      </c>
      <c r="AF4" s="240" t="str">
        <f t="shared" ref="AF4:AF18" si="2">IFERROR(IF(AE4="","",IF(AE4&lt;=0.2,"Muy Baja",IF(AE4&lt;=0.4,"Baja",IF(AE4&lt;=0.6,"Media",IF(AE4&lt;=0.8,"Alta","Muy Alta"))))),"")</f>
        <v>Media</v>
      </c>
      <c r="AG4" s="241">
        <f t="shared" ref="AG4:AG18" si="3">+AE4</f>
        <v>0.48</v>
      </c>
      <c r="AH4" s="240" t="str">
        <f t="shared" ref="AH4:AH18" si="4">IFERROR(IF(AI4="","",IF(AI4&lt;=0.2,"Leve",IF(AI4&lt;=0.4,"Menor",IF(AI4&lt;=0.6,"Moderado",IF(AI4&lt;=0.8,"Mayor","Catastrófico"))))),"")</f>
        <v>Moderado</v>
      </c>
      <c r="AI4" s="241">
        <f>IFERROR(IF(X4="Impacto",(T4-(+T4*AA4)),IF(X4="Probabilidad",T4,"")),"")</f>
        <v>0.6</v>
      </c>
      <c r="AJ4" s="242" t="str">
        <f t="shared" ref="AJ4:AJ18" si="5">IFERROR(IF(OR(AND(AF4="Muy Baja",AH4="Leve"),AND(AF4="Muy Baja",AH4="Menor"),AND(AF4="Baja",AH4="Leve")),"Bajo",IF(OR(AND(AF4="Muy baja",AH4="Moderado"),AND(AF4="Baja",AH4="Menor"),AND(AF4="Baja",AH4="Moderado"),AND(AF4="Media",AH4="Leve"),AND(AF4="Media",AH4="Menor"),AND(AF4="Media",AH4="Moderado"),AND(AF4="Alta",AH4="Leve"),AND(AF4="Alta",AH4="Menor")),"Moderado",IF(OR(AND(AF4="Muy Baja",AH4="Mayor"),AND(AF4="Baja",AH4="Mayor"),AND(AF4="Media",AH4="Mayor"),AND(AF4="Alta",AH4="Moderado"),AND(AF4="Alta",AH4="Mayor"),AND(AF4="Muy Alta",AH4="Leve"),AND(AF4="Muy Alta",AH4="Menor"),AND(AF4="Muy Alta",AH4="Moderado"),AND(AF4="Muy Alta",AH4="Mayor")),"Alto",IF(OR(AND(AF4="Muy Baja",AH4="Catastrófico"),AND(AF4="Baja",AH4="Catastrófico"),AND(AF4="Media",AH4="Catastrófico"),AND(AF4="Alta",AH4="Catastrófico"),AND(AF4="Muy Alta",AH4="Catastrófico")),"Extremo","")))),"")</f>
        <v>Moderado</v>
      </c>
      <c r="AK4" s="517" t="s">
        <v>202</v>
      </c>
      <c r="AL4" s="518" t="s">
        <v>2072</v>
      </c>
      <c r="AM4" s="518" t="s">
        <v>2073</v>
      </c>
      <c r="AN4" s="519">
        <v>45838</v>
      </c>
      <c r="AO4" s="518" t="s">
        <v>2074</v>
      </c>
      <c r="AP4" s="518"/>
      <c r="AQ4" s="520"/>
      <c r="AR4" s="244">
        <v>45756</v>
      </c>
      <c r="AS4" s="245" t="s">
        <v>2075</v>
      </c>
      <c r="AT4" s="246" t="s">
        <v>2076</v>
      </c>
      <c r="AU4" s="247" t="s">
        <v>205</v>
      </c>
      <c r="AV4" s="248" t="s">
        <v>206</v>
      </c>
      <c r="AW4" s="248" t="s">
        <v>535</v>
      </c>
      <c r="AX4" s="249" t="s">
        <v>2077</v>
      </c>
      <c r="AZ4" s="244">
        <v>45782</v>
      </c>
      <c r="BA4" s="251" t="s">
        <v>207</v>
      </c>
      <c r="BB4" s="245" t="s">
        <v>228</v>
      </c>
      <c r="BF4" s="249" t="s">
        <v>2078</v>
      </c>
      <c r="BH4" s="244">
        <v>45855</v>
      </c>
      <c r="BI4" s="245" t="s">
        <v>2079</v>
      </c>
      <c r="BJ4" s="246" t="s">
        <v>2080</v>
      </c>
      <c r="BK4" s="286" t="s">
        <v>212</v>
      </c>
      <c r="BL4" s="285" t="s">
        <v>2081</v>
      </c>
      <c r="BM4" s="245" t="s">
        <v>2082</v>
      </c>
      <c r="BN4" s="358" t="s">
        <v>2083</v>
      </c>
      <c r="BP4" s="450">
        <v>45869</v>
      </c>
      <c r="BQ4" s="449" t="s">
        <v>215</v>
      </c>
      <c r="BR4" s="283" t="s">
        <v>2084</v>
      </c>
      <c r="BV4" s="249" t="s">
        <v>2078</v>
      </c>
      <c r="BX4" s="244">
        <v>45945</v>
      </c>
      <c r="BY4" s="245" t="s">
        <v>2085</v>
      </c>
      <c r="BZ4" s="246" t="s">
        <v>2086</v>
      </c>
      <c r="CA4" s="255" t="s">
        <v>205</v>
      </c>
      <c r="CB4" s="245" t="s">
        <v>206</v>
      </c>
      <c r="CC4" s="245" t="s">
        <v>206</v>
      </c>
      <c r="CD4" s="521" t="s">
        <v>2064</v>
      </c>
      <c r="CF4" s="254">
        <v>46000</v>
      </c>
      <c r="CG4" s="248" t="s">
        <v>218</v>
      </c>
      <c r="CH4" s="248" t="s">
        <v>2087</v>
      </c>
      <c r="CL4" s="249" t="s">
        <v>2078</v>
      </c>
      <c r="CN4" s="252"/>
      <c r="CO4" s="252"/>
      <c r="CP4" s="249"/>
      <c r="CQ4" s="247"/>
      <c r="CT4" s="249" t="s">
        <v>2088</v>
      </c>
      <c r="CX4" s="249" t="s">
        <v>2078</v>
      </c>
      <c r="DB4" s="249" t="s">
        <v>2078</v>
      </c>
    </row>
    <row r="5" spans="1:106" ht="195" customHeight="1" x14ac:dyDescent="0.3">
      <c r="A5" s="509">
        <v>1</v>
      </c>
      <c r="B5" s="510" t="s">
        <v>2064</v>
      </c>
      <c r="C5" s="511" t="s">
        <v>1270</v>
      </c>
      <c r="D5" s="511" t="str">
        <f>IFERROR(INDEX('[4]Base de datos gestión'!$D$28:$D$50,MATCH(C5,'[4]Base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5" s="512" t="str">
        <f>IFERROR(INDEX('[4]Base de datos gestión'!$E$28:$E$50,MATCH(C5,'[4]Base de datos gestión'!$C$28:$C$50,0)), 0)</f>
        <v>Inicia desde la desagregación del presupuesto de gastos e ingresos y termina con la gestión del pago y el registro de las operaciones.</v>
      </c>
      <c r="F5" s="513" t="s">
        <v>2065</v>
      </c>
      <c r="G5" s="513" t="s">
        <v>2065</v>
      </c>
      <c r="H5" s="511" t="s">
        <v>652</v>
      </c>
      <c r="I5" s="511" t="s">
        <v>2066</v>
      </c>
      <c r="J5" s="511" t="s">
        <v>2067</v>
      </c>
      <c r="K5" s="511" t="s">
        <v>2068</v>
      </c>
      <c r="L5" s="511" t="s">
        <v>2069</v>
      </c>
      <c r="M5" s="511" t="s">
        <v>2070</v>
      </c>
      <c r="N5" s="509">
        <v>1500</v>
      </c>
      <c r="O5" s="232" t="str">
        <f>IF(N5&lt;=0,"",IF(N5&lt;=2,"Muy Baja",IF(N5&lt;=24,"Baja",IF(N5&lt;=500,"Media",IF(N5&lt;=5000,"Alta","Muy Alta")))))</f>
        <v>Alta</v>
      </c>
      <c r="P5" s="233">
        <f>IF(O5="","",IF(O5="Muy Baja",0.2,IF(O5="Baja",0.4,IF(O5="Media",0.6,IF(O5="Alta",0.8,IF(O5="Muy Alta",1,))))))</f>
        <v>0.8</v>
      </c>
      <c r="Q5" s="233" t="s">
        <v>979</v>
      </c>
      <c r="R5" s="233" t="str">
        <f>IF(NOT(ISERROR(MATCH(Q5,'[4]Tabla Impacto'!$B$222:$B$224,0))),'[4]Tabla Impacto'!$F$224&amp;"Por favor no seleccionar los criterios de impacto(Afectación Económica o presupuestal y Pérdida Reputacional)",Q5)</f>
        <v xml:space="preserve">     Entre 50 y 100 SMLMV </v>
      </c>
      <c r="S5" s="232" t="str">
        <f>IF(OR(R5='[4]Tabla Impacto'!$C$12,R5='[4]Tabla Impacto'!$D$12),"Leve",IF(OR(R5='[4]Tabla Impacto'!$C$13,R5='[4]Tabla Impacto'!$D$13),"Menor",IF(OR(R5='[4]Tabla Impacto'!$C$14,R5='[4]Tabla Impacto'!$D$14),"Moderado",IF(OR(R5='[4]Tabla Impacto'!$C$15,R5='[4]Tabla Impacto'!$D$15),"Mayor",IF(OR(R5='[4]Tabla Impacto'!$C$16,R5='[4]Tabla Impacto'!$D$16),"Catastrófico","")))))</f>
        <v>Moderado</v>
      </c>
      <c r="T5" s="233">
        <f>IF(S5="","",IF(S5="Leve",0.2,IF(S5="Menor",0.4,IF(S5="Moderado",0.6,IF(S5="Mayor",0.8,IF(S5="Catastrófico",1,))))))</f>
        <v>0.6</v>
      </c>
      <c r="U5" s="235" t="str">
        <f>IF(OR(AND(O5="Muy Baja",S5="Leve"),AND(O5="Muy Baja",S5="Menor"),AND(O5="Baja",S5="Leve")),"Bajo",IF(OR(AND(O5="Muy baja",S5="Moderado"),AND(O5="Baja",S5="Menor"),AND(O5="Baja",S5="Moderado"),AND(O5="Media",S5="Leve"),AND(O5="Media",S5="Menor"),AND(O5="Media",S5="Moderado"),AND(O5="Alta",S5="Leve"),AND(O5="Alta",S5="Menor")),"Moderado",IF(OR(AND(O5="Muy Baja",S5="Mayor"),AND(O5="Baja",S5="Mayor"),AND(O5="Media",S5="Mayor"),AND(O5="Alta",S5="Moderado"),AND(O5="Alta",S5="Mayor"),AND(O5="Muy Alta",S5="Leve"),AND(O5="Muy Alta",S5="Menor"),AND(O5="Muy Alta",S5="Moderado"),AND(O5="Muy Alta",S5="Mayor")),"Alto",IF(OR(AND(O5="Muy Baja",S5="Catastrófico"),AND(O5="Baja",S5="Catastrófico"),AND(O5="Media",S5="Catastrófico"),AND(O5="Alta",S5="Catastrófico"),AND(O5="Muy Alta",S5="Catastrófico")),"Extremo",""))))</f>
        <v>Alto</v>
      </c>
      <c r="V5" s="236">
        <v>2</v>
      </c>
      <c r="W5" s="514" t="s">
        <v>2089</v>
      </c>
      <c r="X5" s="236" t="str">
        <f t="shared" si="0"/>
        <v>Probabilidad</v>
      </c>
      <c r="Y5" s="515" t="s">
        <v>197</v>
      </c>
      <c r="Z5" s="515" t="s">
        <v>198</v>
      </c>
      <c r="AA5" s="238" t="str">
        <f t="shared" si="1"/>
        <v>40%</v>
      </c>
      <c r="AB5" s="515" t="s">
        <v>259</v>
      </c>
      <c r="AC5" s="515" t="s">
        <v>200</v>
      </c>
      <c r="AD5" s="515" t="s">
        <v>201</v>
      </c>
      <c r="AE5" s="516">
        <f>IFERROR(IF(AND(X4="Probabilidad",X5="Probabilidad"),(AG4-(+AG4*AA5)),IF(X5="Probabilidad",(P4-(+P4*AA5)),IF(X5="Impacto",AG4,""))),"")</f>
        <v>0.28799999999999998</v>
      </c>
      <c r="AF5" s="240" t="str">
        <f t="shared" si="2"/>
        <v>Baja</v>
      </c>
      <c r="AG5" s="241">
        <f t="shared" si="3"/>
        <v>0.28799999999999998</v>
      </c>
      <c r="AH5" s="240" t="str">
        <f t="shared" si="4"/>
        <v>Moderado</v>
      </c>
      <c r="AI5" s="241">
        <f>IFERROR(IF(AND(X4="Impacto",X5="Impacto"),(AI4-(+AI4*AA5)),IF(X5="Impacto",($T$4-(+$T$4*AA5)),IF(X5="Probabilidad",AI4,""))),"")</f>
        <v>0.6</v>
      </c>
      <c r="AJ5" s="242" t="str">
        <f t="shared" si="5"/>
        <v>Moderado</v>
      </c>
      <c r="AK5" s="517" t="s">
        <v>202</v>
      </c>
      <c r="AL5" s="518" t="s">
        <v>2090</v>
      </c>
      <c r="AM5" s="518" t="s">
        <v>2073</v>
      </c>
      <c r="AN5" s="519">
        <v>45838</v>
      </c>
      <c r="AO5" s="518" t="s">
        <v>2074</v>
      </c>
      <c r="AP5" s="518"/>
      <c r="AQ5" s="223"/>
      <c r="AR5" s="254">
        <v>45756</v>
      </c>
      <c r="AS5" s="248" t="s">
        <v>2075</v>
      </c>
      <c r="AT5" s="246" t="s">
        <v>2091</v>
      </c>
      <c r="AU5" s="247" t="s">
        <v>205</v>
      </c>
      <c r="AV5" s="248" t="s">
        <v>206</v>
      </c>
      <c r="AW5" s="248" t="s">
        <v>535</v>
      </c>
      <c r="AX5" s="249" t="s">
        <v>2088</v>
      </c>
      <c r="AZ5" s="244">
        <v>45782</v>
      </c>
      <c r="BA5" s="251" t="s">
        <v>207</v>
      </c>
      <c r="BB5" s="245" t="s">
        <v>228</v>
      </c>
      <c r="BF5" s="249" t="s">
        <v>2078</v>
      </c>
      <c r="BH5" s="254">
        <v>45855</v>
      </c>
      <c r="BI5" s="248" t="s">
        <v>2079</v>
      </c>
      <c r="BJ5" s="246" t="s">
        <v>2092</v>
      </c>
      <c r="BK5" s="247" t="s">
        <v>205</v>
      </c>
      <c r="BL5" s="248" t="s">
        <v>206</v>
      </c>
      <c r="BM5" s="248" t="s">
        <v>535</v>
      </c>
      <c r="BN5" s="358" t="s">
        <v>2083</v>
      </c>
      <c r="BP5" s="450">
        <v>45869</v>
      </c>
      <c r="BQ5" s="449" t="s">
        <v>215</v>
      </c>
      <c r="BR5" s="283" t="s">
        <v>231</v>
      </c>
      <c r="BV5" s="249" t="s">
        <v>2078</v>
      </c>
      <c r="BX5" s="244">
        <v>45945</v>
      </c>
      <c r="BY5" s="248" t="s">
        <v>2093</v>
      </c>
      <c r="BZ5" s="246" t="s">
        <v>2094</v>
      </c>
      <c r="CA5" s="247" t="s">
        <v>205</v>
      </c>
      <c r="CB5" s="245" t="s">
        <v>206</v>
      </c>
      <c r="CC5" s="245" t="s">
        <v>206</v>
      </c>
      <c r="CD5" s="358" t="s">
        <v>2095</v>
      </c>
      <c r="CF5" s="254">
        <v>46000</v>
      </c>
      <c r="CG5" s="248" t="s">
        <v>218</v>
      </c>
      <c r="CH5" s="248" t="s">
        <v>233</v>
      </c>
      <c r="CL5" s="249" t="s">
        <v>2078</v>
      </c>
      <c r="CN5" s="252"/>
      <c r="CO5" s="252"/>
      <c r="CP5" s="249" t="s">
        <v>2078</v>
      </c>
      <c r="CQ5" s="247"/>
      <c r="CT5" s="249" t="s">
        <v>2088</v>
      </c>
      <c r="CX5" s="249" t="s">
        <v>2078</v>
      </c>
      <c r="DB5" s="249" t="s">
        <v>2078</v>
      </c>
    </row>
    <row r="6" spans="1:106" ht="261.75" customHeight="1" x14ac:dyDescent="0.3">
      <c r="A6" s="509">
        <v>1</v>
      </c>
      <c r="B6" s="510" t="s">
        <v>2064</v>
      </c>
      <c r="C6" s="511" t="s">
        <v>1270</v>
      </c>
      <c r="D6" s="511" t="str">
        <f>IFERROR(INDEX('[4]Base de datos gestión'!$D$28:$D$50,MATCH(C6,'[4]Base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6" s="512" t="str">
        <f>IFERROR(INDEX('[4]Base de datos gestión'!$E$28:$E$50,MATCH(C6,'[4]Base de datos gestión'!$C$28:$C$50,0)), 0)</f>
        <v>Inicia desde la desagregación del presupuesto de gastos e ingresos y termina con la gestión del pago y el registro de las operaciones.</v>
      </c>
      <c r="F6" s="513" t="s">
        <v>2065</v>
      </c>
      <c r="G6" s="513" t="s">
        <v>2065</v>
      </c>
      <c r="H6" s="511" t="s">
        <v>652</v>
      </c>
      <c r="I6" s="511" t="s">
        <v>2066</v>
      </c>
      <c r="J6" s="511" t="s">
        <v>2067</v>
      </c>
      <c r="K6" s="511" t="s">
        <v>2068</v>
      </c>
      <c r="L6" s="511" t="s">
        <v>2069</v>
      </c>
      <c r="M6" s="511" t="s">
        <v>2070</v>
      </c>
      <c r="N6" s="509">
        <v>1500</v>
      </c>
      <c r="O6" s="232" t="str">
        <f t="shared" ref="O6:O9" si="6">IF(N6&lt;=0,"",IF(N6&lt;=2,"Muy Baja",IF(N6&lt;=24,"Baja",IF(N6&lt;=500,"Media",IF(N6&lt;=5000,"Alta","Muy Alta")))))</f>
        <v>Alta</v>
      </c>
      <c r="P6" s="233">
        <f t="shared" ref="P6:P9" si="7">IF(O6="","",IF(O6="Muy Baja",0.2,IF(O6="Baja",0.4,IF(O6="Media",0.6,IF(O6="Alta",0.8,IF(O6="Muy Alta",1,))))))</f>
        <v>0.8</v>
      </c>
      <c r="Q6" s="233" t="s">
        <v>979</v>
      </c>
      <c r="R6" s="233" t="str">
        <f>IF(NOT(ISERROR(MATCH(Q6,'[4]Tabla Impacto'!$B$222:$B$224,0))),'[4]Tabla Impacto'!$F$224&amp;"Por favor no seleccionar los criterios de impacto(Afectación Económica o presupuestal y Pérdida Reputacional)",Q6)</f>
        <v xml:space="preserve">     Entre 50 y 100 SMLMV </v>
      </c>
      <c r="S6" s="232" t="str">
        <f>IF(OR(R6='[4]Tabla Impacto'!$C$12,R6='[4]Tabla Impacto'!$D$12),"Leve",IF(OR(R6='[4]Tabla Impacto'!$C$13,R6='[4]Tabla Impacto'!$D$13),"Menor",IF(OR(R6='[4]Tabla Impacto'!$C$14,R6='[4]Tabla Impacto'!$D$14),"Moderado",IF(OR(R6='[4]Tabla Impacto'!$C$15,R6='[4]Tabla Impacto'!$D$15),"Mayor",IF(OR(R6='[4]Tabla Impacto'!$C$16,R6='[4]Tabla Impacto'!$D$16),"Catastrófico","")))))</f>
        <v>Moderado</v>
      </c>
      <c r="T6" s="233">
        <f t="shared" ref="T6:T9" si="8">IF(S6="","",IF(S6="Leve",0.2,IF(S6="Menor",0.4,IF(S6="Moderado",0.6,IF(S6="Mayor",0.8,IF(S6="Catastrófico",1,))))))</f>
        <v>0.6</v>
      </c>
      <c r="U6" s="235" t="str">
        <f t="shared" ref="U6:U9" si="9">IF(OR(AND(O6="Muy Baja",S6="Leve"),AND(O6="Muy Baja",S6="Menor"),AND(O6="Baja",S6="Leve")),"Bajo",IF(OR(AND(O6="Muy baja",S6="Moderado"),AND(O6="Baja",S6="Menor"),AND(O6="Baja",S6="Moderado"),AND(O6="Media",S6="Leve"),AND(O6="Media",S6="Menor"),AND(O6="Media",S6="Moderado"),AND(O6="Alta",S6="Leve"),AND(O6="Alta",S6="Menor")),"Moderado",IF(OR(AND(O6="Muy Baja",S6="Mayor"),AND(O6="Baja",S6="Mayor"),AND(O6="Media",S6="Mayor"),AND(O6="Alta",S6="Moderado"),AND(O6="Alta",S6="Mayor"),AND(O6="Muy Alta",S6="Leve"),AND(O6="Muy Alta",S6="Menor"),AND(O6="Muy Alta",S6="Moderado"),AND(O6="Muy Alta",S6="Mayor")),"Alto",IF(OR(AND(O6="Muy Baja",S6="Catastrófico"),AND(O6="Baja",S6="Catastrófico"),AND(O6="Media",S6="Catastrófico"),AND(O6="Alta",S6="Catastrófico"),AND(O6="Muy Alta",S6="Catastrófico")),"Extremo",""))))</f>
        <v>Alto</v>
      </c>
      <c r="V6" s="236">
        <v>3</v>
      </c>
      <c r="W6" s="514" t="s">
        <v>2096</v>
      </c>
      <c r="X6" s="236" t="str">
        <f t="shared" si="0"/>
        <v>Probabilidad</v>
      </c>
      <c r="Y6" s="515" t="s">
        <v>197</v>
      </c>
      <c r="Z6" s="515" t="s">
        <v>198</v>
      </c>
      <c r="AA6" s="238" t="str">
        <f t="shared" si="1"/>
        <v>40%</v>
      </c>
      <c r="AB6" s="515" t="s">
        <v>259</v>
      </c>
      <c r="AC6" s="515" t="s">
        <v>200</v>
      </c>
      <c r="AD6" s="515" t="s">
        <v>201</v>
      </c>
      <c r="AE6" s="516">
        <f>IFERROR(IF(AND(X5="Probabilidad",X6="Probabilidad"),(AG5-(+AG5*AA6)),IF(AND(X5="Impacto",X6="Probabilidad"),(AG4-(+AG4*AA6)),IF(X6="Impacto",AG5,""))),"")</f>
        <v>0.17279999999999998</v>
      </c>
      <c r="AF6" s="240" t="str">
        <f t="shared" si="2"/>
        <v>Muy Baja</v>
      </c>
      <c r="AG6" s="241">
        <f t="shared" si="3"/>
        <v>0.17279999999999998</v>
      </c>
      <c r="AH6" s="240" t="str">
        <f t="shared" si="4"/>
        <v>Moderado</v>
      </c>
      <c r="AI6" s="241">
        <f>IFERROR(IF(AND(X5="Impacto",X6="Impacto"),(AI5-(+AI5*AA6)),IF(AND(X5="Probabilidad",X6="Impacto"),(AI4-(+AI4*AA6)),IF(X6="Probabilidad",AI5,""))),"")</f>
        <v>0.6</v>
      </c>
      <c r="AJ6" s="242" t="str">
        <f t="shared" si="5"/>
        <v>Moderado</v>
      </c>
      <c r="AK6" s="517" t="s">
        <v>202</v>
      </c>
      <c r="AL6" s="518" t="s">
        <v>2097</v>
      </c>
      <c r="AM6" s="518" t="s">
        <v>2098</v>
      </c>
      <c r="AN6" s="519">
        <v>45657</v>
      </c>
      <c r="AO6" s="518" t="s">
        <v>2099</v>
      </c>
      <c r="AP6" s="518"/>
      <c r="AQ6" s="223"/>
      <c r="AR6" s="244">
        <v>45757</v>
      </c>
      <c r="AS6" s="245" t="s">
        <v>2100</v>
      </c>
      <c r="AT6" s="248" t="s">
        <v>2101</v>
      </c>
      <c r="AU6" s="247" t="s">
        <v>205</v>
      </c>
      <c r="AV6" s="248" t="s">
        <v>206</v>
      </c>
      <c r="AW6" s="248" t="s">
        <v>535</v>
      </c>
      <c r="AX6" s="249" t="s">
        <v>2088</v>
      </c>
      <c r="AZ6" s="244">
        <v>45782</v>
      </c>
      <c r="BA6" s="251" t="s">
        <v>207</v>
      </c>
      <c r="BB6" s="245" t="s">
        <v>228</v>
      </c>
      <c r="BF6" s="249" t="s">
        <v>2078</v>
      </c>
      <c r="BH6" s="244">
        <v>45854</v>
      </c>
      <c r="BI6" s="245" t="s">
        <v>2102</v>
      </c>
      <c r="BJ6" s="246" t="s">
        <v>2103</v>
      </c>
      <c r="BK6" s="255" t="s">
        <v>205</v>
      </c>
      <c r="BL6" s="245" t="s">
        <v>206</v>
      </c>
      <c r="BM6" s="245" t="s">
        <v>206</v>
      </c>
      <c r="BN6" s="358" t="s">
        <v>2083</v>
      </c>
      <c r="BP6" s="450">
        <v>45869</v>
      </c>
      <c r="BQ6" s="449" t="s">
        <v>215</v>
      </c>
      <c r="BR6" s="283" t="s">
        <v>231</v>
      </c>
      <c r="BV6" s="249" t="s">
        <v>2078</v>
      </c>
      <c r="BX6" s="244">
        <v>45945</v>
      </c>
      <c r="BY6" s="245" t="s">
        <v>2102</v>
      </c>
      <c r="BZ6" s="246" t="s">
        <v>2104</v>
      </c>
      <c r="CA6" s="255" t="s">
        <v>205</v>
      </c>
      <c r="CB6" s="245" t="s">
        <v>206</v>
      </c>
      <c r="CC6" s="245" t="s">
        <v>206</v>
      </c>
      <c r="CD6" s="358" t="s">
        <v>2105</v>
      </c>
      <c r="CF6" s="254">
        <v>46000</v>
      </c>
      <c r="CG6" s="248" t="s">
        <v>218</v>
      </c>
      <c r="CH6" s="248" t="s">
        <v>233</v>
      </c>
      <c r="CL6" s="249" t="s">
        <v>2078</v>
      </c>
      <c r="CN6" s="252"/>
      <c r="CO6" s="252"/>
      <c r="CP6" s="249" t="s">
        <v>2078</v>
      </c>
      <c r="CQ6" s="247"/>
      <c r="CT6" s="249" t="s">
        <v>2088</v>
      </c>
      <c r="CX6" s="249" t="s">
        <v>2078</v>
      </c>
      <c r="DB6" s="249" t="s">
        <v>2078</v>
      </c>
    </row>
    <row r="7" spans="1:106" ht="265.5" customHeight="1" x14ac:dyDescent="0.3">
      <c r="A7" s="509">
        <v>1</v>
      </c>
      <c r="B7" s="510" t="s">
        <v>2064</v>
      </c>
      <c r="C7" s="511" t="s">
        <v>1270</v>
      </c>
      <c r="D7" s="511" t="str">
        <f>IFERROR(INDEX('[4]Base de datos gestión'!$D$28:$D$50,MATCH(C7,'[4]Base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7" s="512" t="str">
        <f>IFERROR(INDEX('[4]Base de datos gestión'!$E$28:$E$50,MATCH(C7,'[4]Base de datos gestión'!$C$28:$C$50,0)), 0)</f>
        <v>Inicia desde la desagregación del presupuesto de gastos e ingresos y termina con la gestión del pago y el registro de las operaciones.</v>
      </c>
      <c r="F7" s="513" t="s">
        <v>2065</v>
      </c>
      <c r="G7" s="513" t="s">
        <v>2065</v>
      </c>
      <c r="H7" s="511" t="s">
        <v>652</v>
      </c>
      <c r="I7" s="511" t="s">
        <v>2066</v>
      </c>
      <c r="J7" s="511" t="s">
        <v>2067</v>
      </c>
      <c r="K7" s="511" t="s">
        <v>2068</v>
      </c>
      <c r="L7" s="511" t="s">
        <v>2069</v>
      </c>
      <c r="M7" s="511" t="s">
        <v>2070</v>
      </c>
      <c r="N7" s="509">
        <v>1500</v>
      </c>
      <c r="O7" s="232" t="str">
        <f t="shared" si="6"/>
        <v>Alta</v>
      </c>
      <c r="P7" s="233">
        <f t="shared" si="7"/>
        <v>0.8</v>
      </c>
      <c r="Q7" s="233" t="s">
        <v>979</v>
      </c>
      <c r="R7" s="233" t="str">
        <f>IF(NOT(ISERROR(MATCH(Q7,'[4]Tabla Impacto'!$B$222:$B$224,0))),'[4]Tabla Impacto'!$F$224&amp;"Por favor no seleccionar los criterios de impacto(Afectación Económica o presupuestal y Pérdida Reputacional)",Q7)</f>
        <v xml:space="preserve">     Entre 50 y 100 SMLMV </v>
      </c>
      <c r="S7" s="232" t="str">
        <f>IF(OR(R7='[4]Tabla Impacto'!$C$12,R7='[4]Tabla Impacto'!$D$12),"Leve",IF(OR(R7='[4]Tabla Impacto'!$C$13,R7='[4]Tabla Impacto'!$D$13),"Menor",IF(OR(R7='[4]Tabla Impacto'!$C$14,R7='[4]Tabla Impacto'!$D$14),"Moderado",IF(OR(R7='[4]Tabla Impacto'!$C$15,R7='[4]Tabla Impacto'!$D$15),"Mayor",IF(OR(R7='[4]Tabla Impacto'!$C$16,R7='[4]Tabla Impacto'!$D$16),"Catastrófico","")))))</f>
        <v>Moderado</v>
      </c>
      <c r="T7" s="233">
        <f t="shared" si="8"/>
        <v>0.6</v>
      </c>
      <c r="U7" s="235" t="str">
        <f t="shared" si="9"/>
        <v>Alto</v>
      </c>
      <c r="V7" s="236">
        <v>4</v>
      </c>
      <c r="W7" s="514" t="s">
        <v>2106</v>
      </c>
      <c r="X7" s="236" t="str">
        <f t="shared" si="0"/>
        <v>Probabilidad</v>
      </c>
      <c r="Y7" s="515" t="s">
        <v>197</v>
      </c>
      <c r="Z7" s="515" t="s">
        <v>198</v>
      </c>
      <c r="AA7" s="238" t="str">
        <f t="shared" si="1"/>
        <v>40%</v>
      </c>
      <c r="AB7" s="515" t="s">
        <v>259</v>
      </c>
      <c r="AC7" s="515" t="s">
        <v>200</v>
      </c>
      <c r="AD7" s="515" t="s">
        <v>201</v>
      </c>
      <c r="AE7" s="516">
        <f>IFERROR(IF(AND(X6="Probabilidad",X7="Probabilidad"),(AG6-(+AG6*AA7)),IF(AND(X6="Impacto",X7="Probabilidad"),(AG5-(+AG5*AA7)),IF(X7="Impacto",AG6,""))),"")</f>
        <v>0.10367999999999998</v>
      </c>
      <c r="AF7" s="240" t="str">
        <f t="shared" si="2"/>
        <v>Muy Baja</v>
      </c>
      <c r="AG7" s="241">
        <f t="shared" si="3"/>
        <v>0.10367999999999998</v>
      </c>
      <c r="AH7" s="240" t="str">
        <f t="shared" si="4"/>
        <v>Moderado</v>
      </c>
      <c r="AI7" s="241">
        <f>IFERROR(IF(AND(X6="Impacto",X7="Impacto"),(AI6-(+AI6*AA7)),IF(AND(X6="Probabilidad",X7="Impacto"),(AI5-(+AI5*AA7)),IF(X7="Probabilidad",AI6,""))),"")</f>
        <v>0.6</v>
      </c>
      <c r="AJ7" s="242" t="str">
        <f t="shared" si="5"/>
        <v>Moderado</v>
      </c>
      <c r="AK7" s="517" t="s">
        <v>202</v>
      </c>
      <c r="AL7" s="518" t="s">
        <v>2107</v>
      </c>
      <c r="AM7" s="518" t="s">
        <v>2098</v>
      </c>
      <c r="AN7" s="519">
        <v>45657</v>
      </c>
      <c r="AO7" s="518" t="s">
        <v>2099</v>
      </c>
      <c r="AP7" s="518"/>
      <c r="AQ7" s="223"/>
      <c r="AR7" s="244">
        <v>45757</v>
      </c>
      <c r="AS7" s="245" t="s">
        <v>2100</v>
      </c>
      <c r="AT7" s="248" t="s">
        <v>2101</v>
      </c>
      <c r="AU7" s="247" t="s">
        <v>205</v>
      </c>
      <c r="AV7" s="248" t="s">
        <v>206</v>
      </c>
      <c r="AW7" s="248" t="s">
        <v>535</v>
      </c>
      <c r="AX7" s="249" t="s">
        <v>2088</v>
      </c>
      <c r="AZ7" s="244">
        <v>45782</v>
      </c>
      <c r="BA7" s="251" t="s">
        <v>207</v>
      </c>
      <c r="BB7" s="245" t="s">
        <v>228</v>
      </c>
      <c r="BF7" s="249" t="s">
        <v>2078</v>
      </c>
      <c r="BH7" s="244">
        <v>45854</v>
      </c>
      <c r="BI7" s="245" t="s">
        <v>2102</v>
      </c>
      <c r="BJ7" s="246" t="s">
        <v>2103</v>
      </c>
      <c r="BK7" s="255" t="s">
        <v>205</v>
      </c>
      <c r="BL7" s="245" t="s">
        <v>206</v>
      </c>
      <c r="BM7" s="245" t="s">
        <v>206</v>
      </c>
      <c r="BN7" s="358" t="s">
        <v>2083</v>
      </c>
      <c r="BP7" s="450">
        <v>45869</v>
      </c>
      <c r="BQ7" s="449" t="s">
        <v>215</v>
      </c>
      <c r="BR7" s="283" t="s">
        <v>231</v>
      </c>
      <c r="BV7" s="249" t="s">
        <v>2078</v>
      </c>
      <c r="BX7" s="244">
        <v>45945</v>
      </c>
      <c r="BY7" s="245" t="s">
        <v>2102</v>
      </c>
      <c r="BZ7" s="246" t="s">
        <v>2104</v>
      </c>
      <c r="CA7" s="255" t="s">
        <v>205</v>
      </c>
      <c r="CB7" s="245" t="s">
        <v>206</v>
      </c>
      <c r="CC7" s="245" t="s">
        <v>206</v>
      </c>
      <c r="CD7" s="358" t="s">
        <v>2105</v>
      </c>
      <c r="CF7" s="254">
        <v>46000</v>
      </c>
      <c r="CG7" s="248" t="s">
        <v>218</v>
      </c>
      <c r="CH7" s="248" t="s">
        <v>233</v>
      </c>
      <c r="CL7" s="249" t="s">
        <v>2078</v>
      </c>
      <c r="CN7" s="252"/>
      <c r="CO7" s="252"/>
      <c r="CP7" s="249" t="s">
        <v>2078</v>
      </c>
      <c r="CQ7" s="247"/>
      <c r="CT7" s="249" t="s">
        <v>2088</v>
      </c>
      <c r="CX7" s="249" t="s">
        <v>2078</v>
      </c>
      <c r="DB7" s="249" t="s">
        <v>2078</v>
      </c>
    </row>
    <row r="8" spans="1:106" ht="318" customHeight="1" x14ac:dyDescent="0.3">
      <c r="A8" s="509">
        <v>1</v>
      </c>
      <c r="B8" s="510" t="s">
        <v>2064</v>
      </c>
      <c r="C8" s="511" t="s">
        <v>1270</v>
      </c>
      <c r="D8" s="511" t="str">
        <f>IFERROR(INDEX('[4]Base de datos gestión'!$D$28:$D$50,MATCH(C8,'[4]Base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8" s="512" t="str">
        <f>IFERROR(INDEX('[4]Base de datos gestión'!$E$28:$E$50,MATCH(C8,'[4]Base de datos gestión'!$C$28:$C$50,0)), 0)</f>
        <v>Inicia desde la desagregación del presupuesto de gastos e ingresos y termina con la gestión del pago y el registro de las operaciones.</v>
      </c>
      <c r="F8" s="513" t="s">
        <v>2065</v>
      </c>
      <c r="G8" s="513" t="s">
        <v>2065</v>
      </c>
      <c r="H8" s="511" t="s">
        <v>652</v>
      </c>
      <c r="I8" s="511" t="s">
        <v>2066</v>
      </c>
      <c r="J8" s="511" t="s">
        <v>2067</v>
      </c>
      <c r="K8" s="511" t="s">
        <v>2068</v>
      </c>
      <c r="L8" s="511" t="s">
        <v>2069</v>
      </c>
      <c r="M8" s="511" t="s">
        <v>2070</v>
      </c>
      <c r="N8" s="509">
        <v>1500</v>
      </c>
      <c r="O8" s="232" t="str">
        <f t="shared" si="6"/>
        <v>Alta</v>
      </c>
      <c r="P8" s="233">
        <f t="shared" si="7"/>
        <v>0.8</v>
      </c>
      <c r="Q8" s="233" t="s">
        <v>979</v>
      </c>
      <c r="R8" s="233" t="str">
        <f>IF(NOT(ISERROR(MATCH(Q8,'[4]Tabla Impacto'!$B$222:$B$224,0))),'[4]Tabla Impacto'!$F$224&amp;"Por favor no seleccionar los criterios de impacto(Afectación Económica o presupuestal y Pérdida Reputacional)",Q8)</f>
        <v xml:space="preserve">     Entre 50 y 100 SMLMV </v>
      </c>
      <c r="S8" s="232" t="str">
        <f>IF(OR(R8='[4]Tabla Impacto'!$C$12,R8='[4]Tabla Impacto'!$D$12),"Leve",IF(OR(R8='[4]Tabla Impacto'!$C$13,R8='[4]Tabla Impacto'!$D$13),"Menor",IF(OR(R8='[4]Tabla Impacto'!$C$14,R8='[4]Tabla Impacto'!$D$14),"Moderado",IF(OR(R8='[4]Tabla Impacto'!$C$15,R8='[4]Tabla Impacto'!$D$15),"Mayor",IF(OR(R8='[4]Tabla Impacto'!$C$16,R8='[4]Tabla Impacto'!$D$16),"Catastrófico","")))))</f>
        <v>Moderado</v>
      </c>
      <c r="T8" s="233">
        <f t="shared" si="8"/>
        <v>0.6</v>
      </c>
      <c r="U8" s="235" t="str">
        <f t="shared" si="9"/>
        <v>Alto</v>
      </c>
      <c r="V8" s="236">
        <v>5</v>
      </c>
      <c r="W8" s="514" t="s">
        <v>2108</v>
      </c>
      <c r="X8" s="236" t="str">
        <f t="shared" si="0"/>
        <v>Probabilidad</v>
      </c>
      <c r="Y8" s="515" t="s">
        <v>197</v>
      </c>
      <c r="Z8" s="515" t="s">
        <v>198</v>
      </c>
      <c r="AA8" s="238" t="str">
        <f t="shared" si="1"/>
        <v>40%</v>
      </c>
      <c r="AB8" s="515" t="s">
        <v>259</v>
      </c>
      <c r="AC8" s="515" t="s">
        <v>200</v>
      </c>
      <c r="AD8" s="515" t="s">
        <v>201</v>
      </c>
      <c r="AE8" s="516">
        <f>IFERROR(IF(AND(X7="Probabilidad",X8="Probabilidad"),(AG7-(+AG7*AA8)),IF(AND(X7="Impacto",X8="Probabilidad"),(AG6-(+AG6*AA8)),IF(X8="Impacto",AG7,""))),"")</f>
        <v>6.2207999999999986E-2</v>
      </c>
      <c r="AF8" s="240" t="str">
        <f t="shared" si="2"/>
        <v>Muy Baja</v>
      </c>
      <c r="AG8" s="241">
        <f t="shared" si="3"/>
        <v>6.2207999999999986E-2</v>
      </c>
      <c r="AH8" s="240" t="str">
        <f t="shared" si="4"/>
        <v>Moderado</v>
      </c>
      <c r="AI8" s="241">
        <f>IFERROR(IF(AND(X7="Impacto",X8="Impacto"),(AI7-(+AI7*AA8)),IF(AND(X7="Probabilidad",X8="Impacto"),(AI6-(+AI6*AA8)),IF(X8="Probabilidad",AI7,""))),"")</f>
        <v>0.6</v>
      </c>
      <c r="AJ8" s="242" t="str">
        <f t="shared" si="5"/>
        <v>Moderado</v>
      </c>
      <c r="AK8" s="517" t="s">
        <v>202</v>
      </c>
      <c r="AL8" s="518"/>
      <c r="AM8" s="518"/>
      <c r="AN8" s="519"/>
      <c r="AO8" s="518" t="s">
        <v>2099</v>
      </c>
      <c r="AP8" s="518"/>
      <c r="AQ8" s="223"/>
      <c r="AR8" s="244">
        <v>45757</v>
      </c>
      <c r="AS8" s="245" t="s">
        <v>2100</v>
      </c>
      <c r="AT8" s="248" t="s">
        <v>2109</v>
      </c>
      <c r="AU8" s="247" t="s">
        <v>205</v>
      </c>
      <c r="AV8" s="248" t="s">
        <v>206</v>
      </c>
      <c r="AW8" s="248" t="s">
        <v>535</v>
      </c>
      <c r="AX8" s="249" t="s">
        <v>2088</v>
      </c>
      <c r="AZ8" s="244">
        <v>45782</v>
      </c>
      <c r="BA8" s="251" t="s">
        <v>207</v>
      </c>
      <c r="BB8" s="245" t="s">
        <v>228</v>
      </c>
      <c r="BF8" s="249" t="s">
        <v>2078</v>
      </c>
      <c r="BH8" s="244">
        <v>45854</v>
      </c>
      <c r="BI8" s="245" t="s">
        <v>2102</v>
      </c>
      <c r="BJ8" s="246" t="s">
        <v>2110</v>
      </c>
      <c r="BK8" s="255" t="s">
        <v>205</v>
      </c>
      <c r="BL8" s="245" t="s">
        <v>206</v>
      </c>
      <c r="BM8" s="245" t="s">
        <v>206</v>
      </c>
      <c r="BN8" s="358" t="s">
        <v>2083</v>
      </c>
      <c r="BP8" s="450">
        <v>45869</v>
      </c>
      <c r="BQ8" s="449" t="s">
        <v>215</v>
      </c>
      <c r="BR8" s="283" t="s">
        <v>231</v>
      </c>
      <c r="BV8" s="249" t="s">
        <v>2078</v>
      </c>
      <c r="BX8" s="244">
        <v>45945</v>
      </c>
      <c r="BY8" s="245" t="s">
        <v>2102</v>
      </c>
      <c r="BZ8" s="246" t="s">
        <v>2111</v>
      </c>
      <c r="CA8" s="255" t="s">
        <v>205</v>
      </c>
      <c r="CB8" s="245" t="s">
        <v>206</v>
      </c>
      <c r="CC8" s="245" t="s">
        <v>206</v>
      </c>
      <c r="CD8" s="358" t="s">
        <v>2105</v>
      </c>
      <c r="CF8" s="254">
        <v>46000</v>
      </c>
      <c r="CG8" s="248" t="s">
        <v>218</v>
      </c>
      <c r="CH8" s="248" t="s">
        <v>233</v>
      </c>
      <c r="CL8" s="249" t="s">
        <v>2078</v>
      </c>
      <c r="CN8" s="252"/>
      <c r="CO8" s="252"/>
      <c r="CP8" s="249" t="s">
        <v>2078</v>
      </c>
      <c r="CQ8" s="247"/>
      <c r="CT8" s="249" t="s">
        <v>2088</v>
      </c>
      <c r="CX8" s="249" t="s">
        <v>2078</v>
      </c>
      <c r="DB8" s="249" t="s">
        <v>2078</v>
      </c>
    </row>
    <row r="9" spans="1:106" ht="210" customHeight="1" x14ac:dyDescent="0.3">
      <c r="A9" s="509">
        <v>1</v>
      </c>
      <c r="B9" s="510" t="s">
        <v>2064</v>
      </c>
      <c r="C9" s="511" t="s">
        <v>1270</v>
      </c>
      <c r="D9" s="511" t="str">
        <f>IFERROR(INDEX('[4]Base de datos gestión'!$D$28:$D$50,MATCH(C9,'[4]Base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E9" s="512" t="str">
        <f>IFERROR(INDEX('[4]Base de datos gestión'!$E$28:$E$50,MATCH(C9,'[4]Base de datos gestión'!$C$28:$C$50,0)), 0)</f>
        <v>Inicia desde la desagregación del presupuesto de gastos e ingresos y termina con la gestión del pago y el registro de las operaciones.</v>
      </c>
      <c r="F9" s="513" t="s">
        <v>2065</v>
      </c>
      <c r="G9" s="513" t="s">
        <v>2065</v>
      </c>
      <c r="H9" s="511" t="s">
        <v>652</v>
      </c>
      <c r="I9" s="511" t="s">
        <v>2066</v>
      </c>
      <c r="J9" s="511" t="s">
        <v>2067</v>
      </c>
      <c r="K9" s="511" t="s">
        <v>2068</v>
      </c>
      <c r="L9" s="511" t="s">
        <v>2069</v>
      </c>
      <c r="M9" s="511" t="s">
        <v>2070</v>
      </c>
      <c r="N9" s="509">
        <v>1500</v>
      </c>
      <c r="O9" s="232" t="str">
        <f t="shared" si="6"/>
        <v>Alta</v>
      </c>
      <c r="P9" s="233">
        <f t="shared" si="7"/>
        <v>0.8</v>
      </c>
      <c r="Q9" s="233" t="s">
        <v>979</v>
      </c>
      <c r="R9" s="233" t="str">
        <f>IF(NOT(ISERROR(MATCH(Q9,'[4]Tabla Impacto'!$B$222:$B$224,0))),'[4]Tabla Impacto'!$F$224&amp;"Por favor no seleccionar los criterios de impacto(Afectación Económica o presupuestal y Pérdida Reputacional)",Q9)</f>
        <v xml:space="preserve">     Entre 50 y 100 SMLMV </v>
      </c>
      <c r="S9" s="232" t="str">
        <f>IF(OR(R9='[4]Tabla Impacto'!$C$12,R9='[4]Tabla Impacto'!$D$12),"Leve",IF(OR(R9='[4]Tabla Impacto'!$C$13,R9='[4]Tabla Impacto'!$D$13),"Menor",IF(OR(R9='[4]Tabla Impacto'!$C$14,R9='[4]Tabla Impacto'!$D$14),"Moderado",IF(OR(R9='[4]Tabla Impacto'!$C$15,R9='[4]Tabla Impacto'!$D$15),"Mayor",IF(OR(R9='[4]Tabla Impacto'!$C$16,R9='[4]Tabla Impacto'!$D$16),"Catastrófico","")))))</f>
        <v>Moderado</v>
      </c>
      <c r="T9" s="233">
        <f t="shared" si="8"/>
        <v>0.6</v>
      </c>
      <c r="U9" s="235" t="str">
        <f t="shared" si="9"/>
        <v>Alto</v>
      </c>
      <c r="V9" s="236">
        <v>6</v>
      </c>
      <c r="W9" s="514" t="s">
        <v>2112</v>
      </c>
      <c r="X9" s="236" t="str">
        <f t="shared" si="0"/>
        <v>Probabilidad</v>
      </c>
      <c r="Y9" s="515" t="s">
        <v>197</v>
      </c>
      <c r="Z9" s="515" t="s">
        <v>198</v>
      </c>
      <c r="AA9" s="238" t="str">
        <f t="shared" si="1"/>
        <v>40%</v>
      </c>
      <c r="AB9" s="515" t="s">
        <v>259</v>
      </c>
      <c r="AC9" s="515" t="s">
        <v>200</v>
      </c>
      <c r="AD9" s="515" t="s">
        <v>201</v>
      </c>
      <c r="AE9" s="516">
        <f>IFERROR(IF(AND(X8="Probabilidad",X9="Probabilidad"),(AG8-(+AG8*AA9)),IF(AND(X8="Impacto",X9="Probabilidad"),(AG7-(+AG7*AA9)),IF(X9="Impacto",AG8,""))),"")</f>
        <v>3.7324799999999991E-2</v>
      </c>
      <c r="AF9" s="240" t="str">
        <f t="shared" si="2"/>
        <v>Muy Baja</v>
      </c>
      <c r="AG9" s="241">
        <f t="shared" si="3"/>
        <v>3.7324799999999991E-2</v>
      </c>
      <c r="AH9" s="240" t="str">
        <f t="shared" si="4"/>
        <v>Moderado</v>
      </c>
      <c r="AI9" s="241">
        <f>IFERROR(IF(AND(X8="Impacto",X9="Impacto"),(AI8-(+AI8*AA9)),IF(AND(X8="Probabilidad",X9="Impacto"),(AI7-(+AI7*AA9)),IF(X9="Probabilidad",AI8,""))),"")</f>
        <v>0.6</v>
      </c>
      <c r="AJ9" s="242" t="str">
        <f t="shared" si="5"/>
        <v>Moderado</v>
      </c>
      <c r="AK9" s="517" t="s">
        <v>202</v>
      </c>
      <c r="AL9" s="518"/>
      <c r="AM9" s="518"/>
      <c r="AN9" s="519"/>
      <c r="AO9" s="518" t="s">
        <v>2099</v>
      </c>
      <c r="AP9" s="518"/>
      <c r="AQ9" s="223"/>
      <c r="AR9" s="244">
        <v>45757</v>
      </c>
      <c r="AS9" s="245" t="s">
        <v>2100</v>
      </c>
      <c r="AT9" s="248" t="s">
        <v>2113</v>
      </c>
      <c r="AU9" s="247" t="s">
        <v>205</v>
      </c>
      <c r="AV9" s="248" t="s">
        <v>206</v>
      </c>
      <c r="AW9" s="248" t="s">
        <v>535</v>
      </c>
      <c r="AX9" s="249" t="s">
        <v>2088</v>
      </c>
      <c r="AZ9" s="244">
        <v>45782</v>
      </c>
      <c r="BA9" s="251" t="s">
        <v>207</v>
      </c>
      <c r="BB9" s="245" t="s">
        <v>228</v>
      </c>
      <c r="BF9" s="249" t="s">
        <v>2078</v>
      </c>
      <c r="BH9" s="244">
        <v>45854</v>
      </c>
      <c r="BI9" s="245" t="s">
        <v>2102</v>
      </c>
      <c r="BJ9" s="248" t="s">
        <v>2114</v>
      </c>
      <c r="BK9" s="255" t="s">
        <v>205</v>
      </c>
      <c r="BL9" s="245" t="s">
        <v>206</v>
      </c>
      <c r="BM9" s="245" t="s">
        <v>206</v>
      </c>
      <c r="BN9" s="358" t="s">
        <v>2083</v>
      </c>
      <c r="BP9" s="450">
        <v>45869</v>
      </c>
      <c r="BQ9" s="449" t="s">
        <v>215</v>
      </c>
      <c r="BR9" s="283" t="s">
        <v>231</v>
      </c>
      <c r="BV9" s="249" t="s">
        <v>2078</v>
      </c>
      <c r="BX9" s="244">
        <v>45945</v>
      </c>
      <c r="BY9" s="245" t="s">
        <v>2102</v>
      </c>
      <c r="BZ9" s="248" t="s">
        <v>2115</v>
      </c>
      <c r="CA9" s="255" t="s">
        <v>205</v>
      </c>
      <c r="CB9" s="245" t="s">
        <v>206</v>
      </c>
      <c r="CC9" s="245" t="s">
        <v>206</v>
      </c>
      <c r="CD9" s="248" t="s">
        <v>2116</v>
      </c>
      <c r="CF9" s="254">
        <v>46000</v>
      </c>
      <c r="CG9" s="248" t="s">
        <v>218</v>
      </c>
      <c r="CH9" s="248" t="s">
        <v>233</v>
      </c>
      <c r="CL9" s="249" t="s">
        <v>2078</v>
      </c>
      <c r="CN9" s="252"/>
      <c r="CO9" s="252"/>
      <c r="CP9" s="249" t="s">
        <v>2078</v>
      </c>
      <c r="CQ9" s="247"/>
      <c r="CT9" s="249" t="s">
        <v>2088</v>
      </c>
      <c r="CX9" s="249" t="s">
        <v>2078</v>
      </c>
      <c r="DB9" s="249" t="s">
        <v>2078</v>
      </c>
    </row>
    <row r="10" spans="1:106" ht="322.5" customHeight="1" x14ac:dyDescent="0.3">
      <c r="A10" s="509">
        <v>2</v>
      </c>
      <c r="B10" s="510" t="s">
        <v>2117</v>
      </c>
      <c r="C10" s="511" t="s">
        <v>1526</v>
      </c>
      <c r="D10" s="511" t="str">
        <f>IFERROR(INDEX('[4]Base de datos gestión'!$D$28:$D$50,MATCH(C10,'[4]Base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10" s="511" t="str">
        <f>IFERROR(INDEX('[4]Base de datos gestión'!$E$28:$E$50,MATCH(C10,'[4]Base de datos gestión'!$C$28:$C$50,0)), 0)</f>
        <v>Inicia con la radicación de solicitud de contratación y finaliza con la terminación de la relación contractual.</v>
      </c>
      <c r="F10" s="513" t="s">
        <v>2118</v>
      </c>
      <c r="G10" s="513" t="s">
        <v>2118</v>
      </c>
      <c r="H10" s="511" t="s">
        <v>652</v>
      </c>
      <c r="I10" s="511" t="s">
        <v>2119</v>
      </c>
      <c r="J10" s="511" t="s">
        <v>2120</v>
      </c>
      <c r="K10" s="511" t="s">
        <v>2121</v>
      </c>
      <c r="L10" s="511" t="s">
        <v>2069</v>
      </c>
      <c r="M10" s="511" t="s">
        <v>2070</v>
      </c>
      <c r="N10" s="509">
        <v>170</v>
      </c>
      <c r="O10" s="232" t="str">
        <f>IF(N10&lt;=0,"",IF(N10&lt;=2,"Muy Baja",IF(N10&lt;=24,"Baja",IF(N10&lt;=500,"Media",IF(N10&lt;=5000,"Alta","Muy Alta")))))</f>
        <v>Media</v>
      </c>
      <c r="P10" s="233">
        <f>IF(O10="","",IF(O10="Muy Baja",0.2,IF(O10="Baja",0.4,IF(O10="Media",0.6,IF(O10="Alta",0.8,IF(O10="Muy Alta",1,))))))</f>
        <v>0.6</v>
      </c>
      <c r="Q10" s="233" t="s">
        <v>979</v>
      </c>
      <c r="R10" s="233" t="str">
        <f>IF(NOT(ISERROR(MATCH(Q10,'[4]Tabla Impacto'!$B$222:$B$224,0))),'[4]Tabla Impacto'!$F$224&amp;"Por favor no seleccionar los criterios de impacto(Afectación Económica o presupuestal y Pérdida Reputacional)",Q10)</f>
        <v xml:space="preserve">     Entre 50 y 100 SMLMV </v>
      </c>
      <c r="S10" s="232" t="str">
        <f>IF(OR(R10='[4]Tabla Impacto'!$C$12,R10='[4]Tabla Impacto'!$D$12),"Leve",IF(OR(R10='[4]Tabla Impacto'!$C$13,R10='[4]Tabla Impacto'!$D$13),"Menor",IF(OR(R10='[4]Tabla Impacto'!$C$14,R10='[4]Tabla Impacto'!$D$14),"Moderado",IF(OR(R10='[4]Tabla Impacto'!$C$15,R10='[4]Tabla Impacto'!$D$15),"Mayor",IF(OR(R10='[4]Tabla Impacto'!$C$16,R10='[4]Tabla Impacto'!$D$16),"Catastrófico","")))))</f>
        <v>Moderado</v>
      </c>
      <c r="T10" s="233">
        <f>IF(S10="","",IF(S10="Leve",0.2,IF(S10="Menor",0.4,IF(S10="Moderado",0.6,IF(S10="Mayor",0.8,IF(S10="Catastrófico",1,))))))</f>
        <v>0.6</v>
      </c>
      <c r="U10" s="235" t="str">
        <f>IF(OR(AND(O10="Muy Baja",S10="Leve"),AND(O10="Muy Baja",S10="Menor"),AND(O10="Baja",S10="Leve")),"Bajo",IF(OR(AND(O10="Muy baja",S10="Moderado"),AND(O10="Baja",S10="Menor"),AND(O10="Baja",S10="Moderado"),AND(O10="Media",S10="Leve"),AND(O10="Media",S10="Menor"),AND(O10="Media",S10="Moderado"),AND(O10="Alta",S10="Leve"),AND(O10="Alta",S10="Menor")),"Moderado",IF(OR(AND(O10="Muy Baja",S10="Mayor"),AND(O10="Baja",S10="Mayor"),AND(O10="Media",S10="Mayor"),AND(O10="Alta",S10="Moderado"),AND(O10="Alta",S10="Mayor"),AND(O10="Muy Alta",S10="Leve"),AND(O10="Muy Alta",S10="Menor"),AND(O10="Muy Alta",S10="Moderado"),AND(O10="Muy Alta",S10="Mayor")),"Alto",IF(OR(AND(O10="Muy Baja",S10="Catastrófico"),AND(O10="Baja",S10="Catastrófico"),AND(O10="Media",S10="Catastrófico"),AND(O10="Alta",S10="Catastrófico"),AND(O10="Muy Alta",S10="Catastrófico")),"Extremo",""))))</f>
        <v>Moderado</v>
      </c>
      <c r="V10" s="236">
        <v>1</v>
      </c>
      <c r="W10" s="514" t="s">
        <v>2122</v>
      </c>
      <c r="X10" s="236" t="str">
        <f t="shared" si="0"/>
        <v>Probabilidad</v>
      </c>
      <c r="Y10" s="515" t="s">
        <v>197</v>
      </c>
      <c r="Z10" s="515" t="s">
        <v>198</v>
      </c>
      <c r="AA10" s="238" t="str">
        <f t="shared" si="1"/>
        <v>40%</v>
      </c>
      <c r="AB10" s="515" t="s">
        <v>259</v>
      </c>
      <c r="AC10" s="515" t="s">
        <v>200</v>
      </c>
      <c r="AD10" s="515" t="s">
        <v>201</v>
      </c>
      <c r="AE10" s="516">
        <f>IFERROR(IF(X10="Probabilidad",(P10-(+P10*AA10)),IF(X10="Impacto",P10,"")),"")</f>
        <v>0.36</v>
      </c>
      <c r="AF10" s="240" t="str">
        <f t="shared" si="2"/>
        <v>Baja</v>
      </c>
      <c r="AG10" s="241">
        <f t="shared" si="3"/>
        <v>0.36</v>
      </c>
      <c r="AH10" s="240" t="str">
        <f t="shared" si="4"/>
        <v>Moderado</v>
      </c>
      <c r="AI10" s="241">
        <f>IFERROR(IF(X10="Impacto",(T10-(+T10*AA10)),IF(X10="Probabilidad",T10,"")),"")</f>
        <v>0.6</v>
      </c>
      <c r="AJ10" s="242" t="str">
        <f t="shared" si="5"/>
        <v>Moderado</v>
      </c>
      <c r="AK10" s="517" t="s">
        <v>202</v>
      </c>
      <c r="AL10" s="518" t="s">
        <v>2123</v>
      </c>
      <c r="AM10" s="518" t="s">
        <v>2124</v>
      </c>
      <c r="AN10" s="519">
        <v>45744</v>
      </c>
      <c r="AO10" s="979" t="s">
        <v>2125</v>
      </c>
      <c r="AP10" s="522" t="s">
        <v>2126</v>
      </c>
      <c r="AQ10" s="223"/>
      <c r="AR10" s="244">
        <v>45768</v>
      </c>
      <c r="AS10" s="245" t="s">
        <v>2127</v>
      </c>
      <c r="AT10" s="248" t="s">
        <v>2128</v>
      </c>
      <c r="AU10" s="255" t="s">
        <v>205</v>
      </c>
      <c r="AV10" s="245" t="s">
        <v>206</v>
      </c>
      <c r="AW10" s="245" t="s">
        <v>535</v>
      </c>
      <c r="AX10" s="249" t="s">
        <v>2088</v>
      </c>
      <c r="AZ10" s="244">
        <v>45782</v>
      </c>
      <c r="BA10" s="251" t="s">
        <v>207</v>
      </c>
      <c r="BB10" s="245" t="s">
        <v>228</v>
      </c>
      <c r="BF10" s="249" t="s">
        <v>2078</v>
      </c>
      <c r="BH10" s="244">
        <v>45862</v>
      </c>
      <c r="BI10" s="245" t="s">
        <v>2129</v>
      </c>
      <c r="BJ10" s="248" t="s">
        <v>2130</v>
      </c>
      <c r="BK10" s="255" t="s">
        <v>205</v>
      </c>
      <c r="BL10" s="245" t="s">
        <v>206</v>
      </c>
      <c r="BM10" s="245" t="s">
        <v>535</v>
      </c>
      <c r="BN10" s="358" t="s">
        <v>2131</v>
      </c>
      <c r="BP10" s="450">
        <v>45869</v>
      </c>
      <c r="BQ10" s="449" t="s">
        <v>215</v>
      </c>
      <c r="BR10" s="283" t="s">
        <v>231</v>
      </c>
      <c r="BV10" s="249" t="s">
        <v>2078</v>
      </c>
      <c r="BX10" s="244">
        <v>45946</v>
      </c>
      <c r="BY10" s="245" t="s">
        <v>2132</v>
      </c>
      <c r="BZ10" s="248" t="s">
        <v>2133</v>
      </c>
      <c r="CA10" s="255" t="s">
        <v>205</v>
      </c>
      <c r="CB10" s="245" t="s">
        <v>206</v>
      </c>
      <c r="CC10" s="245" t="s">
        <v>535</v>
      </c>
      <c r="CD10" s="358" t="s">
        <v>2134</v>
      </c>
      <c r="CF10" s="254">
        <v>46000</v>
      </c>
      <c r="CG10" s="248" t="s">
        <v>218</v>
      </c>
      <c r="CH10" s="248" t="s">
        <v>233</v>
      </c>
      <c r="CL10" s="249" t="s">
        <v>2078</v>
      </c>
      <c r="CN10" s="252"/>
      <c r="CO10" s="252"/>
      <c r="CP10" s="249" t="s">
        <v>2078</v>
      </c>
      <c r="CQ10" s="247"/>
      <c r="CT10" s="249" t="s">
        <v>2088</v>
      </c>
      <c r="CX10" s="249" t="s">
        <v>2078</v>
      </c>
      <c r="DB10" s="249" t="s">
        <v>2078</v>
      </c>
    </row>
    <row r="11" spans="1:106" ht="210" customHeight="1" x14ac:dyDescent="0.3">
      <c r="A11" s="523">
        <v>2</v>
      </c>
      <c r="B11" s="510" t="s">
        <v>2117</v>
      </c>
      <c r="C11" s="511" t="s">
        <v>1526</v>
      </c>
      <c r="D11" s="511" t="str">
        <f>IFERROR(INDEX('[4]Base de datos gestión'!$D$28:$D$50,MATCH(C11,'[4]Base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E11" s="511" t="str">
        <f>IFERROR(INDEX('[4]Base de datos gestión'!$E$28:$E$50,MATCH(C11,'[4]Base de datos gestión'!$C$28:$C$50,0)), 0)</f>
        <v>Inicia con la radicación de solicitud de contratación y finaliza con la terminación de la relación contractual.</v>
      </c>
      <c r="F11" s="513" t="s">
        <v>2118</v>
      </c>
      <c r="G11" s="513" t="s">
        <v>2118</v>
      </c>
      <c r="H11" s="511" t="s">
        <v>652</v>
      </c>
      <c r="I11" s="511" t="s">
        <v>2119</v>
      </c>
      <c r="J11" s="511" t="s">
        <v>2120</v>
      </c>
      <c r="K11" s="511" t="s">
        <v>2121</v>
      </c>
      <c r="L11" s="511" t="s">
        <v>2069</v>
      </c>
      <c r="M11" s="511" t="s">
        <v>2070</v>
      </c>
      <c r="N11" s="509">
        <v>170</v>
      </c>
      <c r="O11" s="232" t="str">
        <f>IF(N11&lt;=0,"",IF(N11&lt;=2,"Muy Baja",IF(N11&lt;=24,"Baja",IF(N11&lt;=500,"Media",IF(N11&lt;=5000,"Alta","Muy Alta")))))</f>
        <v>Media</v>
      </c>
      <c r="P11" s="233">
        <f>IF(O11="","",IF(O11="Muy Baja",0.2,IF(O11="Baja",0.4,IF(O11="Media",0.6,IF(O11="Alta",0.8,IF(O11="Muy Alta",1,))))))</f>
        <v>0.6</v>
      </c>
      <c r="Q11" s="233" t="s">
        <v>979</v>
      </c>
      <c r="R11" s="233" t="str">
        <f>IF(NOT(ISERROR(MATCH(Q11,'[4]Tabla Impacto'!$B$222:$B$224,0))),'[4]Tabla Impacto'!$F$224&amp;"Por favor no seleccionar los criterios de impacto(Afectación Económica o presupuestal y Pérdida Reputacional)",Q11)</f>
        <v xml:space="preserve">     Entre 50 y 100 SMLMV </v>
      </c>
      <c r="S11" s="232" t="str">
        <f>IF(OR(R11='[4]Tabla Impacto'!$C$12,R11='[4]Tabla Impacto'!$D$12),"Leve",IF(OR(R11='[4]Tabla Impacto'!$C$13,R11='[4]Tabla Impacto'!$D$13),"Menor",IF(OR(R11='[4]Tabla Impacto'!$C$14,R11='[4]Tabla Impacto'!$D$14),"Moderado",IF(OR(R11='[4]Tabla Impacto'!$C$15,R11='[4]Tabla Impacto'!$D$15),"Mayor",IF(OR(R11='[4]Tabla Impacto'!$C$16,R11='[4]Tabla Impacto'!$D$16),"Catastrófico","")))))</f>
        <v>Moderado</v>
      </c>
      <c r="T11" s="233">
        <f>IF(S11="","",IF(S11="Leve",0.2,IF(S11="Menor",0.4,IF(S11="Moderado",0.6,IF(S11="Mayor",0.8,IF(S11="Catastrófico",1,))))))</f>
        <v>0.6</v>
      </c>
      <c r="U11" s="235" t="str">
        <f>IF(OR(AND(O11="Muy Baja",S11="Leve"),AND(O11="Muy Baja",S11="Menor"),AND(O11="Baja",S11="Leve")),"Bajo",IF(OR(AND(O11="Muy baja",S11="Moderado"),AND(O11="Baja",S11="Menor"),AND(O11="Baja",S11="Moderado"),AND(O11="Media",S11="Leve"),AND(O11="Media",S11="Menor"),AND(O11="Media",S11="Moderado"),AND(O11="Alta",S11="Leve"),AND(O11="Alta",S11="Menor")),"Moderado",IF(OR(AND(O11="Muy Baja",S11="Mayor"),AND(O11="Baja",S11="Mayor"),AND(O11="Media",S11="Mayor"),AND(O11="Alta",S11="Moderado"),AND(O11="Alta",S11="Mayor"),AND(O11="Muy Alta",S11="Leve"),AND(O11="Muy Alta",S11="Menor"),AND(O11="Muy Alta",S11="Moderado"),AND(O11="Muy Alta",S11="Mayor")),"Alto",IF(OR(AND(O11="Muy Baja",S11="Catastrófico"),AND(O11="Baja",S11="Catastrófico"),AND(O11="Media",S11="Catastrófico"),AND(O11="Alta",S11="Catastrófico"),AND(O11="Muy Alta",S11="Catastrófico")),"Extremo",""))))</f>
        <v>Moderado</v>
      </c>
      <c r="V11" s="236">
        <v>2</v>
      </c>
      <c r="W11" s="514" t="s">
        <v>2135</v>
      </c>
      <c r="X11" s="236" t="str">
        <f t="shared" si="0"/>
        <v>Probabilidad</v>
      </c>
      <c r="Y11" s="515" t="s">
        <v>197</v>
      </c>
      <c r="Z11" s="515" t="s">
        <v>198</v>
      </c>
      <c r="AA11" s="238" t="str">
        <f t="shared" si="1"/>
        <v>40%</v>
      </c>
      <c r="AB11" s="515" t="s">
        <v>259</v>
      </c>
      <c r="AC11" s="515" t="s">
        <v>200</v>
      </c>
      <c r="AD11" s="515" t="s">
        <v>201</v>
      </c>
      <c r="AE11" s="516">
        <f t="shared" ref="AE11" si="10">IFERROR(IF(X11="Probabilidad",(P11-(+P11*AA11)),IF(X11="Impacto",P11,"")),"")</f>
        <v>0.36</v>
      </c>
      <c r="AF11" s="240" t="str">
        <f t="shared" si="2"/>
        <v>Baja</v>
      </c>
      <c r="AG11" s="241">
        <f t="shared" si="3"/>
        <v>0.36</v>
      </c>
      <c r="AH11" s="240" t="str">
        <f t="shared" si="4"/>
        <v>Moderado</v>
      </c>
      <c r="AI11" s="241">
        <f>IFERROR(IF(AND(X10="Impacto",X11="Impacto"),(AI4-(+AI4*AA11)),IF(X11="Impacto",($T$10-(+$T$10*AA11)),IF(X11="Probabilidad",AI4,""))),"")</f>
        <v>0.6</v>
      </c>
      <c r="AJ11" s="242" t="str">
        <f t="shared" si="5"/>
        <v>Moderado</v>
      </c>
      <c r="AK11" s="517" t="s">
        <v>202</v>
      </c>
      <c r="AL11" s="518" t="s">
        <v>2136</v>
      </c>
      <c r="AM11" s="518" t="s">
        <v>2124</v>
      </c>
      <c r="AN11" s="519">
        <v>45744</v>
      </c>
      <c r="AO11" s="980"/>
      <c r="AP11" s="522" t="s">
        <v>2126</v>
      </c>
      <c r="AQ11" s="223"/>
      <c r="AR11" s="244">
        <v>45768</v>
      </c>
      <c r="AS11" s="245" t="s">
        <v>2127</v>
      </c>
      <c r="AT11" s="246" t="s">
        <v>2137</v>
      </c>
      <c r="AU11" s="255" t="s">
        <v>205</v>
      </c>
      <c r="AV11" s="245" t="s">
        <v>206</v>
      </c>
      <c r="AW11" s="245" t="s">
        <v>535</v>
      </c>
      <c r="AX11" s="249" t="s">
        <v>2088</v>
      </c>
      <c r="AZ11" s="244">
        <v>45782</v>
      </c>
      <c r="BA11" s="251" t="s">
        <v>207</v>
      </c>
      <c r="BB11" s="245" t="s">
        <v>228</v>
      </c>
      <c r="BF11" s="249" t="s">
        <v>2078</v>
      </c>
      <c r="BH11" s="244">
        <v>45862</v>
      </c>
      <c r="BI11" s="245" t="s">
        <v>2129</v>
      </c>
      <c r="BJ11" s="246" t="s">
        <v>2138</v>
      </c>
      <c r="BK11" s="255" t="s">
        <v>205</v>
      </c>
      <c r="BL11" s="245" t="s">
        <v>206</v>
      </c>
      <c r="BM11" s="245" t="s">
        <v>535</v>
      </c>
      <c r="BN11" s="358" t="s">
        <v>2131</v>
      </c>
      <c r="BP11" s="450">
        <v>45869</v>
      </c>
      <c r="BQ11" s="449" t="s">
        <v>215</v>
      </c>
      <c r="BR11" s="283" t="s">
        <v>231</v>
      </c>
      <c r="BV11" s="249" t="s">
        <v>2078</v>
      </c>
      <c r="BX11" s="244">
        <v>45946</v>
      </c>
      <c r="BY11" s="245" t="s">
        <v>2132</v>
      </c>
      <c r="BZ11" s="246" t="s">
        <v>2139</v>
      </c>
      <c r="CA11" s="255" t="s">
        <v>205</v>
      </c>
      <c r="CB11" s="245" t="s">
        <v>206</v>
      </c>
      <c r="CC11" s="245" t="s">
        <v>535</v>
      </c>
      <c r="CD11" s="358" t="s">
        <v>2134</v>
      </c>
      <c r="CF11" s="254">
        <v>46000</v>
      </c>
      <c r="CG11" s="248" t="s">
        <v>218</v>
      </c>
      <c r="CH11" s="248" t="s">
        <v>233</v>
      </c>
      <c r="CL11" s="249" t="s">
        <v>2078</v>
      </c>
      <c r="CN11" s="252"/>
      <c r="CO11" s="252"/>
      <c r="CP11" s="249" t="s">
        <v>2078</v>
      </c>
      <c r="CQ11" s="247"/>
      <c r="CT11" s="249" t="s">
        <v>2088</v>
      </c>
      <c r="CX11" s="249" t="s">
        <v>2078</v>
      </c>
      <c r="DB11" s="249" t="s">
        <v>2078</v>
      </c>
    </row>
    <row r="12" spans="1:106" ht="242.25" customHeight="1" x14ac:dyDescent="0.2">
      <c r="A12" s="524">
        <v>3</v>
      </c>
      <c r="B12" s="510" t="s">
        <v>2140</v>
      </c>
      <c r="C12" s="511" t="s">
        <v>714</v>
      </c>
      <c r="D12" s="511" t="str">
        <f>IFERROR(INDEX('[10]Base de datos gestión'!$D$28:$D$50,MATCH(C12,'[10]Base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2" s="511" t="str">
        <f>IFERROR(INDEX('[10]Base de datos gestión'!$E$28:$E$50,MATCH(C12,'[10]Base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2" s="513" t="s">
        <v>2141</v>
      </c>
      <c r="G12" s="513" t="s">
        <v>2141</v>
      </c>
      <c r="H12" s="511" t="s">
        <v>652</v>
      </c>
      <c r="I12" s="525" t="s">
        <v>2142</v>
      </c>
      <c r="J12" s="511" t="s">
        <v>2143</v>
      </c>
      <c r="K12" s="511" t="s">
        <v>2144</v>
      </c>
      <c r="L12" s="513" t="s">
        <v>2069</v>
      </c>
      <c r="M12" s="513" t="s">
        <v>2070</v>
      </c>
      <c r="N12" s="509">
        <v>700</v>
      </c>
      <c r="O12" s="526" t="str">
        <f>IF(N12&lt;=0,"",IF(N12&lt;=2,"Muy Baja",IF(N12&lt;=24,"Baja",IF(N12&lt;=500,"Media",IF(N12&lt;=5000,"Alta","Muy Alta")))))</f>
        <v>Alta</v>
      </c>
      <c r="P12" s="233">
        <f>IF(O12="","",IF(O12="Muy Baja",0.2,IF(O12="Baja",0.4,IF(O12="Media",0.6,IF(O12="Alta",0.8,IF(O12="Muy Alta",1,))))))</f>
        <v>0.8</v>
      </c>
      <c r="Q12" s="233" t="s">
        <v>979</v>
      </c>
      <c r="R12" s="233" t="str">
        <f>IF(NOT(ISERROR(MATCH(Q12,'[10]Tabla Impacto'!$B$222:$B$224,0))),'[10]Tabla Impacto'!$F$224&amp;"Por favor no seleccionar los criterios de impacto(Afectación Económica o presupuestal y Pérdida Reputacional)",Q12)</f>
        <v xml:space="preserve">     Entre 50 y 100 SMLMV </v>
      </c>
      <c r="S12" s="232" t="str">
        <f>IF(OR(R12='[10]Tabla Impacto'!$C$12,R12='[10]Tabla Impacto'!$D$12),"Leve",IF(OR(R12='[10]Tabla Impacto'!$C$13,R12='[10]Tabla Impacto'!$D$13),"Menor",IF(OR(R12='[10]Tabla Impacto'!$C$14,R12='[10]Tabla Impacto'!$D$14),"Moderado",IF(OR(R12='[10]Tabla Impacto'!$C$15,R12='[10]Tabla Impacto'!$D$15),"Mayor",IF(OR(R12='[10]Tabla Impacto'!$C$16,R12='[10]Tabla Impacto'!$D$16),"Catastrófico","")))))</f>
        <v>Moderado</v>
      </c>
      <c r="T12" s="233">
        <f>IF(S12="","",IF(S12="Leve",0.2,IF(S12="Menor",0.4,IF(S12="Moderado",0.6,IF(S12="Mayor",0.8,IF(S12="Catastrófico",1,))))))</f>
        <v>0.6</v>
      </c>
      <c r="U12" s="235" t="str">
        <f>IF(OR(AND(O12="Muy Baja",S12="Leve"),AND(O12="Muy Baja",S12="Menor"),AND(O12="Baja",S12="Leve")),"Bajo",IF(OR(AND(O12="Muy baja",S12="Moderado"),AND(O12="Baja",S12="Menor"),AND(O12="Baja",S12="Moderado"),AND(O12="Media",S12="Leve"),AND(O12="Media",S12="Menor"),AND(O12="Media",S12="Moderado"),AND(O12="Alta",S12="Leve"),AND(O12="Alta",S12="Menor")),"Moderado",IF(OR(AND(O12="Muy Baja",S12="Mayor"),AND(O12="Baja",S12="Mayor"),AND(O12="Media",S12="Mayor"),AND(O12="Alta",S12="Moderado"),AND(O12="Alta",S12="Mayor"),AND(O12="Muy Alta",S12="Leve"),AND(O12="Muy Alta",S12="Menor"),AND(O12="Muy Alta",S12="Moderado"),AND(O12="Muy Alta",S12="Mayor")),"Alto",IF(OR(AND(O12="Muy Baja",S12="Catastrófico"),AND(O12="Baja",S12="Catastrófico"),AND(O12="Media",S12="Catastrófico"),AND(O12="Alta",S12="Catastrófico"),AND(O12="Muy Alta",S12="Catastrófico")),"Extremo",""))))</f>
        <v>Alto</v>
      </c>
      <c r="V12" s="236">
        <v>1</v>
      </c>
      <c r="W12" s="527" t="s">
        <v>2145</v>
      </c>
      <c r="X12" s="236" t="str">
        <f t="shared" si="0"/>
        <v>Probabilidad</v>
      </c>
      <c r="Y12" s="515" t="s">
        <v>197</v>
      </c>
      <c r="Z12" s="515" t="s">
        <v>198</v>
      </c>
      <c r="AA12" s="238" t="str">
        <f t="shared" si="1"/>
        <v>40%</v>
      </c>
      <c r="AB12" s="515" t="s">
        <v>259</v>
      </c>
      <c r="AC12" s="515" t="s">
        <v>200</v>
      </c>
      <c r="AD12" s="515" t="s">
        <v>201</v>
      </c>
      <c r="AE12" s="516">
        <f>IFERROR(IF(X12="Probabilidad",(P12-(+P12*AA12)),IF(X12="Impacto",P12,"")),"")</f>
        <v>0.48</v>
      </c>
      <c r="AF12" s="240" t="str">
        <f t="shared" si="2"/>
        <v>Media</v>
      </c>
      <c r="AG12" s="241">
        <f t="shared" si="3"/>
        <v>0.48</v>
      </c>
      <c r="AH12" s="240" t="str">
        <f t="shared" si="4"/>
        <v>Moderado</v>
      </c>
      <c r="AI12" s="241">
        <f>IFERROR(IF(X12="Impacto",(T12-(+T12*AA12)),IF(X12="Probabilidad",T12,"")),"")</f>
        <v>0.6</v>
      </c>
      <c r="AJ12" s="242" t="str">
        <f t="shared" si="5"/>
        <v>Moderado</v>
      </c>
      <c r="AK12" s="517" t="s">
        <v>202</v>
      </c>
      <c r="AL12" s="518" t="s">
        <v>2146</v>
      </c>
      <c r="AM12" s="518" t="s">
        <v>2147</v>
      </c>
      <c r="AN12" s="519">
        <v>45838</v>
      </c>
      <c r="AO12" s="979" t="s">
        <v>2148</v>
      </c>
      <c r="AP12" s="518"/>
      <c r="AR12" s="528" t="s">
        <v>2149</v>
      </c>
      <c r="AS12" s="256" t="s">
        <v>2150</v>
      </c>
      <c r="AT12" s="246" t="s">
        <v>2151</v>
      </c>
      <c r="AU12" s="247" t="s">
        <v>205</v>
      </c>
      <c r="AV12" s="248" t="s">
        <v>206</v>
      </c>
      <c r="AW12" s="245" t="s">
        <v>206</v>
      </c>
      <c r="AX12" s="246" t="s">
        <v>2152</v>
      </c>
      <c r="AZ12" s="244">
        <v>45782</v>
      </c>
      <c r="BA12" s="251" t="s">
        <v>207</v>
      </c>
      <c r="BB12" s="245" t="s">
        <v>228</v>
      </c>
      <c r="BF12" s="249" t="s">
        <v>2078</v>
      </c>
      <c r="BH12" s="464" t="s">
        <v>2153</v>
      </c>
      <c r="BI12" s="245" t="s">
        <v>580</v>
      </c>
      <c r="BJ12" s="246" t="s">
        <v>2154</v>
      </c>
      <c r="BK12" s="247" t="s">
        <v>205</v>
      </c>
      <c r="BL12" s="248" t="s">
        <v>206</v>
      </c>
      <c r="BM12" s="248" t="s">
        <v>535</v>
      </c>
      <c r="BN12" s="246" t="s">
        <v>2155</v>
      </c>
      <c r="BP12" s="450">
        <v>45869</v>
      </c>
      <c r="BQ12" s="449" t="s">
        <v>215</v>
      </c>
      <c r="BR12" s="283" t="s">
        <v>231</v>
      </c>
      <c r="BV12" s="249" t="s">
        <v>2078</v>
      </c>
      <c r="BX12" s="464" t="s">
        <v>2156</v>
      </c>
      <c r="BY12" s="245" t="s">
        <v>2157</v>
      </c>
      <c r="BZ12" s="246" t="s">
        <v>2158</v>
      </c>
      <c r="CA12" s="247" t="s">
        <v>205</v>
      </c>
      <c r="CB12" s="248" t="s">
        <v>206</v>
      </c>
      <c r="CC12" s="248" t="s">
        <v>535</v>
      </c>
      <c r="CD12" s="358" t="s">
        <v>2159</v>
      </c>
      <c r="CF12" s="254">
        <v>46000</v>
      </c>
      <c r="CG12" s="248" t="s">
        <v>218</v>
      </c>
      <c r="CH12" s="248" t="s">
        <v>233</v>
      </c>
      <c r="CL12" s="249" t="s">
        <v>2078</v>
      </c>
      <c r="CN12" s="252"/>
      <c r="CO12" s="252"/>
      <c r="CP12" s="249" t="s">
        <v>2078</v>
      </c>
      <c r="CQ12" s="247"/>
      <c r="CT12" s="249" t="s">
        <v>2088</v>
      </c>
      <c r="CX12" s="249" t="s">
        <v>2078</v>
      </c>
      <c r="DB12" s="249" t="s">
        <v>2078</v>
      </c>
    </row>
    <row r="13" spans="1:106" ht="409.5" x14ac:dyDescent="0.2">
      <c r="A13" s="524">
        <v>3</v>
      </c>
      <c r="B13" s="510" t="s">
        <v>2140</v>
      </c>
      <c r="C13" s="511" t="s">
        <v>714</v>
      </c>
      <c r="D13" s="511" t="str">
        <f>IFERROR(INDEX('[10]Base de datos gestión'!$D$28:$D$50,MATCH(C13,'[10]Base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3" s="511" t="str">
        <f>IFERROR(INDEX('[10]Base de datos gestión'!$E$28:$E$50,MATCH(C13,'[10]Base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3" s="513" t="s">
        <v>2141</v>
      </c>
      <c r="G13" s="513" t="s">
        <v>2141</v>
      </c>
      <c r="H13" s="511" t="s">
        <v>652</v>
      </c>
      <c r="I13" s="525" t="s">
        <v>2160</v>
      </c>
      <c r="J13" s="511" t="s">
        <v>2143</v>
      </c>
      <c r="K13" s="511" t="s">
        <v>2144</v>
      </c>
      <c r="L13" s="513" t="s">
        <v>2069</v>
      </c>
      <c r="M13" s="513" t="s">
        <v>2070</v>
      </c>
      <c r="N13" s="509">
        <v>700</v>
      </c>
      <c r="O13" s="526" t="str">
        <f t="shared" ref="O13:O21" si="11">IF(N13&lt;=0,"",IF(N13&lt;=2,"Muy Baja",IF(N13&lt;=24,"Baja",IF(N13&lt;=500,"Media",IF(N13&lt;=5000,"Alta","Muy Alta")))))</f>
        <v>Alta</v>
      </c>
      <c r="P13" s="233">
        <f t="shared" ref="P13:P21" si="12">IF(O13="","",IF(O13="Muy Baja",0.2,IF(O13="Baja",0.4,IF(O13="Media",0.6,IF(O13="Alta",0.8,IF(O13="Muy Alta",1,))))))</f>
        <v>0.8</v>
      </c>
      <c r="Q13" s="233" t="s">
        <v>979</v>
      </c>
      <c r="R13" s="233" t="str">
        <f>IF(NOT(ISERROR(MATCH(Q13,'[10]Tabla Impacto'!$B$222:$B$224,0))),'[10]Tabla Impacto'!$F$224&amp;"Por favor no seleccionar los criterios de impacto(Afectación Económica o presupuestal y Pérdida Reputacional)",Q13)</f>
        <v xml:space="preserve">     Entre 50 y 100 SMLMV </v>
      </c>
      <c r="S13" s="232" t="str">
        <f>IF(OR(R13='[10]Tabla Impacto'!$C$12,R13='[10]Tabla Impacto'!$D$12),"Leve",IF(OR(R13='[10]Tabla Impacto'!$C$13,R13='[10]Tabla Impacto'!$D$13),"Menor",IF(OR(R13='[10]Tabla Impacto'!$C$14,R13='[10]Tabla Impacto'!$D$14),"Moderado",IF(OR(R13='[10]Tabla Impacto'!$C$15,R13='[10]Tabla Impacto'!$D$15),"Mayor",IF(OR(R13='[10]Tabla Impacto'!$C$16,R13='[10]Tabla Impacto'!$D$16),"Catastrófico","")))))</f>
        <v>Moderado</v>
      </c>
      <c r="T13" s="233">
        <f t="shared" ref="T13:T21" si="13">IF(S13="","",IF(S13="Leve",0.2,IF(S13="Menor",0.4,IF(S13="Moderado",0.6,IF(S13="Mayor",0.8,IF(S13="Catastrófico",1,))))))</f>
        <v>0.6</v>
      </c>
      <c r="U13" s="235" t="str">
        <f t="shared" ref="U13:U21" si="14">IF(OR(AND(O13="Muy Baja",S13="Leve"),AND(O13="Muy Baja",S13="Menor"),AND(O13="Baja",S13="Leve")),"Bajo",IF(OR(AND(O13="Muy baja",S13="Moderado"),AND(O13="Baja",S13="Menor"),AND(O13="Baja",S13="Moderado"),AND(O13="Media",S13="Leve"),AND(O13="Media",S13="Menor"),AND(O13="Media",S13="Moderado"),AND(O13="Alta",S13="Leve"),AND(O13="Alta",S13="Menor")),"Moderado",IF(OR(AND(O13="Muy Baja",S13="Mayor"),AND(O13="Baja",S13="Mayor"),AND(O13="Media",S13="Mayor"),AND(O13="Alta",S13="Moderado"),AND(O13="Alta",S13="Mayor"),AND(O13="Muy Alta",S13="Leve"),AND(O13="Muy Alta",S13="Menor"),AND(O13="Muy Alta",S13="Moderado"),AND(O13="Muy Alta",S13="Mayor")),"Alto",IF(OR(AND(O13="Muy Baja",S13="Catastrófico"),AND(O13="Baja",S13="Catastrófico"),AND(O13="Media",S13="Catastrófico"),AND(O13="Alta",S13="Catastrófico"),AND(O13="Muy Alta",S13="Catastrófico")),"Extremo",""))))</f>
        <v>Alto</v>
      </c>
      <c r="V13" s="236">
        <v>2</v>
      </c>
      <c r="W13" s="529" t="s">
        <v>2161</v>
      </c>
      <c r="X13" s="236" t="str">
        <f t="shared" si="0"/>
        <v>Probabilidad</v>
      </c>
      <c r="Y13" s="515" t="s">
        <v>197</v>
      </c>
      <c r="Z13" s="515" t="s">
        <v>198</v>
      </c>
      <c r="AA13" s="238" t="str">
        <f t="shared" si="1"/>
        <v>40%</v>
      </c>
      <c r="AB13" s="515" t="s">
        <v>259</v>
      </c>
      <c r="AC13" s="515" t="s">
        <v>200</v>
      </c>
      <c r="AD13" s="515" t="s">
        <v>201</v>
      </c>
      <c r="AE13" s="516">
        <f>IFERROR(IF(AND(X12="Probabilidad",X13="Probabilidad"),(AG12-(+AG12*AA13)),IF(X13="Probabilidad",(P12-(+P12*AA13)),IF(X13="Impacto",AG12,""))),"")</f>
        <v>0.28799999999999998</v>
      </c>
      <c r="AF13" s="240" t="str">
        <f t="shared" si="2"/>
        <v>Baja</v>
      </c>
      <c r="AG13" s="241">
        <f t="shared" si="3"/>
        <v>0.28799999999999998</v>
      </c>
      <c r="AH13" s="240" t="str">
        <f t="shared" si="4"/>
        <v>Moderado</v>
      </c>
      <c r="AI13" s="241">
        <f>IFERROR(IF(AND(X12="Impacto",X13="Impacto"),(AI6-(+AI6*AA13)),IF(X13="Impacto",($T$10-(+$T$10*AA13)),IF(X13="Probabilidad",AI6,""))),"")</f>
        <v>0.6</v>
      </c>
      <c r="AJ13" s="242" t="str">
        <f t="shared" si="5"/>
        <v>Moderado</v>
      </c>
      <c r="AK13" s="517" t="s">
        <v>202</v>
      </c>
      <c r="AL13" s="518"/>
      <c r="AM13" s="236"/>
      <c r="AN13" s="530"/>
      <c r="AO13" s="981"/>
      <c r="AP13" s="518"/>
      <c r="AR13" s="528" t="s">
        <v>2162</v>
      </c>
      <c r="AS13" s="256" t="s">
        <v>2150</v>
      </c>
      <c r="AT13" s="246" t="s">
        <v>2163</v>
      </c>
      <c r="AU13" s="247" t="s">
        <v>205</v>
      </c>
      <c r="AV13" s="248" t="s">
        <v>206</v>
      </c>
      <c r="AW13" s="245" t="s">
        <v>206</v>
      </c>
      <c r="AX13" s="246" t="s">
        <v>2164</v>
      </c>
      <c r="AZ13" s="244">
        <v>45782</v>
      </c>
      <c r="BA13" s="251" t="s">
        <v>207</v>
      </c>
      <c r="BB13" s="245" t="s">
        <v>228</v>
      </c>
      <c r="BF13" s="249" t="s">
        <v>2078</v>
      </c>
      <c r="BH13" s="464" t="s">
        <v>2165</v>
      </c>
      <c r="BI13" s="245" t="s">
        <v>580</v>
      </c>
      <c r="BJ13" s="246" t="s">
        <v>2166</v>
      </c>
      <c r="BK13" s="247" t="s">
        <v>205</v>
      </c>
      <c r="BL13" s="248" t="s">
        <v>206</v>
      </c>
      <c r="BM13" s="248" t="s">
        <v>535</v>
      </c>
      <c r="BN13" s="246" t="s">
        <v>2167</v>
      </c>
      <c r="BP13" s="450">
        <v>45869</v>
      </c>
      <c r="BQ13" s="449" t="s">
        <v>215</v>
      </c>
      <c r="BR13" s="283" t="s">
        <v>231</v>
      </c>
      <c r="BV13" s="249" t="s">
        <v>2078</v>
      </c>
      <c r="BX13" s="464" t="s">
        <v>2156</v>
      </c>
      <c r="BY13" s="245" t="s">
        <v>2157</v>
      </c>
      <c r="BZ13" s="246" t="s">
        <v>2168</v>
      </c>
      <c r="CA13" s="247" t="s">
        <v>205</v>
      </c>
      <c r="CB13" s="248" t="s">
        <v>206</v>
      </c>
      <c r="CC13" s="248" t="s">
        <v>535</v>
      </c>
      <c r="CD13" s="358" t="s">
        <v>2169</v>
      </c>
      <c r="CF13" s="254">
        <v>46000</v>
      </c>
      <c r="CG13" s="248" t="s">
        <v>218</v>
      </c>
      <c r="CH13" s="248" t="s">
        <v>233</v>
      </c>
      <c r="CL13" s="249" t="s">
        <v>2078</v>
      </c>
      <c r="CN13" s="252"/>
      <c r="CO13" s="252"/>
      <c r="CP13" s="249" t="s">
        <v>2078</v>
      </c>
      <c r="CQ13" s="247"/>
      <c r="CT13" s="249" t="s">
        <v>2088</v>
      </c>
      <c r="CX13" s="249" t="s">
        <v>2078</v>
      </c>
      <c r="DB13" s="249" t="s">
        <v>2078</v>
      </c>
    </row>
    <row r="14" spans="1:106" ht="409.5" x14ac:dyDescent="0.2">
      <c r="A14" s="524">
        <v>3</v>
      </c>
      <c r="B14" s="510" t="s">
        <v>2140</v>
      </c>
      <c r="C14" s="511" t="s">
        <v>714</v>
      </c>
      <c r="D14" s="511" t="str">
        <f>IFERROR(INDEX('[10]Base de datos gestión'!$D$28:$D$50,MATCH(C14,'[10]Base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4" s="511" t="str">
        <f>IFERROR(INDEX('[10]Base de datos gestión'!$E$28:$E$50,MATCH(C14,'[10]Base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4" s="513" t="s">
        <v>2141</v>
      </c>
      <c r="G14" s="513" t="s">
        <v>2141</v>
      </c>
      <c r="H14" s="511" t="s">
        <v>652</v>
      </c>
      <c r="I14" s="525" t="s">
        <v>2170</v>
      </c>
      <c r="J14" s="511" t="s">
        <v>2143</v>
      </c>
      <c r="K14" s="511" t="s">
        <v>2144</v>
      </c>
      <c r="L14" s="513" t="s">
        <v>2069</v>
      </c>
      <c r="M14" s="513" t="s">
        <v>2070</v>
      </c>
      <c r="N14" s="509">
        <v>700</v>
      </c>
      <c r="O14" s="526" t="str">
        <f t="shared" si="11"/>
        <v>Alta</v>
      </c>
      <c r="P14" s="233">
        <f t="shared" si="12"/>
        <v>0.8</v>
      </c>
      <c r="Q14" s="233" t="s">
        <v>979</v>
      </c>
      <c r="R14" s="233" t="str">
        <f>IF(NOT(ISERROR(MATCH(Q14,'[10]Tabla Impacto'!$B$222:$B$224,0))),'[10]Tabla Impacto'!$F$224&amp;"Por favor no seleccionar los criterios de impacto(Afectación Económica o presupuestal y Pérdida Reputacional)",Q14)</f>
        <v xml:space="preserve">     Entre 50 y 100 SMLMV </v>
      </c>
      <c r="S14" s="232" t="str">
        <f>IF(OR(R14='[10]Tabla Impacto'!$C$12,R14='[10]Tabla Impacto'!$D$12),"Leve",IF(OR(R14='[10]Tabla Impacto'!$C$13,R14='[10]Tabla Impacto'!$D$13),"Menor",IF(OR(R14='[10]Tabla Impacto'!$C$14,R14='[10]Tabla Impacto'!$D$14),"Moderado",IF(OR(R14='[10]Tabla Impacto'!$C$15,R14='[10]Tabla Impacto'!$D$15),"Mayor",IF(OR(R14='[10]Tabla Impacto'!$C$16,R14='[10]Tabla Impacto'!$D$16),"Catastrófico","")))))</f>
        <v>Moderado</v>
      </c>
      <c r="T14" s="233">
        <f t="shared" si="13"/>
        <v>0.6</v>
      </c>
      <c r="U14" s="235" t="str">
        <f t="shared" si="14"/>
        <v>Alto</v>
      </c>
      <c r="V14" s="236">
        <v>3</v>
      </c>
      <c r="W14" s="529" t="s">
        <v>2171</v>
      </c>
      <c r="X14" s="236" t="str">
        <f t="shared" si="0"/>
        <v>Probabilidad</v>
      </c>
      <c r="Y14" s="515" t="s">
        <v>197</v>
      </c>
      <c r="Z14" s="515" t="s">
        <v>198</v>
      </c>
      <c r="AA14" s="238" t="str">
        <f t="shared" si="1"/>
        <v>40%</v>
      </c>
      <c r="AB14" s="515" t="s">
        <v>259</v>
      </c>
      <c r="AC14" s="515" t="s">
        <v>200</v>
      </c>
      <c r="AD14" s="515" t="s">
        <v>201</v>
      </c>
      <c r="AE14" s="516">
        <f>IFERROR(IF(AND(X13="Probabilidad",X14="Probabilidad"),(AG13-(+AG13*AA14)),IF(AND(X13="Impacto",X14="Probabilidad"),(AG12-(+AG12*AA14)),IF(X14="Impacto",AG13,""))),"")</f>
        <v>0.17279999999999998</v>
      </c>
      <c r="AF14" s="240" t="str">
        <f t="shared" si="2"/>
        <v>Muy Baja</v>
      </c>
      <c r="AG14" s="241">
        <f t="shared" si="3"/>
        <v>0.17279999999999998</v>
      </c>
      <c r="AH14" s="240" t="str">
        <f t="shared" si="4"/>
        <v>Moderado</v>
      </c>
      <c r="AI14" s="241">
        <f>IFERROR(IF(AND(X13="Impacto",X14="Impacto"),(AI13-(+AI13*AA14)),IF(AND(X13="Probabilidad",X14="Impacto"),(AI12-(+AI12*AA14)),IF(X14="Probabilidad",AI13,""))),"")</f>
        <v>0.6</v>
      </c>
      <c r="AJ14" s="242" t="str">
        <f t="shared" si="5"/>
        <v>Moderado</v>
      </c>
      <c r="AK14" s="517" t="s">
        <v>202</v>
      </c>
      <c r="AL14" s="518" t="s">
        <v>2172</v>
      </c>
      <c r="AM14" s="522" t="s">
        <v>2173</v>
      </c>
      <c r="AN14" s="519">
        <v>45838</v>
      </c>
      <c r="AO14" s="981"/>
      <c r="AP14" s="518"/>
      <c r="AR14" s="528" t="s">
        <v>2162</v>
      </c>
      <c r="AS14" s="256" t="s">
        <v>2150</v>
      </c>
      <c r="AT14" s="246" t="s">
        <v>2174</v>
      </c>
      <c r="AU14" s="247" t="s">
        <v>205</v>
      </c>
      <c r="AV14" s="248" t="s">
        <v>206</v>
      </c>
      <c r="AW14" s="245" t="s">
        <v>206</v>
      </c>
      <c r="AX14" s="246" t="s">
        <v>2175</v>
      </c>
      <c r="AZ14" s="244">
        <v>45782</v>
      </c>
      <c r="BA14" s="251" t="s">
        <v>207</v>
      </c>
      <c r="BB14" s="245" t="s">
        <v>228</v>
      </c>
      <c r="BF14" s="249" t="s">
        <v>2078</v>
      </c>
      <c r="BH14" s="464" t="s">
        <v>2153</v>
      </c>
      <c r="BI14" s="245" t="s">
        <v>580</v>
      </c>
      <c r="BJ14" s="246" t="s">
        <v>2176</v>
      </c>
      <c r="BK14" s="247" t="s">
        <v>205</v>
      </c>
      <c r="BL14" s="248" t="s">
        <v>206</v>
      </c>
      <c r="BM14" s="248" t="s">
        <v>535</v>
      </c>
      <c r="BN14" s="358" t="s">
        <v>2177</v>
      </c>
      <c r="BP14" s="450">
        <v>45869</v>
      </c>
      <c r="BQ14" s="449" t="s">
        <v>215</v>
      </c>
      <c r="BR14" s="283" t="s">
        <v>231</v>
      </c>
      <c r="BV14" s="249" t="s">
        <v>2078</v>
      </c>
      <c r="BX14" s="464" t="s">
        <v>2156</v>
      </c>
      <c r="BY14" s="245" t="s">
        <v>2157</v>
      </c>
      <c r="BZ14" s="246" t="s">
        <v>2178</v>
      </c>
      <c r="CA14" s="247" t="s">
        <v>205</v>
      </c>
      <c r="CB14" s="248" t="s">
        <v>206</v>
      </c>
      <c r="CC14" s="248" t="s">
        <v>535</v>
      </c>
      <c r="CD14" s="358" t="s">
        <v>2179</v>
      </c>
      <c r="CF14" s="254">
        <v>46000</v>
      </c>
      <c r="CG14" s="248" t="s">
        <v>218</v>
      </c>
      <c r="CH14" s="248" t="s">
        <v>233</v>
      </c>
      <c r="CL14" s="249" t="s">
        <v>2078</v>
      </c>
      <c r="CN14" s="252"/>
      <c r="CO14" s="252"/>
      <c r="CP14" s="249" t="s">
        <v>2078</v>
      </c>
      <c r="CQ14" s="247"/>
      <c r="CT14" s="249" t="s">
        <v>2088</v>
      </c>
      <c r="CX14" s="249" t="s">
        <v>2078</v>
      </c>
      <c r="DB14" s="249" t="s">
        <v>2078</v>
      </c>
    </row>
    <row r="15" spans="1:106" ht="409.5" x14ac:dyDescent="0.2">
      <c r="A15" s="524">
        <v>3</v>
      </c>
      <c r="B15" s="510" t="s">
        <v>2140</v>
      </c>
      <c r="C15" s="511" t="s">
        <v>714</v>
      </c>
      <c r="D15" s="511" t="str">
        <f>IFERROR(INDEX('[10]Base de datos gestión'!$D$28:$D$50,MATCH(C15,'[10]Base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5" s="511" t="str">
        <f>IFERROR(INDEX('[10]Base de datos gestión'!$E$28:$E$50,MATCH(C15,'[10]Base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5" s="513" t="s">
        <v>2141</v>
      </c>
      <c r="G15" s="513" t="s">
        <v>2141</v>
      </c>
      <c r="H15" s="511" t="s">
        <v>652</v>
      </c>
      <c r="I15" s="525" t="s">
        <v>2180</v>
      </c>
      <c r="J15" s="511" t="s">
        <v>2143</v>
      </c>
      <c r="K15" s="511" t="s">
        <v>2144</v>
      </c>
      <c r="L15" s="513" t="s">
        <v>2069</v>
      </c>
      <c r="M15" s="513" t="s">
        <v>2070</v>
      </c>
      <c r="N15" s="509">
        <v>700</v>
      </c>
      <c r="O15" s="526" t="str">
        <f t="shared" si="11"/>
        <v>Alta</v>
      </c>
      <c r="P15" s="233">
        <f t="shared" si="12"/>
        <v>0.8</v>
      </c>
      <c r="Q15" s="233" t="s">
        <v>979</v>
      </c>
      <c r="R15" s="233" t="str">
        <f>IF(NOT(ISERROR(MATCH(Q15,'[10]Tabla Impacto'!$B$222:$B$224,0))),'[10]Tabla Impacto'!$F$224&amp;"Por favor no seleccionar los criterios de impacto(Afectación Económica o presupuestal y Pérdida Reputacional)",Q15)</f>
        <v xml:space="preserve">     Entre 50 y 100 SMLMV </v>
      </c>
      <c r="S15" s="232" t="str">
        <f>IF(OR(R15='[10]Tabla Impacto'!$C$12,R15='[10]Tabla Impacto'!$D$12),"Leve",IF(OR(R15='[10]Tabla Impacto'!$C$13,R15='[10]Tabla Impacto'!$D$13),"Menor",IF(OR(R15='[10]Tabla Impacto'!$C$14,R15='[10]Tabla Impacto'!$D$14),"Moderado",IF(OR(R15='[10]Tabla Impacto'!$C$15,R15='[10]Tabla Impacto'!$D$15),"Mayor",IF(OR(R15='[10]Tabla Impacto'!$C$16,R15='[10]Tabla Impacto'!$D$16),"Catastrófico","")))))</f>
        <v>Moderado</v>
      </c>
      <c r="T15" s="233">
        <f t="shared" si="13"/>
        <v>0.6</v>
      </c>
      <c r="U15" s="235" t="str">
        <f t="shared" si="14"/>
        <v>Alto</v>
      </c>
      <c r="V15" s="236">
        <v>4</v>
      </c>
      <c r="W15" s="529" t="s">
        <v>2181</v>
      </c>
      <c r="X15" s="531" t="str">
        <f>IF(OR(Y15="Preventivo",Y15="Detectivo"),"Probabilidad",IF(Y15="Correctivo","Impacto",""))</f>
        <v>Probabilidad</v>
      </c>
      <c r="Y15" s="532" t="s">
        <v>197</v>
      </c>
      <c r="Z15" s="532" t="s">
        <v>198</v>
      </c>
      <c r="AA15" s="533" t="str">
        <f t="shared" si="1"/>
        <v>40%</v>
      </c>
      <c r="AB15" s="532" t="s">
        <v>259</v>
      </c>
      <c r="AC15" s="532" t="s">
        <v>200</v>
      </c>
      <c r="AD15" s="532" t="s">
        <v>201</v>
      </c>
      <c r="AE15" s="534">
        <f>IFERROR(IF(AND(X14="Probabilidad",X15="Probabilidad"),(AG14-(+AG14*AA15)),IF(AND(X14="Impacto",X15="Probabilidad"),(AG13-(+AG13*AA15)),IF(X15="Impacto",AG14,""))),"")</f>
        <v>0.10367999999999998</v>
      </c>
      <c r="AF15" s="535" t="str">
        <f t="shared" si="2"/>
        <v>Muy Baja</v>
      </c>
      <c r="AG15" s="536">
        <f t="shared" si="3"/>
        <v>0.10367999999999998</v>
      </c>
      <c r="AH15" s="535" t="str">
        <f t="shared" si="4"/>
        <v>Moderado</v>
      </c>
      <c r="AI15" s="536">
        <f>IFERROR(IF(AND(X14="Impacto",X15="Impacto"),(AI14-(+AI14*AA15)),IF(AND(X14="Probabilidad",X15="Impacto"),(AI13-(+AI13*AA15)),IF(X15="Probabilidad",AI14,""))),"")</f>
        <v>0.6</v>
      </c>
      <c r="AJ15" s="537" t="str">
        <f t="shared" si="5"/>
        <v>Moderado</v>
      </c>
      <c r="AK15" s="538" t="s">
        <v>202</v>
      </c>
      <c r="AL15" s="539"/>
      <c r="AM15" s="531"/>
      <c r="AN15" s="540"/>
      <c r="AO15" s="981"/>
      <c r="AP15" s="539"/>
      <c r="AR15" s="528" t="s">
        <v>2182</v>
      </c>
      <c r="AS15" s="256" t="s">
        <v>2150</v>
      </c>
      <c r="AT15" s="246" t="s">
        <v>2183</v>
      </c>
      <c r="AU15" s="247" t="s">
        <v>205</v>
      </c>
      <c r="AV15" s="248" t="s">
        <v>206</v>
      </c>
      <c r="AW15" s="245" t="s">
        <v>206</v>
      </c>
      <c r="AX15" s="246" t="s">
        <v>2184</v>
      </c>
      <c r="AZ15" s="244">
        <v>45782</v>
      </c>
      <c r="BA15" s="251" t="s">
        <v>207</v>
      </c>
      <c r="BB15" s="245" t="s">
        <v>228</v>
      </c>
      <c r="BF15" s="249" t="s">
        <v>2078</v>
      </c>
      <c r="BH15" s="464" t="s">
        <v>2153</v>
      </c>
      <c r="BI15" s="245" t="s">
        <v>580</v>
      </c>
      <c r="BJ15" s="246" t="s">
        <v>2185</v>
      </c>
      <c r="BK15" s="247" t="s">
        <v>205</v>
      </c>
      <c r="BL15" s="248" t="s">
        <v>206</v>
      </c>
      <c r="BM15" s="248" t="s">
        <v>535</v>
      </c>
      <c r="BN15" s="358" t="s">
        <v>2186</v>
      </c>
      <c r="BP15" s="450">
        <v>45869</v>
      </c>
      <c r="BQ15" s="449" t="s">
        <v>215</v>
      </c>
      <c r="BR15" s="283" t="s">
        <v>231</v>
      </c>
      <c r="BV15" s="249" t="s">
        <v>2078</v>
      </c>
      <c r="BX15" s="464" t="s">
        <v>2156</v>
      </c>
      <c r="BY15" s="245" t="s">
        <v>2157</v>
      </c>
      <c r="BZ15" s="246" t="s">
        <v>2187</v>
      </c>
      <c r="CA15" s="247" t="s">
        <v>205</v>
      </c>
      <c r="CB15" s="248" t="s">
        <v>206</v>
      </c>
      <c r="CC15" s="248" t="s">
        <v>535</v>
      </c>
      <c r="CD15" s="358" t="s">
        <v>2188</v>
      </c>
      <c r="CF15" s="254">
        <v>46000</v>
      </c>
      <c r="CG15" s="248" t="s">
        <v>218</v>
      </c>
      <c r="CH15" s="248" t="s">
        <v>233</v>
      </c>
      <c r="CL15" s="249" t="s">
        <v>2078</v>
      </c>
      <c r="CN15" s="252"/>
      <c r="CO15" s="252"/>
      <c r="CP15" s="249" t="s">
        <v>2078</v>
      </c>
      <c r="CQ15" s="247"/>
      <c r="CT15" s="249" t="s">
        <v>2088</v>
      </c>
      <c r="CX15" s="249" t="s">
        <v>2078</v>
      </c>
      <c r="DB15" s="249" t="s">
        <v>2078</v>
      </c>
    </row>
    <row r="16" spans="1:106" ht="397.5" customHeight="1" x14ac:dyDescent="0.2">
      <c r="A16" s="524">
        <v>3</v>
      </c>
      <c r="B16" s="510" t="s">
        <v>2140</v>
      </c>
      <c r="C16" s="511" t="s">
        <v>714</v>
      </c>
      <c r="D16" s="511" t="str">
        <f>IFERROR(INDEX('[10]Base de datos gestión'!$D$28:$D$50,MATCH(C16,'[10]Base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6" s="511" t="str">
        <f>IFERROR(INDEX('[10]Base de datos gestión'!$E$28:$E$50,MATCH(C16,'[10]Base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6" s="513" t="s">
        <v>2141</v>
      </c>
      <c r="G16" s="513" t="s">
        <v>2141</v>
      </c>
      <c r="H16" s="511" t="s">
        <v>652</v>
      </c>
      <c r="I16" s="525" t="s">
        <v>2189</v>
      </c>
      <c r="J16" s="511" t="s">
        <v>2143</v>
      </c>
      <c r="K16" s="511" t="s">
        <v>2144</v>
      </c>
      <c r="L16" s="513" t="s">
        <v>2069</v>
      </c>
      <c r="M16" s="513" t="s">
        <v>2070</v>
      </c>
      <c r="N16" s="509">
        <v>700</v>
      </c>
      <c r="O16" s="526" t="str">
        <f t="shared" si="11"/>
        <v>Alta</v>
      </c>
      <c r="P16" s="233">
        <f t="shared" si="12"/>
        <v>0.8</v>
      </c>
      <c r="Q16" s="233" t="s">
        <v>979</v>
      </c>
      <c r="R16" s="233" t="str">
        <f>IF(NOT(ISERROR(MATCH(Q16,'[10]Tabla Impacto'!$B$222:$B$224,0))),'[10]Tabla Impacto'!$F$224&amp;"Por favor no seleccionar los criterios de impacto(Afectación Económica o presupuestal y Pérdida Reputacional)",Q16)</f>
        <v xml:space="preserve">     Entre 50 y 100 SMLMV </v>
      </c>
      <c r="S16" s="232" t="str">
        <f>IF(OR(R16='[10]Tabla Impacto'!$C$12,R16='[10]Tabla Impacto'!$D$12),"Leve",IF(OR(R16='[10]Tabla Impacto'!$C$13,R16='[10]Tabla Impacto'!$D$13),"Menor",IF(OR(R16='[10]Tabla Impacto'!$C$14,R16='[10]Tabla Impacto'!$D$14),"Moderado",IF(OR(R16='[10]Tabla Impacto'!$C$15,R16='[10]Tabla Impacto'!$D$15),"Mayor",IF(OR(R16='[10]Tabla Impacto'!$C$16,R16='[10]Tabla Impacto'!$D$16),"Catastrófico","")))))</f>
        <v>Moderado</v>
      </c>
      <c r="T16" s="233">
        <f t="shared" si="13"/>
        <v>0.6</v>
      </c>
      <c r="U16" s="235" t="str">
        <f t="shared" si="14"/>
        <v>Alto</v>
      </c>
      <c r="V16" s="236">
        <v>5</v>
      </c>
      <c r="W16" s="541" t="s">
        <v>2190</v>
      </c>
      <c r="X16" s="531" t="str">
        <f>IF(OR(Y16="Preventivo",Y16="Detectivo"),"Probabilidad",IF(Y16="Correctivo","Impacto",""))</f>
        <v>Probabilidad</v>
      </c>
      <c r="Y16" s="532" t="s">
        <v>197</v>
      </c>
      <c r="Z16" s="532" t="s">
        <v>198</v>
      </c>
      <c r="AA16" s="533" t="str">
        <f t="shared" si="1"/>
        <v>40%</v>
      </c>
      <c r="AB16" s="532" t="s">
        <v>259</v>
      </c>
      <c r="AC16" s="532" t="s">
        <v>200</v>
      </c>
      <c r="AD16" s="532" t="s">
        <v>201</v>
      </c>
      <c r="AE16" s="534">
        <f>IFERROR(IF(AND(X15="Probabilidad",X16="Probabilidad"),(AG15-(+AG15*AA16)),IF(AND(X15="Impacto",X16="Probabilidad"),(AG14-(+AG14*AA16)),IF(X16="Impacto",AG15,""))),"")</f>
        <v>6.2207999999999986E-2</v>
      </c>
      <c r="AF16" s="535" t="str">
        <f t="shared" si="2"/>
        <v>Muy Baja</v>
      </c>
      <c r="AG16" s="536">
        <f t="shared" si="3"/>
        <v>6.2207999999999986E-2</v>
      </c>
      <c r="AH16" s="535" t="str">
        <f t="shared" si="4"/>
        <v>Moderado</v>
      </c>
      <c r="AI16" s="536">
        <f>IFERROR(IF(AND(X15="Impacto",X16="Impacto"),(AI15-(+AI15*AA16)),IF(AND(X15="Probabilidad",X16="Impacto"),(AI14-(+AI14*AA16)),IF(X16="Probabilidad",AI15,""))),"")</f>
        <v>0.6</v>
      </c>
      <c r="AJ16" s="537" t="str">
        <f t="shared" si="5"/>
        <v>Moderado</v>
      </c>
      <c r="AK16" s="538" t="s">
        <v>202</v>
      </c>
      <c r="AL16" s="539"/>
      <c r="AM16" s="531"/>
      <c r="AN16" s="540"/>
      <c r="AO16" s="981"/>
      <c r="AP16" s="539"/>
      <c r="AR16" s="257">
        <v>45761</v>
      </c>
      <c r="AS16" s="245" t="s">
        <v>2191</v>
      </c>
      <c r="AT16" s="248" t="s">
        <v>2192</v>
      </c>
      <c r="AU16" s="247" t="s">
        <v>205</v>
      </c>
      <c r="AV16" s="248" t="s">
        <v>206</v>
      </c>
      <c r="AW16" s="245" t="s">
        <v>206</v>
      </c>
      <c r="AX16" s="246" t="s">
        <v>2184</v>
      </c>
      <c r="AZ16" s="244">
        <v>45782</v>
      </c>
      <c r="BA16" s="251" t="s">
        <v>207</v>
      </c>
      <c r="BB16" s="245" t="s">
        <v>228</v>
      </c>
      <c r="BF16" s="249" t="s">
        <v>2078</v>
      </c>
      <c r="BH16" s="464" t="s">
        <v>2193</v>
      </c>
      <c r="BI16" s="245" t="s">
        <v>2194</v>
      </c>
      <c r="BJ16" s="246" t="s">
        <v>2195</v>
      </c>
      <c r="BK16" s="247" t="s">
        <v>205</v>
      </c>
      <c r="BL16" s="248" t="s">
        <v>206</v>
      </c>
      <c r="BM16" s="286" t="s">
        <v>535</v>
      </c>
      <c r="BN16" s="246" t="s">
        <v>2196</v>
      </c>
      <c r="BP16" s="450">
        <v>45869</v>
      </c>
      <c r="BQ16" s="449" t="s">
        <v>215</v>
      </c>
      <c r="BR16" s="283" t="s">
        <v>231</v>
      </c>
      <c r="BV16" s="249" t="s">
        <v>2078</v>
      </c>
      <c r="BX16" s="464" t="s">
        <v>2156</v>
      </c>
      <c r="BY16" s="542" t="s">
        <v>2197</v>
      </c>
      <c r="BZ16" s="455" t="s">
        <v>2198</v>
      </c>
      <c r="CA16" s="247" t="s">
        <v>205</v>
      </c>
      <c r="CB16" s="248" t="s">
        <v>206</v>
      </c>
      <c r="CC16" s="248" t="s">
        <v>535</v>
      </c>
      <c r="CD16" s="358" t="s">
        <v>2199</v>
      </c>
      <c r="CF16" s="254">
        <v>46000</v>
      </c>
      <c r="CG16" s="248" t="s">
        <v>218</v>
      </c>
      <c r="CH16" s="248" t="s">
        <v>233</v>
      </c>
      <c r="CL16" s="249" t="s">
        <v>2078</v>
      </c>
      <c r="CN16" s="252"/>
      <c r="CO16" s="252"/>
      <c r="CP16" s="249" t="s">
        <v>2078</v>
      </c>
      <c r="CQ16" s="247"/>
      <c r="CT16" s="249" t="s">
        <v>2088</v>
      </c>
      <c r="CX16" s="249" t="s">
        <v>2078</v>
      </c>
      <c r="DB16" s="249" t="s">
        <v>2078</v>
      </c>
    </row>
    <row r="17" spans="1:106" ht="409.5" x14ac:dyDescent="0.2">
      <c r="A17" s="524">
        <v>3</v>
      </c>
      <c r="B17" s="510" t="s">
        <v>2140</v>
      </c>
      <c r="C17" s="511" t="s">
        <v>714</v>
      </c>
      <c r="D17" s="511" t="str">
        <f>IFERROR(INDEX('[10]Base de datos gestión'!$D$28:$D$50,MATCH(C17,'[10]Base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7" s="511" t="str">
        <f>IFERROR(INDEX('[10]Base de datos gestión'!$E$28:$E$50,MATCH(C17,'[10]Base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7" s="513" t="s">
        <v>2141</v>
      </c>
      <c r="G17" s="513" t="s">
        <v>2141</v>
      </c>
      <c r="H17" s="511" t="s">
        <v>652</v>
      </c>
      <c r="I17" s="525" t="s">
        <v>2160</v>
      </c>
      <c r="J17" s="511" t="s">
        <v>2143</v>
      </c>
      <c r="K17" s="511" t="s">
        <v>2144</v>
      </c>
      <c r="L17" s="513" t="s">
        <v>2069</v>
      </c>
      <c r="M17" s="513" t="s">
        <v>2070</v>
      </c>
      <c r="N17" s="509">
        <v>700</v>
      </c>
      <c r="O17" s="526" t="str">
        <f t="shared" si="11"/>
        <v>Alta</v>
      </c>
      <c r="P17" s="233">
        <f t="shared" si="12"/>
        <v>0.8</v>
      </c>
      <c r="Q17" s="233" t="s">
        <v>979</v>
      </c>
      <c r="R17" s="233" t="str">
        <f>IF(NOT(ISERROR(MATCH(Q17,'[10]Tabla Impacto'!$B$222:$B$224,0))),'[10]Tabla Impacto'!$F$224&amp;"Por favor no seleccionar los criterios de impacto(Afectación Económica o presupuestal y Pérdida Reputacional)",Q17)</f>
        <v xml:space="preserve">     Entre 50 y 100 SMLMV </v>
      </c>
      <c r="S17" s="232" t="str">
        <f>IF(OR(R17='[10]Tabla Impacto'!$C$12,R17='[10]Tabla Impacto'!$D$12),"Leve",IF(OR(R17='[10]Tabla Impacto'!$C$13,R17='[10]Tabla Impacto'!$D$13),"Menor",IF(OR(R17='[10]Tabla Impacto'!$C$14,R17='[10]Tabla Impacto'!$D$14),"Moderado",IF(OR(R17='[10]Tabla Impacto'!$C$15,R17='[10]Tabla Impacto'!$D$15),"Mayor",IF(OR(R17='[10]Tabla Impacto'!$C$16,R17='[10]Tabla Impacto'!$D$16),"Catastrófico","")))))</f>
        <v>Moderado</v>
      </c>
      <c r="T17" s="233">
        <f t="shared" si="13"/>
        <v>0.6</v>
      </c>
      <c r="U17" s="235" t="str">
        <f t="shared" si="14"/>
        <v>Alto</v>
      </c>
      <c r="V17" s="236">
        <v>6</v>
      </c>
      <c r="W17" s="541" t="s">
        <v>2200</v>
      </c>
      <c r="X17" s="236" t="str">
        <f t="shared" si="0"/>
        <v>Probabilidad</v>
      </c>
      <c r="Y17" s="515" t="s">
        <v>197</v>
      </c>
      <c r="Z17" s="515" t="s">
        <v>198</v>
      </c>
      <c r="AA17" s="238" t="str">
        <f t="shared" si="1"/>
        <v>40%</v>
      </c>
      <c r="AB17" s="515" t="s">
        <v>259</v>
      </c>
      <c r="AC17" s="515" t="s">
        <v>200</v>
      </c>
      <c r="AD17" s="515" t="s">
        <v>201</v>
      </c>
      <c r="AE17" s="516">
        <f>IFERROR(IF(AND(X15="Probabilidad",X17="Probabilidad"),(AG15-(+AG15*AA17)),IF(AND(X15="Impacto",X17="Probabilidad"),(AG14-(+AG14*AA17)),IF(X17="Impacto",AG15,""))),"")</f>
        <v>6.2207999999999986E-2</v>
      </c>
      <c r="AF17" s="240" t="str">
        <f t="shared" si="2"/>
        <v>Muy Baja</v>
      </c>
      <c r="AG17" s="241">
        <f t="shared" si="3"/>
        <v>6.2207999999999986E-2</v>
      </c>
      <c r="AH17" s="240" t="str">
        <f t="shared" si="4"/>
        <v>Moderado</v>
      </c>
      <c r="AI17" s="241">
        <f>IFERROR(IF(AND(X15="Impacto",X17="Impacto"),(AI15-(+AI15*AA17)),IF(AND(X15="Probabilidad",X17="Impacto"),(AI14-(+AI14*AA17)),IF(X17="Probabilidad",AI15,""))),"")</f>
        <v>0.6</v>
      </c>
      <c r="AJ17" s="242" t="str">
        <f t="shared" si="5"/>
        <v>Moderado</v>
      </c>
      <c r="AK17" s="517" t="s">
        <v>202</v>
      </c>
      <c r="AL17" s="518"/>
      <c r="AM17" s="236"/>
      <c r="AN17" s="530"/>
      <c r="AO17" s="981"/>
      <c r="AP17" s="518"/>
      <c r="AR17" s="528" t="s">
        <v>2201</v>
      </c>
      <c r="AS17" s="245" t="s">
        <v>2202</v>
      </c>
      <c r="AT17" s="246" t="s">
        <v>2203</v>
      </c>
      <c r="AU17" s="247" t="s">
        <v>205</v>
      </c>
      <c r="AV17" s="248" t="s">
        <v>206</v>
      </c>
      <c r="AW17" s="245" t="s">
        <v>206</v>
      </c>
      <c r="AX17" s="246" t="s">
        <v>2204</v>
      </c>
      <c r="AZ17" s="244">
        <v>45782</v>
      </c>
      <c r="BA17" s="251" t="s">
        <v>207</v>
      </c>
      <c r="BB17" s="245" t="s">
        <v>228</v>
      </c>
      <c r="BF17" s="249" t="s">
        <v>2078</v>
      </c>
      <c r="BH17" s="464" t="s">
        <v>2205</v>
      </c>
      <c r="BI17" s="245" t="s">
        <v>2194</v>
      </c>
      <c r="BJ17" s="246" t="s">
        <v>2206</v>
      </c>
      <c r="BK17" s="247" t="s">
        <v>205</v>
      </c>
      <c r="BL17" s="248" t="s">
        <v>206</v>
      </c>
      <c r="BM17" s="248" t="s">
        <v>535</v>
      </c>
      <c r="BN17" s="358" t="s">
        <v>2207</v>
      </c>
      <c r="BP17" s="450">
        <v>45869</v>
      </c>
      <c r="BQ17" s="449" t="s">
        <v>215</v>
      </c>
      <c r="BR17" s="283" t="s">
        <v>231</v>
      </c>
      <c r="BV17" s="249" t="s">
        <v>2078</v>
      </c>
      <c r="BX17" s="464" t="s">
        <v>2156</v>
      </c>
      <c r="BY17" s="245" t="s">
        <v>2157</v>
      </c>
      <c r="BZ17" s="246" t="s">
        <v>2208</v>
      </c>
      <c r="CA17" s="247" t="s">
        <v>205</v>
      </c>
      <c r="CB17" s="248" t="s">
        <v>206</v>
      </c>
      <c r="CC17" s="248" t="s">
        <v>535</v>
      </c>
      <c r="CD17" s="543" t="s">
        <v>2209</v>
      </c>
      <c r="CF17" s="254">
        <v>46000</v>
      </c>
      <c r="CG17" s="248" t="s">
        <v>218</v>
      </c>
      <c r="CH17" s="248" t="s">
        <v>233</v>
      </c>
      <c r="CL17" s="249" t="s">
        <v>2078</v>
      </c>
      <c r="CN17" s="252"/>
      <c r="CO17" s="252"/>
      <c r="CP17" s="249" t="s">
        <v>2078</v>
      </c>
      <c r="CQ17" s="247"/>
      <c r="CT17" s="249" t="s">
        <v>2088</v>
      </c>
      <c r="CX17" s="249" t="s">
        <v>2078</v>
      </c>
      <c r="DB17" s="249" t="s">
        <v>2078</v>
      </c>
    </row>
    <row r="18" spans="1:106" ht="369.75" customHeight="1" x14ac:dyDescent="0.2">
      <c r="A18" s="524">
        <v>3</v>
      </c>
      <c r="B18" s="510" t="s">
        <v>2140</v>
      </c>
      <c r="C18" s="511" t="s">
        <v>714</v>
      </c>
      <c r="D18" s="511" t="str">
        <f>IFERROR(INDEX('[10]Base de datos gestión'!$D$28:$D$50,MATCH(C18,'[10]Base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8" s="511" t="str">
        <f>IFERROR(INDEX('[10]Base de datos gestión'!$E$28:$E$50,MATCH(C18,'[10]Base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8" s="513" t="s">
        <v>2141</v>
      </c>
      <c r="G18" s="513" t="s">
        <v>2141</v>
      </c>
      <c r="H18" s="511" t="s">
        <v>652</v>
      </c>
      <c r="I18" s="525" t="s">
        <v>2210</v>
      </c>
      <c r="J18" s="511" t="s">
        <v>2143</v>
      </c>
      <c r="K18" s="511" t="s">
        <v>2144</v>
      </c>
      <c r="L18" s="513" t="s">
        <v>2069</v>
      </c>
      <c r="M18" s="513" t="s">
        <v>2070</v>
      </c>
      <c r="N18" s="509">
        <v>700</v>
      </c>
      <c r="O18" s="526" t="str">
        <f t="shared" si="11"/>
        <v>Alta</v>
      </c>
      <c r="P18" s="233">
        <f t="shared" si="12"/>
        <v>0.8</v>
      </c>
      <c r="Q18" s="233" t="s">
        <v>979</v>
      </c>
      <c r="R18" s="233" t="str">
        <f>IF(NOT(ISERROR(MATCH(Q18,'[10]Tabla Impacto'!$B$222:$B$224,0))),'[10]Tabla Impacto'!$F$224&amp;"Por favor no seleccionar los criterios de impacto(Afectación Económica o presupuestal y Pérdida Reputacional)",Q18)</f>
        <v xml:space="preserve">     Entre 50 y 100 SMLMV </v>
      </c>
      <c r="S18" s="232" t="str">
        <f>IF(OR(R18='[10]Tabla Impacto'!$C$12,R18='[10]Tabla Impacto'!$D$12),"Leve",IF(OR(R18='[10]Tabla Impacto'!$C$13,R18='[10]Tabla Impacto'!$D$13),"Menor",IF(OR(R18='[10]Tabla Impacto'!$C$14,R18='[10]Tabla Impacto'!$D$14),"Moderado",IF(OR(R18='[10]Tabla Impacto'!$C$15,R18='[10]Tabla Impacto'!$D$15),"Mayor",IF(OR(R18='[10]Tabla Impacto'!$C$16,R18='[10]Tabla Impacto'!$D$16),"Catastrófico","")))))</f>
        <v>Moderado</v>
      </c>
      <c r="T18" s="233">
        <f t="shared" si="13"/>
        <v>0.6</v>
      </c>
      <c r="U18" s="235" t="str">
        <f t="shared" si="14"/>
        <v>Alto</v>
      </c>
      <c r="V18" s="236">
        <v>7</v>
      </c>
      <c r="W18" s="529" t="s">
        <v>2211</v>
      </c>
      <c r="X18" s="236" t="str">
        <f t="shared" si="0"/>
        <v>Probabilidad</v>
      </c>
      <c r="Y18" s="515" t="s">
        <v>197</v>
      </c>
      <c r="Z18" s="515" t="s">
        <v>198</v>
      </c>
      <c r="AA18" s="238" t="str">
        <f t="shared" si="1"/>
        <v>40%</v>
      </c>
      <c r="AB18" s="515" t="s">
        <v>259</v>
      </c>
      <c r="AC18" s="515" t="s">
        <v>200</v>
      </c>
      <c r="AD18" s="515" t="s">
        <v>201</v>
      </c>
      <c r="AE18" s="516">
        <f>IFERROR(IF(AND(X17="Probabilidad",X18="Probabilidad"),(AG17-(+AG17*AA18)),IF(AND(X17="Impacto",X18="Probabilidad"),(AG15-(+AG15*AA18)),IF(X18="Impacto",AG17,""))),"")</f>
        <v>3.7324799999999991E-2</v>
      </c>
      <c r="AF18" s="240" t="str">
        <f t="shared" si="2"/>
        <v>Muy Baja</v>
      </c>
      <c r="AG18" s="241">
        <f t="shared" si="3"/>
        <v>3.7324799999999991E-2</v>
      </c>
      <c r="AH18" s="240" t="str">
        <f t="shared" si="4"/>
        <v>Moderado</v>
      </c>
      <c r="AI18" s="241">
        <f>IFERROR(IF(AND(X17="Impacto",X18="Impacto"),(AI17-(+AI17*AA18)),IF(AND(X17="Probabilidad",X18="Impacto"),(AI15-(+AI15*AA18)),IF(X18="Probabilidad",AI17,""))),"")</f>
        <v>0.6</v>
      </c>
      <c r="AJ18" s="242" t="str">
        <f t="shared" si="5"/>
        <v>Moderado</v>
      </c>
      <c r="AK18" s="517" t="s">
        <v>202</v>
      </c>
      <c r="AL18" s="518"/>
      <c r="AM18" s="236"/>
      <c r="AN18" s="530"/>
      <c r="AO18" s="981"/>
      <c r="AP18" s="518"/>
      <c r="AR18" s="528" t="s">
        <v>2201</v>
      </c>
      <c r="AS18" s="248" t="s">
        <v>2212</v>
      </c>
      <c r="AT18" s="246" t="s">
        <v>2174</v>
      </c>
      <c r="AU18" s="247" t="s">
        <v>205</v>
      </c>
      <c r="AV18" s="248" t="s">
        <v>206</v>
      </c>
      <c r="AW18" s="245" t="s">
        <v>206</v>
      </c>
      <c r="AX18" s="246" t="s">
        <v>2175</v>
      </c>
      <c r="AZ18" s="244">
        <v>45782</v>
      </c>
      <c r="BA18" s="251" t="s">
        <v>207</v>
      </c>
      <c r="BB18" s="245" t="s">
        <v>228</v>
      </c>
      <c r="BF18" s="249" t="s">
        <v>2078</v>
      </c>
      <c r="BH18" s="464" t="s">
        <v>579</v>
      </c>
      <c r="BI18" s="245" t="s">
        <v>580</v>
      </c>
      <c r="BJ18" s="246" t="s">
        <v>2213</v>
      </c>
      <c r="BK18" s="247" t="s">
        <v>205</v>
      </c>
      <c r="BL18" s="248" t="s">
        <v>206</v>
      </c>
      <c r="BM18" s="248" t="s">
        <v>535</v>
      </c>
      <c r="BN18" s="358" t="s">
        <v>2214</v>
      </c>
      <c r="BP18" s="450">
        <v>45869</v>
      </c>
      <c r="BQ18" s="449" t="s">
        <v>215</v>
      </c>
      <c r="BR18" s="283" t="s">
        <v>231</v>
      </c>
      <c r="BV18" s="249" t="s">
        <v>2078</v>
      </c>
      <c r="BX18" s="464" t="s">
        <v>2156</v>
      </c>
      <c r="BY18" s="245" t="s">
        <v>2157</v>
      </c>
      <c r="BZ18" s="246" t="s">
        <v>2215</v>
      </c>
      <c r="CA18" s="247" t="s">
        <v>205</v>
      </c>
      <c r="CB18" s="248" t="s">
        <v>206</v>
      </c>
      <c r="CC18" s="248" t="s">
        <v>535</v>
      </c>
      <c r="CD18" s="358" t="s">
        <v>2179</v>
      </c>
      <c r="CF18" s="254">
        <v>46000</v>
      </c>
      <c r="CG18" s="248" t="s">
        <v>218</v>
      </c>
      <c r="CH18" s="248" t="s">
        <v>233</v>
      </c>
      <c r="CL18" s="249" t="s">
        <v>2078</v>
      </c>
      <c r="CN18" s="252"/>
      <c r="CO18" s="252"/>
      <c r="CP18" s="249" t="s">
        <v>2078</v>
      </c>
      <c r="CQ18" s="247"/>
      <c r="CT18" s="249" t="s">
        <v>2088</v>
      </c>
      <c r="CX18" s="249" t="s">
        <v>2078</v>
      </c>
      <c r="DB18" s="249" t="s">
        <v>2078</v>
      </c>
    </row>
    <row r="19" spans="1:106" ht="409.5" x14ac:dyDescent="0.2">
      <c r="A19" s="524">
        <v>3</v>
      </c>
      <c r="B19" s="510" t="s">
        <v>2140</v>
      </c>
      <c r="C19" s="511" t="s">
        <v>714</v>
      </c>
      <c r="D19" s="511" t="str">
        <f>IFERROR(INDEX('[10]Base de datos gestión'!$D$28:$D$50,MATCH(C19,'[10]Base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19" s="511" t="str">
        <f>IFERROR(INDEX('[10]Base de datos gestión'!$E$28:$E$50,MATCH(C19,'[10]Base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19" s="513" t="s">
        <v>2141</v>
      </c>
      <c r="G19" s="513" t="s">
        <v>2141</v>
      </c>
      <c r="H19" s="511" t="s">
        <v>652</v>
      </c>
      <c r="I19" s="525" t="s">
        <v>2142</v>
      </c>
      <c r="J19" s="511" t="s">
        <v>2143</v>
      </c>
      <c r="K19" s="511" t="s">
        <v>2144</v>
      </c>
      <c r="L19" s="513" t="s">
        <v>2069</v>
      </c>
      <c r="M19" s="513" t="s">
        <v>2070</v>
      </c>
      <c r="N19" s="509">
        <v>700</v>
      </c>
      <c r="O19" s="526" t="str">
        <f t="shared" si="11"/>
        <v>Alta</v>
      </c>
      <c r="P19" s="233">
        <f t="shared" si="12"/>
        <v>0.8</v>
      </c>
      <c r="Q19" s="233" t="s">
        <v>979</v>
      </c>
      <c r="R19" s="233" t="str">
        <f>IF(NOT(ISERROR(MATCH(Q19,'[10]Tabla Impacto'!$B$222:$B$224,0))),'[10]Tabla Impacto'!$F$224&amp;"Por favor no seleccionar los criterios de impacto(Afectación Económica o presupuestal y Pérdida Reputacional)",Q19)</f>
        <v xml:space="preserve">     Entre 50 y 100 SMLMV </v>
      </c>
      <c r="S19" s="232" t="str">
        <f>IF(OR(R19='[10]Tabla Impacto'!$C$12,R19='[10]Tabla Impacto'!$D$12),"Leve",IF(OR(R19='[10]Tabla Impacto'!$C$13,R19='[10]Tabla Impacto'!$D$13),"Menor",IF(OR(R19='[10]Tabla Impacto'!$C$14,R19='[10]Tabla Impacto'!$D$14),"Moderado",IF(OR(R19='[10]Tabla Impacto'!$C$15,R19='[10]Tabla Impacto'!$D$15),"Mayor",IF(OR(R19='[10]Tabla Impacto'!$C$16,R19='[10]Tabla Impacto'!$D$16),"Catastrófico","")))))</f>
        <v>Moderado</v>
      </c>
      <c r="T19" s="233">
        <f t="shared" si="13"/>
        <v>0.6</v>
      </c>
      <c r="U19" s="235" t="str">
        <f t="shared" si="14"/>
        <v>Alto</v>
      </c>
      <c r="V19" s="236">
        <v>8</v>
      </c>
      <c r="W19" s="529" t="s">
        <v>2216</v>
      </c>
      <c r="X19" s="236" t="str">
        <f>IF(OR(Y19="Preventivo",Y19="Detectivo"),"Probabilidad",IF(Y19="Correctivo","Impacto",""))</f>
        <v>Probabilidad</v>
      </c>
      <c r="Y19" s="515" t="s">
        <v>197</v>
      </c>
      <c r="Z19" s="515" t="s">
        <v>198</v>
      </c>
      <c r="AA19" s="238" t="str">
        <f>IF(AND(Y19="Preventivo",Z19="Automático"),"50%",IF(AND(Y19="Preventivo",Z19="Manual"),"40%",IF(AND(Y19="Detectivo",Z19="Automático"),"40%",IF(AND(Y19="Detectivo",Z19="Manual"),"30%",IF(AND(Y19="Correctivo",Z19="Automático"),"35%",IF(AND(Y19="Correctivo",Z19="Manual"),"25%",""))))))</f>
        <v>40%</v>
      </c>
      <c r="AB19" s="515" t="s">
        <v>259</v>
      </c>
      <c r="AC19" s="515" t="s">
        <v>200</v>
      </c>
      <c r="AD19" s="515" t="s">
        <v>201</v>
      </c>
      <c r="AE19" s="516">
        <f>IFERROR(IF(AND(X17="Probabilidad",X19="Probabilidad"),(AG17-(+AG17*AA19)),IF(AND(X17="Impacto",X19="Probabilidad"),(AG15-(+AG15*AA19)),IF(X19="Impacto",AG17,""))),"")</f>
        <v>3.7324799999999991E-2</v>
      </c>
      <c r="AF19" s="240" t="str">
        <f>IFERROR(IF(AE19="","",IF(AE19&lt;=0.2,"Muy Baja",IF(AE19&lt;=0.4,"Baja",IF(AE19&lt;=0.6,"Media",IF(AE19&lt;=0.8,"Alta","Muy Alta"))))),"")</f>
        <v>Muy Baja</v>
      </c>
      <c r="AG19" s="241">
        <f>+AE19</f>
        <v>3.7324799999999991E-2</v>
      </c>
      <c r="AH19" s="240" t="str">
        <f>IFERROR(IF(AI19="","",IF(AI19&lt;=0.2,"Leve",IF(AI19&lt;=0.4,"Menor",IF(AI19&lt;=0.6,"Moderado",IF(AI19&lt;=0.8,"Mayor","Catastrófico"))))),"")</f>
        <v>Moderado</v>
      </c>
      <c r="AI19" s="241">
        <f>IFERROR(IF(AND(X17="Impacto",X19="Impacto"),(AI17-(+AI17*AA19)),IF(AND(X17="Probabilidad",X19="Impacto"),(AI15-(+AI15*AA19)),IF(X19="Probabilidad",AI17,""))),"")</f>
        <v>0.6</v>
      </c>
      <c r="AJ19" s="242" t="str">
        <f>IFERROR(IF(OR(AND(AF19="Muy Baja",AH19="Leve"),AND(AF19="Muy Baja",AH19="Menor"),AND(AF19="Baja",AH19="Leve")),"Bajo",IF(OR(AND(AF19="Muy baja",AH19="Moderado"),AND(AF19="Baja",AH19="Menor"),AND(AF19="Baja",AH19="Moderado"),AND(AF19="Media",AH19="Leve"),AND(AF19="Media",AH19="Menor"),AND(AF19="Media",AH19="Moderado"),AND(AF19="Alta",AH19="Leve"),AND(AF19="Alta",AH19="Menor")),"Moderado",IF(OR(AND(AF19="Muy Baja",AH19="Mayor"),AND(AF19="Baja",AH19="Mayor"),AND(AF19="Media",AH19="Mayor"),AND(AF19="Alta",AH19="Moderado"),AND(AF19="Alta",AH19="Mayor"),AND(AF19="Muy Alta",AH19="Leve"),AND(AF19="Muy Alta",AH19="Menor"),AND(AF19="Muy Alta",AH19="Moderado"),AND(AF19="Muy Alta",AH19="Mayor")),"Alto",IF(OR(AND(AF19="Muy Baja",AH19="Catastrófico"),AND(AF19="Baja",AH19="Catastrófico"),AND(AF19="Media",AH19="Catastrófico"),AND(AF19="Alta",AH19="Catastrófico"),AND(AF19="Muy Alta",AH19="Catastrófico")),"Extremo","")))),"")</f>
        <v>Moderado</v>
      </c>
      <c r="AK19" s="517" t="s">
        <v>202</v>
      </c>
      <c r="AL19" s="518"/>
      <c r="AM19" s="236"/>
      <c r="AN19" s="530"/>
      <c r="AO19" s="981"/>
      <c r="AP19" s="518"/>
      <c r="AR19" s="528" t="s">
        <v>2201</v>
      </c>
      <c r="AS19" s="248" t="s">
        <v>2212</v>
      </c>
      <c r="AT19" s="246" t="s">
        <v>2217</v>
      </c>
      <c r="AU19" s="247" t="s">
        <v>205</v>
      </c>
      <c r="AV19" s="248" t="s">
        <v>206</v>
      </c>
      <c r="AW19" s="245" t="s">
        <v>206</v>
      </c>
      <c r="AX19" s="248" t="s">
        <v>2218</v>
      </c>
      <c r="AZ19" s="244">
        <v>45782</v>
      </c>
      <c r="BA19" s="251" t="s">
        <v>207</v>
      </c>
      <c r="BB19" s="245" t="s">
        <v>228</v>
      </c>
      <c r="BF19" s="249" t="s">
        <v>2078</v>
      </c>
      <c r="BH19" s="464" t="s">
        <v>579</v>
      </c>
      <c r="BI19" s="245" t="s">
        <v>580</v>
      </c>
      <c r="BJ19" s="246" t="s">
        <v>2219</v>
      </c>
      <c r="BK19" s="247" t="s">
        <v>205</v>
      </c>
      <c r="BL19" s="248" t="s">
        <v>206</v>
      </c>
      <c r="BM19" s="248" t="s">
        <v>535</v>
      </c>
      <c r="BN19" s="358" t="s">
        <v>2220</v>
      </c>
      <c r="BP19" s="450">
        <v>45869</v>
      </c>
      <c r="BQ19" s="449" t="s">
        <v>215</v>
      </c>
      <c r="BR19" s="283" t="s">
        <v>231</v>
      </c>
      <c r="BV19" s="249" t="s">
        <v>2078</v>
      </c>
      <c r="BX19" s="464" t="s">
        <v>2156</v>
      </c>
      <c r="BY19" s="245" t="s">
        <v>2157</v>
      </c>
      <c r="BZ19" s="246" t="s">
        <v>2221</v>
      </c>
      <c r="CA19" s="247" t="s">
        <v>205</v>
      </c>
      <c r="CB19" s="248" t="s">
        <v>206</v>
      </c>
      <c r="CC19" s="248" t="s">
        <v>535</v>
      </c>
      <c r="CD19" s="358" t="s">
        <v>2222</v>
      </c>
      <c r="CF19" s="254">
        <v>46000</v>
      </c>
      <c r="CG19" s="248" t="s">
        <v>218</v>
      </c>
      <c r="CH19" s="248" t="s">
        <v>233</v>
      </c>
      <c r="CL19" s="249" t="s">
        <v>2078</v>
      </c>
      <c r="CN19" s="252"/>
      <c r="CO19" s="252"/>
      <c r="CP19" s="249" t="s">
        <v>2078</v>
      </c>
      <c r="CQ19" s="247"/>
      <c r="CT19" s="249" t="s">
        <v>2088</v>
      </c>
      <c r="CX19" s="249" t="s">
        <v>2078</v>
      </c>
      <c r="DB19" s="249" t="s">
        <v>2078</v>
      </c>
    </row>
    <row r="20" spans="1:106" ht="409.5" x14ac:dyDescent="0.2">
      <c r="A20" s="524">
        <v>3</v>
      </c>
      <c r="B20" s="510" t="s">
        <v>2140</v>
      </c>
      <c r="C20" s="511" t="s">
        <v>714</v>
      </c>
      <c r="D20" s="511" t="str">
        <f>IFERROR(INDEX('[10]Base de datos gestión'!$D$28:$D$50,MATCH(C20,'[10]Base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20" s="511" t="str">
        <f>IFERROR(INDEX('[10]Base de datos gestión'!$E$28:$E$50,MATCH(C20,'[10]Base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20" s="513" t="s">
        <v>2141</v>
      </c>
      <c r="G20" s="513" t="s">
        <v>2141</v>
      </c>
      <c r="H20" s="511" t="s">
        <v>652</v>
      </c>
      <c r="I20" s="525" t="s">
        <v>2142</v>
      </c>
      <c r="J20" s="511" t="s">
        <v>2143</v>
      </c>
      <c r="K20" s="511" t="s">
        <v>2144</v>
      </c>
      <c r="L20" s="513" t="s">
        <v>2069</v>
      </c>
      <c r="M20" s="513" t="s">
        <v>2070</v>
      </c>
      <c r="N20" s="509">
        <v>700</v>
      </c>
      <c r="O20" s="526" t="str">
        <f t="shared" si="11"/>
        <v>Alta</v>
      </c>
      <c r="P20" s="233">
        <f t="shared" si="12"/>
        <v>0.8</v>
      </c>
      <c r="Q20" s="233" t="s">
        <v>979</v>
      </c>
      <c r="R20" s="233" t="str">
        <f>IF(NOT(ISERROR(MATCH(Q20,'[10]Tabla Impacto'!$B$222:$B$224,0))),'[10]Tabla Impacto'!$F$224&amp;"Por favor no seleccionar los criterios de impacto(Afectación Económica o presupuestal y Pérdida Reputacional)",Q20)</f>
        <v xml:space="preserve">     Entre 50 y 100 SMLMV </v>
      </c>
      <c r="S20" s="232" t="str">
        <f>IF(OR(R20='[10]Tabla Impacto'!$C$12,R20='[10]Tabla Impacto'!$D$12),"Leve",IF(OR(R20='[10]Tabla Impacto'!$C$13,R20='[10]Tabla Impacto'!$D$13),"Menor",IF(OR(R20='[10]Tabla Impacto'!$C$14,R20='[10]Tabla Impacto'!$D$14),"Moderado",IF(OR(R20='[10]Tabla Impacto'!$C$15,R20='[10]Tabla Impacto'!$D$15),"Mayor",IF(OR(R20='[10]Tabla Impacto'!$C$16,R20='[10]Tabla Impacto'!$D$16),"Catastrófico","")))))</f>
        <v>Moderado</v>
      </c>
      <c r="T20" s="233">
        <f t="shared" si="13"/>
        <v>0.6</v>
      </c>
      <c r="U20" s="235" t="str">
        <f t="shared" si="14"/>
        <v>Alto</v>
      </c>
      <c r="V20" s="236">
        <v>9</v>
      </c>
      <c r="W20" s="529" t="s">
        <v>2223</v>
      </c>
      <c r="X20" s="236" t="str">
        <f t="shared" ref="X20:X37" si="15">IF(OR(Y20="Preventivo",Y20="Detectivo"),"Probabilidad",IF(Y20="Correctivo","Impacto",""))</f>
        <v>Probabilidad</v>
      </c>
      <c r="Y20" s="515" t="s">
        <v>197</v>
      </c>
      <c r="Z20" s="515" t="s">
        <v>198</v>
      </c>
      <c r="AA20" s="238" t="str">
        <f t="shared" ref="AA20:AA23" si="16">IF(AND(Y20="Preventivo",Z20="Automático"),"50%",IF(AND(Y20="Preventivo",Z20="Manual"),"40%",IF(AND(Y20="Detectivo",Z20="Automático"),"40%",IF(AND(Y20="Detectivo",Z20="Manual"),"30%",IF(AND(Y20="Correctivo",Z20="Automático"),"35%",IF(AND(Y20="Correctivo",Z20="Manual"),"25%",""))))))</f>
        <v>40%</v>
      </c>
      <c r="AB20" s="515" t="s">
        <v>259</v>
      </c>
      <c r="AC20" s="515" t="s">
        <v>200</v>
      </c>
      <c r="AD20" s="515" t="s">
        <v>201</v>
      </c>
      <c r="AE20" s="516">
        <f>IFERROR(IF(AND(X18="Probabilidad",X20="Probabilidad"),(AG18-(+AG18*AA20)),IF(AND(X18="Impacto",X20="Probabilidad"),(AG16-(+AG16*AA20)),IF(X20="Impacto",AG18,""))),"")</f>
        <v>2.2394879999999992E-2</v>
      </c>
      <c r="AF20" s="240" t="str">
        <f t="shared" ref="AF20:AF33" si="17">IFERROR(IF(AE20="","",IF(AE20&lt;=0.2,"Muy Baja",IF(AE20&lt;=0.4,"Baja",IF(AE20&lt;=0.6,"Media",IF(AE20&lt;=0.8,"Alta","Muy Alta"))))),"")</f>
        <v>Muy Baja</v>
      </c>
      <c r="AG20" s="241">
        <f t="shared" ref="AG20:AG33" si="18">+AE20</f>
        <v>2.2394879999999992E-2</v>
      </c>
      <c r="AH20" s="240" t="str">
        <f t="shared" ref="AH20:AH33" si="19">IFERROR(IF(AI20="","",IF(AI20&lt;=0.2,"Leve",IF(AI20&lt;=0.4,"Menor",IF(AI20&lt;=0.6,"Moderado",IF(AI20&lt;=0.8,"Mayor","Catastrófico"))))),"")</f>
        <v>Moderado</v>
      </c>
      <c r="AI20" s="241">
        <f>IFERROR(IF(AND(X18="Impacto",X20="Impacto"),(AI18-(+AI18*AA20)),IF(AND(X18="Probabilidad",X20="Impacto"),(AI16-(+AI16*AA20)),IF(X20="Probabilidad",AI18,""))),"")</f>
        <v>0.6</v>
      </c>
      <c r="AJ20" s="242" t="str">
        <f t="shared" ref="AJ20:AJ33" si="20">IFERROR(IF(OR(AND(AF20="Muy Baja",AH20="Leve"),AND(AF20="Muy Baja",AH20="Menor"),AND(AF20="Baja",AH20="Leve")),"Bajo",IF(OR(AND(AF20="Muy baja",AH20="Moderado"),AND(AF20="Baja",AH20="Menor"),AND(AF20="Baja",AH20="Moderado"),AND(AF20="Media",AH20="Leve"),AND(AF20="Media",AH20="Menor"),AND(AF20="Media",AH20="Moderado"),AND(AF20="Alta",AH20="Leve"),AND(AF20="Alta",AH20="Menor")),"Moderado",IF(OR(AND(AF20="Muy Baja",AH20="Mayor"),AND(AF20="Baja",AH20="Mayor"),AND(AF20="Media",AH20="Mayor"),AND(AF20="Alta",AH20="Moderado"),AND(AF20="Alta",AH20="Mayor"),AND(AF20="Muy Alta",AH20="Leve"),AND(AF20="Muy Alta",AH20="Menor"),AND(AF20="Muy Alta",AH20="Moderado"),AND(AF20="Muy Alta",AH20="Mayor")),"Alto",IF(OR(AND(AF20="Muy Baja",AH20="Catastrófico"),AND(AF20="Baja",AH20="Catastrófico"),AND(AF20="Media",AH20="Catastrófico"),AND(AF20="Alta",AH20="Catastrófico"),AND(AF20="Muy Alta",AH20="Catastrófico")),"Extremo","")))),"")</f>
        <v>Moderado</v>
      </c>
      <c r="AK20" s="517" t="s">
        <v>202</v>
      </c>
      <c r="AL20" s="518"/>
      <c r="AM20" s="236"/>
      <c r="AN20" s="530"/>
      <c r="AO20" s="981"/>
      <c r="AP20" s="518"/>
      <c r="AR20" s="528" t="s">
        <v>2224</v>
      </c>
      <c r="AS20" s="248" t="s">
        <v>2212</v>
      </c>
      <c r="AT20" s="246" t="s">
        <v>2225</v>
      </c>
      <c r="AU20" s="247" t="s">
        <v>205</v>
      </c>
      <c r="AV20" s="248" t="s">
        <v>206</v>
      </c>
      <c r="AW20" s="245" t="s">
        <v>206</v>
      </c>
      <c r="AX20" s="246" t="s">
        <v>2226</v>
      </c>
      <c r="AZ20" s="244">
        <v>45782</v>
      </c>
      <c r="BA20" s="251" t="s">
        <v>207</v>
      </c>
      <c r="BB20" s="245" t="s">
        <v>228</v>
      </c>
      <c r="BF20" s="249" t="s">
        <v>2078</v>
      </c>
      <c r="BH20" s="464" t="s">
        <v>579</v>
      </c>
      <c r="BI20" s="245" t="s">
        <v>580</v>
      </c>
      <c r="BJ20" s="246" t="s">
        <v>2227</v>
      </c>
      <c r="BK20" s="247" t="s">
        <v>205</v>
      </c>
      <c r="BL20" s="248" t="s">
        <v>206</v>
      </c>
      <c r="BM20" s="248" t="s">
        <v>535</v>
      </c>
      <c r="BN20" s="246" t="s">
        <v>2228</v>
      </c>
      <c r="BP20" s="450">
        <v>45869</v>
      </c>
      <c r="BQ20" s="449" t="s">
        <v>215</v>
      </c>
      <c r="BR20" s="283" t="s">
        <v>231</v>
      </c>
      <c r="BV20" s="249" t="s">
        <v>2078</v>
      </c>
      <c r="BX20" s="464" t="s">
        <v>2156</v>
      </c>
      <c r="BY20" s="245" t="s">
        <v>2157</v>
      </c>
      <c r="BZ20" s="246" t="s">
        <v>2229</v>
      </c>
      <c r="CA20" s="247" t="s">
        <v>205</v>
      </c>
      <c r="CB20" s="248" t="s">
        <v>206</v>
      </c>
      <c r="CC20" s="248" t="s">
        <v>535</v>
      </c>
      <c r="CD20" s="358" t="s">
        <v>2230</v>
      </c>
      <c r="CF20" s="254">
        <v>46000</v>
      </c>
      <c r="CG20" s="248" t="s">
        <v>218</v>
      </c>
      <c r="CH20" s="248" t="s">
        <v>233</v>
      </c>
      <c r="CL20" s="249" t="s">
        <v>2078</v>
      </c>
      <c r="CN20" s="252"/>
      <c r="CO20" s="252"/>
      <c r="CP20" s="249" t="s">
        <v>2078</v>
      </c>
      <c r="CQ20" s="247"/>
      <c r="CT20" s="249" t="s">
        <v>2088</v>
      </c>
      <c r="CX20" s="249" t="s">
        <v>2078</v>
      </c>
      <c r="DB20" s="249" t="s">
        <v>2078</v>
      </c>
    </row>
    <row r="21" spans="1:106" ht="409.5" x14ac:dyDescent="0.2">
      <c r="A21" s="524">
        <v>3</v>
      </c>
      <c r="B21" s="510" t="s">
        <v>2140</v>
      </c>
      <c r="C21" s="511" t="s">
        <v>714</v>
      </c>
      <c r="D21" s="511" t="str">
        <f>IFERROR(INDEX('[10]Base de datos gestión'!$D$28:$D$50,MATCH(C21,'[10]Base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21" s="511" t="str">
        <f>IFERROR(INDEX('[10]Base de datos gestión'!$E$28:$E$50,MATCH(C21,'[10]Base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21" s="513" t="s">
        <v>2141</v>
      </c>
      <c r="G21" s="513" t="s">
        <v>2141</v>
      </c>
      <c r="H21" s="511" t="s">
        <v>652</v>
      </c>
      <c r="I21" s="525" t="s">
        <v>2142</v>
      </c>
      <c r="J21" s="511" t="s">
        <v>2143</v>
      </c>
      <c r="K21" s="511" t="s">
        <v>2144</v>
      </c>
      <c r="L21" s="513" t="s">
        <v>2069</v>
      </c>
      <c r="M21" s="513" t="s">
        <v>2070</v>
      </c>
      <c r="N21" s="509">
        <v>700</v>
      </c>
      <c r="O21" s="526" t="str">
        <f t="shared" si="11"/>
        <v>Alta</v>
      </c>
      <c r="P21" s="233">
        <f t="shared" si="12"/>
        <v>0.8</v>
      </c>
      <c r="Q21" s="233" t="s">
        <v>979</v>
      </c>
      <c r="R21" s="233" t="str">
        <f>IF(NOT(ISERROR(MATCH(Q21,'[10]Tabla Impacto'!$B$222:$B$224,0))),'[10]Tabla Impacto'!$F$224&amp;"Por favor no seleccionar los criterios de impacto(Afectación Económica o presupuestal y Pérdida Reputacional)",Q21)</f>
        <v xml:space="preserve">     Entre 50 y 100 SMLMV </v>
      </c>
      <c r="S21" s="232" t="str">
        <f>IF(OR(R21='[10]Tabla Impacto'!$C$12,R21='[10]Tabla Impacto'!$D$12),"Leve",IF(OR(R21='[10]Tabla Impacto'!$C$13,R21='[10]Tabla Impacto'!$D$13),"Menor",IF(OR(R21='[10]Tabla Impacto'!$C$14,R21='[10]Tabla Impacto'!$D$14),"Moderado",IF(OR(R21='[10]Tabla Impacto'!$C$15,R21='[10]Tabla Impacto'!$D$15),"Mayor",IF(OR(R21='[10]Tabla Impacto'!$C$16,R21='[10]Tabla Impacto'!$D$16),"Catastrófico","")))))</f>
        <v>Moderado</v>
      </c>
      <c r="T21" s="233">
        <f t="shared" si="13"/>
        <v>0.6</v>
      </c>
      <c r="U21" s="235" t="str">
        <f t="shared" si="14"/>
        <v>Alto</v>
      </c>
      <c r="V21" s="236">
        <v>10</v>
      </c>
      <c r="W21" s="544" t="s">
        <v>2231</v>
      </c>
      <c r="X21" s="236" t="str">
        <f t="shared" si="15"/>
        <v>Probabilidad</v>
      </c>
      <c r="Y21" s="515" t="s">
        <v>197</v>
      </c>
      <c r="Z21" s="515" t="s">
        <v>198</v>
      </c>
      <c r="AA21" s="238" t="str">
        <f t="shared" si="16"/>
        <v>40%</v>
      </c>
      <c r="AB21" s="515" t="s">
        <v>259</v>
      </c>
      <c r="AC21" s="515" t="s">
        <v>200</v>
      </c>
      <c r="AD21" s="515" t="s">
        <v>201</v>
      </c>
      <c r="AE21" s="516">
        <f>IFERROR(IF(AND(X20="Probabilidad",X21="Probabilidad"),(AG20-(+AG20*AA21)),IF(AND(X20="Impacto",X21="Probabilidad"),(AG16-(+AG16*AA21)),IF(X21="Impacto",AG20,""))),"")</f>
        <v>1.3436927999999996E-2</v>
      </c>
      <c r="AF21" s="240" t="str">
        <f t="shared" si="17"/>
        <v>Muy Baja</v>
      </c>
      <c r="AG21" s="241">
        <f t="shared" si="18"/>
        <v>1.3436927999999996E-2</v>
      </c>
      <c r="AH21" s="240" t="str">
        <f t="shared" si="19"/>
        <v>Moderado</v>
      </c>
      <c r="AI21" s="241">
        <f>IFERROR(IF(AND(X20="Impacto",X21="Impacto"),(AI20-(+AI20*AA21)),IF(AND(X20="Probabilidad",X21="Impacto"),(AI16-(+AI16*AA21)),IF(X21="Probabilidad",AI20,""))),"")</f>
        <v>0.6</v>
      </c>
      <c r="AJ21" s="242" t="str">
        <f t="shared" si="20"/>
        <v>Moderado</v>
      </c>
      <c r="AK21" s="517" t="s">
        <v>202</v>
      </c>
      <c r="AL21" s="518"/>
      <c r="AM21" s="236"/>
      <c r="AN21" s="530"/>
      <c r="AO21" s="980"/>
      <c r="AP21" s="518"/>
      <c r="AR21" s="528" t="s">
        <v>2224</v>
      </c>
      <c r="AS21" s="248" t="s">
        <v>2232</v>
      </c>
      <c r="AT21" s="246" t="s">
        <v>2233</v>
      </c>
      <c r="AU21" s="247" t="s">
        <v>205</v>
      </c>
      <c r="AV21" s="248" t="s">
        <v>206</v>
      </c>
      <c r="AW21" s="245" t="s">
        <v>206</v>
      </c>
      <c r="AX21" s="246" t="s">
        <v>2234</v>
      </c>
      <c r="AZ21" s="244">
        <v>45782</v>
      </c>
      <c r="BA21" s="251" t="s">
        <v>207</v>
      </c>
      <c r="BB21" s="245" t="s">
        <v>228</v>
      </c>
      <c r="BF21" s="249" t="s">
        <v>2078</v>
      </c>
      <c r="BH21" s="464" t="s">
        <v>579</v>
      </c>
      <c r="BI21" s="245" t="s">
        <v>580</v>
      </c>
      <c r="BJ21" s="246" t="s">
        <v>2235</v>
      </c>
      <c r="BK21" s="247" t="s">
        <v>205</v>
      </c>
      <c r="BL21" s="248" t="s">
        <v>206</v>
      </c>
      <c r="BM21" s="248" t="s">
        <v>535</v>
      </c>
      <c r="BN21" s="246" t="s">
        <v>2236</v>
      </c>
      <c r="BP21" s="450">
        <v>45869</v>
      </c>
      <c r="BQ21" s="449" t="s">
        <v>215</v>
      </c>
      <c r="BR21" s="283" t="s">
        <v>231</v>
      </c>
      <c r="BV21" s="249" t="s">
        <v>2078</v>
      </c>
      <c r="BX21" s="464" t="s">
        <v>2156</v>
      </c>
      <c r="BY21" s="245" t="s">
        <v>2157</v>
      </c>
      <c r="BZ21" s="246" t="s">
        <v>2237</v>
      </c>
      <c r="CA21" s="247" t="s">
        <v>205</v>
      </c>
      <c r="CB21" s="248" t="s">
        <v>206</v>
      </c>
      <c r="CC21" s="248" t="s">
        <v>535</v>
      </c>
      <c r="CD21" s="358" t="s">
        <v>2238</v>
      </c>
      <c r="CF21" s="254">
        <v>46000</v>
      </c>
      <c r="CG21" s="248" t="s">
        <v>218</v>
      </c>
      <c r="CH21" s="248" t="s">
        <v>233</v>
      </c>
      <c r="CL21" s="249" t="s">
        <v>2078</v>
      </c>
      <c r="CN21" s="252"/>
      <c r="CO21" s="252"/>
      <c r="CP21" s="249" t="s">
        <v>2078</v>
      </c>
      <c r="CQ21" s="247"/>
      <c r="CT21" s="249" t="s">
        <v>2088</v>
      </c>
      <c r="CX21" s="249" t="s">
        <v>2078</v>
      </c>
      <c r="DB21" s="249" t="s">
        <v>2078</v>
      </c>
    </row>
    <row r="22" spans="1:106" ht="327" customHeight="1" x14ac:dyDescent="0.2">
      <c r="A22" s="509">
        <v>4</v>
      </c>
      <c r="B22" s="510" t="s">
        <v>2239</v>
      </c>
      <c r="C22" s="511" t="s">
        <v>714</v>
      </c>
      <c r="D22" s="511" t="str">
        <f>IFERROR(INDEX('[10]Base de datos gestión'!$D$28:$D$50,MATCH(C22,'[10]Base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22" s="511" t="str">
        <f>IFERROR(INDEX('[10]Base de datos gestión'!$E$28:$E$50,MATCH(C22,'[10]Base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22" s="511">
        <v>22.23</v>
      </c>
      <c r="G22" s="511">
        <v>22.23</v>
      </c>
      <c r="H22" s="511" t="s">
        <v>652</v>
      </c>
      <c r="I22" s="511" t="s">
        <v>2240</v>
      </c>
      <c r="J22" s="511" t="s">
        <v>2241</v>
      </c>
      <c r="K22" s="511" t="s">
        <v>2242</v>
      </c>
      <c r="L22" s="511" t="s">
        <v>2069</v>
      </c>
      <c r="M22" s="511" t="s">
        <v>2070</v>
      </c>
      <c r="N22" s="510">
        <v>25</v>
      </c>
      <c r="O22" s="991" t="str">
        <f>IF(N22&lt;=0,"",IF(N22&lt;=2,"Muy Baja",IF(N22&lt;=24,"Baja",IF(N22&lt;=500,"Media",IF(N22&lt;=5000,"Alta","Muy Alta")))))</f>
        <v>Media</v>
      </c>
      <c r="P22" s="982">
        <f>IF(O22="","",IF(O22="Muy Baja",0.2,IF(O22="Baja",0.4,IF(O22="Media",0.6,IF(O22="Alta",0.8,IF(O22="Muy Alta",1,))))))</f>
        <v>0.6</v>
      </c>
      <c r="Q22" s="982" t="s">
        <v>1296</v>
      </c>
      <c r="R22" s="982" t="str">
        <f>IF(NOT(ISERROR(MATCH(Q22,'[10]Tabla Impacto'!$B$222:$B$224,0))),'[10]Tabla Impacto'!$F$224&amp;"Por favor no seleccionar los criterios de impacto(Afectación Económica o presupuestal y Pérdida Reputacional)",Q22)</f>
        <v xml:space="preserve">     Entre 100 y 500 SMLMV </v>
      </c>
      <c r="S22" s="995" t="str">
        <f>IF(OR(R22='[10]Tabla Impacto'!$C$12,R22='[10]Tabla Impacto'!$D$12),"Leve",IF(OR(R22='[10]Tabla Impacto'!$C$13,R22='[10]Tabla Impacto'!$D$13),"Menor",IF(OR(R22='[10]Tabla Impacto'!$C$14,R22='[10]Tabla Impacto'!$D$14),"Moderado",IF(OR(R22='[10]Tabla Impacto'!$C$15,R22='[10]Tabla Impacto'!$D$15),"Mayor",IF(OR(R22='[10]Tabla Impacto'!$C$16,R22='[10]Tabla Impacto'!$D$16),"Catastrófico","")))))</f>
        <v>Mayor</v>
      </c>
      <c r="T22" s="982">
        <f>IF(S22="","",IF(S22="Leve",0.2,IF(S22="Menor",0.4,IF(S22="Moderado",0.6,IF(S22="Mayor",0.8,IF(S22="Catastrófico",1,))))))</f>
        <v>0.8</v>
      </c>
      <c r="U22" s="998" t="str">
        <f>IF(OR(AND(O22="Muy Baja",S22="Leve"),AND(O22="Muy Baja",S22="Menor"),AND(O22="Baja",S22="Leve")),"Bajo",IF(OR(AND(O22="Muy baja",S22="Moderado"),AND(O22="Baja",S22="Menor"),AND(O22="Baja",S22="Moderado"),AND(O22="Media",S22="Leve"),AND(O22="Media",S22="Menor"),AND(O22="Media",S22="Moderado"),AND(O22="Alta",S22="Leve"),AND(O22="Alta",S22="Menor")),"Moderado",IF(OR(AND(O22="Muy Baja",S22="Mayor"),AND(O22="Baja",S22="Mayor"),AND(O22="Media",S22="Mayor"),AND(O22="Alta",S22="Moderado"),AND(O22="Alta",S22="Mayor"),AND(O22="Muy Alta",S22="Leve"),AND(O22="Muy Alta",S22="Menor"),AND(O22="Muy Alta",S22="Moderado"),AND(O22="Muy Alta",S22="Mayor")),"Alto",IF(OR(AND(O22="Muy Baja",S22="Catastrófico"),AND(O22="Baja",S22="Catastrófico"),AND(O22="Media",S22="Catastrófico"),AND(O22="Alta",S22="Catastrófico"),AND(O22="Muy Alta",S22="Catastrófico")),"Extremo",""))))</f>
        <v>Alto</v>
      </c>
      <c r="V22" s="236">
        <v>1</v>
      </c>
      <c r="W22" s="544" t="s">
        <v>2243</v>
      </c>
      <c r="X22" s="236" t="str">
        <f t="shared" si="15"/>
        <v>Probabilidad</v>
      </c>
      <c r="Y22" s="515" t="s">
        <v>197</v>
      </c>
      <c r="Z22" s="515" t="s">
        <v>198</v>
      </c>
      <c r="AA22" s="238" t="str">
        <f t="shared" si="16"/>
        <v>40%</v>
      </c>
      <c r="AB22" s="515" t="s">
        <v>259</v>
      </c>
      <c r="AC22" s="515" t="s">
        <v>200</v>
      </c>
      <c r="AD22" s="515" t="s">
        <v>201</v>
      </c>
      <c r="AE22" s="516">
        <f>IFERROR(IF(AND(X20="Probabilidad",X22="Probabilidad"),(AG20-(+AG20*AA22)),IF(AND(X20="Impacto",X22="Probabilidad"),(AG17-(+AG17*AA22)),IF(X22="Impacto",AG20,""))),"")</f>
        <v>1.3436927999999996E-2</v>
      </c>
      <c r="AF22" s="240" t="str">
        <f t="shared" si="17"/>
        <v>Muy Baja</v>
      </c>
      <c r="AG22" s="241">
        <f t="shared" si="18"/>
        <v>1.3436927999999996E-2</v>
      </c>
      <c r="AH22" s="240" t="str">
        <f t="shared" si="19"/>
        <v>Moderado</v>
      </c>
      <c r="AI22" s="241">
        <f>IFERROR(IF(AND(X20="Impacto",X22="Impacto"),(AI20-(+AI20*AA22)),IF(AND(X20="Probabilidad",X22="Impacto"),(AI17-(+AI17*AA22)),IF(X22="Probabilidad",AI20,""))),"")</f>
        <v>0.6</v>
      </c>
      <c r="AJ22" s="242" t="str">
        <f t="shared" si="20"/>
        <v>Moderado</v>
      </c>
      <c r="AK22" s="517" t="s">
        <v>202</v>
      </c>
      <c r="AL22" s="224"/>
      <c r="AM22" s="545"/>
      <c r="AN22" s="224"/>
      <c r="AO22" s="979" t="s">
        <v>2244</v>
      </c>
      <c r="AP22" s="518"/>
      <c r="AR22" s="257">
        <v>45761</v>
      </c>
      <c r="AS22" s="256" t="s">
        <v>2150</v>
      </c>
      <c r="AT22" s="246" t="s">
        <v>2245</v>
      </c>
      <c r="AU22" s="247" t="s">
        <v>205</v>
      </c>
      <c r="AV22" s="248" t="s">
        <v>206</v>
      </c>
      <c r="AW22" s="245" t="s">
        <v>206</v>
      </c>
      <c r="AX22" s="246" t="s">
        <v>2184</v>
      </c>
      <c r="AZ22" s="244">
        <v>45782</v>
      </c>
      <c r="BA22" s="251" t="s">
        <v>207</v>
      </c>
      <c r="BB22" s="245" t="s">
        <v>228</v>
      </c>
      <c r="BF22" s="249" t="s">
        <v>2078</v>
      </c>
      <c r="BH22" s="464" t="s">
        <v>579</v>
      </c>
      <c r="BI22" s="245" t="s">
        <v>580</v>
      </c>
      <c r="BJ22" s="246" t="s">
        <v>2185</v>
      </c>
      <c r="BK22" s="247" t="s">
        <v>205</v>
      </c>
      <c r="BL22" s="248" t="s">
        <v>206</v>
      </c>
      <c r="BM22" s="248" t="s">
        <v>535</v>
      </c>
      <c r="BN22" s="358" t="s">
        <v>2186</v>
      </c>
      <c r="BP22" s="450">
        <v>45869</v>
      </c>
      <c r="BQ22" s="449" t="s">
        <v>215</v>
      </c>
      <c r="BR22" s="283" t="s">
        <v>231</v>
      </c>
      <c r="BV22" s="249" t="s">
        <v>2078</v>
      </c>
      <c r="BX22" s="464" t="s">
        <v>2156</v>
      </c>
      <c r="BY22" s="245" t="s">
        <v>2157</v>
      </c>
      <c r="BZ22" s="246" t="s">
        <v>2187</v>
      </c>
      <c r="CA22" s="247" t="s">
        <v>205</v>
      </c>
      <c r="CB22" s="248" t="s">
        <v>206</v>
      </c>
      <c r="CC22" s="248" t="s">
        <v>535</v>
      </c>
      <c r="CD22" s="358" t="s">
        <v>2246</v>
      </c>
      <c r="CF22" s="254">
        <v>46000</v>
      </c>
      <c r="CG22" s="248" t="s">
        <v>218</v>
      </c>
      <c r="CH22" s="248" t="s">
        <v>233</v>
      </c>
      <c r="CL22" s="249" t="s">
        <v>2078</v>
      </c>
      <c r="CN22" s="252"/>
      <c r="CO22" s="252"/>
      <c r="CP22" s="249" t="s">
        <v>2078</v>
      </c>
      <c r="CQ22" s="247"/>
      <c r="CT22" s="249" t="s">
        <v>2088</v>
      </c>
      <c r="CX22" s="249" t="s">
        <v>2078</v>
      </c>
      <c r="DB22" s="249" t="s">
        <v>2078</v>
      </c>
    </row>
    <row r="23" spans="1:106" ht="237" customHeight="1" x14ac:dyDescent="0.2">
      <c r="A23" s="509">
        <v>4</v>
      </c>
      <c r="B23" s="510" t="s">
        <v>2239</v>
      </c>
      <c r="C23" s="511" t="s">
        <v>714</v>
      </c>
      <c r="D23" s="511" t="str">
        <f>IFERROR(INDEX('[10]Base de datos gestión'!$D$28:$D$50,MATCH(C23,'[10]Base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23" s="511" t="str">
        <f>IFERROR(INDEX('[10]Base de datos gestión'!$E$28:$E$50,MATCH(C23,'[10]Base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23" s="511">
        <v>22.23</v>
      </c>
      <c r="G23" s="511">
        <v>22.23</v>
      </c>
      <c r="H23" s="511" t="s">
        <v>652</v>
      </c>
      <c r="I23" s="511" t="s">
        <v>2240</v>
      </c>
      <c r="J23" s="511" t="s">
        <v>2241</v>
      </c>
      <c r="K23" s="511" t="s">
        <v>2242</v>
      </c>
      <c r="L23" s="511" t="s">
        <v>2069</v>
      </c>
      <c r="M23" s="511" t="s">
        <v>2070</v>
      </c>
      <c r="N23" s="510">
        <v>25</v>
      </c>
      <c r="O23" s="992"/>
      <c r="P23" s="983"/>
      <c r="Q23" s="983"/>
      <c r="R23" s="983"/>
      <c r="S23" s="996"/>
      <c r="T23" s="983"/>
      <c r="U23" s="999"/>
      <c r="V23" s="236">
        <v>2</v>
      </c>
      <c r="W23" s="544" t="s">
        <v>2247</v>
      </c>
      <c r="X23" s="236" t="str">
        <f t="shared" si="15"/>
        <v>Probabilidad</v>
      </c>
      <c r="Y23" s="515" t="s">
        <v>197</v>
      </c>
      <c r="Z23" s="515" t="s">
        <v>198</v>
      </c>
      <c r="AA23" s="238" t="str">
        <f t="shared" si="16"/>
        <v>40%</v>
      </c>
      <c r="AB23" s="515" t="s">
        <v>259</v>
      </c>
      <c r="AC23" s="515" t="s">
        <v>200</v>
      </c>
      <c r="AD23" s="515" t="s">
        <v>201</v>
      </c>
      <c r="AE23" s="516">
        <f>IFERROR(IF(AND(X22="Probabilidad",X23="Probabilidad"),(AG22-(+AG22*AA23)),IF(AND(X22="Impacto",X23="Probabilidad"),(AG18-(+AG18*AA23)),IF(X23="Impacto",AG22,""))),"")</f>
        <v>8.0621567999999977E-3</v>
      </c>
      <c r="AF23" s="240" t="str">
        <f t="shared" si="17"/>
        <v>Muy Baja</v>
      </c>
      <c r="AG23" s="241">
        <f t="shared" si="18"/>
        <v>8.0621567999999977E-3</v>
      </c>
      <c r="AH23" s="240" t="str">
        <f t="shared" si="19"/>
        <v>Moderado</v>
      </c>
      <c r="AI23" s="241">
        <f>IFERROR(IF(AND(X22="Impacto",X23="Impacto"),(AI22-(+AI22*AA23)),IF(AND(X22="Probabilidad",X23="Impacto"),(AI18-(+AI18*AA23)),IF(X23="Probabilidad",AI22,""))),"")</f>
        <v>0.6</v>
      </c>
      <c r="AJ23" s="242" t="str">
        <f t="shared" si="20"/>
        <v>Moderado</v>
      </c>
      <c r="AK23" s="517" t="s">
        <v>202</v>
      </c>
      <c r="AL23" s="518" t="s">
        <v>2248</v>
      </c>
      <c r="AM23" s="236" t="s">
        <v>2249</v>
      </c>
      <c r="AN23" s="546">
        <v>46022</v>
      </c>
      <c r="AO23" s="981"/>
      <c r="AP23" s="518"/>
      <c r="AR23" s="257">
        <v>45761</v>
      </c>
      <c r="AS23" s="248" t="s">
        <v>2232</v>
      </c>
      <c r="AT23" s="246" t="s">
        <v>2250</v>
      </c>
      <c r="AU23" s="247" t="s">
        <v>205</v>
      </c>
      <c r="AV23" s="248" t="s">
        <v>206</v>
      </c>
      <c r="AW23" s="245" t="s">
        <v>206</v>
      </c>
      <c r="AX23" s="246" t="s">
        <v>2234</v>
      </c>
      <c r="AZ23" s="244">
        <v>45782</v>
      </c>
      <c r="BA23" s="251" t="s">
        <v>207</v>
      </c>
      <c r="BB23" s="245" t="s">
        <v>228</v>
      </c>
      <c r="BF23" s="249" t="s">
        <v>2078</v>
      </c>
      <c r="BH23" s="464" t="s">
        <v>579</v>
      </c>
      <c r="BI23" s="245" t="s">
        <v>580</v>
      </c>
      <c r="BJ23" s="246" t="s">
        <v>2235</v>
      </c>
      <c r="BK23" s="247" t="s">
        <v>205</v>
      </c>
      <c r="BL23" s="248" t="s">
        <v>206</v>
      </c>
      <c r="BM23" s="248" t="s">
        <v>535</v>
      </c>
      <c r="BN23" s="246" t="s">
        <v>2236</v>
      </c>
      <c r="BP23" s="450">
        <v>45869</v>
      </c>
      <c r="BQ23" s="449" t="s">
        <v>215</v>
      </c>
      <c r="BR23" s="283" t="s">
        <v>231</v>
      </c>
      <c r="BV23" s="249" t="s">
        <v>2078</v>
      </c>
      <c r="BX23" s="464" t="s">
        <v>2156</v>
      </c>
      <c r="BY23" s="245" t="s">
        <v>2157</v>
      </c>
      <c r="BZ23" s="246" t="s">
        <v>2237</v>
      </c>
      <c r="CA23" s="247" t="s">
        <v>205</v>
      </c>
      <c r="CB23" s="248" t="s">
        <v>206</v>
      </c>
      <c r="CC23" s="248" t="s">
        <v>535</v>
      </c>
      <c r="CD23" s="358" t="s">
        <v>2251</v>
      </c>
      <c r="CF23" s="254">
        <v>46000</v>
      </c>
      <c r="CG23" s="248" t="s">
        <v>218</v>
      </c>
      <c r="CH23" s="248" t="s">
        <v>233</v>
      </c>
      <c r="CL23" s="249" t="s">
        <v>2078</v>
      </c>
      <c r="CN23" s="252"/>
      <c r="CO23" s="252"/>
      <c r="CP23" s="249" t="s">
        <v>2078</v>
      </c>
      <c r="CQ23" s="247"/>
      <c r="CT23" s="249" t="s">
        <v>2088</v>
      </c>
      <c r="CX23" s="249" t="s">
        <v>2078</v>
      </c>
      <c r="DB23" s="249" t="s">
        <v>2078</v>
      </c>
    </row>
    <row r="24" spans="1:106" ht="236.25" customHeight="1" x14ac:dyDescent="0.2">
      <c r="A24" s="509">
        <v>4</v>
      </c>
      <c r="B24" s="510" t="s">
        <v>2239</v>
      </c>
      <c r="C24" s="511" t="s">
        <v>714</v>
      </c>
      <c r="D24" s="511" t="str">
        <f>IFERROR(INDEX('[10]Base de datos gestión'!$D$28:$D$50,MATCH(C24,'[10]Base de datos gestión'!$C$28:$C$50,0)), 0)</f>
        <v>Establecer, custodiar y mantener continuamente los patrones nacionales y sistemas de medición con los que cuenta el INM y apoyar la gestión de los propuestos por los Institutos Designados, a través de las actividades de aseguramiento de la validez de los resultados y el cumplimiento de los requisitos establecidos dentro del alcance del SIG, del CIPM-MRA , de los requisitos legales y otros requisitos aplicables al INM, para asegurar trazabilidad metrológica al Sistema Internacional de Unidades (SI) de los resultados de medición empleados en el contexto científico, productivo y de metrología legal.</v>
      </c>
      <c r="E24" s="511" t="str">
        <f>IFERROR(INDEX('[10]Base de datos gestión'!$E$28:$E$50,MATCH(C24,'[10]Base de datos gestión'!$C$28:$C$50,0)), 0)</f>
        <v>Inicia con la determinación de los requisitos y las actividades que deben llevarse a cabo para que un sistema de medición pueda declararse como patrón en la cadena de trazabilidad metrológica a través del INM o de un Instituto Designado, y finaliza con la oficialización como patrón nacional de una magnitud en los casos que aplique.</v>
      </c>
      <c r="F24" s="511">
        <v>22.23</v>
      </c>
      <c r="G24" s="511">
        <v>22.23</v>
      </c>
      <c r="H24" s="511" t="s">
        <v>652</v>
      </c>
      <c r="I24" s="511" t="s">
        <v>2240</v>
      </c>
      <c r="J24" s="511" t="s">
        <v>2241</v>
      </c>
      <c r="K24" s="511" t="s">
        <v>2242</v>
      </c>
      <c r="L24" s="511" t="s">
        <v>2069</v>
      </c>
      <c r="M24" s="511" t="s">
        <v>2070</v>
      </c>
      <c r="N24" s="510">
        <v>25</v>
      </c>
      <c r="O24" s="993"/>
      <c r="P24" s="994"/>
      <c r="Q24" s="994"/>
      <c r="R24" s="994"/>
      <c r="S24" s="997"/>
      <c r="T24" s="983"/>
      <c r="U24" s="999"/>
      <c r="V24" s="236">
        <v>3</v>
      </c>
      <c r="W24" s="547" t="s">
        <v>2252</v>
      </c>
      <c r="X24" s="236" t="str">
        <f t="shared" si="15"/>
        <v>Probabilidad</v>
      </c>
      <c r="Y24" s="515" t="s">
        <v>269</v>
      </c>
      <c r="Z24" s="515" t="s">
        <v>198</v>
      </c>
      <c r="AA24" s="238" t="str">
        <f>IF(AND(Y24="Preventivo",Z24="Automático"),"50%",IF(AND(Y24="Preventivo",Z24="Manual"),"40%",IF(AND(Y24="Detectivo",Z24="Automático"),"40%",IF(AND(Y24="Detectivo",Z24="Manual"),"30%",IF(AND(Y24="Correctivo",Z24="Automático"),"35%",IF(AND(Y24="Correctivo",Z24="Manual"),"25%",""))))))</f>
        <v>30%</v>
      </c>
      <c r="AB24" s="515" t="s">
        <v>259</v>
      </c>
      <c r="AC24" s="515" t="s">
        <v>200</v>
      </c>
      <c r="AD24" s="515" t="s">
        <v>201</v>
      </c>
      <c r="AE24" s="516">
        <f>IFERROR(IF(AND(X23="Probabilidad",X24="Probabilidad"),(AG23-(+AG23*AA24)),IF(AND(X23="Impacto",X24="Probabilidad"),(AG22-(+AG22*AA24)),IF(X24="Impacto",AG23,""))),"")</f>
        <v>5.6435097599999984E-3</v>
      </c>
      <c r="AF24" s="240" t="str">
        <f t="shared" si="17"/>
        <v>Muy Baja</v>
      </c>
      <c r="AG24" s="241">
        <f t="shared" si="18"/>
        <v>5.6435097599999984E-3</v>
      </c>
      <c r="AH24" s="240" t="str">
        <f t="shared" si="19"/>
        <v>Moderado</v>
      </c>
      <c r="AI24" s="241">
        <f>IFERROR(IF(AND(X23="Impacto",X24="Impacto"),(AI23-(+AI23*AA24)),IF(AND(X23="Probabilidad",X24="Impacto"),(AI22-(+AI22*AA24)),IF(X24="Probabilidad",AI23,""))),"")</f>
        <v>0.6</v>
      </c>
      <c r="AJ24" s="242" t="str">
        <f t="shared" si="20"/>
        <v>Moderado</v>
      </c>
      <c r="AK24" s="517"/>
      <c r="AL24" s="518"/>
      <c r="AM24" s="236"/>
      <c r="AN24" s="530"/>
      <c r="AO24" s="980"/>
      <c r="AP24" s="518"/>
      <c r="AR24" s="257">
        <v>45761</v>
      </c>
      <c r="AS24" s="248" t="s">
        <v>2232</v>
      </c>
      <c r="AT24" s="246" t="s">
        <v>2253</v>
      </c>
      <c r="AU24" s="247" t="s">
        <v>205</v>
      </c>
      <c r="AV24" s="248" t="s">
        <v>206</v>
      </c>
      <c r="AW24" s="245" t="s">
        <v>206</v>
      </c>
      <c r="AX24" s="246" t="s">
        <v>2254</v>
      </c>
      <c r="AZ24" s="244">
        <v>45782</v>
      </c>
      <c r="BA24" s="251" t="s">
        <v>207</v>
      </c>
      <c r="BB24" s="245" t="s">
        <v>228</v>
      </c>
      <c r="BF24" s="249" t="s">
        <v>2078</v>
      </c>
      <c r="BH24" s="464" t="s">
        <v>579</v>
      </c>
      <c r="BI24" s="245" t="s">
        <v>580</v>
      </c>
      <c r="BJ24" s="246" t="s">
        <v>2255</v>
      </c>
      <c r="BK24" s="247" t="s">
        <v>205</v>
      </c>
      <c r="BL24" s="248" t="s">
        <v>206</v>
      </c>
      <c r="BM24" s="248" t="s">
        <v>535</v>
      </c>
      <c r="BN24" s="246" t="s">
        <v>206</v>
      </c>
      <c r="BP24" s="450">
        <v>45869</v>
      </c>
      <c r="BQ24" s="449" t="s">
        <v>215</v>
      </c>
      <c r="BR24" s="283" t="s">
        <v>231</v>
      </c>
      <c r="BV24" s="249" t="s">
        <v>2078</v>
      </c>
      <c r="BX24" s="464" t="s">
        <v>2156</v>
      </c>
      <c r="BY24" s="245" t="s">
        <v>2157</v>
      </c>
      <c r="BZ24" s="246" t="s">
        <v>2256</v>
      </c>
      <c r="CA24" s="247" t="s">
        <v>205</v>
      </c>
      <c r="CB24" s="248" t="s">
        <v>206</v>
      </c>
      <c r="CC24" s="248" t="s">
        <v>535</v>
      </c>
      <c r="CD24" s="358" t="s">
        <v>2251</v>
      </c>
      <c r="CF24" s="254">
        <v>46000</v>
      </c>
      <c r="CG24" s="248" t="s">
        <v>218</v>
      </c>
      <c r="CH24" s="248" t="s">
        <v>233</v>
      </c>
      <c r="CL24" s="249" t="s">
        <v>2078</v>
      </c>
      <c r="CN24" s="252"/>
      <c r="CO24" s="252"/>
      <c r="CP24" s="249" t="s">
        <v>2078</v>
      </c>
      <c r="CQ24" s="247"/>
      <c r="CT24" s="249" t="s">
        <v>2088</v>
      </c>
      <c r="CX24" s="249" t="s">
        <v>2078</v>
      </c>
      <c r="DB24" s="249" t="s">
        <v>2078</v>
      </c>
    </row>
    <row r="25" spans="1:106" ht="15" customHeight="1" x14ac:dyDescent="0.2">
      <c r="H25" s="258"/>
      <c r="O25" s="258"/>
      <c r="P25" s="258"/>
      <c r="Q25" s="258"/>
      <c r="R25" s="234" t="str">
        <f>IF(NOT(ISERROR(MATCH(Q25,'[4]Tabla Impacto'!$B$222:$B$224,0))),'[4]Tabla Impacto'!$F$224&amp;"Por favor no seleccionar los criterios de impacto(Afectación Económica o presupuestal y Pérdida Reputacional)",Q25)</f>
        <v>❌Por favor no seleccionar los criterios de impacto(Afectación Económica o presupuestal y Pérdida Reputacional)</v>
      </c>
      <c r="S25" s="232" t="str">
        <f>IF(OR(R25='[4]Tabla Impacto'!$C$12,R25='[4]Tabla Impacto'!$D$12),"Leve",IF(OR(R25='[4]Tabla Impacto'!$C$13,R25='[4]Tabla Impacto'!$D$13),"Menor",IF(OR(R25='[4]Tabla Impacto'!$C$14,R25='[4]Tabla Impacto'!$D$14),"Moderado",IF(OR(R25='[4]Tabla Impacto'!$C$15,R25='[4]Tabla Impacto'!$D$15),"Mayor",IF(OR(R25='[4]Tabla Impacto'!$C$16,R25='[4]Tabla Impacto'!$D$16),"Catastrófico","")))))</f>
        <v/>
      </c>
      <c r="T25" s="233" t="str">
        <f t="shared" ref="T25:T37" si="21">IF(S25="","",IF(S25="Leve",0.2,IF(S25="Menor",0.4,IF(S25="Moderado",0.6,IF(S25="Mayor",0.8,IF(S25="Catastrófico",1,))))))</f>
        <v/>
      </c>
      <c r="U25" s="235" t="str">
        <f t="shared" ref="U25:U36" si="22">IF(OR(AND(O25="Muy Baja",S25="Leve"),AND(O25="Muy Baja",S25="Menor"),AND(O25="Baja",S25="Leve")),"Bajo",IF(OR(AND(O25="Muy baja",S25="Moderado"),AND(O25="Baja",S25="Menor"),AND(O25="Baja",S25="Moderado"),AND(O25="Media",S25="Leve"),AND(O25="Media",S25="Menor"),AND(O25="Media",S25="Moderado"),AND(O25="Alta",S25="Leve"),AND(O25="Alta",S25="Menor")),"Moderado",IF(OR(AND(O25="Muy Baja",S25="Mayor"),AND(O25="Baja",S25="Mayor"),AND(O25="Media",S25="Mayor"),AND(O25="Alta",S25="Moderado"),AND(O25="Alta",S25="Mayor"),AND(O25="Muy Alta",S25="Leve"),AND(O25="Muy Alta",S25="Menor"),AND(O25="Muy Alta",S25="Moderado"),AND(O25="Muy Alta",S25="Mayor")),"Alto",IF(OR(AND(O25="Muy Baja",S25="Catastrófico"),AND(O25="Baja",S25="Catastrófico"),AND(O25="Media",S25="Catastrófico"),AND(O25="Alta",S25="Catastrófico"),AND(O25="Muy Alta",S25="Catastrófico")),"Extremo",""))))</f>
        <v/>
      </c>
      <c r="X25" s="236" t="str">
        <f t="shared" si="15"/>
        <v>Probabilidad</v>
      </c>
      <c r="Y25" s="237" t="s">
        <v>197</v>
      </c>
      <c r="Z25" s="237" t="s">
        <v>198</v>
      </c>
      <c r="AA25" s="238" t="str">
        <f t="shared" ref="AA25:AA33" si="23">IF(AND(Y25="Preventivo",Z25="Automático"),"50%",IF(AND(Y25="Preventivo",Z25="Manual"),"40%",IF(AND(Y25="Detectivo",Z25="Automático"),"40%",IF(AND(Y25="Detectivo",Z25="Manual"),"30%",IF(AND(Y25="Correctivo",Z25="Automático"),"35%",IF(AND(Y25="Correctivo",Z25="Manual"),"25%",""))))))</f>
        <v>40%</v>
      </c>
      <c r="AB25" s="237" t="s">
        <v>259</v>
      </c>
      <c r="AC25" s="237" t="s">
        <v>200</v>
      </c>
      <c r="AD25" s="237" t="s">
        <v>201</v>
      </c>
      <c r="AE25" s="239">
        <f t="shared" ref="AE25:AE33" si="24">IFERROR(IF(AND(X24="Probabilidad",X25="Probabilidad"),(AG24-(+AG24*AA25)),IF(X25="Probabilidad",(P24-(+P24*AA25)),IF(X25="Impacto",AG24,""))),"")</f>
        <v>3.3861058559999991E-3</v>
      </c>
      <c r="AF25" s="240" t="str">
        <f t="shared" si="17"/>
        <v>Muy Baja</v>
      </c>
      <c r="AG25" s="241">
        <f t="shared" si="18"/>
        <v>3.3861058559999991E-3</v>
      </c>
      <c r="AH25" s="240" t="str">
        <f t="shared" si="19"/>
        <v/>
      </c>
      <c r="AI25" s="241" t="str">
        <f t="shared" ref="AI25:AI33" si="25">IFERROR(IF(X25="Impacto",(T25-(+T25*AA25)),IF(X25="Probabilidad",T25,"")),"")</f>
        <v/>
      </c>
      <c r="AJ25" s="242" t="str">
        <f t="shared" si="20"/>
        <v/>
      </c>
      <c r="AK25" s="243" t="s">
        <v>202</v>
      </c>
      <c r="AR25" s="252"/>
      <c r="AS25" s="252"/>
      <c r="AT25" s="249" t="s">
        <v>2078</v>
      </c>
      <c r="AU25" s="247"/>
      <c r="AX25" s="249" t="s">
        <v>2088</v>
      </c>
      <c r="BB25" s="249" t="s">
        <v>2078</v>
      </c>
      <c r="BF25" s="249" t="s">
        <v>2078</v>
      </c>
      <c r="BH25" s="252"/>
      <c r="BI25" s="252"/>
      <c r="BJ25" s="249" t="s">
        <v>2078</v>
      </c>
      <c r="BK25" s="247"/>
      <c r="BN25" s="249" t="s">
        <v>2088</v>
      </c>
      <c r="BR25" s="249" t="s">
        <v>2078</v>
      </c>
      <c r="BV25" s="249" t="s">
        <v>2078</v>
      </c>
      <c r="BX25" s="252"/>
      <c r="BY25" s="252"/>
      <c r="BZ25" s="249" t="s">
        <v>2078</v>
      </c>
      <c r="CA25" s="247"/>
      <c r="CD25" s="249" t="s">
        <v>2088</v>
      </c>
      <c r="CH25" s="249" t="s">
        <v>2078</v>
      </c>
      <c r="CL25" s="249" t="s">
        <v>2078</v>
      </c>
      <c r="CN25" s="252"/>
      <c r="CO25" s="252"/>
      <c r="CP25" s="249" t="s">
        <v>2078</v>
      </c>
      <c r="CQ25" s="247"/>
      <c r="CT25" s="249" t="s">
        <v>2088</v>
      </c>
      <c r="CX25" s="249" t="s">
        <v>2078</v>
      </c>
      <c r="DB25" s="249" t="s">
        <v>2078</v>
      </c>
    </row>
    <row r="26" spans="1:106" ht="15" customHeight="1" x14ac:dyDescent="0.2">
      <c r="H26" s="258"/>
      <c r="O26" s="258"/>
      <c r="P26" s="258"/>
      <c r="Q26" s="258"/>
      <c r="R26" s="234" t="str">
        <f>IF(NOT(ISERROR(MATCH(Q26,'[4]Tabla Impacto'!$B$222:$B$224,0))),'[4]Tabla Impacto'!$F$224&amp;"Por favor no seleccionar los criterios de impacto(Afectación Económica o presupuestal y Pérdida Reputacional)",Q26)</f>
        <v>❌Por favor no seleccionar los criterios de impacto(Afectación Económica o presupuestal y Pérdida Reputacional)</v>
      </c>
      <c r="S26" s="232" t="str">
        <f>IF(OR(R26='[4]Tabla Impacto'!$C$12,R26='[4]Tabla Impacto'!$D$12),"Leve",IF(OR(R26='[4]Tabla Impacto'!$C$13,R26='[4]Tabla Impacto'!$D$13),"Menor",IF(OR(R26='[4]Tabla Impacto'!$C$14,R26='[4]Tabla Impacto'!$D$14),"Moderado",IF(OR(R26='[4]Tabla Impacto'!$C$15,R26='[4]Tabla Impacto'!$D$15),"Mayor",IF(OR(R26='[4]Tabla Impacto'!$C$16,R26='[4]Tabla Impacto'!$D$16),"Catastrófico","")))))</f>
        <v/>
      </c>
      <c r="T26" s="233" t="str">
        <f t="shared" si="21"/>
        <v/>
      </c>
      <c r="U26" s="235" t="str">
        <f t="shared" si="22"/>
        <v/>
      </c>
      <c r="X26" s="236" t="str">
        <f t="shared" si="15"/>
        <v>Probabilidad</v>
      </c>
      <c r="Y26" s="237" t="s">
        <v>197</v>
      </c>
      <c r="Z26" s="237" t="s">
        <v>198</v>
      </c>
      <c r="AA26" s="238" t="str">
        <f t="shared" si="23"/>
        <v>40%</v>
      </c>
      <c r="AB26" s="237" t="s">
        <v>259</v>
      </c>
      <c r="AC26" s="237" t="s">
        <v>200</v>
      </c>
      <c r="AD26" s="237" t="s">
        <v>201</v>
      </c>
      <c r="AE26" s="239">
        <f t="shared" si="24"/>
        <v>2.0316635135999993E-3</v>
      </c>
      <c r="AF26" s="240" t="str">
        <f t="shared" si="17"/>
        <v>Muy Baja</v>
      </c>
      <c r="AG26" s="241">
        <f t="shared" si="18"/>
        <v>2.0316635135999993E-3</v>
      </c>
      <c r="AH26" s="240" t="str">
        <f t="shared" si="19"/>
        <v/>
      </c>
      <c r="AI26" s="241" t="str">
        <f t="shared" si="25"/>
        <v/>
      </c>
      <c r="AJ26" s="242" t="str">
        <f t="shared" si="20"/>
        <v/>
      </c>
      <c r="AK26" s="243" t="s">
        <v>202</v>
      </c>
      <c r="AR26" s="252"/>
      <c r="AS26" s="252"/>
      <c r="AT26" s="249" t="s">
        <v>2078</v>
      </c>
      <c r="AU26" s="247"/>
      <c r="AX26" s="249" t="s">
        <v>2088</v>
      </c>
      <c r="BB26" s="249" t="s">
        <v>2078</v>
      </c>
      <c r="BF26" s="249" t="s">
        <v>2078</v>
      </c>
      <c r="BH26" s="252"/>
      <c r="BI26" s="252"/>
      <c r="BJ26" s="249" t="s">
        <v>2078</v>
      </c>
      <c r="BK26" s="247"/>
      <c r="BN26" s="249" t="s">
        <v>2088</v>
      </c>
      <c r="BR26" s="249" t="s">
        <v>2078</v>
      </c>
      <c r="BV26" s="249" t="s">
        <v>2078</v>
      </c>
      <c r="BX26" s="252"/>
      <c r="BY26" s="252"/>
      <c r="BZ26" s="249" t="s">
        <v>2078</v>
      </c>
      <c r="CA26" s="247"/>
      <c r="CD26" s="249" t="s">
        <v>2088</v>
      </c>
      <c r="CH26" s="249" t="s">
        <v>2078</v>
      </c>
      <c r="CL26" s="249" t="s">
        <v>2078</v>
      </c>
      <c r="CN26" s="252"/>
      <c r="CO26" s="252"/>
      <c r="CP26" s="249" t="s">
        <v>2078</v>
      </c>
      <c r="CQ26" s="247"/>
      <c r="CT26" s="249" t="s">
        <v>2088</v>
      </c>
      <c r="CX26" s="249" t="s">
        <v>2078</v>
      </c>
      <c r="DB26" s="249" t="s">
        <v>2078</v>
      </c>
    </row>
    <row r="27" spans="1:106" ht="15" customHeight="1" x14ac:dyDescent="0.2">
      <c r="H27" s="258"/>
      <c r="O27" s="258"/>
      <c r="P27" s="258"/>
      <c r="Q27" s="258"/>
      <c r="R27" s="234" t="str">
        <f>IF(NOT(ISERROR(MATCH(Q27,'[4]Tabla Impacto'!$B$222:$B$224,0))),'[4]Tabla Impacto'!$F$224&amp;"Por favor no seleccionar los criterios de impacto(Afectación Económica o presupuestal y Pérdida Reputacional)",Q27)</f>
        <v>❌Por favor no seleccionar los criterios de impacto(Afectación Económica o presupuestal y Pérdida Reputacional)</v>
      </c>
      <c r="S27" s="232" t="str">
        <f>IF(OR(R27='[4]Tabla Impacto'!$C$12,R27='[4]Tabla Impacto'!$D$12),"Leve",IF(OR(R27='[4]Tabla Impacto'!$C$13,R27='[4]Tabla Impacto'!$D$13),"Menor",IF(OR(R27='[4]Tabla Impacto'!$C$14,R27='[4]Tabla Impacto'!$D$14),"Moderado",IF(OR(R27='[4]Tabla Impacto'!$C$15,R27='[4]Tabla Impacto'!$D$15),"Mayor",IF(OR(R27='[4]Tabla Impacto'!$C$16,R27='[4]Tabla Impacto'!$D$16),"Catastrófico","")))))</f>
        <v/>
      </c>
      <c r="T27" s="233" t="str">
        <f t="shared" si="21"/>
        <v/>
      </c>
      <c r="U27" s="235" t="str">
        <f t="shared" si="22"/>
        <v/>
      </c>
      <c r="X27" s="236" t="str">
        <f t="shared" si="15"/>
        <v>Probabilidad</v>
      </c>
      <c r="Y27" s="237" t="s">
        <v>197</v>
      </c>
      <c r="Z27" s="237" t="s">
        <v>198</v>
      </c>
      <c r="AA27" s="238" t="str">
        <f t="shared" si="23"/>
        <v>40%</v>
      </c>
      <c r="AB27" s="237" t="s">
        <v>259</v>
      </c>
      <c r="AC27" s="237" t="s">
        <v>200</v>
      </c>
      <c r="AD27" s="237" t="s">
        <v>201</v>
      </c>
      <c r="AE27" s="239">
        <f t="shared" si="24"/>
        <v>1.2189981081599994E-3</v>
      </c>
      <c r="AF27" s="240" t="str">
        <f t="shared" si="17"/>
        <v>Muy Baja</v>
      </c>
      <c r="AG27" s="241">
        <f t="shared" si="18"/>
        <v>1.2189981081599994E-3</v>
      </c>
      <c r="AH27" s="240" t="str">
        <f t="shared" si="19"/>
        <v/>
      </c>
      <c r="AI27" s="241" t="str">
        <f t="shared" si="25"/>
        <v/>
      </c>
      <c r="AJ27" s="242" t="str">
        <f t="shared" si="20"/>
        <v/>
      </c>
      <c r="AK27" s="243" t="s">
        <v>202</v>
      </c>
      <c r="AR27" s="252"/>
      <c r="AS27" s="252"/>
      <c r="AT27" s="249" t="s">
        <v>2078</v>
      </c>
      <c r="AU27" s="247"/>
      <c r="AX27" s="249" t="s">
        <v>2088</v>
      </c>
      <c r="BB27" s="249" t="s">
        <v>2078</v>
      </c>
      <c r="BF27" s="249" t="s">
        <v>2078</v>
      </c>
      <c r="BH27" s="252"/>
      <c r="BI27" s="252"/>
      <c r="BJ27" s="249" t="s">
        <v>2078</v>
      </c>
      <c r="BK27" s="247"/>
      <c r="BN27" s="249" t="s">
        <v>2088</v>
      </c>
      <c r="BR27" s="249" t="s">
        <v>2078</v>
      </c>
      <c r="BV27" s="249" t="s">
        <v>2078</v>
      </c>
      <c r="BX27" s="252"/>
      <c r="BY27" s="252"/>
      <c r="BZ27" s="249" t="s">
        <v>2078</v>
      </c>
      <c r="CA27" s="247"/>
      <c r="CD27" s="249" t="s">
        <v>2088</v>
      </c>
      <c r="CH27" s="249" t="s">
        <v>2078</v>
      </c>
      <c r="CL27" s="249" t="s">
        <v>2078</v>
      </c>
      <c r="CN27" s="252"/>
      <c r="CO27" s="252"/>
      <c r="CP27" s="249" t="s">
        <v>2078</v>
      </c>
      <c r="CQ27" s="247"/>
      <c r="CT27" s="249" t="s">
        <v>2088</v>
      </c>
      <c r="CX27" s="249" t="s">
        <v>2078</v>
      </c>
      <c r="DB27" s="249" t="s">
        <v>2078</v>
      </c>
    </row>
    <row r="28" spans="1:106" ht="15" customHeight="1" x14ac:dyDescent="0.2">
      <c r="H28" s="258"/>
      <c r="O28" s="258"/>
      <c r="P28" s="258"/>
      <c r="Q28" s="258"/>
      <c r="R28" s="234" t="str">
        <f>IF(NOT(ISERROR(MATCH(Q28,'[4]Tabla Impacto'!$B$222:$B$224,0))),'[4]Tabla Impacto'!$F$224&amp;"Por favor no seleccionar los criterios de impacto(Afectación Económica o presupuestal y Pérdida Reputacional)",Q28)</f>
        <v>❌Por favor no seleccionar los criterios de impacto(Afectación Económica o presupuestal y Pérdida Reputacional)</v>
      </c>
      <c r="S28" s="232" t="str">
        <f>IF(OR(R28='[4]Tabla Impacto'!$C$12,R28='[4]Tabla Impacto'!$D$12),"Leve",IF(OR(R28='[4]Tabla Impacto'!$C$13,R28='[4]Tabla Impacto'!$D$13),"Menor",IF(OR(R28='[4]Tabla Impacto'!$C$14,R28='[4]Tabla Impacto'!$D$14),"Moderado",IF(OR(R28='[4]Tabla Impacto'!$C$15,R28='[4]Tabla Impacto'!$D$15),"Mayor",IF(OR(R28='[4]Tabla Impacto'!$C$16,R28='[4]Tabla Impacto'!$D$16),"Catastrófico","")))))</f>
        <v/>
      </c>
      <c r="T28" s="233" t="str">
        <f t="shared" si="21"/>
        <v/>
      </c>
      <c r="U28" s="235" t="str">
        <f t="shared" si="22"/>
        <v/>
      </c>
      <c r="X28" s="236" t="str">
        <f t="shared" si="15"/>
        <v>Probabilidad</v>
      </c>
      <c r="Y28" s="237" t="s">
        <v>197</v>
      </c>
      <c r="Z28" s="237" t="s">
        <v>198</v>
      </c>
      <c r="AA28" s="238" t="str">
        <f t="shared" si="23"/>
        <v>40%</v>
      </c>
      <c r="AB28" s="237" t="s">
        <v>259</v>
      </c>
      <c r="AC28" s="237" t="s">
        <v>200</v>
      </c>
      <c r="AD28" s="237" t="s">
        <v>201</v>
      </c>
      <c r="AE28" s="239">
        <f t="shared" si="24"/>
        <v>7.3139886489599962E-4</v>
      </c>
      <c r="AF28" s="240" t="str">
        <f t="shared" si="17"/>
        <v>Muy Baja</v>
      </c>
      <c r="AG28" s="241">
        <f t="shared" si="18"/>
        <v>7.3139886489599962E-4</v>
      </c>
      <c r="AH28" s="240" t="str">
        <f t="shared" si="19"/>
        <v/>
      </c>
      <c r="AI28" s="241" t="str">
        <f t="shared" si="25"/>
        <v/>
      </c>
      <c r="AJ28" s="242" t="str">
        <f t="shared" si="20"/>
        <v/>
      </c>
      <c r="AK28" s="243" t="s">
        <v>202</v>
      </c>
      <c r="AR28" s="252"/>
      <c r="AS28" s="252"/>
      <c r="AT28" s="249" t="s">
        <v>2078</v>
      </c>
      <c r="AU28" s="247"/>
      <c r="AX28" s="249" t="s">
        <v>2088</v>
      </c>
      <c r="BB28" s="249" t="s">
        <v>2078</v>
      </c>
      <c r="BF28" s="249" t="s">
        <v>2078</v>
      </c>
      <c r="BH28" s="252"/>
      <c r="BI28" s="252"/>
      <c r="BJ28" s="249" t="s">
        <v>2078</v>
      </c>
      <c r="BK28" s="247"/>
      <c r="BN28" s="249" t="s">
        <v>2088</v>
      </c>
      <c r="BR28" s="249" t="s">
        <v>2078</v>
      </c>
      <c r="BV28" s="249" t="s">
        <v>2078</v>
      </c>
      <c r="BX28" s="252"/>
      <c r="BY28" s="252"/>
      <c r="BZ28" s="249" t="s">
        <v>2078</v>
      </c>
      <c r="CA28" s="247"/>
      <c r="CD28" s="249" t="s">
        <v>2088</v>
      </c>
      <c r="CH28" s="249" t="s">
        <v>2078</v>
      </c>
      <c r="CL28" s="249" t="s">
        <v>2078</v>
      </c>
      <c r="CN28" s="252"/>
      <c r="CO28" s="252"/>
      <c r="CP28" s="249" t="s">
        <v>2078</v>
      </c>
      <c r="CQ28" s="247"/>
      <c r="CT28" s="249" t="s">
        <v>2088</v>
      </c>
      <c r="CX28" s="249" t="s">
        <v>2078</v>
      </c>
      <c r="DB28" s="249" t="s">
        <v>2078</v>
      </c>
    </row>
    <row r="29" spans="1:106" ht="15" customHeight="1" x14ac:dyDescent="0.2">
      <c r="H29" s="258"/>
      <c r="O29" s="258"/>
      <c r="P29" s="258"/>
      <c r="Q29" s="258"/>
      <c r="R29" s="234" t="str">
        <f>IF(NOT(ISERROR(MATCH(Q29,'[4]Tabla Impacto'!$B$222:$B$224,0))),'[4]Tabla Impacto'!$F$224&amp;"Por favor no seleccionar los criterios de impacto(Afectación Económica o presupuestal y Pérdida Reputacional)",Q29)</f>
        <v>❌Por favor no seleccionar los criterios de impacto(Afectación Económica o presupuestal y Pérdida Reputacional)</v>
      </c>
      <c r="S29" s="232" t="str">
        <f>IF(OR(R29='[4]Tabla Impacto'!$C$12,R29='[4]Tabla Impacto'!$D$12),"Leve",IF(OR(R29='[4]Tabla Impacto'!$C$13,R29='[4]Tabla Impacto'!$D$13),"Menor",IF(OR(R29='[4]Tabla Impacto'!$C$14,R29='[4]Tabla Impacto'!$D$14),"Moderado",IF(OR(R29='[4]Tabla Impacto'!$C$15,R29='[4]Tabla Impacto'!$D$15),"Mayor",IF(OR(R29='[4]Tabla Impacto'!$C$16,R29='[4]Tabla Impacto'!$D$16),"Catastrófico","")))))</f>
        <v/>
      </c>
      <c r="T29" s="233" t="str">
        <f t="shared" si="21"/>
        <v/>
      </c>
      <c r="U29" s="235" t="str">
        <f t="shared" si="22"/>
        <v/>
      </c>
      <c r="X29" s="236" t="str">
        <f t="shared" si="15"/>
        <v>Probabilidad</v>
      </c>
      <c r="Y29" s="237" t="s">
        <v>197</v>
      </c>
      <c r="Z29" s="237" t="s">
        <v>198</v>
      </c>
      <c r="AA29" s="238" t="str">
        <f t="shared" si="23"/>
        <v>40%</v>
      </c>
      <c r="AB29" s="237" t="s">
        <v>259</v>
      </c>
      <c r="AC29" s="237" t="s">
        <v>200</v>
      </c>
      <c r="AD29" s="237" t="s">
        <v>201</v>
      </c>
      <c r="AE29" s="239">
        <f t="shared" si="24"/>
        <v>4.3883931893759975E-4</v>
      </c>
      <c r="AF29" s="240" t="str">
        <f t="shared" si="17"/>
        <v>Muy Baja</v>
      </c>
      <c r="AG29" s="241">
        <f t="shared" si="18"/>
        <v>4.3883931893759975E-4</v>
      </c>
      <c r="AH29" s="240" t="str">
        <f t="shared" si="19"/>
        <v/>
      </c>
      <c r="AI29" s="241" t="str">
        <f t="shared" si="25"/>
        <v/>
      </c>
      <c r="AJ29" s="242" t="str">
        <f t="shared" si="20"/>
        <v/>
      </c>
      <c r="AK29" s="243" t="s">
        <v>202</v>
      </c>
      <c r="AR29" s="252"/>
      <c r="AS29" s="252"/>
      <c r="AT29" s="249" t="s">
        <v>2078</v>
      </c>
      <c r="AU29" s="247"/>
      <c r="AX29" s="249" t="s">
        <v>2088</v>
      </c>
      <c r="BB29" s="249" t="s">
        <v>2078</v>
      </c>
      <c r="BF29" s="249" t="s">
        <v>2078</v>
      </c>
      <c r="BH29" s="252"/>
      <c r="BI29" s="252"/>
      <c r="BJ29" s="249" t="s">
        <v>2078</v>
      </c>
      <c r="BK29" s="247"/>
      <c r="BN29" s="249" t="s">
        <v>2088</v>
      </c>
      <c r="BR29" s="249" t="s">
        <v>2078</v>
      </c>
      <c r="BV29" s="249" t="s">
        <v>2078</v>
      </c>
      <c r="BX29" s="252"/>
      <c r="BY29" s="252"/>
      <c r="BZ29" s="249" t="s">
        <v>2078</v>
      </c>
      <c r="CA29" s="247"/>
      <c r="CD29" s="249" t="s">
        <v>2088</v>
      </c>
      <c r="CH29" s="249" t="s">
        <v>2078</v>
      </c>
      <c r="CL29" s="249" t="s">
        <v>2078</v>
      </c>
      <c r="CN29" s="252"/>
      <c r="CO29" s="252"/>
      <c r="CP29" s="249" t="s">
        <v>2078</v>
      </c>
      <c r="CQ29" s="247"/>
      <c r="CT29" s="249" t="s">
        <v>2088</v>
      </c>
      <c r="CX29" s="249" t="s">
        <v>2078</v>
      </c>
      <c r="DB29" s="249" t="s">
        <v>2078</v>
      </c>
    </row>
    <row r="30" spans="1:106" ht="15" customHeight="1" x14ac:dyDescent="0.2">
      <c r="H30" s="258"/>
      <c r="O30" s="258"/>
      <c r="P30" s="258"/>
      <c r="Q30" s="258"/>
      <c r="R30" s="234" t="str">
        <f>IF(NOT(ISERROR(MATCH(Q30,'[4]Tabla Impacto'!$B$222:$B$224,0))),'[4]Tabla Impacto'!$F$224&amp;"Por favor no seleccionar los criterios de impacto(Afectación Económica o presupuestal y Pérdida Reputacional)",Q30)</f>
        <v>❌Por favor no seleccionar los criterios de impacto(Afectación Económica o presupuestal y Pérdida Reputacional)</v>
      </c>
      <c r="S30" s="232" t="str">
        <f>IF(OR(R30='[4]Tabla Impacto'!$C$12,R30='[4]Tabla Impacto'!$D$12),"Leve",IF(OR(R30='[4]Tabla Impacto'!$C$13,R30='[4]Tabla Impacto'!$D$13),"Menor",IF(OR(R30='[4]Tabla Impacto'!$C$14,R30='[4]Tabla Impacto'!$D$14),"Moderado",IF(OR(R30='[4]Tabla Impacto'!$C$15,R30='[4]Tabla Impacto'!$D$15),"Mayor",IF(OR(R30='[4]Tabla Impacto'!$C$16,R30='[4]Tabla Impacto'!$D$16),"Catastrófico","")))))</f>
        <v/>
      </c>
      <c r="T30" s="233" t="str">
        <f t="shared" si="21"/>
        <v/>
      </c>
      <c r="U30" s="235" t="str">
        <f t="shared" si="22"/>
        <v/>
      </c>
      <c r="X30" s="236" t="str">
        <f t="shared" si="15"/>
        <v>Probabilidad</v>
      </c>
      <c r="Y30" s="237" t="s">
        <v>197</v>
      </c>
      <c r="Z30" s="237" t="s">
        <v>198</v>
      </c>
      <c r="AA30" s="238" t="str">
        <f t="shared" si="23"/>
        <v>40%</v>
      </c>
      <c r="AB30" s="237" t="s">
        <v>259</v>
      </c>
      <c r="AC30" s="237" t="s">
        <v>200</v>
      </c>
      <c r="AD30" s="237" t="s">
        <v>201</v>
      </c>
      <c r="AE30" s="239">
        <f t="shared" si="24"/>
        <v>2.6330359136255983E-4</v>
      </c>
      <c r="AF30" s="240" t="str">
        <f t="shared" si="17"/>
        <v>Muy Baja</v>
      </c>
      <c r="AG30" s="241">
        <f t="shared" si="18"/>
        <v>2.6330359136255983E-4</v>
      </c>
      <c r="AH30" s="240" t="str">
        <f t="shared" si="19"/>
        <v/>
      </c>
      <c r="AI30" s="241" t="str">
        <f t="shared" si="25"/>
        <v/>
      </c>
      <c r="AJ30" s="242" t="str">
        <f t="shared" si="20"/>
        <v/>
      </c>
      <c r="AK30" s="243" t="s">
        <v>202</v>
      </c>
      <c r="AR30" s="252"/>
      <c r="AS30" s="252"/>
      <c r="AT30" s="249" t="s">
        <v>2078</v>
      </c>
      <c r="AU30" s="247"/>
      <c r="AX30" s="249" t="s">
        <v>2088</v>
      </c>
      <c r="BB30" s="249" t="s">
        <v>2078</v>
      </c>
      <c r="BF30" s="249" t="s">
        <v>2078</v>
      </c>
      <c r="BH30" s="252"/>
      <c r="BI30" s="252"/>
      <c r="BJ30" s="249" t="s">
        <v>2078</v>
      </c>
      <c r="BK30" s="247"/>
      <c r="BN30" s="249" t="s">
        <v>2088</v>
      </c>
      <c r="BR30" s="249" t="s">
        <v>2078</v>
      </c>
      <c r="BV30" s="249" t="s">
        <v>2078</v>
      </c>
      <c r="BX30" s="252"/>
      <c r="BY30" s="252"/>
      <c r="BZ30" s="249" t="s">
        <v>2078</v>
      </c>
      <c r="CA30" s="247"/>
      <c r="CD30" s="249" t="s">
        <v>2088</v>
      </c>
      <c r="CH30" s="249" t="s">
        <v>2078</v>
      </c>
      <c r="CL30" s="249" t="s">
        <v>2078</v>
      </c>
      <c r="CN30" s="252"/>
      <c r="CO30" s="252"/>
      <c r="CP30" s="249" t="s">
        <v>2078</v>
      </c>
      <c r="CQ30" s="247"/>
      <c r="CT30" s="249" t="s">
        <v>2088</v>
      </c>
      <c r="CX30" s="249" t="s">
        <v>2078</v>
      </c>
      <c r="DB30" s="249" t="s">
        <v>2078</v>
      </c>
    </row>
    <row r="31" spans="1:106" ht="15" customHeight="1" x14ac:dyDescent="0.2">
      <c r="H31" s="258"/>
      <c r="O31" s="258"/>
      <c r="P31" s="258"/>
      <c r="Q31" s="258"/>
      <c r="R31" s="234" t="str">
        <f>IF(NOT(ISERROR(MATCH(Q31,'[4]Tabla Impacto'!$B$222:$B$224,0))),'[4]Tabla Impacto'!$F$224&amp;"Por favor no seleccionar los criterios de impacto(Afectación Económica o presupuestal y Pérdida Reputacional)",Q31)</f>
        <v>❌Por favor no seleccionar los criterios de impacto(Afectación Económica o presupuestal y Pérdida Reputacional)</v>
      </c>
      <c r="S31" s="232" t="str">
        <f>IF(OR(R31='[4]Tabla Impacto'!$C$12,R31='[4]Tabla Impacto'!$D$12),"Leve",IF(OR(R31='[4]Tabla Impacto'!$C$13,R31='[4]Tabla Impacto'!$D$13),"Menor",IF(OR(R31='[4]Tabla Impacto'!$C$14,R31='[4]Tabla Impacto'!$D$14),"Moderado",IF(OR(R31='[4]Tabla Impacto'!$C$15,R31='[4]Tabla Impacto'!$D$15),"Mayor",IF(OR(R31='[4]Tabla Impacto'!$C$16,R31='[4]Tabla Impacto'!$D$16),"Catastrófico","")))))</f>
        <v/>
      </c>
      <c r="T31" s="233" t="str">
        <f t="shared" si="21"/>
        <v/>
      </c>
      <c r="U31" s="235" t="str">
        <f t="shared" si="22"/>
        <v/>
      </c>
      <c r="X31" s="236" t="str">
        <f t="shared" si="15"/>
        <v>Probabilidad</v>
      </c>
      <c r="Y31" s="237" t="s">
        <v>197</v>
      </c>
      <c r="Z31" s="237" t="s">
        <v>198</v>
      </c>
      <c r="AA31" s="238" t="str">
        <f t="shared" si="23"/>
        <v>40%</v>
      </c>
      <c r="AB31" s="237" t="s">
        <v>259</v>
      </c>
      <c r="AC31" s="237" t="s">
        <v>200</v>
      </c>
      <c r="AD31" s="237" t="s">
        <v>201</v>
      </c>
      <c r="AE31" s="239">
        <f t="shared" si="24"/>
        <v>1.5798215481753589E-4</v>
      </c>
      <c r="AF31" s="240" t="str">
        <f t="shared" si="17"/>
        <v>Muy Baja</v>
      </c>
      <c r="AG31" s="241">
        <f t="shared" si="18"/>
        <v>1.5798215481753589E-4</v>
      </c>
      <c r="AH31" s="240" t="str">
        <f t="shared" si="19"/>
        <v/>
      </c>
      <c r="AI31" s="241" t="str">
        <f t="shared" si="25"/>
        <v/>
      </c>
      <c r="AJ31" s="242" t="str">
        <f t="shared" si="20"/>
        <v/>
      </c>
      <c r="AK31" s="243" t="s">
        <v>202</v>
      </c>
      <c r="AR31" s="252"/>
      <c r="AS31" s="252"/>
      <c r="AT31" s="249" t="s">
        <v>2078</v>
      </c>
      <c r="AU31" s="247"/>
      <c r="AX31" s="249" t="s">
        <v>2088</v>
      </c>
      <c r="BB31" s="249" t="s">
        <v>2078</v>
      </c>
      <c r="BF31" s="249" t="s">
        <v>2078</v>
      </c>
      <c r="BH31" s="252"/>
      <c r="BI31" s="252"/>
      <c r="BJ31" s="249" t="s">
        <v>2078</v>
      </c>
      <c r="BK31" s="247"/>
      <c r="BN31" s="249" t="s">
        <v>2088</v>
      </c>
      <c r="BR31" s="249" t="s">
        <v>2078</v>
      </c>
      <c r="BV31" s="249" t="s">
        <v>2078</v>
      </c>
      <c r="BX31" s="252"/>
      <c r="BY31" s="252"/>
      <c r="BZ31" s="249" t="s">
        <v>2078</v>
      </c>
      <c r="CA31" s="247"/>
      <c r="CD31" s="249" t="s">
        <v>2088</v>
      </c>
      <c r="CH31" s="249" t="s">
        <v>2078</v>
      </c>
      <c r="CL31" s="249" t="s">
        <v>2078</v>
      </c>
      <c r="CN31" s="252"/>
      <c r="CO31" s="252"/>
      <c r="CP31" s="249" t="s">
        <v>2078</v>
      </c>
      <c r="CQ31" s="247"/>
      <c r="CT31" s="249" t="s">
        <v>2088</v>
      </c>
      <c r="CX31" s="249" t="s">
        <v>2078</v>
      </c>
      <c r="DB31" s="249" t="s">
        <v>2078</v>
      </c>
    </row>
    <row r="32" spans="1:106" ht="15" customHeight="1" x14ac:dyDescent="0.2">
      <c r="H32" s="258"/>
      <c r="O32" s="258"/>
      <c r="P32" s="258"/>
      <c r="Q32" s="258"/>
      <c r="R32" s="234" t="str">
        <f>IF(NOT(ISERROR(MATCH(Q32,'[4]Tabla Impacto'!$B$222:$B$224,0))),'[4]Tabla Impacto'!$F$224&amp;"Por favor no seleccionar los criterios de impacto(Afectación Económica o presupuestal y Pérdida Reputacional)",Q32)</f>
        <v>❌Por favor no seleccionar los criterios de impacto(Afectación Económica o presupuestal y Pérdida Reputacional)</v>
      </c>
      <c r="S32" s="232" t="str">
        <f>IF(OR(R32='[4]Tabla Impacto'!$C$12,R32='[4]Tabla Impacto'!$D$12),"Leve",IF(OR(R32='[4]Tabla Impacto'!$C$13,R32='[4]Tabla Impacto'!$D$13),"Menor",IF(OR(R32='[4]Tabla Impacto'!$C$14,R32='[4]Tabla Impacto'!$D$14),"Moderado",IF(OR(R32='[4]Tabla Impacto'!$C$15,R32='[4]Tabla Impacto'!$D$15),"Mayor",IF(OR(R32='[4]Tabla Impacto'!$C$16,R32='[4]Tabla Impacto'!$D$16),"Catastrófico","")))))</f>
        <v/>
      </c>
      <c r="T32" s="233" t="str">
        <f t="shared" si="21"/>
        <v/>
      </c>
      <c r="U32" s="235" t="str">
        <f t="shared" si="22"/>
        <v/>
      </c>
      <c r="X32" s="236" t="str">
        <f t="shared" si="15"/>
        <v>Probabilidad</v>
      </c>
      <c r="Y32" s="237" t="s">
        <v>197</v>
      </c>
      <c r="Z32" s="237" t="s">
        <v>198</v>
      </c>
      <c r="AA32" s="238" t="str">
        <f t="shared" si="23"/>
        <v>40%</v>
      </c>
      <c r="AB32" s="237" t="s">
        <v>259</v>
      </c>
      <c r="AC32" s="237" t="s">
        <v>200</v>
      </c>
      <c r="AD32" s="237" t="s">
        <v>201</v>
      </c>
      <c r="AE32" s="239">
        <f t="shared" si="24"/>
        <v>9.4789292890521532E-5</v>
      </c>
      <c r="AF32" s="240" t="str">
        <f t="shared" si="17"/>
        <v>Muy Baja</v>
      </c>
      <c r="AG32" s="241">
        <f t="shared" si="18"/>
        <v>9.4789292890521532E-5</v>
      </c>
      <c r="AH32" s="240" t="str">
        <f t="shared" si="19"/>
        <v/>
      </c>
      <c r="AI32" s="241" t="str">
        <f t="shared" si="25"/>
        <v/>
      </c>
      <c r="AJ32" s="242" t="str">
        <f t="shared" si="20"/>
        <v/>
      </c>
      <c r="AK32" s="243" t="s">
        <v>202</v>
      </c>
      <c r="AR32" s="252"/>
      <c r="AS32" s="252"/>
      <c r="AT32" s="249" t="s">
        <v>2078</v>
      </c>
      <c r="AU32" s="247"/>
      <c r="AX32" s="249" t="s">
        <v>2088</v>
      </c>
      <c r="BB32" s="249" t="s">
        <v>2078</v>
      </c>
      <c r="BF32" s="249" t="s">
        <v>2078</v>
      </c>
      <c r="BH32" s="252"/>
      <c r="BI32" s="252"/>
      <c r="BJ32" s="249" t="s">
        <v>2078</v>
      </c>
      <c r="BK32" s="247"/>
      <c r="BN32" s="249" t="s">
        <v>2088</v>
      </c>
      <c r="BR32" s="249" t="s">
        <v>2078</v>
      </c>
      <c r="BV32" s="249" t="s">
        <v>2078</v>
      </c>
      <c r="BX32" s="252"/>
      <c r="BY32" s="252"/>
      <c r="BZ32" s="249" t="s">
        <v>2078</v>
      </c>
      <c r="CA32" s="247"/>
      <c r="CD32" s="249" t="s">
        <v>2088</v>
      </c>
      <c r="CH32" s="249" t="s">
        <v>2078</v>
      </c>
      <c r="CL32" s="249" t="s">
        <v>2078</v>
      </c>
      <c r="CN32" s="252"/>
      <c r="CO32" s="252"/>
      <c r="CP32" s="249" t="s">
        <v>2078</v>
      </c>
      <c r="CQ32" s="247"/>
      <c r="CT32" s="249" t="s">
        <v>2088</v>
      </c>
      <c r="CX32" s="249" t="s">
        <v>2078</v>
      </c>
      <c r="DB32" s="249" t="s">
        <v>2078</v>
      </c>
    </row>
    <row r="33" spans="4:106" ht="15" customHeight="1" x14ac:dyDescent="0.2">
      <c r="H33" s="258"/>
      <c r="O33" s="258"/>
      <c r="P33" s="258"/>
      <c r="Q33" s="258"/>
      <c r="R33" s="234" t="str">
        <f>IF(NOT(ISERROR(MATCH(Q33,'[4]Tabla Impacto'!$B$222:$B$224,0))),'[4]Tabla Impacto'!$F$224&amp;"Por favor no seleccionar los criterios de impacto(Afectación Económica o presupuestal y Pérdida Reputacional)",Q33)</f>
        <v>❌Por favor no seleccionar los criterios de impacto(Afectación Económica o presupuestal y Pérdida Reputacional)</v>
      </c>
      <c r="S33" s="232" t="str">
        <f>IF(OR(R33='[4]Tabla Impacto'!$C$12,R33='[4]Tabla Impacto'!$D$12),"Leve",IF(OR(R33='[4]Tabla Impacto'!$C$13,R33='[4]Tabla Impacto'!$D$13),"Menor",IF(OR(R33='[4]Tabla Impacto'!$C$14,R33='[4]Tabla Impacto'!$D$14),"Moderado",IF(OR(R33='[4]Tabla Impacto'!$C$15,R33='[4]Tabla Impacto'!$D$15),"Mayor",IF(OR(R33='[4]Tabla Impacto'!$C$16,R33='[4]Tabla Impacto'!$D$16),"Catastrófico","")))))</f>
        <v/>
      </c>
      <c r="T33" s="233" t="str">
        <f t="shared" si="21"/>
        <v/>
      </c>
      <c r="U33" s="235" t="str">
        <f t="shared" si="22"/>
        <v/>
      </c>
      <c r="X33" s="236" t="str">
        <f t="shared" si="15"/>
        <v>Probabilidad</v>
      </c>
      <c r="Y33" s="237" t="s">
        <v>197</v>
      </c>
      <c r="Z33" s="237" t="s">
        <v>198</v>
      </c>
      <c r="AA33" s="238" t="str">
        <f t="shared" si="23"/>
        <v>40%</v>
      </c>
      <c r="AB33" s="237" t="s">
        <v>259</v>
      </c>
      <c r="AC33" s="237" t="s">
        <v>200</v>
      </c>
      <c r="AD33" s="237" t="s">
        <v>201</v>
      </c>
      <c r="AE33" s="239">
        <f t="shared" si="24"/>
        <v>5.6873575734312915E-5</v>
      </c>
      <c r="AF33" s="240" t="str">
        <f t="shared" si="17"/>
        <v>Muy Baja</v>
      </c>
      <c r="AG33" s="241">
        <f t="shared" si="18"/>
        <v>5.6873575734312915E-5</v>
      </c>
      <c r="AH33" s="240" t="str">
        <f t="shared" si="19"/>
        <v/>
      </c>
      <c r="AI33" s="241" t="str">
        <f t="shared" si="25"/>
        <v/>
      </c>
      <c r="AJ33" s="242" t="str">
        <f t="shared" si="20"/>
        <v/>
      </c>
      <c r="AK33" s="243" t="s">
        <v>202</v>
      </c>
      <c r="AR33" s="252"/>
      <c r="AS33" s="252"/>
      <c r="AT33" s="249" t="s">
        <v>2078</v>
      </c>
      <c r="AU33" s="247"/>
      <c r="AX33" s="249" t="s">
        <v>2088</v>
      </c>
      <c r="BB33" s="249" t="s">
        <v>2078</v>
      </c>
      <c r="BF33" s="249" t="s">
        <v>2078</v>
      </c>
      <c r="BH33" s="252"/>
      <c r="BI33" s="252"/>
      <c r="BJ33" s="249" t="s">
        <v>2078</v>
      </c>
      <c r="BK33" s="247"/>
      <c r="BN33" s="249" t="s">
        <v>2088</v>
      </c>
      <c r="BR33" s="249" t="s">
        <v>2078</v>
      </c>
      <c r="BV33" s="249" t="s">
        <v>2078</v>
      </c>
      <c r="BX33" s="252"/>
      <c r="BY33" s="252"/>
      <c r="BZ33" s="249" t="s">
        <v>2078</v>
      </c>
      <c r="CA33" s="247"/>
      <c r="CD33" s="249" t="s">
        <v>2088</v>
      </c>
      <c r="CH33" s="249" t="s">
        <v>2078</v>
      </c>
      <c r="CL33" s="249" t="s">
        <v>2078</v>
      </c>
      <c r="CN33" s="252"/>
      <c r="CO33" s="252"/>
      <c r="CP33" s="249" t="s">
        <v>2078</v>
      </c>
      <c r="CQ33" s="247"/>
      <c r="CT33" s="249" t="s">
        <v>2088</v>
      </c>
      <c r="CX33" s="249" t="s">
        <v>2078</v>
      </c>
      <c r="DB33" s="249" t="s">
        <v>2078</v>
      </c>
    </row>
    <row r="34" spans="4:106" ht="15" customHeight="1" x14ac:dyDescent="0.2">
      <c r="H34" s="258"/>
      <c r="I34" s="262" t="s">
        <v>2257</v>
      </c>
      <c r="J34" s="263"/>
      <c r="K34" s="263"/>
      <c r="L34" s="263"/>
      <c r="M34" s="263"/>
      <c r="N34" s="263"/>
      <c r="O34" s="263"/>
      <c r="P34" s="263"/>
      <c r="Q34" s="263"/>
      <c r="R34" s="234" t="str">
        <f>IF(NOT(ISERROR(MATCH(Q34,'[4]Tabla Impacto'!$B$222:$B$224,0))),'[4]Tabla Impacto'!$F$224&amp;"Por favor no seleccionar los criterios de impacto(Afectación Económica o presupuestal y Pérdida Reputacional)",Q34)</f>
        <v>❌Por favor no seleccionar los criterios de impacto(Afectación Económica o presupuestal y Pérdida Reputacional)</v>
      </c>
      <c r="S34" s="232" t="str">
        <f>IF(OR(R34='[4]Tabla Impacto'!$C$12,R34='[4]Tabla Impacto'!$D$12),"Leve",IF(OR(R34='[4]Tabla Impacto'!$C$13,R34='[4]Tabla Impacto'!$D$13),"Menor",IF(OR(R34='[4]Tabla Impacto'!$C$14,R34='[4]Tabla Impacto'!$D$14),"Moderado",IF(OR(R34='[4]Tabla Impacto'!$C$15,R34='[4]Tabla Impacto'!$D$15),"Mayor",IF(OR(R34='[4]Tabla Impacto'!$C$16,R34='[4]Tabla Impacto'!$D$16),"Catastrófico","")))))</f>
        <v/>
      </c>
      <c r="T34" s="233" t="str">
        <f t="shared" si="21"/>
        <v/>
      </c>
      <c r="U34" s="235" t="str">
        <f t="shared" si="22"/>
        <v/>
      </c>
      <c r="V34" s="263"/>
      <c r="W34" s="263"/>
      <c r="X34" s="236" t="str">
        <f t="shared" si="15"/>
        <v/>
      </c>
      <c r="Y34" s="263"/>
      <c r="Z34" s="263"/>
      <c r="AA34" s="263"/>
      <c r="AB34" s="263"/>
      <c r="AC34" s="263"/>
      <c r="AD34" s="263"/>
      <c r="AE34" s="263"/>
      <c r="AF34" s="263"/>
      <c r="AG34" s="263"/>
      <c r="AH34" s="263"/>
      <c r="AI34" s="263"/>
      <c r="AJ34" s="263"/>
      <c r="AK34" s="263"/>
      <c r="AL34" s="263"/>
      <c r="AM34" s="264"/>
      <c r="AN34" s="263"/>
      <c r="AO34" s="263"/>
      <c r="AR34" s="252"/>
      <c r="AS34" s="252"/>
      <c r="AT34" s="249" t="s">
        <v>2078</v>
      </c>
      <c r="AU34" s="247"/>
      <c r="AX34" s="249" t="s">
        <v>2088</v>
      </c>
      <c r="BB34" s="249" t="s">
        <v>2078</v>
      </c>
      <c r="BF34" s="249" t="s">
        <v>2078</v>
      </c>
      <c r="BH34" s="252"/>
      <c r="BI34" s="252"/>
      <c r="BJ34" s="249" t="s">
        <v>2078</v>
      </c>
      <c r="BK34" s="247"/>
      <c r="BN34" s="249" t="s">
        <v>2088</v>
      </c>
      <c r="BR34" s="249" t="s">
        <v>2078</v>
      </c>
      <c r="BV34" s="249" t="s">
        <v>2078</v>
      </c>
      <c r="BX34" s="252"/>
      <c r="BY34" s="252"/>
      <c r="BZ34" s="249" t="s">
        <v>2078</v>
      </c>
      <c r="CA34" s="247"/>
      <c r="CD34" s="249" t="s">
        <v>2088</v>
      </c>
      <c r="CH34" s="249" t="s">
        <v>2078</v>
      </c>
      <c r="CL34" s="249" t="s">
        <v>2078</v>
      </c>
      <c r="CN34" s="252"/>
      <c r="CO34" s="252"/>
      <c r="CP34" s="249" t="s">
        <v>2078</v>
      </c>
      <c r="CQ34" s="247"/>
      <c r="CT34" s="249" t="s">
        <v>2088</v>
      </c>
      <c r="CX34" s="249" t="s">
        <v>2078</v>
      </c>
      <c r="DB34" s="249" t="s">
        <v>2078</v>
      </c>
    </row>
    <row r="35" spans="4:106" ht="15" customHeight="1" x14ac:dyDescent="0.3">
      <c r="D35" s="265"/>
      <c r="E35" s="265"/>
      <c r="F35" s="265"/>
      <c r="G35" s="265"/>
      <c r="H35" s="258"/>
      <c r="I35" s="266"/>
      <c r="J35" s="266"/>
      <c r="K35" s="266"/>
      <c r="L35" s="267"/>
      <c r="M35" s="268"/>
      <c r="N35" s="268"/>
      <c r="O35" s="269"/>
      <c r="P35" s="267"/>
      <c r="Q35" s="267"/>
      <c r="R35" s="234" t="str">
        <f>IF(NOT(ISERROR(MATCH(Q35,'[4]Tabla Impacto'!$B$222:$B$224,0))),'[4]Tabla Impacto'!$F$224&amp;"Por favor no seleccionar los criterios de impacto(Afectación Económica o presupuestal y Pérdida Reputacional)",Q35)</f>
        <v>❌Por favor no seleccionar los criterios de impacto(Afectación Económica o presupuestal y Pérdida Reputacional)</v>
      </c>
      <c r="S35" s="232" t="str">
        <f>IF(OR(R35='[4]Tabla Impacto'!$C$12,R35='[4]Tabla Impacto'!$D$12),"Leve",IF(OR(R35='[4]Tabla Impacto'!$C$13,R35='[4]Tabla Impacto'!$D$13),"Menor",IF(OR(R35='[4]Tabla Impacto'!$C$14,R35='[4]Tabla Impacto'!$D$14),"Moderado",IF(OR(R35='[4]Tabla Impacto'!$C$15,R35='[4]Tabla Impacto'!$D$15),"Mayor",IF(OR(R35='[4]Tabla Impacto'!$C$16,R35='[4]Tabla Impacto'!$D$16),"Catastrófico","")))))</f>
        <v/>
      </c>
      <c r="T35" s="233" t="str">
        <f t="shared" si="21"/>
        <v/>
      </c>
      <c r="U35" s="235" t="str">
        <f t="shared" si="22"/>
        <v/>
      </c>
      <c r="V35" s="267"/>
      <c r="W35" s="267"/>
      <c r="X35" s="236" t="str">
        <f t="shared" si="15"/>
        <v/>
      </c>
      <c r="Y35" s="267"/>
      <c r="Z35" s="267"/>
      <c r="AA35" s="267"/>
      <c r="AB35" s="267"/>
      <c r="AC35" s="267"/>
      <c r="AD35" s="267"/>
      <c r="AE35" s="267"/>
      <c r="AF35" s="267"/>
      <c r="AG35" s="267"/>
      <c r="AH35" s="267"/>
      <c r="AI35" s="267"/>
      <c r="AJ35" s="267"/>
      <c r="AK35" s="267"/>
      <c r="AL35" s="267"/>
      <c r="AM35" s="270"/>
      <c r="AN35" s="267"/>
      <c r="AO35" s="267"/>
      <c r="AR35" s="252"/>
      <c r="AS35" s="252"/>
      <c r="AT35" s="249" t="s">
        <v>2078</v>
      </c>
      <c r="AU35" s="247"/>
      <c r="AX35" s="249" t="s">
        <v>2088</v>
      </c>
      <c r="BB35" s="249" t="s">
        <v>2078</v>
      </c>
      <c r="BF35" s="249" t="s">
        <v>2078</v>
      </c>
      <c r="BH35" s="252"/>
      <c r="BI35" s="252"/>
      <c r="BJ35" s="249" t="s">
        <v>2078</v>
      </c>
      <c r="BK35" s="247"/>
      <c r="BN35" s="249" t="s">
        <v>2088</v>
      </c>
      <c r="BR35" s="249" t="s">
        <v>2078</v>
      </c>
      <c r="BV35" s="249" t="s">
        <v>2078</v>
      </c>
      <c r="BX35" s="252"/>
      <c r="BY35" s="252"/>
      <c r="BZ35" s="249" t="s">
        <v>2078</v>
      </c>
      <c r="CA35" s="247"/>
      <c r="CD35" s="249" t="s">
        <v>2088</v>
      </c>
      <c r="CH35" s="249" t="s">
        <v>2078</v>
      </c>
      <c r="CL35" s="249" t="s">
        <v>2078</v>
      </c>
      <c r="CN35" s="252"/>
      <c r="CO35" s="252"/>
      <c r="CP35" s="249" t="s">
        <v>2078</v>
      </c>
      <c r="CQ35" s="247"/>
      <c r="CT35" s="249" t="s">
        <v>2088</v>
      </c>
      <c r="CX35" s="249" t="s">
        <v>2078</v>
      </c>
      <c r="DB35" s="249" t="s">
        <v>2078</v>
      </c>
    </row>
    <row r="36" spans="4:106" ht="15" customHeight="1" x14ac:dyDescent="0.3">
      <c r="D36" s="271" t="s">
        <v>2258</v>
      </c>
      <c r="E36" s="271" t="s">
        <v>2258</v>
      </c>
      <c r="F36" s="271"/>
      <c r="G36" s="271"/>
      <c r="H36" s="258"/>
      <c r="I36" s="272" t="s">
        <v>2258</v>
      </c>
      <c r="J36" s="267"/>
      <c r="K36" s="267"/>
      <c r="L36" s="267"/>
      <c r="M36" s="267"/>
      <c r="N36" s="268"/>
      <c r="O36" s="269"/>
      <c r="P36" s="267"/>
      <c r="Q36" s="267"/>
      <c r="R36" s="234" t="str">
        <f>IF(NOT(ISERROR(MATCH(Q36,'[4]Tabla Impacto'!$B$222:$B$224,0))),'[4]Tabla Impacto'!$F$224&amp;"Por favor no seleccionar los criterios de impacto(Afectación Económica o presupuestal y Pérdida Reputacional)",Q36)</f>
        <v>❌Por favor no seleccionar los criterios de impacto(Afectación Económica o presupuestal y Pérdida Reputacional)</v>
      </c>
      <c r="S36" s="232" t="str">
        <f>IF(OR(R36='[4]Tabla Impacto'!$C$12,R36='[4]Tabla Impacto'!$D$12),"Leve",IF(OR(R36='[4]Tabla Impacto'!$C$13,R36='[4]Tabla Impacto'!$D$13),"Menor",IF(OR(R36='[4]Tabla Impacto'!$C$14,R36='[4]Tabla Impacto'!$D$14),"Moderado",IF(OR(R36='[4]Tabla Impacto'!$C$15,R36='[4]Tabla Impacto'!$D$15),"Mayor",IF(OR(R36='[4]Tabla Impacto'!$C$16,R36='[4]Tabla Impacto'!$D$16),"Catastrófico","")))))</f>
        <v/>
      </c>
      <c r="T36" s="233" t="str">
        <f t="shared" si="21"/>
        <v/>
      </c>
      <c r="U36" s="235" t="str">
        <f t="shared" si="22"/>
        <v/>
      </c>
      <c r="V36" s="267"/>
      <c r="W36" s="267"/>
      <c r="X36" s="236" t="str">
        <f t="shared" si="15"/>
        <v/>
      </c>
      <c r="Y36" s="267"/>
      <c r="Z36" s="267"/>
      <c r="AA36" s="267"/>
      <c r="AB36" s="267"/>
      <c r="AC36" s="267"/>
      <c r="AD36" s="267"/>
      <c r="AE36" s="267"/>
      <c r="AF36" s="267"/>
      <c r="AG36" s="267"/>
      <c r="AH36" s="267"/>
      <c r="AI36" s="267"/>
      <c r="AJ36" s="267"/>
      <c r="AK36" s="267"/>
      <c r="AL36" s="267"/>
      <c r="AM36" s="270"/>
      <c r="AN36" s="267"/>
      <c r="AO36" s="267"/>
      <c r="AR36" s="252"/>
      <c r="AS36" s="252"/>
      <c r="AT36" s="249" t="s">
        <v>2078</v>
      </c>
      <c r="AU36" s="247"/>
      <c r="AX36" s="249" t="s">
        <v>2088</v>
      </c>
      <c r="BB36" s="249" t="s">
        <v>2078</v>
      </c>
      <c r="BF36" s="249" t="s">
        <v>2078</v>
      </c>
      <c r="BH36" s="252"/>
      <c r="BI36" s="252"/>
      <c r="BJ36" s="249" t="s">
        <v>2078</v>
      </c>
      <c r="BK36" s="247"/>
      <c r="BN36" s="249" t="s">
        <v>2088</v>
      </c>
      <c r="BR36" s="249" t="s">
        <v>2078</v>
      </c>
      <c r="BV36" s="249" t="s">
        <v>2078</v>
      </c>
      <c r="BX36" s="252"/>
      <c r="BY36" s="252"/>
      <c r="BZ36" s="249" t="s">
        <v>2078</v>
      </c>
      <c r="CA36" s="247"/>
      <c r="CD36" s="249" t="s">
        <v>2088</v>
      </c>
      <c r="CH36" s="249" t="s">
        <v>2078</v>
      </c>
      <c r="CL36" s="249" t="s">
        <v>2078</v>
      </c>
      <c r="CN36" s="252"/>
      <c r="CO36" s="252"/>
      <c r="CP36" s="249" t="s">
        <v>2078</v>
      </c>
      <c r="CQ36" s="247"/>
      <c r="CT36" s="249" t="s">
        <v>2088</v>
      </c>
      <c r="CX36" s="249" t="s">
        <v>2078</v>
      </c>
      <c r="DB36" s="249" t="s">
        <v>2078</v>
      </c>
    </row>
    <row r="37" spans="4:106" ht="15" customHeight="1" x14ac:dyDescent="0.2">
      <c r="H37" s="258"/>
      <c r="O37" s="258"/>
      <c r="P37" s="258"/>
      <c r="Q37" s="258"/>
      <c r="R37" s="234" t="str">
        <f>IF(NOT(ISERROR(MATCH(Q37,'[4]Tabla Impacto'!$B$222:$B$224,0))),'[4]Tabla Impacto'!$F$224&amp;"Por favor no seleccionar los criterios de impacto(Afectación Económica o presupuestal y Pérdida Reputacional)",Q37)</f>
        <v>❌Por favor no seleccionar los criterios de impacto(Afectación Económica o presupuestal y Pérdida Reputacional)</v>
      </c>
      <c r="S37" s="232" t="str">
        <f>IF(OR(R37='[4]Tabla Impacto'!$C$12,R37='[4]Tabla Impacto'!$D$12),"Leve",IF(OR(R37='[4]Tabla Impacto'!$C$13,R37='[4]Tabla Impacto'!$D$13),"Menor",IF(OR(R37='[4]Tabla Impacto'!$C$14,R37='[4]Tabla Impacto'!$D$14),"Moderado",IF(OR(R37='[4]Tabla Impacto'!$C$15,R37='[4]Tabla Impacto'!$D$15),"Mayor",IF(OR(R37='[4]Tabla Impacto'!$C$16,R37='[4]Tabla Impacto'!$D$16),"Catastrófico","")))))</f>
        <v/>
      </c>
      <c r="T37" s="233" t="str">
        <f t="shared" si="21"/>
        <v/>
      </c>
      <c r="U37" s="258"/>
      <c r="X37" s="236" t="str">
        <f t="shared" si="15"/>
        <v/>
      </c>
      <c r="AR37" s="252"/>
      <c r="AS37" s="252"/>
      <c r="AT37" s="249" t="s">
        <v>2078</v>
      </c>
      <c r="AU37" s="247"/>
      <c r="AX37" s="249" t="s">
        <v>2088</v>
      </c>
      <c r="BB37" s="249" t="s">
        <v>2078</v>
      </c>
      <c r="BF37" s="249" t="s">
        <v>2078</v>
      </c>
      <c r="BH37" s="252"/>
      <c r="BI37" s="252"/>
      <c r="BJ37" s="249" t="s">
        <v>2078</v>
      </c>
      <c r="BK37" s="247"/>
      <c r="BN37" s="249" t="s">
        <v>2088</v>
      </c>
      <c r="BR37" s="249" t="s">
        <v>2078</v>
      </c>
      <c r="BV37" s="249" t="s">
        <v>2078</v>
      </c>
      <c r="BX37" s="252"/>
      <c r="BY37" s="252"/>
      <c r="BZ37" s="249" t="s">
        <v>2078</v>
      </c>
      <c r="CA37" s="247"/>
      <c r="CD37" s="249" t="s">
        <v>2088</v>
      </c>
      <c r="CH37" s="249" t="s">
        <v>2078</v>
      </c>
      <c r="CL37" s="249" t="s">
        <v>2078</v>
      </c>
      <c r="CN37" s="252"/>
      <c r="CO37" s="252"/>
      <c r="CP37" s="249" t="s">
        <v>2078</v>
      </c>
      <c r="CQ37" s="247"/>
      <c r="CT37" s="249" t="s">
        <v>2088</v>
      </c>
      <c r="CX37" s="249" t="s">
        <v>2078</v>
      </c>
      <c r="DB37" s="249" t="s">
        <v>2078</v>
      </c>
    </row>
    <row r="38" spans="4:106" ht="15" customHeight="1" x14ac:dyDescent="0.2">
      <c r="AR38" s="252"/>
      <c r="AS38" s="252"/>
      <c r="AT38" s="249" t="s">
        <v>2078</v>
      </c>
      <c r="AU38" s="247"/>
      <c r="AX38" s="249" t="s">
        <v>2088</v>
      </c>
      <c r="BB38" s="249" t="s">
        <v>2078</v>
      </c>
      <c r="BF38" s="249" t="s">
        <v>2078</v>
      </c>
      <c r="BH38" s="252"/>
      <c r="BI38" s="252"/>
      <c r="BJ38" s="249" t="s">
        <v>2078</v>
      </c>
      <c r="BK38" s="247"/>
      <c r="BN38" s="249" t="s">
        <v>2088</v>
      </c>
      <c r="BR38" s="249" t="s">
        <v>2078</v>
      </c>
      <c r="BV38" s="249" t="s">
        <v>2078</v>
      </c>
      <c r="BX38" s="251"/>
      <c r="BY38" s="251"/>
      <c r="BZ38" s="249" t="s">
        <v>2078</v>
      </c>
      <c r="CA38" s="247"/>
      <c r="CD38" s="249" t="s">
        <v>2088</v>
      </c>
      <c r="CH38" s="249" t="s">
        <v>2078</v>
      </c>
      <c r="CL38" s="249" t="s">
        <v>2078</v>
      </c>
      <c r="CN38" s="252"/>
      <c r="CO38" s="252"/>
      <c r="CP38" s="249" t="s">
        <v>2078</v>
      </c>
      <c r="CQ38" s="247"/>
      <c r="CT38" s="249" t="s">
        <v>2088</v>
      </c>
      <c r="CX38" s="249" t="s">
        <v>2078</v>
      </c>
      <c r="DB38" s="249" t="s">
        <v>2078</v>
      </c>
    </row>
    <row r="39" spans="4:106" ht="15" customHeight="1" x14ac:dyDescent="0.2">
      <c r="AR39" s="252"/>
      <c r="AS39" s="252"/>
      <c r="AT39" s="249" t="s">
        <v>2078</v>
      </c>
      <c r="AU39" s="247"/>
      <c r="AX39" s="249" t="s">
        <v>2088</v>
      </c>
      <c r="BB39" s="249" t="s">
        <v>2078</v>
      </c>
      <c r="BF39" s="249" t="s">
        <v>2078</v>
      </c>
      <c r="BH39" s="252"/>
      <c r="BI39" s="252"/>
      <c r="BJ39" s="249" t="s">
        <v>2078</v>
      </c>
      <c r="BK39" s="247"/>
      <c r="BN39" s="249" t="s">
        <v>2088</v>
      </c>
      <c r="BR39" s="249" t="s">
        <v>2078</v>
      </c>
      <c r="BV39" s="249" t="s">
        <v>2078</v>
      </c>
      <c r="BX39" s="251"/>
      <c r="BY39" s="251"/>
      <c r="BZ39" s="249" t="s">
        <v>2078</v>
      </c>
      <c r="CA39" s="247"/>
      <c r="CD39" s="249" t="s">
        <v>2088</v>
      </c>
      <c r="CH39" s="249" t="s">
        <v>2078</v>
      </c>
      <c r="CL39" s="249" t="s">
        <v>2078</v>
      </c>
      <c r="CN39" s="252"/>
      <c r="CO39" s="252"/>
      <c r="CP39" s="249" t="s">
        <v>2078</v>
      </c>
      <c r="CQ39" s="247"/>
      <c r="CT39" s="249" t="s">
        <v>2088</v>
      </c>
      <c r="CX39" s="249" t="s">
        <v>2078</v>
      </c>
      <c r="DB39" s="249" t="s">
        <v>2078</v>
      </c>
    </row>
    <row r="40" spans="4:106" ht="15" customHeight="1" x14ac:dyDescent="0.2">
      <c r="AR40" s="252"/>
      <c r="AS40" s="252"/>
      <c r="AT40" s="249" t="s">
        <v>2078</v>
      </c>
      <c r="AU40" s="247"/>
      <c r="AX40" s="249" t="s">
        <v>2088</v>
      </c>
      <c r="BB40" s="249" t="s">
        <v>2078</v>
      </c>
      <c r="BF40" s="249" t="s">
        <v>2078</v>
      </c>
      <c r="BH40" s="252"/>
      <c r="BI40" s="252"/>
      <c r="BJ40" s="249" t="s">
        <v>2078</v>
      </c>
      <c r="BK40" s="247"/>
      <c r="BN40" s="249" t="s">
        <v>2088</v>
      </c>
      <c r="BR40" s="249" t="s">
        <v>2078</v>
      </c>
      <c r="BV40" s="249" t="s">
        <v>2078</v>
      </c>
      <c r="BX40" s="251"/>
      <c r="BY40" s="251"/>
      <c r="BZ40" s="249" t="s">
        <v>2078</v>
      </c>
      <c r="CA40" s="247"/>
      <c r="CD40" s="249" t="s">
        <v>2088</v>
      </c>
      <c r="CH40" s="249" t="s">
        <v>2078</v>
      </c>
      <c r="CL40" s="249" t="s">
        <v>2078</v>
      </c>
      <c r="CN40" s="252"/>
      <c r="CO40" s="252"/>
      <c r="CP40" s="249" t="s">
        <v>2078</v>
      </c>
      <c r="CQ40" s="247"/>
      <c r="CT40" s="249" t="s">
        <v>2088</v>
      </c>
      <c r="CX40" s="249" t="s">
        <v>2078</v>
      </c>
      <c r="DB40" s="249" t="s">
        <v>2078</v>
      </c>
    </row>
    <row r="41" spans="4:106" ht="15" customHeight="1" x14ac:dyDescent="0.2">
      <c r="AR41" s="252"/>
      <c r="AS41" s="252"/>
      <c r="AT41" s="249" t="s">
        <v>2078</v>
      </c>
      <c r="AU41" s="247"/>
      <c r="AX41" s="249" t="s">
        <v>2088</v>
      </c>
      <c r="BB41" s="249" t="s">
        <v>2078</v>
      </c>
      <c r="BF41" s="249" t="s">
        <v>2078</v>
      </c>
      <c r="BH41" s="252"/>
      <c r="BI41" s="252"/>
      <c r="BJ41" s="249" t="s">
        <v>2078</v>
      </c>
      <c r="BK41" s="247"/>
      <c r="BN41" s="249" t="s">
        <v>2088</v>
      </c>
      <c r="BR41" s="249" t="s">
        <v>2078</v>
      </c>
      <c r="BV41" s="249" t="s">
        <v>2078</v>
      </c>
      <c r="BX41" s="251"/>
      <c r="BY41" s="251"/>
      <c r="BZ41" s="249" t="s">
        <v>2078</v>
      </c>
      <c r="CA41" s="247"/>
      <c r="CD41" s="249" t="s">
        <v>2088</v>
      </c>
      <c r="CH41" s="249" t="s">
        <v>2078</v>
      </c>
      <c r="CL41" s="249" t="s">
        <v>2078</v>
      </c>
      <c r="CN41" s="252"/>
      <c r="CO41" s="252"/>
      <c r="CP41" s="249" t="s">
        <v>2078</v>
      </c>
      <c r="CQ41" s="247"/>
      <c r="CT41" s="249" t="s">
        <v>2088</v>
      </c>
      <c r="CX41" s="249" t="s">
        <v>2078</v>
      </c>
      <c r="DB41" s="249" t="s">
        <v>2078</v>
      </c>
    </row>
    <row r="42" spans="4:106" ht="15" customHeight="1" x14ac:dyDescent="0.2">
      <c r="AR42" s="252"/>
      <c r="AS42" s="252"/>
      <c r="AT42" s="249" t="s">
        <v>2078</v>
      </c>
      <c r="AU42" s="247"/>
      <c r="AX42" s="249" t="s">
        <v>2088</v>
      </c>
      <c r="BB42" s="249" t="s">
        <v>2078</v>
      </c>
      <c r="BF42" s="249" t="s">
        <v>2078</v>
      </c>
      <c r="BH42" s="252"/>
      <c r="BI42" s="252"/>
      <c r="BJ42" s="249" t="s">
        <v>2078</v>
      </c>
      <c r="BK42" s="247"/>
      <c r="BN42" s="249" t="s">
        <v>2088</v>
      </c>
      <c r="BR42" s="249" t="s">
        <v>2078</v>
      </c>
      <c r="BV42" s="249" t="s">
        <v>2078</v>
      </c>
      <c r="BX42" s="251"/>
      <c r="BY42" s="251"/>
      <c r="BZ42" s="249" t="s">
        <v>2078</v>
      </c>
      <c r="CA42" s="247"/>
      <c r="CD42" s="249" t="s">
        <v>2088</v>
      </c>
      <c r="CH42" s="249" t="s">
        <v>2078</v>
      </c>
      <c r="CL42" s="249" t="s">
        <v>2078</v>
      </c>
      <c r="CN42" s="252"/>
      <c r="CO42" s="252"/>
      <c r="CP42" s="249" t="s">
        <v>2078</v>
      </c>
      <c r="CQ42" s="247"/>
      <c r="CT42" s="249" t="s">
        <v>2088</v>
      </c>
      <c r="CX42" s="249" t="s">
        <v>2078</v>
      </c>
      <c r="DB42" s="249" t="s">
        <v>2078</v>
      </c>
    </row>
    <row r="43" spans="4:106" ht="15" customHeight="1" x14ac:dyDescent="0.2">
      <c r="AR43" s="252"/>
      <c r="AS43" s="252"/>
      <c r="AT43" s="249" t="s">
        <v>2078</v>
      </c>
      <c r="AU43" s="247"/>
      <c r="AX43" s="249" t="s">
        <v>2088</v>
      </c>
      <c r="BB43" s="249" t="s">
        <v>2078</v>
      </c>
      <c r="BF43" s="249" t="s">
        <v>2078</v>
      </c>
      <c r="BH43" s="252"/>
      <c r="BI43" s="252"/>
      <c r="BJ43" s="249" t="s">
        <v>2078</v>
      </c>
      <c r="BK43" s="247"/>
      <c r="BN43" s="249" t="s">
        <v>2088</v>
      </c>
      <c r="BR43" s="249" t="s">
        <v>2078</v>
      </c>
      <c r="BV43" s="249" t="s">
        <v>2078</v>
      </c>
      <c r="BX43" s="251"/>
      <c r="BY43" s="251"/>
      <c r="BZ43" s="249" t="s">
        <v>2078</v>
      </c>
      <c r="CA43" s="247"/>
      <c r="CD43" s="249" t="s">
        <v>2088</v>
      </c>
      <c r="CH43" s="249" t="s">
        <v>2078</v>
      </c>
      <c r="CL43" s="249" t="s">
        <v>2078</v>
      </c>
      <c r="CN43" s="252"/>
      <c r="CO43" s="252"/>
      <c r="CP43" s="249" t="s">
        <v>2078</v>
      </c>
      <c r="CQ43" s="247"/>
      <c r="CT43" s="249" t="s">
        <v>2088</v>
      </c>
      <c r="CX43" s="249" t="s">
        <v>2078</v>
      </c>
      <c r="DB43" s="249" t="s">
        <v>2078</v>
      </c>
    </row>
    <row r="44" spans="4:106" ht="15" customHeight="1" x14ac:dyDescent="0.2">
      <c r="AR44" s="252"/>
      <c r="AS44" s="252"/>
      <c r="AT44" s="249" t="s">
        <v>2078</v>
      </c>
      <c r="AU44" s="247"/>
      <c r="AX44" s="249" t="s">
        <v>2088</v>
      </c>
      <c r="BB44" s="249" t="s">
        <v>2078</v>
      </c>
      <c r="BF44" s="249" t="s">
        <v>2078</v>
      </c>
      <c r="BH44" s="252"/>
      <c r="BI44" s="252"/>
      <c r="BJ44" s="249" t="s">
        <v>2078</v>
      </c>
      <c r="BK44" s="247"/>
      <c r="BN44" s="249" t="s">
        <v>2088</v>
      </c>
      <c r="BR44" s="249" t="s">
        <v>2078</v>
      </c>
      <c r="BV44" s="249" t="s">
        <v>2078</v>
      </c>
      <c r="BX44" s="251"/>
      <c r="BY44" s="251"/>
      <c r="BZ44" s="249" t="s">
        <v>2078</v>
      </c>
      <c r="CA44" s="247"/>
      <c r="CD44" s="249" t="s">
        <v>2088</v>
      </c>
      <c r="CH44" s="249" t="s">
        <v>2078</v>
      </c>
      <c r="CL44" s="249" t="s">
        <v>2078</v>
      </c>
      <c r="CN44" s="252"/>
      <c r="CO44" s="252"/>
      <c r="CP44" s="249" t="s">
        <v>2078</v>
      </c>
      <c r="CQ44" s="247"/>
      <c r="CT44" s="249" t="s">
        <v>2088</v>
      </c>
      <c r="CX44" s="249" t="s">
        <v>2078</v>
      </c>
      <c r="DB44" s="249" t="s">
        <v>2078</v>
      </c>
    </row>
    <row r="45" spans="4:106" ht="15" customHeight="1" x14ac:dyDescent="0.2">
      <c r="AR45" s="252"/>
      <c r="AS45" s="252"/>
      <c r="AT45" s="249" t="s">
        <v>2078</v>
      </c>
      <c r="AU45" s="247"/>
      <c r="AX45" s="249" t="s">
        <v>2088</v>
      </c>
      <c r="BB45" s="249" t="s">
        <v>2078</v>
      </c>
      <c r="BF45" s="249" t="s">
        <v>2078</v>
      </c>
      <c r="BH45" s="252"/>
      <c r="BI45" s="252"/>
      <c r="BJ45" s="249" t="s">
        <v>2078</v>
      </c>
      <c r="BK45" s="247"/>
      <c r="BN45" s="249" t="s">
        <v>2088</v>
      </c>
      <c r="BR45" s="249" t="s">
        <v>2078</v>
      </c>
      <c r="BV45" s="249" t="s">
        <v>2078</v>
      </c>
      <c r="BX45" s="251"/>
      <c r="BY45" s="251"/>
      <c r="BZ45" s="249" t="s">
        <v>2078</v>
      </c>
      <c r="CA45" s="247"/>
      <c r="CD45" s="249" t="s">
        <v>2088</v>
      </c>
      <c r="CH45" s="249" t="s">
        <v>2078</v>
      </c>
      <c r="CL45" s="249" t="s">
        <v>2078</v>
      </c>
      <c r="CN45" s="252"/>
      <c r="CO45" s="252"/>
      <c r="CP45" s="249" t="s">
        <v>2078</v>
      </c>
      <c r="CQ45" s="247"/>
      <c r="CT45" s="249" t="s">
        <v>2088</v>
      </c>
      <c r="CX45" s="249" t="s">
        <v>2078</v>
      </c>
      <c r="DB45" s="249" t="s">
        <v>2078</v>
      </c>
    </row>
    <row r="46" spans="4:106" ht="15" customHeight="1" x14ac:dyDescent="0.2">
      <c r="AR46" s="252"/>
      <c r="AS46" s="252"/>
      <c r="AT46" s="249" t="s">
        <v>2078</v>
      </c>
      <c r="AU46" s="247"/>
      <c r="AX46" s="249" t="s">
        <v>2088</v>
      </c>
      <c r="BB46" s="249" t="s">
        <v>2078</v>
      </c>
      <c r="BF46" s="249" t="s">
        <v>2078</v>
      </c>
      <c r="BH46" s="252"/>
      <c r="BI46" s="252"/>
      <c r="BJ46" s="249" t="s">
        <v>2078</v>
      </c>
      <c r="BK46" s="247"/>
      <c r="BN46" s="249" t="s">
        <v>2088</v>
      </c>
      <c r="BR46" s="249" t="s">
        <v>2078</v>
      </c>
      <c r="BV46" s="249" t="s">
        <v>2078</v>
      </c>
      <c r="BX46" s="251"/>
      <c r="BY46" s="251"/>
      <c r="BZ46" s="249" t="s">
        <v>2078</v>
      </c>
      <c r="CA46" s="247"/>
      <c r="CD46" s="249" t="s">
        <v>2088</v>
      </c>
      <c r="CH46" s="249" t="s">
        <v>2078</v>
      </c>
      <c r="CL46" s="249" t="s">
        <v>2078</v>
      </c>
      <c r="CN46" s="252"/>
      <c r="CO46" s="252"/>
      <c r="CP46" s="249" t="s">
        <v>2078</v>
      </c>
      <c r="CQ46" s="247"/>
      <c r="CT46" s="249" t="s">
        <v>2088</v>
      </c>
      <c r="CX46" s="249" t="s">
        <v>2078</v>
      </c>
      <c r="DB46" s="249" t="s">
        <v>2078</v>
      </c>
    </row>
    <row r="47" spans="4:106" ht="15" customHeight="1" x14ac:dyDescent="0.2">
      <c r="AR47" s="252"/>
      <c r="AS47" s="252"/>
      <c r="AT47" s="249" t="s">
        <v>2078</v>
      </c>
      <c r="AU47" s="247"/>
      <c r="AX47" s="249" t="s">
        <v>2088</v>
      </c>
      <c r="BB47" s="249" t="s">
        <v>2078</v>
      </c>
      <c r="BF47" s="249" t="s">
        <v>2078</v>
      </c>
      <c r="BH47" s="252"/>
      <c r="BI47" s="252"/>
      <c r="BJ47" s="249" t="s">
        <v>2078</v>
      </c>
      <c r="BK47" s="247"/>
      <c r="BN47" s="249" t="s">
        <v>2088</v>
      </c>
      <c r="BR47" s="249" t="s">
        <v>2078</v>
      </c>
      <c r="BV47" s="249" t="s">
        <v>2078</v>
      </c>
      <c r="BX47" s="251"/>
      <c r="BY47" s="251"/>
      <c r="BZ47" s="249" t="s">
        <v>2078</v>
      </c>
      <c r="CA47" s="247"/>
      <c r="CD47" s="249" t="s">
        <v>2088</v>
      </c>
      <c r="CH47" s="249" t="s">
        <v>2078</v>
      </c>
      <c r="CL47" s="249" t="s">
        <v>2078</v>
      </c>
      <c r="CN47" s="252"/>
      <c r="CO47" s="252"/>
      <c r="CP47" s="249" t="s">
        <v>2078</v>
      </c>
      <c r="CQ47" s="247"/>
      <c r="CT47" s="249" t="s">
        <v>2088</v>
      </c>
      <c r="CX47" s="249" t="s">
        <v>2078</v>
      </c>
      <c r="DB47" s="249" t="s">
        <v>2078</v>
      </c>
    </row>
    <row r="48" spans="4:106" ht="15" customHeight="1" x14ac:dyDescent="0.2">
      <c r="AR48" s="252"/>
      <c r="AS48" s="252"/>
      <c r="AT48" s="249" t="s">
        <v>2078</v>
      </c>
      <c r="AU48" s="247"/>
      <c r="AX48" s="249" t="s">
        <v>2088</v>
      </c>
      <c r="BB48" s="249" t="s">
        <v>2078</v>
      </c>
      <c r="BF48" s="249" t="s">
        <v>2078</v>
      </c>
      <c r="BH48" s="252"/>
      <c r="BI48" s="252"/>
      <c r="BJ48" s="249" t="s">
        <v>2078</v>
      </c>
      <c r="BK48" s="247"/>
      <c r="BN48" s="249" t="s">
        <v>2088</v>
      </c>
      <c r="BR48" s="249" t="s">
        <v>2078</v>
      </c>
      <c r="BV48" s="249" t="s">
        <v>2078</v>
      </c>
      <c r="BX48" s="251"/>
      <c r="BY48" s="251"/>
      <c r="BZ48" s="249" t="s">
        <v>2078</v>
      </c>
      <c r="CA48" s="247"/>
      <c r="CD48" s="249" t="s">
        <v>2088</v>
      </c>
      <c r="CH48" s="249" t="s">
        <v>2078</v>
      </c>
      <c r="CL48" s="249" t="s">
        <v>2078</v>
      </c>
      <c r="CN48" s="252"/>
      <c r="CO48" s="252"/>
      <c r="CP48" s="249" t="s">
        <v>2078</v>
      </c>
      <c r="CQ48" s="247"/>
      <c r="CT48" s="249" t="s">
        <v>2088</v>
      </c>
      <c r="CX48" s="249" t="s">
        <v>2078</v>
      </c>
      <c r="DB48" s="249" t="s">
        <v>2078</v>
      </c>
    </row>
    <row r="49" spans="44:106" ht="15" customHeight="1" x14ac:dyDescent="0.2">
      <c r="AR49" s="252"/>
      <c r="AS49" s="252"/>
      <c r="AT49" s="249" t="s">
        <v>2078</v>
      </c>
      <c r="AU49" s="247"/>
      <c r="AX49" s="249" t="s">
        <v>2088</v>
      </c>
      <c r="BB49" s="249" t="s">
        <v>2078</v>
      </c>
      <c r="BF49" s="249" t="s">
        <v>2078</v>
      </c>
      <c r="BH49" s="252"/>
      <c r="BI49" s="252"/>
      <c r="BJ49" s="249" t="s">
        <v>2078</v>
      </c>
      <c r="BK49" s="247"/>
      <c r="BN49" s="249" t="s">
        <v>2088</v>
      </c>
      <c r="BR49" s="249" t="s">
        <v>2078</v>
      </c>
      <c r="BV49" s="249" t="s">
        <v>2078</v>
      </c>
      <c r="BX49" s="251"/>
      <c r="BY49" s="251"/>
      <c r="BZ49" s="249" t="s">
        <v>2078</v>
      </c>
      <c r="CA49" s="247"/>
      <c r="CD49" s="249" t="s">
        <v>2088</v>
      </c>
      <c r="CH49" s="249" t="s">
        <v>2078</v>
      </c>
      <c r="CL49" s="249" t="s">
        <v>2078</v>
      </c>
      <c r="CN49" s="252"/>
      <c r="CO49" s="252"/>
      <c r="CP49" s="249" t="s">
        <v>2078</v>
      </c>
      <c r="CQ49" s="247"/>
      <c r="CT49" s="249" t="s">
        <v>2088</v>
      </c>
      <c r="CX49" s="249" t="s">
        <v>2078</v>
      </c>
      <c r="DB49" s="249" t="s">
        <v>2078</v>
      </c>
    </row>
    <row r="50" spans="44:106" ht="15" customHeight="1" x14ac:dyDescent="0.2">
      <c r="AR50" s="252"/>
      <c r="AS50" s="252"/>
      <c r="AT50" s="249" t="s">
        <v>2078</v>
      </c>
      <c r="AU50" s="247"/>
      <c r="AX50" s="249" t="s">
        <v>2088</v>
      </c>
      <c r="BB50" s="249" t="s">
        <v>2078</v>
      </c>
      <c r="BF50" s="249" t="s">
        <v>2078</v>
      </c>
      <c r="BH50" s="252"/>
      <c r="BI50" s="252"/>
      <c r="BJ50" s="249" t="s">
        <v>2078</v>
      </c>
      <c r="BK50" s="247"/>
      <c r="BN50" s="249" t="s">
        <v>2088</v>
      </c>
      <c r="BR50" s="249" t="s">
        <v>2078</v>
      </c>
      <c r="BV50" s="249" t="s">
        <v>2078</v>
      </c>
      <c r="BX50" s="251"/>
      <c r="BY50" s="251"/>
      <c r="BZ50" s="249" t="s">
        <v>2078</v>
      </c>
      <c r="CA50" s="247"/>
      <c r="CD50" s="249" t="s">
        <v>2088</v>
      </c>
      <c r="CH50" s="249" t="s">
        <v>2078</v>
      </c>
      <c r="CL50" s="249" t="s">
        <v>2078</v>
      </c>
      <c r="CN50" s="252"/>
      <c r="CO50" s="252"/>
      <c r="CP50" s="249" t="s">
        <v>2078</v>
      </c>
      <c r="CQ50" s="247"/>
      <c r="CT50" s="249" t="s">
        <v>2088</v>
      </c>
      <c r="CX50" s="249" t="s">
        <v>2078</v>
      </c>
      <c r="DB50" s="249" t="s">
        <v>2078</v>
      </c>
    </row>
    <row r="51" spans="44:106" ht="15" customHeight="1" x14ac:dyDescent="0.2">
      <c r="AR51" s="252"/>
      <c r="AS51" s="252"/>
      <c r="AT51" s="249" t="s">
        <v>2078</v>
      </c>
      <c r="AU51" s="247"/>
      <c r="AX51" s="249" t="s">
        <v>2088</v>
      </c>
      <c r="BB51" s="249" t="s">
        <v>2078</v>
      </c>
      <c r="BF51" s="249" t="s">
        <v>2078</v>
      </c>
      <c r="BH51" s="252"/>
      <c r="BI51" s="252"/>
      <c r="BJ51" s="249" t="s">
        <v>2078</v>
      </c>
      <c r="BK51" s="247"/>
      <c r="BN51" s="249" t="s">
        <v>2088</v>
      </c>
      <c r="BR51" s="249" t="s">
        <v>2078</v>
      </c>
      <c r="BV51" s="249" t="s">
        <v>2078</v>
      </c>
      <c r="BX51" s="251"/>
      <c r="BY51" s="251"/>
      <c r="BZ51" s="249" t="s">
        <v>2078</v>
      </c>
      <c r="CA51" s="247"/>
      <c r="CD51" s="249" t="s">
        <v>2088</v>
      </c>
      <c r="CH51" s="249" t="s">
        <v>2078</v>
      </c>
      <c r="CL51" s="249" t="s">
        <v>2078</v>
      </c>
      <c r="CN51" s="252"/>
      <c r="CO51" s="252"/>
      <c r="CP51" s="249" t="s">
        <v>2078</v>
      </c>
      <c r="CQ51" s="247"/>
      <c r="CT51" s="249" t="s">
        <v>2088</v>
      </c>
      <c r="CX51" s="249" t="s">
        <v>2078</v>
      </c>
      <c r="DB51" s="249" t="s">
        <v>2078</v>
      </c>
    </row>
    <row r="52" spans="44:106" ht="15" customHeight="1" x14ac:dyDescent="0.2">
      <c r="AR52" s="252"/>
      <c r="AS52" s="252"/>
      <c r="AT52" s="249" t="s">
        <v>2078</v>
      </c>
      <c r="AU52" s="247"/>
      <c r="AX52" s="249" t="s">
        <v>2088</v>
      </c>
      <c r="BB52" s="249" t="s">
        <v>2078</v>
      </c>
      <c r="BF52" s="249" t="s">
        <v>2078</v>
      </c>
      <c r="BH52" s="252"/>
      <c r="BI52" s="252"/>
      <c r="BJ52" s="249" t="s">
        <v>2078</v>
      </c>
      <c r="BK52" s="247"/>
      <c r="BN52" s="249" t="s">
        <v>2088</v>
      </c>
      <c r="BR52" s="249" t="s">
        <v>2078</v>
      </c>
      <c r="BV52" s="249" t="s">
        <v>2078</v>
      </c>
      <c r="BX52" s="251"/>
      <c r="BY52" s="251"/>
      <c r="BZ52" s="249" t="s">
        <v>2078</v>
      </c>
      <c r="CA52" s="247"/>
      <c r="CD52" s="249" t="s">
        <v>2088</v>
      </c>
      <c r="CH52" s="249" t="s">
        <v>2078</v>
      </c>
      <c r="CL52" s="249" t="s">
        <v>2078</v>
      </c>
      <c r="CN52" s="252"/>
      <c r="CO52" s="252"/>
      <c r="CP52" s="249" t="s">
        <v>2078</v>
      </c>
      <c r="CQ52" s="247"/>
      <c r="CT52" s="249" t="s">
        <v>2088</v>
      </c>
      <c r="CX52" s="249" t="s">
        <v>2078</v>
      </c>
      <c r="DB52" s="249" t="s">
        <v>2078</v>
      </c>
    </row>
    <row r="53" spans="44:106" ht="15" customHeight="1" x14ac:dyDescent="0.2">
      <c r="AR53" s="252"/>
      <c r="AS53" s="252"/>
      <c r="AT53" s="249" t="s">
        <v>2078</v>
      </c>
      <c r="AU53" s="247"/>
      <c r="AX53" s="249" t="s">
        <v>2088</v>
      </c>
      <c r="BB53" s="249" t="s">
        <v>2078</v>
      </c>
      <c r="BF53" s="249" t="s">
        <v>2078</v>
      </c>
      <c r="BH53" s="252"/>
      <c r="BI53" s="252"/>
      <c r="BJ53" s="249" t="s">
        <v>2078</v>
      </c>
      <c r="BK53" s="247"/>
      <c r="BN53" s="249" t="s">
        <v>2088</v>
      </c>
      <c r="BR53" s="249" t="s">
        <v>2078</v>
      </c>
      <c r="BV53" s="249" t="s">
        <v>2078</v>
      </c>
      <c r="BX53" s="251"/>
      <c r="BY53" s="251"/>
      <c r="BZ53" s="249" t="s">
        <v>2078</v>
      </c>
      <c r="CA53" s="247"/>
      <c r="CD53" s="249" t="s">
        <v>2088</v>
      </c>
      <c r="CH53" s="249" t="s">
        <v>2078</v>
      </c>
      <c r="CL53" s="249" t="s">
        <v>2078</v>
      </c>
      <c r="CN53" s="252"/>
      <c r="CO53" s="252"/>
      <c r="CP53" s="249" t="s">
        <v>2078</v>
      </c>
      <c r="CQ53" s="247"/>
      <c r="CT53" s="249" t="s">
        <v>2088</v>
      </c>
      <c r="CX53" s="249" t="s">
        <v>2078</v>
      </c>
      <c r="DB53" s="249" t="s">
        <v>2078</v>
      </c>
    </row>
    <row r="54" spans="44:106" ht="15" customHeight="1" x14ac:dyDescent="0.2">
      <c r="AR54" s="252"/>
      <c r="AS54" s="252"/>
      <c r="AT54" s="249" t="s">
        <v>2078</v>
      </c>
      <c r="AU54" s="247"/>
      <c r="AX54" s="249" t="s">
        <v>2088</v>
      </c>
      <c r="BB54" s="249" t="s">
        <v>2078</v>
      </c>
      <c r="BF54" s="249" t="s">
        <v>2078</v>
      </c>
      <c r="BH54" s="252"/>
      <c r="BI54" s="252"/>
      <c r="BJ54" s="249" t="s">
        <v>2078</v>
      </c>
      <c r="BK54" s="247"/>
      <c r="BN54" s="249" t="s">
        <v>2088</v>
      </c>
      <c r="BR54" s="249" t="s">
        <v>2078</v>
      </c>
      <c r="BV54" s="249" t="s">
        <v>2078</v>
      </c>
      <c r="BX54" s="251"/>
      <c r="BY54" s="251"/>
      <c r="BZ54" s="249" t="s">
        <v>2078</v>
      </c>
      <c r="CA54" s="247"/>
      <c r="CD54" s="249" t="s">
        <v>2088</v>
      </c>
      <c r="CH54" s="249" t="s">
        <v>2078</v>
      </c>
      <c r="CL54" s="249" t="s">
        <v>2078</v>
      </c>
      <c r="CN54" s="252"/>
      <c r="CO54" s="252"/>
      <c r="CP54" s="249" t="s">
        <v>2078</v>
      </c>
      <c r="CQ54" s="247"/>
      <c r="CT54" s="249" t="s">
        <v>2088</v>
      </c>
      <c r="CX54" s="249" t="s">
        <v>2078</v>
      </c>
      <c r="DB54" s="249" t="s">
        <v>2078</v>
      </c>
    </row>
    <row r="55" spans="44:106" ht="15" customHeight="1" x14ac:dyDescent="0.2">
      <c r="AR55" s="252"/>
      <c r="AS55" s="252"/>
      <c r="AT55" s="249" t="s">
        <v>2078</v>
      </c>
      <c r="AU55" s="247"/>
      <c r="AX55" s="249" t="s">
        <v>2088</v>
      </c>
      <c r="BB55" s="249" t="s">
        <v>2078</v>
      </c>
      <c r="BF55" s="249" t="s">
        <v>2078</v>
      </c>
      <c r="BH55" s="252"/>
      <c r="BI55" s="252"/>
      <c r="BJ55" s="249" t="s">
        <v>2078</v>
      </c>
      <c r="BK55" s="247"/>
      <c r="BN55" s="249" t="s">
        <v>2088</v>
      </c>
      <c r="BR55" s="249" t="s">
        <v>2078</v>
      </c>
      <c r="BV55" s="249" t="s">
        <v>2078</v>
      </c>
      <c r="BX55" s="251"/>
      <c r="BY55" s="251"/>
      <c r="BZ55" s="249" t="s">
        <v>2078</v>
      </c>
      <c r="CA55" s="247"/>
      <c r="CD55" s="249" t="s">
        <v>2088</v>
      </c>
      <c r="CH55" s="249" t="s">
        <v>2078</v>
      </c>
      <c r="CL55" s="249" t="s">
        <v>2078</v>
      </c>
      <c r="CN55" s="252"/>
      <c r="CO55" s="252"/>
      <c r="CP55" s="249" t="s">
        <v>2078</v>
      </c>
      <c r="CQ55" s="247"/>
      <c r="CT55" s="249" t="s">
        <v>2088</v>
      </c>
      <c r="CX55" s="249" t="s">
        <v>2078</v>
      </c>
      <c r="DB55" s="249" t="s">
        <v>2078</v>
      </c>
    </row>
    <row r="56" spans="44:106" ht="15" customHeight="1" x14ac:dyDescent="0.2">
      <c r="AR56" s="252"/>
      <c r="AS56" s="252"/>
      <c r="AT56" s="249" t="s">
        <v>2078</v>
      </c>
      <c r="AU56" s="247"/>
      <c r="AX56" s="249" t="s">
        <v>2088</v>
      </c>
      <c r="BB56" s="249" t="s">
        <v>2078</v>
      </c>
      <c r="BF56" s="249" t="s">
        <v>2078</v>
      </c>
      <c r="BH56" s="252"/>
      <c r="BI56" s="252"/>
      <c r="BJ56" s="249" t="s">
        <v>2078</v>
      </c>
      <c r="BK56" s="247"/>
      <c r="BN56" s="249" t="s">
        <v>2088</v>
      </c>
      <c r="BR56" s="249" t="s">
        <v>2078</v>
      </c>
      <c r="BV56" s="249" t="s">
        <v>2078</v>
      </c>
      <c r="BX56" s="251"/>
      <c r="BY56" s="251"/>
      <c r="BZ56" s="249" t="s">
        <v>2078</v>
      </c>
      <c r="CA56" s="247"/>
      <c r="CD56" s="249" t="s">
        <v>2088</v>
      </c>
      <c r="CH56" s="249" t="s">
        <v>2078</v>
      </c>
      <c r="CL56" s="249" t="s">
        <v>2078</v>
      </c>
      <c r="CN56" s="252"/>
      <c r="CO56" s="252"/>
      <c r="CP56" s="249" t="s">
        <v>2078</v>
      </c>
      <c r="CQ56" s="247"/>
      <c r="CT56" s="249" t="s">
        <v>2088</v>
      </c>
      <c r="CX56" s="249" t="s">
        <v>2078</v>
      </c>
      <c r="DB56" s="249" t="s">
        <v>2078</v>
      </c>
    </row>
    <row r="57" spans="44:106" ht="15" customHeight="1" x14ac:dyDescent="0.2">
      <c r="AR57" s="252"/>
      <c r="AS57" s="252"/>
      <c r="AT57" s="249" t="s">
        <v>2078</v>
      </c>
      <c r="AU57" s="247"/>
      <c r="AX57" s="249" t="s">
        <v>2088</v>
      </c>
      <c r="BB57" s="249" t="s">
        <v>2078</v>
      </c>
      <c r="BF57" s="249" t="s">
        <v>2078</v>
      </c>
      <c r="BH57" s="252"/>
      <c r="BI57" s="252"/>
      <c r="BJ57" s="249" t="s">
        <v>2078</v>
      </c>
      <c r="BK57" s="247"/>
      <c r="BN57" s="249" t="s">
        <v>2088</v>
      </c>
      <c r="BR57" s="249" t="s">
        <v>2078</v>
      </c>
      <c r="BV57" s="249" t="s">
        <v>2078</v>
      </c>
      <c r="BX57" s="251"/>
      <c r="BY57" s="251"/>
      <c r="BZ57" s="249" t="s">
        <v>2078</v>
      </c>
      <c r="CA57" s="247"/>
      <c r="CD57" s="249" t="s">
        <v>2088</v>
      </c>
      <c r="CH57" s="249" t="s">
        <v>2078</v>
      </c>
      <c r="CL57" s="249" t="s">
        <v>2078</v>
      </c>
      <c r="CN57" s="252"/>
      <c r="CO57" s="252"/>
      <c r="CP57" s="249" t="s">
        <v>2078</v>
      </c>
      <c r="CQ57" s="247"/>
      <c r="CT57" s="249" t="s">
        <v>2088</v>
      </c>
      <c r="CX57" s="249" t="s">
        <v>2078</v>
      </c>
      <c r="DB57" s="249" t="s">
        <v>2078</v>
      </c>
    </row>
    <row r="58" spans="44:106" ht="15" customHeight="1" x14ac:dyDescent="0.2">
      <c r="AR58" s="252"/>
      <c r="AS58" s="252"/>
      <c r="AT58" s="249" t="s">
        <v>2078</v>
      </c>
      <c r="AU58" s="247"/>
      <c r="AX58" s="249" t="s">
        <v>2088</v>
      </c>
      <c r="BB58" s="249" t="s">
        <v>2078</v>
      </c>
      <c r="BF58" s="249" t="s">
        <v>2078</v>
      </c>
      <c r="BH58" s="252"/>
      <c r="BI58" s="252"/>
      <c r="BJ58" s="249" t="s">
        <v>2078</v>
      </c>
      <c r="BK58" s="247"/>
      <c r="BN58" s="249" t="s">
        <v>2088</v>
      </c>
      <c r="BR58" s="249" t="s">
        <v>2078</v>
      </c>
      <c r="BV58" s="249" t="s">
        <v>2078</v>
      </c>
      <c r="BX58" s="251"/>
      <c r="BY58" s="251"/>
      <c r="BZ58" s="249" t="s">
        <v>2078</v>
      </c>
      <c r="CA58" s="247"/>
      <c r="CD58" s="249" t="s">
        <v>2088</v>
      </c>
      <c r="CH58" s="249" t="s">
        <v>2078</v>
      </c>
      <c r="CL58" s="249" t="s">
        <v>2078</v>
      </c>
      <c r="CN58" s="252"/>
      <c r="CO58" s="252"/>
      <c r="CP58" s="249" t="s">
        <v>2078</v>
      </c>
      <c r="CQ58" s="247"/>
      <c r="CT58" s="249" t="s">
        <v>2088</v>
      </c>
      <c r="CX58" s="249" t="s">
        <v>2078</v>
      </c>
      <c r="DB58" s="249" t="s">
        <v>2078</v>
      </c>
    </row>
    <row r="59" spans="44:106" ht="15" customHeight="1" x14ac:dyDescent="0.2">
      <c r="AR59" s="252"/>
      <c r="AS59" s="252"/>
      <c r="AT59" s="249" t="s">
        <v>2078</v>
      </c>
      <c r="AU59" s="247"/>
      <c r="AX59" s="249" t="s">
        <v>2088</v>
      </c>
      <c r="BB59" s="249" t="s">
        <v>2078</v>
      </c>
      <c r="BF59" s="249" t="s">
        <v>2078</v>
      </c>
      <c r="BH59" s="252"/>
      <c r="BI59" s="252"/>
      <c r="BJ59" s="249" t="s">
        <v>2078</v>
      </c>
      <c r="BK59" s="247"/>
      <c r="BN59" s="249" t="s">
        <v>2088</v>
      </c>
      <c r="BR59" s="249" t="s">
        <v>2078</v>
      </c>
      <c r="BV59" s="249" t="s">
        <v>2078</v>
      </c>
      <c r="BX59" s="251"/>
      <c r="BY59" s="251"/>
      <c r="BZ59" s="249" t="s">
        <v>2078</v>
      </c>
      <c r="CA59" s="247"/>
      <c r="CD59" s="249" t="s">
        <v>2088</v>
      </c>
      <c r="CH59" s="249" t="s">
        <v>2078</v>
      </c>
      <c r="CL59" s="249" t="s">
        <v>2078</v>
      </c>
      <c r="CN59" s="252"/>
      <c r="CO59" s="252"/>
      <c r="CP59" s="249" t="s">
        <v>2078</v>
      </c>
      <c r="CQ59" s="247"/>
      <c r="CT59" s="249" t="s">
        <v>2088</v>
      </c>
      <c r="CX59" s="249" t="s">
        <v>2078</v>
      </c>
      <c r="DB59" s="249" t="s">
        <v>2078</v>
      </c>
    </row>
    <row r="60" spans="44:106" ht="15" customHeight="1" x14ac:dyDescent="0.2">
      <c r="AR60" s="252"/>
      <c r="AS60" s="252"/>
      <c r="AT60" s="249" t="s">
        <v>2078</v>
      </c>
      <c r="AU60" s="247"/>
      <c r="AX60" s="249" t="s">
        <v>2088</v>
      </c>
      <c r="BB60" s="249" t="s">
        <v>2078</v>
      </c>
      <c r="BF60" s="249" t="s">
        <v>2078</v>
      </c>
      <c r="BH60" s="252"/>
      <c r="BI60" s="252"/>
      <c r="BJ60" s="249" t="s">
        <v>2078</v>
      </c>
      <c r="BK60" s="247"/>
      <c r="BN60" s="249" t="s">
        <v>2088</v>
      </c>
      <c r="BR60" s="249" t="s">
        <v>2078</v>
      </c>
      <c r="BV60" s="249" t="s">
        <v>2078</v>
      </c>
      <c r="BX60" s="251"/>
      <c r="BY60" s="251"/>
      <c r="BZ60" s="249" t="s">
        <v>2078</v>
      </c>
      <c r="CA60" s="247"/>
      <c r="CD60" s="249" t="s">
        <v>2088</v>
      </c>
      <c r="CH60" s="249" t="s">
        <v>2078</v>
      </c>
      <c r="CL60" s="249" t="s">
        <v>2078</v>
      </c>
      <c r="CN60" s="252"/>
      <c r="CO60" s="252"/>
      <c r="CP60" s="249" t="s">
        <v>2078</v>
      </c>
      <c r="CQ60" s="247"/>
      <c r="CT60" s="249" t="s">
        <v>2088</v>
      </c>
      <c r="CX60" s="249" t="s">
        <v>2078</v>
      </c>
      <c r="DB60" s="249" t="s">
        <v>2078</v>
      </c>
    </row>
    <row r="61" spans="44:106" ht="15" customHeight="1" x14ac:dyDescent="0.2">
      <c r="AR61" s="252"/>
      <c r="AS61" s="252"/>
      <c r="AT61" s="249" t="s">
        <v>2078</v>
      </c>
      <c r="AU61" s="247"/>
      <c r="AX61" s="249" t="s">
        <v>2088</v>
      </c>
      <c r="BB61" s="249" t="s">
        <v>2078</v>
      </c>
      <c r="BF61" s="249" t="s">
        <v>2078</v>
      </c>
      <c r="BH61" s="252"/>
      <c r="BI61" s="252"/>
      <c r="BJ61" s="249" t="s">
        <v>2078</v>
      </c>
      <c r="BK61" s="247"/>
      <c r="BN61" s="249" t="s">
        <v>2088</v>
      </c>
      <c r="BR61" s="249" t="s">
        <v>2078</v>
      </c>
      <c r="BV61" s="249" t="s">
        <v>2078</v>
      </c>
      <c r="BX61" s="251"/>
      <c r="BY61" s="251"/>
      <c r="BZ61" s="249" t="s">
        <v>2078</v>
      </c>
      <c r="CA61" s="247"/>
      <c r="CD61" s="249" t="s">
        <v>2088</v>
      </c>
      <c r="CH61" s="249" t="s">
        <v>2078</v>
      </c>
      <c r="CL61" s="249" t="s">
        <v>2078</v>
      </c>
      <c r="CN61" s="252"/>
      <c r="CO61" s="252"/>
      <c r="CP61" s="249" t="s">
        <v>2078</v>
      </c>
      <c r="CQ61" s="247"/>
      <c r="CT61" s="249" t="s">
        <v>2088</v>
      </c>
      <c r="CX61" s="249" t="s">
        <v>2078</v>
      </c>
      <c r="DB61" s="249" t="s">
        <v>2078</v>
      </c>
    </row>
    <row r="62" spans="44:106" ht="15" customHeight="1" x14ac:dyDescent="0.2">
      <c r="AR62" s="252"/>
      <c r="AS62" s="252"/>
      <c r="AT62" s="249" t="s">
        <v>2078</v>
      </c>
      <c r="AU62" s="247"/>
      <c r="AX62" s="249" t="s">
        <v>2088</v>
      </c>
      <c r="BB62" s="249" t="s">
        <v>2078</v>
      </c>
      <c r="BF62" s="249" t="s">
        <v>2078</v>
      </c>
      <c r="BH62" s="252"/>
      <c r="BI62" s="252"/>
      <c r="BJ62" s="249" t="s">
        <v>2078</v>
      </c>
      <c r="BK62" s="247"/>
      <c r="BN62" s="249" t="s">
        <v>2088</v>
      </c>
      <c r="BR62" s="249" t="s">
        <v>2078</v>
      </c>
      <c r="BV62" s="249" t="s">
        <v>2078</v>
      </c>
      <c r="BX62" s="251"/>
      <c r="BY62" s="251"/>
      <c r="BZ62" s="249" t="s">
        <v>2078</v>
      </c>
      <c r="CA62" s="247"/>
      <c r="CD62" s="249" t="s">
        <v>2088</v>
      </c>
      <c r="CH62" s="249" t="s">
        <v>2078</v>
      </c>
      <c r="CL62" s="249" t="s">
        <v>2078</v>
      </c>
      <c r="CN62" s="252"/>
      <c r="CO62" s="252"/>
      <c r="CP62" s="249" t="s">
        <v>2078</v>
      </c>
      <c r="CQ62" s="247"/>
      <c r="CT62" s="249" t="s">
        <v>2088</v>
      </c>
      <c r="CX62" s="249" t="s">
        <v>2078</v>
      </c>
      <c r="DB62" s="249" t="s">
        <v>2078</v>
      </c>
    </row>
    <row r="63" spans="44:106" ht="15" customHeight="1" x14ac:dyDescent="0.2">
      <c r="AR63" s="252"/>
      <c r="AS63" s="252"/>
      <c r="AT63" s="249" t="s">
        <v>2078</v>
      </c>
      <c r="AU63" s="247"/>
      <c r="AX63" s="249" t="s">
        <v>2088</v>
      </c>
      <c r="BB63" s="249" t="s">
        <v>2078</v>
      </c>
      <c r="BF63" s="249" t="s">
        <v>2078</v>
      </c>
      <c r="BH63" s="252"/>
      <c r="BI63" s="252"/>
      <c r="BJ63" s="249" t="s">
        <v>2078</v>
      </c>
      <c r="BK63" s="247"/>
      <c r="BN63" s="249" t="s">
        <v>2088</v>
      </c>
      <c r="BR63" s="249" t="s">
        <v>2078</v>
      </c>
      <c r="BV63" s="249" t="s">
        <v>2078</v>
      </c>
      <c r="BX63" s="251"/>
      <c r="BY63" s="251"/>
      <c r="BZ63" s="249" t="s">
        <v>2078</v>
      </c>
      <c r="CA63" s="247"/>
      <c r="CD63" s="249" t="s">
        <v>2088</v>
      </c>
      <c r="CH63" s="249" t="s">
        <v>2078</v>
      </c>
      <c r="CL63" s="249" t="s">
        <v>2078</v>
      </c>
      <c r="CN63" s="252"/>
      <c r="CO63" s="252"/>
      <c r="CP63" s="249" t="s">
        <v>2078</v>
      </c>
      <c r="CQ63" s="247"/>
      <c r="CT63" s="249" t="s">
        <v>2088</v>
      </c>
      <c r="CX63" s="249" t="s">
        <v>2078</v>
      </c>
      <c r="DB63" s="249" t="s">
        <v>2078</v>
      </c>
    </row>
    <row r="64" spans="44:106" ht="15" customHeight="1" x14ac:dyDescent="0.2">
      <c r="AR64" s="252"/>
      <c r="AS64" s="252"/>
      <c r="AT64" s="249" t="s">
        <v>2078</v>
      </c>
      <c r="AU64" s="247"/>
      <c r="AX64" s="249" t="s">
        <v>2088</v>
      </c>
      <c r="BB64" s="249" t="s">
        <v>2078</v>
      </c>
      <c r="BF64" s="249" t="s">
        <v>2078</v>
      </c>
      <c r="BH64" s="252"/>
      <c r="BI64" s="252"/>
      <c r="BJ64" s="249" t="s">
        <v>2078</v>
      </c>
      <c r="BK64" s="247"/>
      <c r="BN64" s="249" t="s">
        <v>2088</v>
      </c>
      <c r="BR64" s="249" t="s">
        <v>2078</v>
      </c>
      <c r="BV64" s="249" t="s">
        <v>2078</v>
      </c>
      <c r="BX64" s="251"/>
      <c r="BY64" s="251"/>
      <c r="BZ64" s="249" t="s">
        <v>2078</v>
      </c>
      <c r="CA64" s="247"/>
      <c r="CD64" s="249" t="s">
        <v>2088</v>
      </c>
      <c r="CH64" s="249" t="s">
        <v>2078</v>
      </c>
      <c r="CL64" s="249" t="s">
        <v>2078</v>
      </c>
      <c r="CN64" s="252"/>
      <c r="CO64" s="252"/>
      <c r="CP64" s="249" t="s">
        <v>2078</v>
      </c>
      <c r="CQ64" s="247"/>
      <c r="CT64" s="249" t="s">
        <v>2088</v>
      </c>
      <c r="CX64" s="249" t="s">
        <v>2078</v>
      </c>
      <c r="DB64" s="249" t="s">
        <v>2078</v>
      </c>
    </row>
    <row r="65" spans="44:106" ht="15" customHeight="1" x14ac:dyDescent="0.2">
      <c r="AR65" s="252"/>
      <c r="AS65" s="252"/>
      <c r="AT65" s="249" t="s">
        <v>2078</v>
      </c>
      <c r="AU65" s="247"/>
      <c r="AX65" s="249" t="s">
        <v>2088</v>
      </c>
      <c r="BB65" s="249" t="s">
        <v>2078</v>
      </c>
      <c r="BF65" s="249" t="s">
        <v>2078</v>
      </c>
      <c r="BH65" s="252"/>
      <c r="BI65" s="252"/>
      <c r="BJ65" s="249" t="s">
        <v>2078</v>
      </c>
      <c r="BK65" s="247"/>
      <c r="BN65" s="249" t="s">
        <v>2088</v>
      </c>
      <c r="BR65" s="249" t="s">
        <v>2078</v>
      </c>
      <c r="BV65" s="249" t="s">
        <v>2078</v>
      </c>
      <c r="BX65" s="251"/>
      <c r="BY65" s="251"/>
      <c r="BZ65" s="249" t="s">
        <v>2078</v>
      </c>
      <c r="CA65" s="247"/>
      <c r="CD65" s="249" t="s">
        <v>2088</v>
      </c>
      <c r="CH65" s="249" t="s">
        <v>2078</v>
      </c>
      <c r="CL65" s="249" t="s">
        <v>2078</v>
      </c>
      <c r="CN65" s="252"/>
      <c r="CO65" s="252"/>
      <c r="CP65" s="249" t="s">
        <v>2078</v>
      </c>
      <c r="CQ65" s="247"/>
      <c r="CT65" s="249" t="s">
        <v>2088</v>
      </c>
      <c r="CX65" s="249" t="s">
        <v>2078</v>
      </c>
      <c r="DB65" s="249" t="s">
        <v>2078</v>
      </c>
    </row>
    <row r="66" spans="44:106" ht="15" customHeight="1" x14ac:dyDescent="0.2">
      <c r="AR66" s="252"/>
      <c r="AS66" s="252"/>
      <c r="AT66" s="249" t="s">
        <v>2078</v>
      </c>
      <c r="AU66" s="247"/>
      <c r="AX66" s="249" t="s">
        <v>2088</v>
      </c>
      <c r="BB66" s="249" t="s">
        <v>2078</v>
      </c>
      <c r="BF66" s="249" t="s">
        <v>2078</v>
      </c>
      <c r="BH66" s="252"/>
      <c r="BI66" s="252"/>
      <c r="BJ66" s="249" t="s">
        <v>2078</v>
      </c>
      <c r="BK66" s="247"/>
      <c r="BN66" s="249" t="s">
        <v>2088</v>
      </c>
      <c r="BR66" s="249" t="s">
        <v>2078</v>
      </c>
      <c r="BV66" s="249" t="s">
        <v>2078</v>
      </c>
      <c r="BX66" s="251"/>
      <c r="BY66" s="251"/>
      <c r="BZ66" s="249" t="s">
        <v>2078</v>
      </c>
      <c r="CA66" s="247"/>
      <c r="CD66" s="249" t="s">
        <v>2088</v>
      </c>
      <c r="CH66" s="249" t="s">
        <v>2078</v>
      </c>
      <c r="CL66" s="249" t="s">
        <v>2078</v>
      </c>
      <c r="CN66" s="252"/>
      <c r="CO66" s="252"/>
      <c r="CP66" s="249" t="s">
        <v>2078</v>
      </c>
      <c r="CQ66" s="247"/>
      <c r="CT66" s="249" t="s">
        <v>2088</v>
      </c>
      <c r="CX66" s="249" t="s">
        <v>2078</v>
      </c>
      <c r="DB66" s="249" t="s">
        <v>2078</v>
      </c>
    </row>
    <row r="67" spans="44:106" ht="15" customHeight="1" x14ac:dyDescent="0.2">
      <c r="AR67" s="252"/>
      <c r="AS67" s="252"/>
      <c r="AT67" s="249" t="s">
        <v>2078</v>
      </c>
      <c r="AU67" s="247"/>
      <c r="AX67" s="249" t="s">
        <v>2088</v>
      </c>
      <c r="BB67" s="249" t="s">
        <v>2078</v>
      </c>
      <c r="BF67" s="249" t="s">
        <v>2078</v>
      </c>
      <c r="BH67" s="252"/>
      <c r="BI67" s="252"/>
      <c r="BJ67" s="249" t="s">
        <v>2078</v>
      </c>
      <c r="BK67" s="247"/>
      <c r="BN67" s="249" t="s">
        <v>2088</v>
      </c>
      <c r="BR67" s="249" t="s">
        <v>2078</v>
      </c>
      <c r="BV67" s="249" t="s">
        <v>2078</v>
      </c>
      <c r="BX67" s="251"/>
      <c r="BY67" s="251"/>
      <c r="BZ67" s="249" t="s">
        <v>2078</v>
      </c>
      <c r="CA67" s="247"/>
      <c r="CD67" s="249" t="s">
        <v>2088</v>
      </c>
      <c r="CH67" s="249" t="s">
        <v>2078</v>
      </c>
      <c r="CL67" s="249" t="s">
        <v>2078</v>
      </c>
      <c r="CN67" s="252"/>
      <c r="CO67" s="252"/>
      <c r="CP67" s="249" t="s">
        <v>2078</v>
      </c>
      <c r="CQ67" s="247"/>
      <c r="CT67" s="249" t="s">
        <v>2088</v>
      </c>
      <c r="CX67" s="249" t="s">
        <v>2078</v>
      </c>
      <c r="DB67" s="249" t="s">
        <v>2078</v>
      </c>
    </row>
    <row r="68" spans="44:106" ht="15" customHeight="1" x14ac:dyDescent="0.2">
      <c r="AR68" s="252"/>
      <c r="AS68" s="252"/>
      <c r="AT68" s="249" t="s">
        <v>2078</v>
      </c>
      <c r="AU68" s="247"/>
      <c r="AX68" s="249" t="s">
        <v>2088</v>
      </c>
      <c r="BB68" s="249" t="s">
        <v>2078</v>
      </c>
      <c r="BF68" s="249" t="s">
        <v>2078</v>
      </c>
      <c r="BH68" s="252"/>
      <c r="BI68" s="252"/>
      <c r="BJ68" s="249" t="s">
        <v>2078</v>
      </c>
      <c r="BK68" s="247"/>
      <c r="BN68" s="249" t="s">
        <v>2088</v>
      </c>
      <c r="BR68" s="249" t="s">
        <v>2078</v>
      </c>
      <c r="BV68" s="249" t="s">
        <v>2078</v>
      </c>
      <c r="BX68" s="251"/>
      <c r="BY68" s="251"/>
      <c r="BZ68" s="249" t="s">
        <v>2078</v>
      </c>
      <c r="CA68" s="247"/>
      <c r="CD68" s="249" t="s">
        <v>2088</v>
      </c>
      <c r="CH68" s="249" t="s">
        <v>2078</v>
      </c>
      <c r="CL68" s="249" t="s">
        <v>2078</v>
      </c>
      <c r="CN68" s="252"/>
      <c r="CO68" s="252"/>
      <c r="CP68" s="249" t="s">
        <v>2078</v>
      </c>
      <c r="CQ68" s="247"/>
      <c r="CT68" s="249" t="s">
        <v>2088</v>
      </c>
      <c r="CX68" s="249" t="s">
        <v>2078</v>
      </c>
      <c r="DB68" s="249" t="s">
        <v>2078</v>
      </c>
    </row>
    <row r="69" spans="44:106" ht="15" customHeight="1" x14ac:dyDescent="0.2">
      <c r="AR69" s="252"/>
      <c r="AS69" s="252"/>
      <c r="AT69" s="249" t="s">
        <v>2078</v>
      </c>
      <c r="AU69" s="247"/>
      <c r="AX69" s="249" t="s">
        <v>2088</v>
      </c>
      <c r="BB69" s="249" t="s">
        <v>2078</v>
      </c>
      <c r="BF69" s="249" t="s">
        <v>2078</v>
      </c>
      <c r="BH69" s="252"/>
      <c r="BI69" s="252"/>
      <c r="BJ69" s="249" t="s">
        <v>2078</v>
      </c>
      <c r="BK69" s="247"/>
      <c r="BN69" s="249" t="s">
        <v>2088</v>
      </c>
      <c r="BR69" s="249" t="s">
        <v>2078</v>
      </c>
      <c r="BV69" s="249" t="s">
        <v>2078</v>
      </c>
      <c r="BX69" s="251"/>
      <c r="BY69" s="251"/>
      <c r="BZ69" s="249" t="s">
        <v>2078</v>
      </c>
      <c r="CA69" s="247"/>
      <c r="CD69" s="249" t="s">
        <v>2088</v>
      </c>
      <c r="CH69" s="249" t="s">
        <v>2078</v>
      </c>
      <c r="CL69" s="249" t="s">
        <v>2078</v>
      </c>
      <c r="CN69" s="252"/>
      <c r="CO69" s="252"/>
      <c r="CP69" s="249" t="s">
        <v>2078</v>
      </c>
      <c r="CQ69" s="247"/>
      <c r="CT69" s="249" t="s">
        <v>2088</v>
      </c>
      <c r="CX69" s="249" t="s">
        <v>2078</v>
      </c>
      <c r="DB69" s="249" t="s">
        <v>2078</v>
      </c>
    </row>
    <row r="70" spans="44:106" ht="15" customHeight="1" x14ac:dyDescent="0.2">
      <c r="AR70" s="252"/>
      <c r="AS70" s="252"/>
      <c r="AT70" s="249" t="s">
        <v>2078</v>
      </c>
      <c r="AU70" s="247"/>
      <c r="AX70" s="249" t="s">
        <v>2088</v>
      </c>
      <c r="BB70" s="249" t="s">
        <v>2078</v>
      </c>
      <c r="BF70" s="249" t="s">
        <v>2078</v>
      </c>
      <c r="BH70" s="252"/>
      <c r="BI70" s="252"/>
      <c r="BJ70" s="249" t="s">
        <v>2078</v>
      </c>
      <c r="BK70" s="247"/>
      <c r="BN70" s="249" t="s">
        <v>2088</v>
      </c>
      <c r="BR70" s="249" t="s">
        <v>2078</v>
      </c>
      <c r="BV70" s="249" t="s">
        <v>2078</v>
      </c>
      <c r="BX70" s="251"/>
      <c r="BY70" s="251"/>
      <c r="BZ70" s="249" t="s">
        <v>2078</v>
      </c>
      <c r="CA70" s="247"/>
      <c r="CD70" s="249" t="s">
        <v>2088</v>
      </c>
      <c r="CH70" s="249" t="s">
        <v>2078</v>
      </c>
      <c r="CL70" s="249" t="s">
        <v>2078</v>
      </c>
      <c r="CN70" s="252"/>
      <c r="CO70" s="252"/>
      <c r="CP70" s="249" t="s">
        <v>2078</v>
      </c>
      <c r="CQ70" s="247"/>
      <c r="CT70" s="249" t="s">
        <v>2088</v>
      </c>
      <c r="CX70" s="249" t="s">
        <v>2078</v>
      </c>
      <c r="DB70" s="249" t="s">
        <v>2078</v>
      </c>
    </row>
    <row r="71" spans="44:106" ht="15" customHeight="1" x14ac:dyDescent="0.2">
      <c r="AR71" s="252"/>
      <c r="AS71" s="252"/>
      <c r="AT71" s="249" t="s">
        <v>2078</v>
      </c>
      <c r="AU71" s="247"/>
      <c r="AX71" s="249" t="s">
        <v>2088</v>
      </c>
      <c r="BB71" s="249" t="s">
        <v>2078</v>
      </c>
      <c r="BF71" s="249" t="s">
        <v>2078</v>
      </c>
      <c r="BH71" s="252"/>
      <c r="BI71" s="252"/>
      <c r="BJ71" s="249" t="s">
        <v>2078</v>
      </c>
      <c r="BK71" s="247"/>
      <c r="BN71" s="249" t="s">
        <v>2088</v>
      </c>
      <c r="BR71" s="249" t="s">
        <v>2078</v>
      </c>
      <c r="BV71" s="249" t="s">
        <v>2078</v>
      </c>
      <c r="BX71" s="251"/>
      <c r="BY71" s="251"/>
      <c r="BZ71" s="249" t="s">
        <v>2078</v>
      </c>
      <c r="CA71" s="247"/>
      <c r="CD71" s="249" t="s">
        <v>2088</v>
      </c>
      <c r="CH71" s="249" t="s">
        <v>2078</v>
      </c>
      <c r="CL71" s="249" t="s">
        <v>2078</v>
      </c>
      <c r="CN71" s="252"/>
      <c r="CO71" s="252"/>
      <c r="CP71" s="249" t="s">
        <v>2078</v>
      </c>
      <c r="CQ71" s="247"/>
      <c r="CT71" s="249" t="s">
        <v>2088</v>
      </c>
      <c r="CX71" s="249" t="s">
        <v>2078</v>
      </c>
      <c r="DB71" s="249" t="s">
        <v>2078</v>
      </c>
    </row>
    <row r="72" spans="44:106" ht="15" customHeight="1" x14ac:dyDescent="0.2">
      <c r="AR72" s="252"/>
      <c r="AS72" s="252"/>
      <c r="AT72" s="249" t="s">
        <v>2078</v>
      </c>
      <c r="AU72" s="247"/>
      <c r="AX72" s="249" t="s">
        <v>2088</v>
      </c>
      <c r="BB72" s="249" t="s">
        <v>2078</v>
      </c>
      <c r="BF72" s="249" t="s">
        <v>2078</v>
      </c>
      <c r="BH72" s="252"/>
      <c r="BI72" s="252"/>
      <c r="BJ72" s="249" t="s">
        <v>2078</v>
      </c>
      <c r="BK72" s="247"/>
      <c r="BN72" s="249" t="s">
        <v>2088</v>
      </c>
      <c r="BR72" s="249" t="s">
        <v>2078</v>
      </c>
      <c r="BV72" s="249" t="s">
        <v>2078</v>
      </c>
      <c r="BX72" s="251"/>
      <c r="BY72" s="251"/>
      <c r="BZ72" s="249" t="s">
        <v>2078</v>
      </c>
      <c r="CA72" s="247"/>
      <c r="CD72" s="249" t="s">
        <v>2088</v>
      </c>
      <c r="CH72" s="249" t="s">
        <v>2078</v>
      </c>
      <c r="CL72" s="249" t="s">
        <v>2078</v>
      </c>
      <c r="CN72" s="252"/>
      <c r="CO72" s="252"/>
      <c r="CP72" s="249" t="s">
        <v>2078</v>
      </c>
      <c r="CQ72" s="247"/>
      <c r="CT72" s="249" t="s">
        <v>2088</v>
      </c>
      <c r="CX72" s="249" t="s">
        <v>2078</v>
      </c>
      <c r="DB72" s="249" t="s">
        <v>2078</v>
      </c>
    </row>
    <row r="73" spans="44:106" ht="15" customHeight="1" x14ac:dyDescent="0.2">
      <c r="AR73" s="252"/>
      <c r="AS73" s="252"/>
      <c r="AT73" s="249" t="s">
        <v>2078</v>
      </c>
      <c r="AU73" s="247"/>
      <c r="AX73" s="249" t="s">
        <v>2088</v>
      </c>
      <c r="BB73" s="249" t="s">
        <v>2078</v>
      </c>
      <c r="BF73" s="249" t="s">
        <v>2078</v>
      </c>
      <c r="BH73" s="252"/>
      <c r="BI73" s="252"/>
      <c r="BJ73" s="249" t="s">
        <v>2078</v>
      </c>
      <c r="BK73" s="247"/>
      <c r="BN73" s="249" t="s">
        <v>2088</v>
      </c>
      <c r="BR73" s="249" t="s">
        <v>2078</v>
      </c>
      <c r="BV73" s="249" t="s">
        <v>2078</v>
      </c>
      <c r="BX73" s="251"/>
      <c r="BY73" s="251"/>
      <c r="BZ73" s="249" t="s">
        <v>2078</v>
      </c>
      <c r="CA73" s="247"/>
      <c r="CD73" s="249" t="s">
        <v>2088</v>
      </c>
      <c r="CH73" s="249" t="s">
        <v>2078</v>
      </c>
      <c r="CL73" s="249" t="s">
        <v>2078</v>
      </c>
      <c r="CN73" s="252"/>
      <c r="CO73" s="252"/>
      <c r="CP73" s="249" t="s">
        <v>2078</v>
      </c>
      <c r="CQ73" s="247"/>
      <c r="CT73" s="249" t="s">
        <v>2088</v>
      </c>
      <c r="CX73" s="249" t="s">
        <v>2078</v>
      </c>
      <c r="DB73" s="249" t="s">
        <v>2078</v>
      </c>
    </row>
    <row r="74" spans="44:106" ht="15" customHeight="1" x14ac:dyDescent="0.2">
      <c r="AR74" s="252"/>
      <c r="AS74" s="252"/>
      <c r="AT74" s="249" t="s">
        <v>2078</v>
      </c>
      <c r="AU74" s="247"/>
      <c r="AX74" s="249" t="s">
        <v>2088</v>
      </c>
      <c r="BB74" s="249" t="s">
        <v>2078</v>
      </c>
      <c r="BF74" s="249" t="s">
        <v>2078</v>
      </c>
      <c r="BH74" s="252"/>
      <c r="BI74" s="252"/>
      <c r="BJ74" s="249" t="s">
        <v>2078</v>
      </c>
      <c r="BK74" s="247"/>
      <c r="BN74" s="249" t="s">
        <v>2088</v>
      </c>
      <c r="BR74" s="249" t="s">
        <v>2078</v>
      </c>
      <c r="BV74" s="249" t="s">
        <v>2078</v>
      </c>
      <c r="BX74" s="251"/>
      <c r="BY74" s="251"/>
      <c r="BZ74" s="249" t="s">
        <v>2078</v>
      </c>
      <c r="CA74" s="247"/>
      <c r="CD74" s="249" t="s">
        <v>2088</v>
      </c>
      <c r="CH74" s="249" t="s">
        <v>2078</v>
      </c>
      <c r="CL74" s="249" t="s">
        <v>2078</v>
      </c>
      <c r="CN74" s="252"/>
      <c r="CO74" s="252"/>
      <c r="CP74" s="249" t="s">
        <v>2078</v>
      </c>
      <c r="CQ74" s="247"/>
      <c r="CT74" s="249" t="s">
        <v>2088</v>
      </c>
      <c r="CX74" s="249" t="s">
        <v>2078</v>
      </c>
      <c r="DB74" s="249" t="s">
        <v>2078</v>
      </c>
    </row>
    <row r="75" spans="44:106" ht="15" customHeight="1" x14ac:dyDescent="0.2">
      <c r="AR75" s="252"/>
      <c r="AS75" s="252"/>
      <c r="AT75" s="249" t="s">
        <v>2078</v>
      </c>
      <c r="AU75" s="247"/>
      <c r="AX75" s="249" t="s">
        <v>2088</v>
      </c>
      <c r="BB75" s="249" t="s">
        <v>2078</v>
      </c>
      <c r="BF75" s="249" t="s">
        <v>2078</v>
      </c>
      <c r="BH75" s="252"/>
      <c r="BI75" s="252"/>
      <c r="BJ75" s="249" t="s">
        <v>2078</v>
      </c>
      <c r="BK75" s="247"/>
      <c r="BN75" s="249" t="s">
        <v>2088</v>
      </c>
      <c r="BR75" s="249" t="s">
        <v>2078</v>
      </c>
      <c r="BV75" s="249" t="s">
        <v>2078</v>
      </c>
      <c r="BX75" s="251"/>
      <c r="BY75" s="251"/>
      <c r="BZ75" s="249" t="s">
        <v>2078</v>
      </c>
      <c r="CA75" s="247"/>
      <c r="CD75" s="249" t="s">
        <v>2088</v>
      </c>
      <c r="CH75" s="249" t="s">
        <v>2078</v>
      </c>
      <c r="CL75" s="249" t="s">
        <v>2078</v>
      </c>
      <c r="CN75" s="252"/>
      <c r="CO75" s="252"/>
      <c r="CP75" s="249" t="s">
        <v>2078</v>
      </c>
      <c r="CQ75" s="247"/>
      <c r="CT75" s="249" t="s">
        <v>2088</v>
      </c>
      <c r="CX75" s="249" t="s">
        <v>2078</v>
      </c>
      <c r="DB75" s="249" t="s">
        <v>2078</v>
      </c>
    </row>
    <row r="76" spans="44:106" ht="15" customHeight="1" x14ac:dyDescent="0.2">
      <c r="AR76" s="252"/>
      <c r="AS76" s="252"/>
      <c r="AT76" s="249" t="s">
        <v>2078</v>
      </c>
      <c r="AU76" s="247"/>
      <c r="AX76" s="249" t="s">
        <v>2088</v>
      </c>
      <c r="BB76" s="249" t="s">
        <v>2078</v>
      </c>
      <c r="BF76" s="249" t="s">
        <v>2078</v>
      </c>
      <c r="BH76" s="252"/>
      <c r="BI76" s="252"/>
      <c r="BJ76" s="249" t="s">
        <v>2078</v>
      </c>
      <c r="BK76" s="247"/>
      <c r="BN76" s="249" t="s">
        <v>2088</v>
      </c>
      <c r="BR76" s="249" t="s">
        <v>2078</v>
      </c>
      <c r="BV76" s="249" t="s">
        <v>2078</v>
      </c>
      <c r="BX76" s="251"/>
      <c r="BY76" s="251"/>
      <c r="BZ76" s="249" t="s">
        <v>2078</v>
      </c>
      <c r="CA76" s="247"/>
      <c r="CD76" s="249" t="s">
        <v>2088</v>
      </c>
      <c r="CH76" s="249" t="s">
        <v>2078</v>
      </c>
      <c r="CL76" s="249" t="s">
        <v>2078</v>
      </c>
      <c r="CN76" s="252"/>
      <c r="CO76" s="252"/>
      <c r="CP76" s="249" t="s">
        <v>2078</v>
      </c>
      <c r="CQ76" s="247"/>
      <c r="CT76" s="249" t="s">
        <v>2088</v>
      </c>
      <c r="CX76" s="249" t="s">
        <v>2078</v>
      </c>
      <c r="DB76" s="249" t="s">
        <v>2078</v>
      </c>
    </row>
    <row r="77" spans="44:106" ht="15" customHeight="1" x14ac:dyDescent="0.2">
      <c r="AR77" s="252"/>
      <c r="AS77" s="252"/>
      <c r="AT77" s="249" t="s">
        <v>2078</v>
      </c>
      <c r="AU77" s="247"/>
      <c r="AX77" s="249" t="s">
        <v>2088</v>
      </c>
      <c r="BB77" s="249" t="s">
        <v>2078</v>
      </c>
      <c r="BF77" s="249" t="s">
        <v>2078</v>
      </c>
      <c r="BH77" s="252"/>
      <c r="BI77" s="252"/>
      <c r="BJ77" s="249" t="s">
        <v>2078</v>
      </c>
      <c r="BK77" s="247"/>
      <c r="BN77" s="249" t="s">
        <v>2088</v>
      </c>
      <c r="BR77" s="249" t="s">
        <v>2078</v>
      </c>
      <c r="BV77" s="249" t="s">
        <v>2078</v>
      </c>
      <c r="BX77" s="251"/>
      <c r="BY77" s="251"/>
      <c r="BZ77" s="249" t="s">
        <v>2078</v>
      </c>
      <c r="CA77" s="247"/>
      <c r="CD77" s="249" t="s">
        <v>2088</v>
      </c>
      <c r="CH77" s="249" t="s">
        <v>2078</v>
      </c>
      <c r="CL77" s="249" t="s">
        <v>2078</v>
      </c>
      <c r="CN77" s="252"/>
      <c r="CO77" s="252"/>
      <c r="CP77" s="249" t="s">
        <v>2078</v>
      </c>
      <c r="CQ77" s="247"/>
      <c r="CT77" s="249" t="s">
        <v>2088</v>
      </c>
      <c r="CX77" s="249" t="s">
        <v>2078</v>
      </c>
      <c r="DB77" s="249" t="s">
        <v>2078</v>
      </c>
    </row>
    <row r="78" spans="44:106" ht="15" customHeight="1" x14ac:dyDescent="0.2">
      <c r="AR78" s="252"/>
      <c r="AS78" s="252"/>
      <c r="AT78" s="249" t="s">
        <v>2078</v>
      </c>
      <c r="AU78" s="247"/>
      <c r="AX78" s="249" t="s">
        <v>2088</v>
      </c>
      <c r="BB78" s="249" t="s">
        <v>2078</v>
      </c>
      <c r="BF78" s="249" t="s">
        <v>2078</v>
      </c>
      <c r="BH78" s="252"/>
      <c r="BI78" s="252"/>
      <c r="BJ78" s="249" t="s">
        <v>2078</v>
      </c>
      <c r="BK78" s="247"/>
      <c r="BN78" s="249" t="s">
        <v>2088</v>
      </c>
      <c r="BR78" s="249" t="s">
        <v>2078</v>
      </c>
      <c r="BV78" s="249" t="s">
        <v>2078</v>
      </c>
      <c r="BX78" s="251"/>
      <c r="BY78" s="251"/>
      <c r="BZ78" s="249" t="s">
        <v>2078</v>
      </c>
      <c r="CA78" s="247"/>
      <c r="CD78" s="249" t="s">
        <v>2088</v>
      </c>
      <c r="CH78" s="249" t="s">
        <v>2078</v>
      </c>
      <c r="CL78" s="249" t="s">
        <v>2078</v>
      </c>
      <c r="CN78" s="252"/>
      <c r="CO78" s="252"/>
      <c r="CP78" s="249" t="s">
        <v>2078</v>
      </c>
      <c r="CQ78" s="247"/>
      <c r="CT78" s="249" t="s">
        <v>2088</v>
      </c>
      <c r="CX78" s="249" t="s">
        <v>2078</v>
      </c>
      <c r="DB78" s="249" t="s">
        <v>2078</v>
      </c>
    </row>
    <row r="79" spans="44:106" ht="15" customHeight="1" x14ac:dyDescent="0.2">
      <c r="AR79" s="252"/>
      <c r="AS79" s="252"/>
      <c r="AT79" s="249" t="s">
        <v>2078</v>
      </c>
      <c r="AU79" s="247"/>
      <c r="AX79" s="249" t="s">
        <v>2088</v>
      </c>
      <c r="BB79" s="249" t="s">
        <v>2078</v>
      </c>
      <c r="BF79" s="249" t="s">
        <v>2078</v>
      </c>
      <c r="BH79" s="252"/>
      <c r="BI79" s="252"/>
      <c r="BJ79" s="249" t="s">
        <v>2078</v>
      </c>
      <c r="BK79" s="247"/>
      <c r="BN79" s="249" t="s">
        <v>2088</v>
      </c>
      <c r="BR79" s="249" t="s">
        <v>2078</v>
      </c>
      <c r="BV79" s="249" t="s">
        <v>2078</v>
      </c>
      <c r="BX79" s="251"/>
      <c r="BY79" s="251"/>
      <c r="BZ79" s="249" t="s">
        <v>2078</v>
      </c>
      <c r="CA79" s="247"/>
      <c r="CD79" s="249" t="s">
        <v>2088</v>
      </c>
      <c r="CH79" s="249" t="s">
        <v>2078</v>
      </c>
      <c r="CL79" s="249" t="s">
        <v>2078</v>
      </c>
      <c r="CN79" s="252"/>
      <c r="CO79" s="252"/>
      <c r="CP79" s="249" t="s">
        <v>2078</v>
      </c>
      <c r="CQ79" s="247"/>
      <c r="CT79" s="249" t="s">
        <v>2088</v>
      </c>
      <c r="CX79" s="249" t="s">
        <v>2078</v>
      </c>
      <c r="DB79" s="249" t="s">
        <v>2078</v>
      </c>
    </row>
    <row r="80" spans="44:106" ht="15" customHeight="1" x14ac:dyDescent="0.2">
      <c r="AR80" s="252"/>
      <c r="AS80" s="252"/>
      <c r="AT80" s="249" t="s">
        <v>2078</v>
      </c>
      <c r="AU80" s="247"/>
      <c r="AX80" s="249" t="s">
        <v>2088</v>
      </c>
      <c r="BB80" s="249" t="s">
        <v>2078</v>
      </c>
      <c r="BF80" s="249" t="s">
        <v>2078</v>
      </c>
      <c r="BH80" s="252"/>
      <c r="BI80" s="252"/>
      <c r="BJ80" s="249" t="s">
        <v>2078</v>
      </c>
      <c r="BK80" s="247"/>
      <c r="BN80" s="249" t="s">
        <v>2088</v>
      </c>
      <c r="BR80" s="249" t="s">
        <v>2078</v>
      </c>
      <c r="BV80" s="249" t="s">
        <v>2078</v>
      </c>
      <c r="BX80" s="251"/>
      <c r="BY80" s="251"/>
      <c r="BZ80" s="249" t="s">
        <v>2078</v>
      </c>
      <c r="CA80" s="247"/>
      <c r="CD80" s="249" t="s">
        <v>2088</v>
      </c>
      <c r="CH80" s="249" t="s">
        <v>2078</v>
      </c>
      <c r="CL80" s="249" t="s">
        <v>2078</v>
      </c>
      <c r="CN80" s="252"/>
      <c r="CO80" s="252"/>
      <c r="CP80" s="249" t="s">
        <v>2078</v>
      </c>
      <c r="CQ80" s="247"/>
      <c r="CT80" s="249" t="s">
        <v>2088</v>
      </c>
      <c r="CX80" s="249" t="s">
        <v>2078</v>
      </c>
      <c r="DB80" s="249" t="s">
        <v>2078</v>
      </c>
    </row>
    <row r="81" spans="44:106" ht="15" customHeight="1" x14ac:dyDescent="0.2">
      <c r="AR81" s="252"/>
      <c r="AS81" s="252"/>
      <c r="AT81" s="249" t="s">
        <v>2078</v>
      </c>
      <c r="AU81" s="247"/>
      <c r="AX81" s="249" t="s">
        <v>2088</v>
      </c>
      <c r="BB81" s="249" t="s">
        <v>2078</v>
      </c>
      <c r="BF81" s="249" t="s">
        <v>2078</v>
      </c>
      <c r="BH81" s="252"/>
      <c r="BI81" s="252"/>
      <c r="BJ81" s="249" t="s">
        <v>2078</v>
      </c>
      <c r="BK81" s="247"/>
      <c r="BN81" s="249" t="s">
        <v>2088</v>
      </c>
      <c r="BR81" s="249" t="s">
        <v>2078</v>
      </c>
      <c r="BV81" s="249" t="s">
        <v>2078</v>
      </c>
      <c r="BX81" s="251"/>
      <c r="BY81" s="251"/>
      <c r="BZ81" s="249" t="s">
        <v>2078</v>
      </c>
      <c r="CA81" s="247"/>
      <c r="CD81" s="249" t="s">
        <v>2088</v>
      </c>
      <c r="CH81" s="249" t="s">
        <v>2078</v>
      </c>
      <c r="CL81" s="249" t="s">
        <v>2078</v>
      </c>
      <c r="CN81" s="252"/>
      <c r="CO81" s="252"/>
      <c r="CP81" s="249" t="s">
        <v>2078</v>
      </c>
      <c r="CQ81" s="247"/>
      <c r="CT81" s="249" t="s">
        <v>2088</v>
      </c>
      <c r="CX81" s="249" t="s">
        <v>2078</v>
      </c>
      <c r="DB81" s="249" t="s">
        <v>2078</v>
      </c>
    </row>
    <row r="82" spans="44:106" ht="15" customHeight="1" x14ac:dyDescent="0.2">
      <c r="AR82" s="252"/>
      <c r="AS82" s="252"/>
      <c r="AT82" s="249" t="s">
        <v>2078</v>
      </c>
      <c r="AU82" s="247"/>
      <c r="AX82" s="249" t="s">
        <v>2088</v>
      </c>
      <c r="BB82" s="249" t="s">
        <v>2078</v>
      </c>
      <c r="BF82" s="249" t="s">
        <v>2078</v>
      </c>
      <c r="BH82" s="252"/>
      <c r="BI82" s="252"/>
      <c r="BJ82" s="249" t="s">
        <v>2078</v>
      </c>
      <c r="BK82" s="247"/>
      <c r="BN82" s="249" t="s">
        <v>2088</v>
      </c>
      <c r="BR82" s="249" t="s">
        <v>2078</v>
      </c>
      <c r="BV82" s="249" t="s">
        <v>2078</v>
      </c>
      <c r="BX82" s="251"/>
      <c r="BY82" s="251"/>
      <c r="BZ82" s="249" t="s">
        <v>2078</v>
      </c>
      <c r="CA82" s="247"/>
      <c r="CD82" s="249" t="s">
        <v>2088</v>
      </c>
      <c r="CH82" s="249" t="s">
        <v>2078</v>
      </c>
      <c r="CL82" s="249" t="s">
        <v>2078</v>
      </c>
      <c r="CN82" s="252"/>
      <c r="CO82" s="252"/>
      <c r="CP82" s="249" t="s">
        <v>2078</v>
      </c>
      <c r="CQ82" s="247"/>
      <c r="CT82" s="249" t="s">
        <v>2088</v>
      </c>
      <c r="CX82" s="249" t="s">
        <v>2078</v>
      </c>
      <c r="DB82" s="249" t="s">
        <v>2078</v>
      </c>
    </row>
    <row r="83" spans="44:106" ht="15" customHeight="1" x14ac:dyDescent="0.2">
      <c r="AR83" s="252"/>
      <c r="AS83" s="252"/>
      <c r="AT83" s="249" t="s">
        <v>2078</v>
      </c>
      <c r="AU83" s="247"/>
      <c r="AX83" s="249" t="s">
        <v>2088</v>
      </c>
      <c r="BB83" s="249" t="s">
        <v>2078</v>
      </c>
      <c r="BF83" s="249" t="s">
        <v>2078</v>
      </c>
      <c r="BH83" s="252"/>
      <c r="BI83" s="252"/>
      <c r="BJ83" s="249" t="s">
        <v>2078</v>
      </c>
      <c r="BK83" s="247"/>
      <c r="BN83" s="249" t="s">
        <v>2088</v>
      </c>
      <c r="BR83" s="249" t="s">
        <v>2078</v>
      </c>
      <c r="BV83" s="249" t="s">
        <v>2078</v>
      </c>
      <c r="BX83" s="251"/>
      <c r="BY83" s="251"/>
      <c r="BZ83" s="249" t="s">
        <v>2078</v>
      </c>
      <c r="CA83" s="247"/>
      <c r="CD83" s="249" t="s">
        <v>2088</v>
      </c>
      <c r="CH83" s="249" t="s">
        <v>2078</v>
      </c>
      <c r="CL83" s="249" t="s">
        <v>2078</v>
      </c>
      <c r="CN83" s="252"/>
      <c r="CO83" s="252"/>
      <c r="CP83" s="249" t="s">
        <v>2078</v>
      </c>
      <c r="CQ83" s="247"/>
      <c r="CT83" s="249" t="s">
        <v>2088</v>
      </c>
      <c r="CX83" s="249" t="s">
        <v>2078</v>
      </c>
      <c r="DB83" s="249" t="s">
        <v>2078</v>
      </c>
    </row>
    <row r="84" spans="44:106" ht="15" customHeight="1" x14ac:dyDescent="0.2">
      <c r="AR84" s="252"/>
      <c r="AS84" s="252"/>
      <c r="AT84" s="249" t="s">
        <v>2078</v>
      </c>
      <c r="AU84" s="247"/>
      <c r="AX84" s="249" t="s">
        <v>2088</v>
      </c>
      <c r="BB84" s="249" t="s">
        <v>2078</v>
      </c>
      <c r="BF84" s="249" t="s">
        <v>2078</v>
      </c>
      <c r="BH84" s="252"/>
      <c r="BI84" s="252"/>
      <c r="BJ84" s="249" t="s">
        <v>2078</v>
      </c>
      <c r="BK84" s="247"/>
      <c r="BN84" s="249" t="s">
        <v>2088</v>
      </c>
      <c r="BR84" s="249" t="s">
        <v>2078</v>
      </c>
      <c r="BV84" s="249" t="s">
        <v>2078</v>
      </c>
      <c r="BX84" s="251"/>
      <c r="BY84" s="251"/>
      <c r="BZ84" s="249" t="s">
        <v>2078</v>
      </c>
      <c r="CA84" s="247"/>
      <c r="CD84" s="249" t="s">
        <v>2088</v>
      </c>
      <c r="CH84" s="249" t="s">
        <v>2078</v>
      </c>
      <c r="CL84" s="249" t="s">
        <v>2078</v>
      </c>
      <c r="CN84" s="252"/>
      <c r="CO84" s="252"/>
      <c r="CP84" s="249" t="s">
        <v>2078</v>
      </c>
      <c r="CQ84" s="247"/>
      <c r="CT84" s="249" t="s">
        <v>2088</v>
      </c>
      <c r="CX84" s="249" t="s">
        <v>2078</v>
      </c>
      <c r="DB84" s="249" t="s">
        <v>2078</v>
      </c>
    </row>
    <row r="85" spans="44:106" ht="15" customHeight="1" x14ac:dyDescent="0.2">
      <c r="AR85" s="252"/>
      <c r="AS85" s="252"/>
      <c r="AT85" s="249" t="s">
        <v>2078</v>
      </c>
      <c r="AU85" s="247"/>
      <c r="AX85" s="249" t="s">
        <v>2088</v>
      </c>
      <c r="BB85" s="249" t="s">
        <v>2078</v>
      </c>
      <c r="BF85" s="249" t="s">
        <v>2078</v>
      </c>
      <c r="BH85" s="252"/>
      <c r="BI85" s="252"/>
      <c r="BJ85" s="249" t="s">
        <v>2078</v>
      </c>
      <c r="BK85" s="247"/>
      <c r="BN85" s="249" t="s">
        <v>2088</v>
      </c>
      <c r="BR85" s="249" t="s">
        <v>2078</v>
      </c>
      <c r="BV85" s="249" t="s">
        <v>2078</v>
      </c>
      <c r="BX85" s="251"/>
      <c r="BY85" s="251"/>
      <c r="BZ85" s="249" t="s">
        <v>2078</v>
      </c>
      <c r="CA85" s="247"/>
      <c r="CD85" s="249" t="s">
        <v>2088</v>
      </c>
      <c r="CH85" s="249" t="s">
        <v>2078</v>
      </c>
      <c r="CL85" s="249" t="s">
        <v>2078</v>
      </c>
      <c r="CN85" s="252"/>
      <c r="CO85" s="252"/>
      <c r="CP85" s="249" t="s">
        <v>2078</v>
      </c>
      <c r="CQ85" s="247"/>
      <c r="CT85" s="249" t="s">
        <v>2088</v>
      </c>
      <c r="CX85" s="249" t="s">
        <v>2078</v>
      </c>
      <c r="DB85" s="249" t="s">
        <v>2078</v>
      </c>
    </row>
    <row r="86" spans="44:106" ht="15" customHeight="1" x14ac:dyDescent="0.2">
      <c r="AR86" s="252"/>
      <c r="AS86" s="252"/>
      <c r="AT86" s="249" t="s">
        <v>2078</v>
      </c>
      <c r="AU86" s="247"/>
      <c r="AX86" s="249" t="s">
        <v>2088</v>
      </c>
      <c r="BB86" s="249" t="s">
        <v>2078</v>
      </c>
      <c r="BF86" s="249" t="s">
        <v>2078</v>
      </c>
      <c r="BH86" s="252"/>
      <c r="BI86" s="252"/>
      <c r="BJ86" s="249" t="s">
        <v>2078</v>
      </c>
      <c r="BK86" s="247"/>
      <c r="BN86" s="249" t="s">
        <v>2088</v>
      </c>
      <c r="BR86" s="249" t="s">
        <v>2078</v>
      </c>
      <c r="BV86" s="249" t="s">
        <v>2078</v>
      </c>
      <c r="BX86" s="251"/>
      <c r="BY86" s="251"/>
      <c r="BZ86" s="249" t="s">
        <v>2078</v>
      </c>
      <c r="CA86" s="247"/>
      <c r="CD86" s="249" t="s">
        <v>2088</v>
      </c>
      <c r="CH86" s="249" t="s">
        <v>2078</v>
      </c>
      <c r="CL86" s="249" t="s">
        <v>2078</v>
      </c>
      <c r="CN86" s="252"/>
      <c r="CO86" s="252"/>
      <c r="CP86" s="249" t="s">
        <v>2078</v>
      </c>
      <c r="CQ86" s="247"/>
      <c r="CT86" s="249" t="s">
        <v>2088</v>
      </c>
      <c r="CX86" s="249" t="s">
        <v>2078</v>
      </c>
      <c r="DB86" s="249" t="s">
        <v>2078</v>
      </c>
    </row>
    <row r="87" spans="44:106" ht="15" customHeight="1" x14ac:dyDescent="0.2">
      <c r="AR87" s="252"/>
      <c r="AS87" s="252"/>
      <c r="AT87" s="249" t="s">
        <v>2078</v>
      </c>
      <c r="AU87" s="247"/>
      <c r="AX87" s="249" t="s">
        <v>2088</v>
      </c>
      <c r="BB87" s="249" t="s">
        <v>2078</v>
      </c>
      <c r="BF87" s="249" t="s">
        <v>2078</v>
      </c>
      <c r="BH87" s="252"/>
      <c r="BI87" s="252"/>
      <c r="BJ87" s="249" t="s">
        <v>2078</v>
      </c>
      <c r="BK87" s="247"/>
      <c r="BN87" s="249" t="s">
        <v>2088</v>
      </c>
      <c r="BR87" s="249" t="s">
        <v>2078</v>
      </c>
      <c r="BV87" s="249" t="s">
        <v>2078</v>
      </c>
      <c r="BX87" s="251"/>
      <c r="BY87" s="251"/>
      <c r="BZ87" s="249" t="s">
        <v>2078</v>
      </c>
      <c r="CA87" s="247"/>
      <c r="CD87" s="249" t="s">
        <v>2088</v>
      </c>
      <c r="CH87" s="249" t="s">
        <v>2078</v>
      </c>
      <c r="CL87" s="249" t="s">
        <v>2078</v>
      </c>
      <c r="CN87" s="252"/>
      <c r="CO87" s="252"/>
      <c r="CP87" s="249" t="s">
        <v>2078</v>
      </c>
      <c r="CQ87" s="247"/>
      <c r="CT87" s="249" t="s">
        <v>2088</v>
      </c>
      <c r="CX87" s="249" t="s">
        <v>2078</v>
      </c>
      <c r="DB87" s="249" t="s">
        <v>2078</v>
      </c>
    </row>
    <row r="88" spans="44:106" ht="15" customHeight="1" x14ac:dyDescent="0.2">
      <c r="AR88" s="252"/>
      <c r="AS88" s="252"/>
      <c r="AT88" s="249" t="s">
        <v>2078</v>
      </c>
      <c r="AU88" s="247"/>
      <c r="AX88" s="249" t="s">
        <v>2088</v>
      </c>
      <c r="BB88" s="249" t="s">
        <v>2078</v>
      </c>
      <c r="BF88" s="249" t="s">
        <v>2078</v>
      </c>
      <c r="BH88" s="252"/>
      <c r="BI88" s="252"/>
      <c r="BJ88" s="249" t="s">
        <v>2078</v>
      </c>
      <c r="BK88" s="247"/>
      <c r="BN88" s="249" t="s">
        <v>2088</v>
      </c>
      <c r="BR88" s="249" t="s">
        <v>2078</v>
      </c>
      <c r="BV88" s="249" t="s">
        <v>2078</v>
      </c>
      <c r="BX88" s="251"/>
      <c r="BY88" s="251"/>
      <c r="BZ88" s="249" t="s">
        <v>2078</v>
      </c>
      <c r="CA88" s="247"/>
      <c r="CD88" s="249" t="s">
        <v>2088</v>
      </c>
      <c r="CH88" s="249" t="s">
        <v>2078</v>
      </c>
      <c r="CL88" s="249" t="s">
        <v>2078</v>
      </c>
      <c r="CN88" s="252"/>
      <c r="CO88" s="252"/>
      <c r="CP88" s="249" t="s">
        <v>2078</v>
      </c>
      <c r="CQ88" s="247"/>
      <c r="CT88" s="249" t="s">
        <v>2088</v>
      </c>
      <c r="CX88" s="249" t="s">
        <v>2078</v>
      </c>
      <c r="DB88" s="249" t="s">
        <v>2078</v>
      </c>
    </row>
    <row r="89" spans="44:106" ht="15" customHeight="1" x14ac:dyDescent="0.2">
      <c r="AR89" s="252"/>
      <c r="AS89" s="252"/>
      <c r="AT89" s="249" t="s">
        <v>2078</v>
      </c>
      <c r="AU89" s="247"/>
      <c r="AX89" s="249" t="s">
        <v>2088</v>
      </c>
      <c r="BB89" s="249" t="s">
        <v>2078</v>
      </c>
      <c r="BF89" s="249" t="s">
        <v>2078</v>
      </c>
      <c r="BH89" s="252"/>
      <c r="BI89" s="252"/>
      <c r="BJ89" s="249" t="s">
        <v>2078</v>
      </c>
      <c r="BK89" s="247"/>
      <c r="BN89" s="249" t="s">
        <v>2088</v>
      </c>
      <c r="BR89" s="249" t="s">
        <v>2078</v>
      </c>
      <c r="BV89" s="249" t="s">
        <v>2078</v>
      </c>
      <c r="BX89" s="251"/>
      <c r="BY89" s="251"/>
      <c r="BZ89" s="249" t="s">
        <v>2078</v>
      </c>
      <c r="CA89" s="247"/>
      <c r="CD89" s="249" t="s">
        <v>2088</v>
      </c>
      <c r="CH89" s="249" t="s">
        <v>2078</v>
      </c>
      <c r="CL89" s="249" t="s">
        <v>2078</v>
      </c>
      <c r="CN89" s="252"/>
      <c r="CO89" s="252"/>
      <c r="CP89" s="249" t="s">
        <v>2078</v>
      </c>
      <c r="CQ89" s="247"/>
      <c r="CT89" s="249" t="s">
        <v>2088</v>
      </c>
      <c r="CX89" s="249" t="s">
        <v>2078</v>
      </c>
      <c r="DB89" s="249" t="s">
        <v>2078</v>
      </c>
    </row>
    <row r="90" spans="44:106" ht="15" customHeight="1" x14ac:dyDescent="0.2">
      <c r="AR90" s="252"/>
      <c r="AS90" s="252"/>
      <c r="AT90" s="249" t="s">
        <v>2078</v>
      </c>
      <c r="AU90" s="247"/>
      <c r="AX90" s="249" t="s">
        <v>2088</v>
      </c>
      <c r="BB90" s="249" t="s">
        <v>2078</v>
      </c>
      <c r="BF90" s="249" t="s">
        <v>2078</v>
      </c>
      <c r="BH90" s="252"/>
      <c r="BI90" s="252"/>
      <c r="BJ90" s="249" t="s">
        <v>2078</v>
      </c>
      <c r="BK90" s="247"/>
      <c r="BN90" s="249" t="s">
        <v>2088</v>
      </c>
      <c r="BR90" s="249" t="s">
        <v>2078</v>
      </c>
      <c r="BV90" s="249" t="s">
        <v>2078</v>
      </c>
      <c r="BX90" s="251"/>
      <c r="BY90" s="251"/>
      <c r="BZ90" s="249" t="s">
        <v>2078</v>
      </c>
      <c r="CA90" s="247"/>
      <c r="CD90" s="249" t="s">
        <v>2088</v>
      </c>
      <c r="CH90" s="249" t="s">
        <v>2078</v>
      </c>
      <c r="CL90" s="249" t="s">
        <v>2078</v>
      </c>
      <c r="CN90" s="252"/>
      <c r="CO90" s="252"/>
      <c r="CP90" s="249" t="s">
        <v>2078</v>
      </c>
      <c r="CQ90" s="247"/>
      <c r="CT90" s="249" t="s">
        <v>2088</v>
      </c>
      <c r="CX90" s="249" t="s">
        <v>2078</v>
      </c>
      <c r="DB90" s="249" t="s">
        <v>2078</v>
      </c>
    </row>
    <row r="91" spans="44:106" ht="15" customHeight="1" x14ac:dyDescent="0.2">
      <c r="AR91" s="252"/>
      <c r="AS91" s="252"/>
      <c r="AT91" s="249" t="s">
        <v>2078</v>
      </c>
      <c r="AU91" s="247"/>
      <c r="AX91" s="249" t="s">
        <v>2088</v>
      </c>
      <c r="BB91" s="249" t="s">
        <v>2078</v>
      </c>
      <c r="BF91" s="249" t="s">
        <v>2078</v>
      </c>
      <c r="BH91" s="252"/>
      <c r="BI91" s="252"/>
      <c r="BJ91" s="249" t="s">
        <v>2078</v>
      </c>
      <c r="BK91" s="247"/>
      <c r="BN91" s="249" t="s">
        <v>2088</v>
      </c>
      <c r="BR91" s="249" t="s">
        <v>2078</v>
      </c>
      <c r="BV91" s="249" t="s">
        <v>2078</v>
      </c>
      <c r="BX91" s="251"/>
      <c r="BY91" s="251"/>
      <c r="BZ91" s="249" t="s">
        <v>2078</v>
      </c>
      <c r="CA91" s="247"/>
      <c r="CD91" s="249" t="s">
        <v>2088</v>
      </c>
      <c r="CH91" s="249" t="s">
        <v>2078</v>
      </c>
      <c r="CL91" s="249" t="s">
        <v>2078</v>
      </c>
      <c r="CN91" s="252"/>
      <c r="CO91" s="252"/>
      <c r="CP91" s="249" t="s">
        <v>2078</v>
      </c>
      <c r="CQ91" s="247"/>
      <c r="CT91" s="249" t="s">
        <v>2088</v>
      </c>
      <c r="CX91" s="249" t="s">
        <v>2078</v>
      </c>
      <c r="DB91" s="249" t="s">
        <v>2078</v>
      </c>
    </row>
    <row r="92" spans="44:106" ht="15" customHeight="1" x14ac:dyDescent="0.2">
      <c r="AR92" s="252"/>
      <c r="AS92" s="252"/>
      <c r="AT92" s="249" t="s">
        <v>2078</v>
      </c>
      <c r="AU92" s="247"/>
      <c r="AX92" s="249" t="s">
        <v>2088</v>
      </c>
      <c r="BB92" s="249" t="s">
        <v>2078</v>
      </c>
      <c r="BF92" s="249" t="s">
        <v>2078</v>
      </c>
      <c r="BH92" s="252"/>
      <c r="BI92" s="252"/>
      <c r="BJ92" s="249" t="s">
        <v>2078</v>
      </c>
      <c r="BK92" s="247"/>
      <c r="BN92" s="249" t="s">
        <v>2088</v>
      </c>
      <c r="BR92" s="249" t="s">
        <v>2078</v>
      </c>
      <c r="BV92" s="249" t="s">
        <v>2078</v>
      </c>
      <c r="BX92" s="251"/>
      <c r="BY92" s="251"/>
      <c r="BZ92" s="249" t="s">
        <v>2078</v>
      </c>
      <c r="CA92" s="247"/>
      <c r="CD92" s="249" t="s">
        <v>2088</v>
      </c>
      <c r="CH92" s="249" t="s">
        <v>2078</v>
      </c>
      <c r="CL92" s="249" t="s">
        <v>2078</v>
      </c>
      <c r="CN92" s="252"/>
      <c r="CO92" s="252"/>
      <c r="CP92" s="249" t="s">
        <v>2078</v>
      </c>
      <c r="CQ92" s="247"/>
      <c r="CT92" s="249" t="s">
        <v>2088</v>
      </c>
      <c r="CX92" s="249" t="s">
        <v>2078</v>
      </c>
      <c r="DB92" s="249" t="s">
        <v>2078</v>
      </c>
    </row>
    <row r="93" spans="44:106" ht="15" customHeight="1" x14ac:dyDescent="0.2">
      <c r="AR93" s="252"/>
      <c r="AS93" s="252"/>
      <c r="AT93" s="249" t="s">
        <v>2078</v>
      </c>
      <c r="AU93" s="247"/>
      <c r="AX93" s="249" t="s">
        <v>2088</v>
      </c>
      <c r="BB93" s="249" t="s">
        <v>2078</v>
      </c>
      <c r="BF93" s="249" t="s">
        <v>2078</v>
      </c>
      <c r="BH93" s="252"/>
      <c r="BI93" s="252"/>
      <c r="BJ93" s="249" t="s">
        <v>2078</v>
      </c>
      <c r="BK93" s="247"/>
      <c r="BN93" s="249" t="s">
        <v>2088</v>
      </c>
      <c r="BR93" s="249" t="s">
        <v>2078</v>
      </c>
      <c r="BV93" s="249" t="s">
        <v>2078</v>
      </c>
      <c r="BX93" s="251"/>
      <c r="BY93" s="251"/>
      <c r="BZ93" s="249" t="s">
        <v>2078</v>
      </c>
      <c r="CA93" s="247"/>
      <c r="CD93" s="249" t="s">
        <v>2088</v>
      </c>
      <c r="CH93" s="249" t="s">
        <v>2078</v>
      </c>
      <c r="CL93" s="249" t="s">
        <v>2078</v>
      </c>
      <c r="CN93" s="252"/>
      <c r="CO93" s="252"/>
      <c r="CP93" s="249" t="s">
        <v>2078</v>
      </c>
      <c r="CQ93" s="247"/>
      <c r="CT93" s="249" t="s">
        <v>2088</v>
      </c>
      <c r="CX93" s="249" t="s">
        <v>2078</v>
      </c>
      <c r="DB93" s="249" t="s">
        <v>2078</v>
      </c>
    </row>
    <row r="94" spans="44:106" ht="15" customHeight="1" x14ac:dyDescent="0.2">
      <c r="AR94" s="252"/>
      <c r="AS94" s="252"/>
      <c r="AT94" s="249" t="s">
        <v>2078</v>
      </c>
      <c r="AU94" s="247"/>
      <c r="AX94" s="249" t="s">
        <v>2088</v>
      </c>
      <c r="BB94" s="249" t="s">
        <v>2078</v>
      </c>
      <c r="BF94" s="249" t="s">
        <v>2078</v>
      </c>
      <c r="BH94" s="252"/>
      <c r="BI94" s="252"/>
      <c r="BJ94" s="249" t="s">
        <v>2078</v>
      </c>
      <c r="BK94" s="247"/>
      <c r="BN94" s="249" t="s">
        <v>2088</v>
      </c>
      <c r="BR94" s="249" t="s">
        <v>2078</v>
      </c>
      <c r="BV94" s="249" t="s">
        <v>2078</v>
      </c>
      <c r="BX94" s="251"/>
      <c r="BY94" s="251"/>
      <c r="BZ94" s="249" t="s">
        <v>2078</v>
      </c>
      <c r="CA94" s="247"/>
      <c r="CD94" s="249" t="s">
        <v>2088</v>
      </c>
      <c r="CH94" s="249" t="s">
        <v>2078</v>
      </c>
      <c r="CL94" s="249" t="s">
        <v>2078</v>
      </c>
      <c r="CN94" s="252"/>
      <c r="CO94" s="252"/>
      <c r="CP94" s="249" t="s">
        <v>2078</v>
      </c>
      <c r="CQ94" s="247"/>
      <c r="CT94" s="249" t="s">
        <v>2088</v>
      </c>
      <c r="CX94" s="249" t="s">
        <v>2078</v>
      </c>
      <c r="DB94" s="249" t="s">
        <v>2078</v>
      </c>
    </row>
    <row r="95" spans="44:106" ht="15" customHeight="1" x14ac:dyDescent="0.2">
      <c r="AR95" s="252"/>
      <c r="AS95" s="252"/>
      <c r="AT95" s="249" t="s">
        <v>2078</v>
      </c>
      <c r="AU95" s="247"/>
      <c r="AX95" s="249" t="s">
        <v>2088</v>
      </c>
      <c r="BB95" s="249" t="s">
        <v>2078</v>
      </c>
      <c r="BF95" s="249" t="s">
        <v>2078</v>
      </c>
      <c r="BH95" s="252"/>
      <c r="BI95" s="252"/>
      <c r="BJ95" s="249" t="s">
        <v>2078</v>
      </c>
      <c r="BK95" s="247"/>
      <c r="BN95" s="249" t="s">
        <v>2088</v>
      </c>
      <c r="BR95" s="249" t="s">
        <v>2078</v>
      </c>
      <c r="BV95" s="249" t="s">
        <v>2078</v>
      </c>
      <c r="BX95" s="251"/>
      <c r="BY95" s="251"/>
      <c r="BZ95" s="249" t="s">
        <v>2078</v>
      </c>
      <c r="CA95" s="247"/>
      <c r="CD95" s="249" t="s">
        <v>2088</v>
      </c>
      <c r="CH95" s="249" t="s">
        <v>2078</v>
      </c>
      <c r="CL95" s="249" t="s">
        <v>2078</v>
      </c>
      <c r="CN95" s="252"/>
      <c r="CO95" s="252"/>
      <c r="CP95" s="249" t="s">
        <v>2078</v>
      </c>
      <c r="CQ95" s="247"/>
      <c r="CT95" s="249" t="s">
        <v>2088</v>
      </c>
      <c r="CX95" s="249" t="s">
        <v>2078</v>
      </c>
      <c r="DB95" s="249" t="s">
        <v>2078</v>
      </c>
    </row>
    <row r="96" spans="44:106" ht="15" customHeight="1" x14ac:dyDescent="0.2">
      <c r="AR96" s="252"/>
      <c r="AS96" s="252"/>
      <c r="AT96" s="249" t="s">
        <v>2078</v>
      </c>
      <c r="AU96" s="247"/>
      <c r="AX96" s="249" t="s">
        <v>2088</v>
      </c>
      <c r="BB96" s="249" t="s">
        <v>2078</v>
      </c>
      <c r="BF96" s="249" t="s">
        <v>2078</v>
      </c>
      <c r="BH96" s="252"/>
      <c r="BI96" s="252"/>
      <c r="BJ96" s="249" t="s">
        <v>2078</v>
      </c>
      <c r="BK96" s="247"/>
      <c r="BN96" s="249" t="s">
        <v>2088</v>
      </c>
      <c r="BR96" s="249" t="s">
        <v>2078</v>
      </c>
      <c r="BV96" s="249" t="s">
        <v>2078</v>
      </c>
      <c r="BX96" s="251"/>
      <c r="BY96" s="251"/>
      <c r="BZ96" s="249" t="s">
        <v>2078</v>
      </c>
      <c r="CA96" s="247"/>
      <c r="CD96" s="249" t="s">
        <v>2088</v>
      </c>
      <c r="CH96" s="249" t="s">
        <v>2078</v>
      </c>
      <c r="CL96" s="249" t="s">
        <v>2078</v>
      </c>
      <c r="CN96" s="252"/>
      <c r="CO96" s="252"/>
      <c r="CP96" s="249" t="s">
        <v>2078</v>
      </c>
      <c r="CQ96" s="247"/>
      <c r="CT96" s="249" t="s">
        <v>2088</v>
      </c>
      <c r="CX96" s="249" t="s">
        <v>2078</v>
      </c>
      <c r="DB96" s="249" t="s">
        <v>2078</v>
      </c>
    </row>
    <row r="97" spans="44:106" ht="15" customHeight="1" x14ac:dyDescent="0.2">
      <c r="AR97" s="252"/>
      <c r="AS97" s="252"/>
      <c r="AT97" s="249" t="s">
        <v>2078</v>
      </c>
      <c r="AU97" s="247"/>
      <c r="AX97" s="249" t="s">
        <v>2088</v>
      </c>
      <c r="BB97" s="249" t="s">
        <v>2078</v>
      </c>
      <c r="BF97" s="249" t="s">
        <v>2078</v>
      </c>
      <c r="BH97" s="252"/>
      <c r="BI97" s="252"/>
      <c r="BJ97" s="249" t="s">
        <v>2078</v>
      </c>
      <c r="BK97" s="247"/>
      <c r="BN97" s="249" t="s">
        <v>2088</v>
      </c>
      <c r="BR97" s="249" t="s">
        <v>2078</v>
      </c>
      <c r="BV97" s="249" t="s">
        <v>2078</v>
      </c>
      <c r="BX97" s="251"/>
      <c r="BY97" s="251"/>
      <c r="BZ97" s="249" t="s">
        <v>2078</v>
      </c>
      <c r="CA97" s="247"/>
      <c r="CD97" s="249" t="s">
        <v>2088</v>
      </c>
      <c r="CH97" s="249" t="s">
        <v>2078</v>
      </c>
      <c r="CL97" s="249" t="s">
        <v>2078</v>
      </c>
      <c r="CN97" s="252"/>
      <c r="CO97" s="252"/>
      <c r="CP97" s="249" t="s">
        <v>2078</v>
      </c>
      <c r="CQ97" s="247"/>
      <c r="CT97" s="249" t="s">
        <v>2088</v>
      </c>
      <c r="CX97" s="249" t="s">
        <v>2078</v>
      </c>
      <c r="DB97" s="249" t="s">
        <v>2078</v>
      </c>
    </row>
    <row r="98" spans="44:106" ht="15" customHeight="1" x14ac:dyDescent="0.2">
      <c r="AR98" s="252"/>
      <c r="AS98" s="252"/>
      <c r="AT98" s="249" t="s">
        <v>2078</v>
      </c>
      <c r="AU98" s="247"/>
      <c r="AX98" s="249" t="s">
        <v>2088</v>
      </c>
      <c r="BB98" s="249" t="s">
        <v>2078</v>
      </c>
      <c r="BF98" s="249" t="s">
        <v>2078</v>
      </c>
      <c r="BH98" s="252"/>
      <c r="BI98" s="252"/>
      <c r="BJ98" s="249" t="s">
        <v>2078</v>
      </c>
      <c r="BK98" s="247"/>
      <c r="BN98" s="249" t="s">
        <v>2088</v>
      </c>
      <c r="BR98" s="249" t="s">
        <v>2078</v>
      </c>
      <c r="BV98" s="249" t="s">
        <v>2078</v>
      </c>
      <c r="BX98" s="251"/>
      <c r="BY98" s="251"/>
      <c r="BZ98" s="249" t="s">
        <v>2078</v>
      </c>
      <c r="CA98" s="247"/>
      <c r="CD98" s="249" t="s">
        <v>2088</v>
      </c>
      <c r="CH98" s="249" t="s">
        <v>2078</v>
      </c>
      <c r="CL98" s="249" t="s">
        <v>2078</v>
      </c>
      <c r="CN98" s="252"/>
      <c r="CO98" s="252"/>
      <c r="CP98" s="249" t="s">
        <v>2078</v>
      </c>
      <c r="CQ98" s="247"/>
      <c r="CT98" s="249" t="s">
        <v>2088</v>
      </c>
      <c r="CX98" s="249" t="s">
        <v>2078</v>
      </c>
      <c r="DB98" s="249" t="s">
        <v>2078</v>
      </c>
    </row>
    <row r="99" spans="44:106" ht="15" customHeight="1" x14ac:dyDescent="0.2">
      <c r="AR99" s="252"/>
      <c r="AS99" s="252"/>
      <c r="AT99" s="249" t="s">
        <v>2078</v>
      </c>
      <c r="AU99" s="247"/>
      <c r="AX99" s="249" t="s">
        <v>2088</v>
      </c>
      <c r="BB99" s="249" t="s">
        <v>2078</v>
      </c>
      <c r="BF99" s="249" t="s">
        <v>2078</v>
      </c>
      <c r="BH99" s="252"/>
      <c r="BI99" s="252"/>
      <c r="BJ99" s="249" t="s">
        <v>2078</v>
      </c>
      <c r="BK99" s="247"/>
      <c r="BN99" s="249" t="s">
        <v>2088</v>
      </c>
      <c r="BR99" s="249" t="s">
        <v>2078</v>
      </c>
      <c r="BV99" s="249" t="s">
        <v>2078</v>
      </c>
      <c r="BX99" s="251"/>
      <c r="BY99" s="251"/>
      <c r="BZ99" s="249" t="s">
        <v>2078</v>
      </c>
      <c r="CA99" s="247"/>
      <c r="CD99" s="249" t="s">
        <v>2088</v>
      </c>
      <c r="CH99" s="249" t="s">
        <v>2078</v>
      </c>
      <c r="CL99" s="249" t="s">
        <v>2078</v>
      </c>
      <c r="CN99" s="252"/>
      <c r="CO99" s="252"/>
      <c r="CP99" s="249" t="s">
        <v>2078</v>
      </c>
      <c r="CQ99" s="247"/>
      <c r="CT99" s="249" t="s">
        <v>2088</v>
      </c>
      <c r="CX99" s="249" t="s">
        <v>2078</v>
      </c>
      <c r="DB99" s="249" t="s">
        <v>2078</v>
      </c>
    </row>
    <row r="100" spans="44:106" ht="15" customHeight="1" x14ac:dyDescent="0.2">
      <c r="AR100" s="252"/>
      <c r="AS100" s="252"/>
      <c r="AT100" s="249" t="s">
        <v>2078</v>
      </c>
      <c r="AU100" s="247"/>
      <c r="AX100" s="249" t="s">
        <v>2088</v>
      </c>
      <c r="BB100" s="249" t="s">
        <v>2078</v>
      </c>
      <c r="BF100" s="249" t="s">
        <v>2078</v>
      </c>
      <c r="BH100" s="252"/>
      <c r="BI100" s="252"/>
      <c r="BJ100" s="249" t="s">
        <v>2078</v>
      </c>
      <c r="BK100" s="247"/>
      <c r="BN100" s="249" t="s">
        <v>2088</v>
      </c>
      <c r="BR100" s="249" t="s">
        <v>2078</v>
      </c>
      <c r="BV100" s="249" t="s">
        <v>2078</v>
      </c>
      <c r="BX100" s="251"/>
      <c r="BY100" s="251"/>
      <c r="BZ100" s="249" t="s">
        <v>2078</v>
      </c>
      <c r="CA100" s="247"/>
      <c r="CD100" s="249" t="s">
        <v>2088</v>
      </c>
      <c r="CH100" s="249" t="s">
        <v>2078</v>
      </c>
      <c r="CL100" s="249" t="s">
        <v>2078</v>
      </c>
      <c r="CN100" s="252"/>
      <c r="CO100" s="252"/>
      <c r="CP100" s="249" t="s">
        <v>2078</v>
      </c>
      <c r="CQ100" s="247"/>
      <c r="CT100" s="249" t="s">
        <v>2088</v>
      </c>
      <c r="CX100" s="249" t="s">
        <v>2078</v>
      </c>
      <c r="DB100" s="249" t="s">
        <v>2078</v>
      </c>
    </row>
    <row r="101" spans="44:106" ht="15" customHeight="1" x14ac:dyDescent="0.2">
      <c r="AR101" s="252"/>
      <c r="AS101" s="252"/>
      <c r="AT101" s="249" t="s">
        <v>2078</v>
      </c>
      <c r="AU101" s="247"/>
      <c r="AX101" s="249" t="s">
        <v>2088</v>
      </c>
      <c r="BB101" s="249" t="s">
        <v>2078</v>
      </c>
      <c r="BF101" s="249" t="s">
        <v>2078</v>
      </c>
      <c r="BH101" s="252"/>
      <c r="BI101" s="252"/>
      <c r="BJ101" s="249" t="s">
        <v>2078</v>
      </c>
      <c r="BK101" s="247"/>
      <c r="BN101" s="249" t="s">
        <v>2088</v>
      </c>
      <c r="BR101" s="249" t="s">
        <v>2078</v>
      </c>
      <c r="BV101" s="249" t="s">
        <v>2078</v>
      </c>
      <c r="BX101" s="251"/>
      <c r="BY101" s="251"/>
      <c r="BZ101" s="249" t="s">
        <v>2078</v>
      </c>
      <c r="CA101" s="247"/>
      <c r="CD101" s="249" t="s">
        <v>2088</v>
      </c>
      <c r="CH101" s="249" t="s">
        <v>2078</v>
      </c>
      <c r="CL101" s="249" t="s">
        <v>2078</v>
      </c>
      <c r="CN101" s="252"/>
      <c r="CO101" s="252"/>
      <c r="CP101" s="249" t="s">
        <v>2078</v>
      </c>
      <c r="CQ101" s="247"/>
      <c r="CT101" s="249" t="s">
        <v>2088</v>
      </c>
      <c r="CX101" s="249" t="s">
        <v>2078</v>
      </c>
      <c r="DB101" s="249" t="s">
        <v>2078</v>
      </c>
    </row>
    <row r="102" spans="44:106" ht="15" customHeight="1" x14ac:dyDescent="0.2">
      <c r="AR102" s="252"/>
      <c r="AS102" s="252"/>
      <c r="AT102" s="249" t="s">
        <v>2078</v>
      </c>
      <c r="AU102" s="247"/>
      <c r="AX102" s="249" t="s">
        <v>2088</v>
      </c>
      <c r="BB102" s="249" t="s">
        <v>2078</v>
      </c>
      <c r="BF102" s="249" t="s">
        <v>2078</v>
      </c>
      <c r="BH102" s="252"/>
      <c r="BI102" s="252"/>
      <c r="BJ102" s="249" t="s">
        <v>2078</v>
      </c>
      <c r="BK102" s="247"/>
      <c r="BN102" s="249" t="s">
        <v>2088</v>
      </c>
      <c r="BR102" s="249" t="s">
        <v>2078</v>
      </c>
      <c r="BV102" s="249" t="s">
        <v>2078</v>
      </c>
      <c r="BX102" s="251"/>
      <c r="BY102" s="251"/>
      <c r="BZ102" s="249" t="s">
        <v>2078</v>
      </c>
      <c r="CA102" s="247"/>
      <c r="CD102" s="249" t="s">
        <v>2088</v>
      </c>
      <c r="CH102" s="249" t="s">
        <v>2078</v>
      </c>
      <c r="CL102" s="249" t="s">
        <v>2078</v>
      </c>
      <c r="CN102" s="252"/>
      <c r="CO102" s="252"/>
      <c r="CP102" s="249" t="s">
        <v>2078</v>
      </c>
      <c r="CQ102" s="247"/>
      <c r="CT102" s="249" t="s">
        <v>2088</v>
      </c>
      <c r="CX102" s="249" t="s">
        <v>2078</v>
      </c>
      <c r="DB102" s="249" t="s">
        <v>2078</v>
      </c>
    </row>
    <row r="103" spans="44:106" ht="15" customHeight="1" x14ac:dyDescent="0.2">
      <c r="AR103" s="252"/>
      <c r="AS103" s="252"/>
      <c r="AT103" s="249" t="s">
        <v>2078</v>
      </c>
      <c r="AU103" s="247"/>
      <c r="AX103" s="249" t="s">
        <v>2088</v>
      </c>
      <c r="BB103" s="249" t="s">
        <v>2078</v>
      </c>
      <c r="BF103" s="249" t="s">
        <v>2078</v>
      </c>
      <c r="BH103" s="252"/>
      <c r="BI103" s="252"/>
      <c r="BJ103" s="249" t="s">
        <v>2078</v>
      </c>
      <c r="BK103" s="247"/>
      <c r="BN103" s="249" t="s">
        <v>2088</v>
      </c>
      <c r="BR103" s="249" t="s">
        <v>2078</v>
      </c>
      <c r="BV103" s="249" t="s">
        <v>2078</v>
      </c>
      <c r="BX103" s="251"/>
      <c r="BY103" s="251"/>
      <c r="BZ103" s="249" t="s">
        <v>2078</v>
      </c>
      <c r="CA103" s="247"/>
      <c r="CD103" s="249" t="s">
        <v>2088</v>
      </c>
      <c r="CH103" s="249" t="s">
        <v>2078</v>
      </c>
      <c r="CL103" s="249" t="s">
        <v>2078</v>
      </c>
      <c r="CN103" s="252"/>
      <c r="CO103" s="252"/>
      <c r="CP103" s="249" t="s">
        <v>2078</v>
      </c>
      <c r="CQ103" s="247"/>
      <c r="CT103" s="249" t="s">
        <v>2088</v>
      </c>
      <c r="CX103" s="249" t="s">
        <v>2078</v>
      </c>
      <c r="DB103" s="249" t="s">
        <v>2078</v>
      </c>
    </row>
    <row r="104" spans="44:106" ht="15" customHeight="1" x14ac:dyDescent="0.2">
      <c r="AR104" s="252"/>
      <c r="AS104" s="252"/>
      <c r="AT104" s="249" t="s">
        <v>2078</v>
      </c>
      <c r="AU104" s="247"/>
      <c r="AX104" s="249" t="s">
        <v>2088</v>
      </c>
      <c r="BB104" s="249" t="s">
        <v>2078</v>
      </c>
      <c r="BF104" s="249" t="s">
        <v>2078</v>
      </c>
      <c r="BH104" s="252"/>
      <c r="BI104" s="252"/>
      <c r="BJ104" s="249" t="s">
        <v>2078</v>
      </c>
      <c r="BK104" s="247"/>
      <c r="BN104" s="249" t="s">
        <v>2088</v>
      </c>
      <c r="BR104" s="249" t="s">
        <v>2078</v>
      </c>
      <c r="BV104" s="249" t="s">
        <v>2078</v>
      </c>
      <c r="BX104" s="251"/>
      <c r="BY104" s="251"/>
      <c r="BZ104" s="249" t="s">
        <v>2078</v>
      </c>
      <c r="CA104" s="247"/>
      <c r="CD104" s="249" t="s">
        <v>2088</v>
      </c>
      <c r="CH104" s="249" t="s">
        <v>2078</v>
      </c>
      <c r="CL104" s="249" t="s">
        <v>2078</v>
      </c>
      <c r="CN104" s="252"/>
      <c r="CO104" s="252"/>
      <c r="CP104" s="249" t="s">
        <v>2078</v>
      </c>
      <c r="CQ104" s="247"/>
      <c r="CT104" s="249" t="s">
        <v>2088</v>
      </c>
      <c r="CX104" s="249" t="s">
        <v>2078</v>
      </c>
      <c r="DB104" s="249" t="s">
        <v>2078</v>
      </c>
    </row>
    <row r="105" spans="44:106" ht="15" customHeight="1" x14ac:dyDescent="0.2">
      <c r="AR105" s="252"/>
      <c r="AS105" s="252"/>
      <c r="AT105" s="249" t="s">
        <v>2078</v>
      </c>
      <c r="AU105" s="247"/>
      <c r="AX105" s="249" t="s">
        <v>2088</v>
      </c>
      <c r="BB105" s="249" t="s">
        <v>2078</v>
      </c>
      <c r="BF105" s="249" t="s">
        <v>2078</v>
      </c>
      <c r="BH105" s="252"/>
      <c r="BI105" s="252"/>
      <c r="BJ105" s="249" t="s">
        <v>2078</v>
      </c>
      <c r="BK105" s="247"/>
      <c r="BN105" s="249" t="s">
        <v>2088</v>
      </c>
      <c r="BR105" s="249" t="s">
        <v>2078</v>
      </c>
      <c r="BV105" s="249" t="s">
        <v>2078</v>
      </c>
      <c r="BX105" s="251"/>
      <c r="BY105" s="251"/>
      <c r="BZ105" s="249" t="s">
        <v>2078</v>
      </c>
      <c r="CA105" s="247"/>
      <c r="CD105" s="249" t="s">
        <v>2088</v>
      </c>
      <c r="CH105" s="249" t="s">
        <v>2078</v>
      </c>
      <c r="CL105" s="249" t="s">
        <v>2078</v>
      </c>
      <c r="CN105" s="252"/>
      <c r="CO105" s="252"/>
      <c r="CP105" s="249" t="s">
        <v>2078</v>
      </c>
      <c r="CQ105" s="247"/>
      <c r="CT105" s="249" t="s">
        <v>2088</v>
      </c>
      <c r="CX105" s="249" t="s">
        <v>2078</v>
      </c>
      <c r="DB105" s="249" t="s">
        <v>2078</v>
      </c>
    </row>
    <row r="106" spans="44:106" ht="15" customHeight="1" x14ac:dyDescent="0.2">
      <c r="AR106" s="252"/>
      <c r="AS106" s="252"/>
      <c r="AT106" s="249" t="s">
        <v>2078</v>
      </c>
      <c r="AU106" s="247"/>
      <c r="AX106" s="249" t="s">
        <v>2088</v>
      </c>
      <c r="BB106" s="249" t="s">
        <v>2078</v>
      </c>
      <c r="BF106" s="249" t="s">
        <v>2078</v>
      </c>
      <c r="BH106" s="252"/>
      <c r="BI106" s="252"/>
      <c r="BJ106" s="249" t="s">
        <v>2078</v>
      </c>
      <c r="BK106" s="247"/>
      <c r="BN106" s="249" t="s">
        <v>2088</v>
      </c>
      <c r="BR106" s="249" t="s">
        <v>2078</v>
      </c>
      <c r="BV106" s="249" t="s">
        <v>2078</v>
      </c>
      <c r="BX106" s="251"/>
      <c r="BY106" s="251"/>
      <c r="BZ106" s="249" t="s">
        <v>2078</v>
      </c>
      <c r="CA106" s="247"/>
      <c r="CD106" s="249" t="s">
        <v>2088</v>
      </c>
      <c r="CH106" s="249" t="s">
        <v>2078</v>
      </c>
      <c r="CL106" s="249" t="s">
        <v>2078</v>
      </c>
      <c r="CN106" s="252"/>
      <c r="CO106" s="252"/>
      <c r="CP106" s="249" t="s">
        <v>2078</v>
      </c>
      <c r="CQ106" s="247"/>
      <c r="CT106" s="249" t="s">
        <v>2088</v>
      </c>
      <c r="CX106" s="249" t="s">
        <v>2078</v>
      </c>
      <c r="DB106" s="249" t="s">
        <v>2078</v>
      </c>
    </row>
    <row r="107" spans="44:106" ht="15" customHeight="1" x14ac:dyDescent="0.2">
      <c r="AR107" s="252"/>
      <c r="AS107" s="252"/>
      <c r="AT107" s="249" t="s">
        <v>2078</v>
      </c>
      <c r="AU107" s="247"/>
      <c r="AX107" s="249" t="s">
        <v>2088</v>
      </c>
      <c r="BB107" s="249" t="s">
        <v>2078</v>
      </c>
      <c r="BF107" s="249" t="s">
        <v>2078</v>
      </c>
      <c r="BH107" s="252"/>
      <c r="BI107" s="252"/>
      <c r="BJ107" s="249" t="s">
        <v>2078</v>
      </c>
      <c r="BK107" s="247"/>
      <c r="BN107" s="249" t="s">
        <v>2088</v>
      </c>
      <c r="BR107" s="249" t="s">
        <v>2078</v>
      </c>
      <c r="BV107" s="249" t="s">
        <v>2078</v>
      </c>
      <c r="BX107" s="251"/>
      <c r="BY107" s="251"/>
      <c r="BZ107" s="249" t="s">
        <v>2078</v>
      </c>
      <c r="CA107" s="247"/>
      <c r="CD107" s="249" t="s">
        <v>2088</v>
      </c>
      <c r="CH107" s="249" t="s">
        <v>2078</v>
      </c>
      <c r="CL107" s="249" t="s">
        <v>2078</v>
      </c>
      <c r="CN107" s="252"/>
      <c r="CO107" s="252"/>
      <c r="CP107" s="249" t="s">
        <v>2078</v>
      </c>
      <c r="CQ107" s="247"/>
      <c r="CT107" s="249" t="s">
        <v>2088</v>
      </c>
      <c r="CX107" s="249" t="s">
        <v>2078</v>
      </c>
      <c r="DB107" s="249" t="s">
        <v>2078</v>
      </c>
    </row>
    <row r="108" spans="44:106" ht="15" customHeight="1" x14ac:dyDescent="0.2">
      <c r="AR108" s="252"/>
      <c r="AS108" s="252"/>
      <c r="AT108" s="249" t="s">
        <v>2078</v>
      </c>
      <c r="AU108" s="247"/>
      <c r="AX108" s="249" t="s">
        <v>2088</v>
      </c>
      <c r="BB108" s="249" t="s">
        <v>2078</v>
      </c>
      <c r="BF108" s="249" t="s">
        <v>2078</v>
      </c>
      <c r="BH108" s="252"/>
      <c r="BI108" s="252"/>
      <c r="BJ108" s="249" t="s">
        <v>2078</v>
      </c>
      <c r="BK108" s="247"/>
      <c r="BN108" s="249" t="s">
        <v>2088</v>
      </c>
      <c r="BR108" s="249" t="s">
        <v>2078</v>
      </c>
      <c r="BV108" s="249" t="s">
        <v>2078</v>
      </c>
      <c r="BX108" s="251"/>
      <c r="BY108" s="251"/>
      <c r="BZ108" s="249" t="s">
        <v>2078</v>
      </c>
      <c r="CA108" s="247"/>
      <c r="CD108" s="249" t="s">
        <v>2088</v>
      </c>
      <c r="CH108" s="249" t="s">
        <v>2078</v>
      </c>
      <c r="CL108" s="249" t="s">
        <v>2078</v>
      </c>
      <c r="CN108" s="252"/>
      <c r="CO108" s="252"/>
      <c r="CP108" s="249" t="s">
        <v>2078</v>
      </c>
      <c r="CQ108" s="247"/>
      <c r="CT108" s="249" t="s">
        <v>2088</v>
      </c>
      <c r="CX108" s="249" t="s">
        <v>2078</v>
      </c>
      <c r="DB108" s="249" t="s">
        <v>2078</v>
      </c>
    </row>
    <row r="109" spans="44:106" ht="15" customHeight="1" x14ac:dyDescent="0.2">
      <c r="AR109" s="252"/>
      <c r="AS109" s="252"/>
      <c r="AT109" s="249" t="s">
        <v>2078</v>
      </c>
      <c r="AU109" s="247"/>
      <c r="AX109" s="249" t="s">
        <v>2088</v>
      </c>
      <c r="BB109" s="249" t="s">
        <v>2078</v>
      </c>
      <c r="BF109" s="249" t="s">
        <v>2078</v>
      </c>
      <c r="BH109" s="252"/>
      <c r="BI109" s="252"/>
      <c r="BJ109" s="249" t="s">
        <v>2078</v>
      </c>
      <c r="BK109" s="247"/>
      <c r="BN109" s="249" t="s">
        <v>2088</v>
      </c>
      <c r="BR109" s="249" t="s">
        <v>2078</v>
      </c>
      <c r="BV109" s="249" t="s">
        <v>2078</v>
      </c>
      <c r="BX109" s="251"/>
      <c r="BY109" s="251"/>
      <c r="BZ109" s="249" t="s">
        <v>2078</v>
      </c>
      <c r="CA109" s="247"/>
      <c r="CD109" s="249" t="s">
        <v>2088</v>
      </c>
      <c r="CH109" s="249" t="s">
        <v>2078</v>
      </c>
      <c r="CL109" s="249" t="s">
        <v>2078</v>
      </c>
      <c r="CN109" s="252"/>
      <c r="CO109" s="252"/>
      <c r="CP109" s="249" t="s">
        <v>2078</v>
      </c>
      <c r="CQ109" s="247"/>
      <c r="CT109" s="249" t="s">
        <v>2088</v>
      </c>
      <c r="CX109" s="249" t="s">
        <v>2078</v>
      </c>
      <c r="DB109" s="249" t="s">
        <v>2078</v>
      </c>
    </row>
    <row r="110" spans="44:106" ht="15" customHeight="1" x14ac:dyDescent="0.2">
      <c r="AR110" s="252"/>
      <c r="AS110" s="252"/>
      <c r="AT110" s="249" t="s">
        <v>2078</v>
      </c>
      <c r="AU110" s="247"/>
      <c r="AX110" s="249" t="s">
        <v>2088</v>
      </c>
      <c r="BB110" s="249" t="s">
        <v>2078</v>
      </c>
      <c r="BF110" s="249" t="s">
        <v>2078</v>
      </c>
      <c r="BH110" s="252"/>
      <c r="BI110" s="252"/>
      <c r="BJ110" s="249" t="s">
        <v>2078</v>
      </c>
      <c r="BK110" s="247"/>
      <c r="BN110" s="249" t="s">
        <v>2088</v>
      </c>
      <c r="BR110" s="249" t="s">
        <v>2078</v>
      </c>
      <c r="BV110" s="249" t="s">
        <v>2078</v>
      </c>
      <c r="BX110" s="251"/>
      <c r="BY110" s="251"/>
      <c r="BZ110" s="249" t="s">
        <v>2078</v>
      </c>
      <c r="CA110" s="247"/>
      <c r="CD110" s="249" t="s">
        <v>2088</v>
      </c>
      <c r="CH110" s="249" t="s">
        <v>2078</v>
      </c>
      <c r="CL110" s="249" t="s">
        <v>2078</v>
      </c>
      <c r="CN110" s="252"/>
      <c r="CO110" s="252"/>
      <c r="CP110" s="249" t="s">
        <v>2078</v>
      </c>
      <c r="CQ110" s="247"/>
      <c r="CT110" s="249" t="s">
        <v>2088</v>
      </c>
      <c r="CX110" s="249" t="s">
        <v>2078</v>
      </c>
      <c r="DB110" s="249" t="s">
        <v>2078</v>
      </c>
    </row>
    <row r="111" spans="44:106" ht="15" customHeight="1" x14ac:dyDescent="0.2">
      <c r="AR111" s="252"/>
      <c r="AS111" s="252"/>
      <c r="AT111" s="249" t="s">
        <v>2078</v>
      </c>
      <c r="AU111" s="247"/>
      <c r="AX111" s="249" t="s">
        <v>2088</v>
      </c>
      <c r="BB111" s="249" t="s">
        <v>2078</v>
      </c>
      <c r="BF111" s="249" t="s">
        <v>2078</v>
      </c>
      <c r="BH111" s="252"/>
      <c r="BI111" s="252"/>
      <c r="BJ111" s="249" t="s">
        <v>2078</v>
      </c>
      <c r="BK111" s="247"/>
      <c r="BN111" s="249" t="s">
        <v>2088</v>
      </c>
      <c r="BR111" s="249" t="s">
        <v>2078</v>
      </c>
      <c r="BV111" s="249" t="s">
        <v>2078</v>
      </c>
      <c r="BX111" s="251"/>
      <c r="BY111" s="251"/>
      <c r="BZ111" s="249" t="s">
        <v>2078</v>
      </c>
      <c r="CA111" s="247"/>
      <c r="CD111" s="249" t="s">
        <v>2088</v>
      </c>
      <c r="CH111" s="249" t="s">
        <v>2078</v>
      </c>
      <c r="CL111" s="249" t="s">
        <v>2078</v>
      </c>
      <c r="CN111" s="252"/>
      <c r="CO111" s="252"/>
      <c r="CP111" s="249" t="s">
        <v>2078</v>
      </c>
      <c r="CQ111" s="247"/>
      <c r="CT111" s="249" t="s">
        <v>2088</v>
      </c>
      <c r="CX111" s="249" t="s">
        <v>2078</v>
      </c>
      <c r="DB111" s="249" t="s">
        <v>2078</v>
      </c>
    </row>
    <row r="112" spans="44:106" ht="15" customHeight="1" x14ac:dyDescent="0.2">
      <c r="AR112" s="252"/>
      <c r="AS112" s="252"/>
      <c r="AT112" s="249" t="s">
        <v>2078</v>
      </c>
      <c r="AU112" s="247"/>
      <c r="AX112" s="249" t="s">
        <v>2088</v>
      </c>
      <c r="BB112" s="249" t="s">
        <v>2078</v>
      </c>
      <c r="BF112" s="249" t="s">
        <v>2078</v>
      </c>
      <c r="BH112" s="252"/>
      <c r="BI112" s="252"/>
      <c r="BJ112" s="249" t="s">
        <v>2078</v>
      </c>
      <c r="BK112" s="247"/>
      <c r="BN112" s="249" t="s">
        <v>2088</v>
      </c>
      <c r="BR112" s="249" t="s">
        <v>2078</v>
      </c>
      <c r="BV112" s="249" t="s">
        <v>2078</v>
      </c>
      <c r="BX112" s="251"/>
      <c r="BY112" s="251"/>
      <c r="BZ112" s="249" t="s">
        <v>2078</v>
      </c>
      <c r="CA112" s="247"/>
      <c r="CD112" s="249" t="s">
        <v>2088</v>
      </c>
      <c r="CH112" s="249" t="s">
        <v>2078</v>
      </c>
      <c r="CL112" s="249" t="s">
        <v>2078</v>
      </c>
      <c r="CN112" s="252"/>
      <c r="CO112" s="252"/>
      <c r="CP112" s="249" t="s">
        <v>2078</v>
      </c>
      <c r="CQ112" s="247"/>
      <c r="CT112" s="249" t="s">
        <v>2088</v>
      </c>
      <c r="CX112" s="249" t="s">
        <v>2078</v>
      </c>
      <c r="DB112" s="249" t="s">
        <v>2078</v>
      </c>
    </row>
    <row r="113" spans="44:106" ht="15" customHeight="1" x14ac:dyDescent="0.2">
      <c r="AR113" s="252"/>
      <c r="AS113" s="252"/>
      <c r="AT113" s="249" t="s">
        <v>2078</v>
      </c>
      <c r="AU113" s="247"/>
      <c r="AX113" s="249" t="s">
        <v>2088</v>
      </c>
      <c r="BB113" s="249" t="s">
        <v>2078</v>
      </c>
      <c r="BF113" s="249" t="s">
        <v>2078</v>
      </c>
      <c r="BH113" s="252"/>
      <c r="BI113" s="252"/>
      <c r="BJ113" s="249" t="s">
        <v>2078</v>
      </c>
      <c r="BK113" s="247"/>
      <c r="BN113" s="249" t="s">
        <v>2088</v>
      </c>
      <c r="BR113" s="249" t="s">
        <v>2078</v>
      </c>
      <c r="BV113" s="249" t="s">
        <v>2078</v>
      </c>
      <c r="BX113" s="251"/>
      <c r="BY113" s="251"/>
      <c r="BZ113" s="249" t="s">
        <v>2078</v>
      </c>
      <c r="CA113" s="247"/>
      <c r="CD113" s="249" t="s">
        <v>2088</v>
      </c>
      <c r="CH113" s="249" t="s">
        <v>2078</v>
      </c>
      <c r="CL113" s="249" t="s">
        <v>2078</v>
      </c>
      <c r="CN113" s="252"/>
      <c r="CO113" s="252"/>
      <c r="CP113" s="249" t="s">
        <v>2078</v>
      </c>
      <c r="CQ113" s="247"/>
      <c r="CT113" s="249" t="s">
        <v>2088</v>
      </c>
      <c r="CX113" s="249" t="s">
        <v>2078</v>
      </c>
      <c r="DB113" s="249" t="s">
        <v>2078</v>
      </c>
    </row>
    <row r="114" spans="44:106" ht="15" customHeight="1" x14ac:dyDescent="0.2">
      <c r="AR114" s="252"/>
      <c r="AS114" s="252"/>
      <c r="AT114" s="249" t="s">
        <v>2078</v>
      </c>
      <c r="AU114" s="247"/>
      <c r="AX114" s="249" t="s">
        <v>2088</v>
      </c>
      <c r="BB114" s="249" t="s">
        <v>2078</v>
      </c>
      <c r="BF114" s="249" t="s">
        <v>2078</v>
      </c>
      <c r="BH114" s="252"/>
      <c r="BI114" s="252"/>
      <c r="BJ114" s="249" t="s">
        <v>2078</v>
      </c>
      <c r="BK114" s="247"/>
      <c r="BN114" s="249" t="s">
        <v>2088</v>
      </c>
      <c r="BR114" s="249" t="s">
        <v>2078</v>
      </c>
      <c r="BV114" s="249" t="s">
        <v>2078</v>
      </c>
      <c r="BX114" s="251"/>
      <c r="BY114" s="251"/>
      <c r="BZ114" s="249" t="s">
        <v>2078</v>
      </c>
      <c r="CA114" s="247"/>
      <c r="CD114" s="249" t="s">
        <v>2088</v>
      </c>
      <c r="CH114" s="249" t="s">
        <v>2078</v>
      </c>
      <c r="CL114" s="249" t="s">
        <v>2078</v>
      </c>
      <c r="CN114" s="252"/>
      <c r="CO114" s="252"/>
      <c r="CP114" s="249" t="s">
        <v>2078</v>
      </c>
      <c r="CQ114" s="247"/>
      <c r="CT114" s="249" t="s">
        <v>2088</v>
      </c>
      <c r="CX114" s="249" t="s">
        <v>2078</v>
      </c>
      <c r="DB114" s="249" t="s">
        <v>2078</v>
      </c>
    </row>
    <row r="115" spans="44:106" ht="15" customHeight="1" x14ac:dyDescent="0.2">
      <c r="AR115" s="252"/>
      <c r="AS115" s="252"/>
      <c r="AT115" s="249" t="s">
        <v>2078</v>
      </c>
      <c r="AU115" s="247"/>
      <c r="AX115" s="249" t="s">
        <v>2088</v>
      </c>
      <c r="BB115" s="249" t="s">
        <v>2078</v>
      </c>
      <c r="BF115" s="249" t="s">
        <v>2078</v>
      </c>
      <c r="BH115" s="252"/>
      <c r="BI115" s="252"/>
      <c r="BJ115" s="249" t="s">
        <v>2078</v>
      </c>
      <c r="BK115" s="247"/>
      <c r="BN115" s="249" t="s">
        <v>2088</v>
      </c>
      <c r="BR115" s="249" t="s">
        <v>2078</v>
      </c>
      <c r="BV115" s="249" t="s">
        <v>2078</v>
      </c>
      <c r="BX115" s="251"/>
      <c r="BY115" s="251"/>
      <c r="BZ115" s="249" t="s">
        <v>2078</v>
      </c>
      <c r="CA115" s="247"/>
      <c r="CD115" s="249" t="s">
        <v>2088</v>
      </c>
      <c r="CH115" s="249" t="s">
        <v>2078</v>
      </c>
      <c r="CL115" s="249" t="s">
        <v>2078</v>
      </c>
      <c r="CN115" s="252"/>
      <c r="CO115" s="252"/>
      <c r="CP115" s="249" t="s">
        <v>2078</v>
      </c>
      <c r="CQ115" s="247"/>
      <c r="CT115" s="249" t="s">
        <v>2088</v>
      </c>
      <c r="CX115" s="249" t="s">
        <v>2078</v>
      </c>
      <c r="DB115" s="249" t="s">
        <v>2078</v>
      </c>
    </row>
    <row r="116" spans="44:106" ht="15" customHeight="1" x14ac:dyDescent="0.2">
      <c r="AR116" s="252"/>
      <c r="AS116" s="252"/>
      <c r="AT116" s="249" t="s">
        <v>2078</v>
      </c>
      <c r="AU116" s="247"/>
      <c r="AX116" s="249" t="s">
        <v>2088</v>
      </c>
      <c r="BB116" s="249" t="s">
        <v>2078</v>
      </c>
      <c r="BF116" s="249" t="s">
        <v>2078</v>
      </c>
      <c r="BH116" s="252"/>
      <c r="BI116" s="252"/>
      <c r="BJ116" s="249" t="s">
        <v>2078</v>
      </c>
      <c r="BK116" s="247"/>
      <c r="BN116" s="249" t="s">
        <v>2088</v>
      </c>
      <c r="BR116" s="249" t="s">
        <v>2078</v>
      </c>
      <c r="BV116" s="249" t="s">
        <v>2078</v>
      </c>
      <c r="BX116" s="251"/>
      <c r="BY116" s="251"/>
      <c r="BZ116" s="249" t="s">
        <v>2078</v>
      </c>
      <c r="CA116" s="247"/>
      <c r="CD116" s="249" t="s">
        <v>2088</v>
      </c>
      <c r="CH116" s="249" t="s">
        <v>2078</v>
      </c>
      <c r="CL116" s="249" t="s">
        <v>2078</v>
      </c>
      <c r="CN116" s="252"/>
      <c r="CO116" s="252"/>
      <c r="CP116" s="249" t="s">
        <v>2078</v>
      </c>
      <c r="CQ116" s="247"/>
      <c r="CT116" s="249" t="s">
        <v>2088</v>
      </c>
      <c r="CX116" s="249" t="s">
        <v>2078</v>
      </c>
      <c r="DB116" s="249" t="s">
        <v>2078</v>
      </c>
    </row>
    <row r="117" spans="44:106" ht="15" customHeight="1" x14ac:dyDescent="0.2">
      <c r="AR117" s="252"/>
      <c r="AS117" s="252"/>
      <c r="AT117" s="249" t="s">
        <v>2078</v>
      </c>
      <c r="AU117" s="247"/>
      <c r="AX117" s="249" t="s">
        <v>2088</v>
      </c>
      <c r="BB117" s="249" t="s">
        <v>2078</v>
      </c>
      <c r="BF117" s="249" t="s">
        <v>2078</v>
      </c>
      <c r="BH117" s="252"/>
      <c r="BI117" s="252"/>
      <c r="BJ117" s="249" t="s">
        <v>2078</v>
      </c>
      <c r="BK117" s="247"/>
      <c r="BN117" s="249" t="s">
        <v>2088</v>
      </c>
      <c r="BR117" s="249" t="s">
        <v>2078</v>
      </c>
      <c r="BV117" s="249" t="s">
        <v>2078</v>
      </c>
      <c r="BX117" s="251"/>
      <c r="BY117" s="251"/>
      <c r="BZ117" s="249" t="s">
        <v>2078</v>
      </c>
      <c r="CA117" s="247"/>
      <c r="CD117" s="249" t="s">
        <v>2088</v>
      </c>
      <c r="CH117" s="249" t="s">
        <v>2078</v>
      </c>
      <c r="CL117" s="249" t="s">
        <v>2078</v>
      </c>
      <c r="CN117" s="252"/>
      <c r="CO117" s="252"/>
      <c r="CP117" s="249" t="s">
        <v>2078</v>
      </c>
      <c r="CQ117" s="247"/>
      <c r="CT117" s="249" t="s">
        <v>2088</v>
      </c>
      <c r="CX117" s="249" t="s">
        <v>2078</v>
      </c>
      <c r="DB117" s="249" t="s">
        <v>2078</v>
      </c>
    </row>
    <row r="118" spans="44:106" ht="15" customHeight="1" x14ac:dyDescent="0.2">
      <c r="AR118" s="252"/>
      <c r="AS118" s="252"/>
      <c r="AT118" s="249" t="s">
        <v>2078</v>
      </c>
      <c r="AU118" s="247"/>
      <c r="AX118" s="249" t="s">
        <v>2088</v>
      </c>
      <c r="BB118" s="249" t="s">
        <v>2078</v>
      </c>
      <c r="BF118" s="249" t="s">
        <v>2078</v>
      </c>
      <c r="BH118" s="252"/>
      <c r="BI118" s="252"/>
      <c r="BJ118" s="249" t="s">
        <v>2078</v>
      </c>
      <c r="BK118" s="247"/>
      <c r="BN118" s="249" t="s">
        <v>2088</v>
      </c>
      <c r="BR118" s="249" t="s">
        <v>2078</v>
      </c>
      <c r="BV118" s="249" t="s">
        <v>2078</v>
      </c>
      <c r="BX118" s="251"/>
      <c r="BY118" s="251"/>
      <c r="BZ118" s="249" t="s">
        <v>2078</v>
      </c>
      <c r="CA118" s="247"/>
      <c r="CD118" s="249" t="s">
        <v>2088</v>
      </c>
      <c r="CH118" s="249" t="s">
        <v>2078</v>
      </c>
      <c r="CL118" s="249" t="s">
        <v>2078</v>
      </c>
      <c r="CN118" s="252"/>
      <c r="CO118" s="252"/>
      <c r="CP118" s="249" t="s">
        <v>2078</v>
      </c>
      <c r="CQ118" s="247"/>
      <c r="CT118" s="249" t="s">
        <v>2088</v>
      </c>
      <c r="CX118" s="249" t="s">
        <v>2078</v>
      </c>
      <c r="DB118" s="249" t="s">
        <v>2078</v>
      </c>
    </row>
    <row r="119" spans="44:106" ht="15" customHeight="1" x14ac:dyDescent="0.2">
      <c r="AR119" s="252"/>
      <c r="AS119" s="252"/>
      <c r="AT119" s="249" t="s">
        <v>2078</v>
      </c>
      <c r="AU119" s="247"/>
      <c r="AX119" s="249" t="s">
        <v>2088</v>
      </c>
      <c r="BB119" s="249" t="s">
        <v>2078</v>
      </c>
      <c r="BF119" s="249" t="s">
        <v>2078</v>
      </c>
      <c r="BH119" s="252"/>
      <c r="BI119" s="252"/>
      <c r="BJ119" s="249" t="s">
        <v>2078</v>
      </c>
      <c r="BK119" s="247"/>
      <c r="BN119" s="249" t="s">
        <v>2088</v>
      </c>
      <c r="BR119" s="249" t="s">
        <v>2078</v>
      </c>
      <c r="BV119" s="249" t="s">
        <v>2078</v>
      </c>
      <c r="BX119" s="251"/>
      <c r="BY119" s="251"/>
      <c r="BZ119" s="249" t="s">
        <v>2078</v>
      </c>
      <c r="CA119" s="247"/>
      <c r="CD119" s="249" t="s">
        <v>2088</v>
      </c>
      <c r="CH119" s="249" t="s">
        <v>2078</v>
      </c>
      <c r="CL119" s="249" t="s">
        <v>2078</v>
      </c>
      <c r="CN119" s="252"/>
      <c r="CO119" s="252"/>
      <c r="CP119" s="249" t="s">
        <v>2078</v>
      </c>
      <c r="CQ119" s="247"/>
      <c r="CT119" s="249" t="s">
        <v>2088</v>
      </c>
      <c r="CX119" s="249" t="s">
        <v>2078</v>
      </c>
      <c r="DB119" s="249" t="s">
        <v>2078</v>
      </c>
    </row>
    <row r="120" spans="44:106" ht="15" customHeight="1" x14ac:dyDescent="0.2">
      <c r="AR120" s="252"/>
      <c r="AS120" s="252"/>
      <c r="AT120" s="249" t="s">
        <v>2078</v>
      </c>
      <c r="AU120" s="247"/>
      <c r="AX120" s="249" t="s">
        <v>2088</v>
      </c>
      <c r="BB120" s="249" t="s">
        <v>2078</v>
      </c>
      <c r="BF120" s="249" t="s">
        <v>2078</v>
      </c>
      <c r="BH120" s="252"/>
      <c r="BI120" s="252"/>
      <c r="BJ120" s="249" t="s">
        <v>2078</v>
      </c>
      <c r="BK120" s="247"/>
      <c r="BN120" s="249" t="s">
        <v>2088</v>
      </c>
      <c r="BR120" s="249" t="s">
        <v>2078</v>
      </c>
      <c r="BV120" s="249" t="s">
        <v>2078</v>
      </c>
      <c r="BX120" s="251"/>
      <c r="BY120" s="251"/>
      <c r="BZ120" s="249" t="s">
        <v>2078</v>
      </c>
      <c r="CA120" s="247"/>
      <c r="CD120" s="249" t="s">
        <v>2088</v>
      </c>
      <c r="CH120" s="249" t="s">
        <v>2078</v>
      </c>
      <c r="CL120" s="249" t="s">
        <v>2078</v>
      </c>
      <c r="CN120" s="252"/>
      <c r="CO120" s="252"/>
      <c r="CP120" s="249" t="s">
        <v>2078</v>
      </c>
      <c r="CQ120" s="247"/>
      <c r="CT120" s="249" t="s">
        <v>2088</v>
      </c>
      <c r="CX120" s="249" t="s">
        <v>2078</v>
      </c>
      <c r="DB120" s="249" t="s">
        <v>2078</v>
      </c>
    </row>
    <row r="121" spans="44:106" ht="15" customHeight="1" x14ac:dyDescent="0.2">
      <c r="AR121" s="252"/>
      <c r="AS121" s="252"/>
      <c r="AT121" s="249" t="s">
        <v>2078</v>
      </c>
      <c r="AU121" s="247"/>
      <c r="AX121" s="249" t="s">
        <v>2088</v>
      </c>
      <c r="BB121" s="249" t="s">
        <v>2078</v>
      </c>
      <c r="BF121" s="249" t="s">
        <v>2078</v>
      </c>
      <c r="BH121" s="252"/>
      <c r="BI121" s="252"/>
      <c r="BJ121" s="249" t="s">
        <v>2078</v>
      </c>
      <c r="BK121" s="247"/>
      <c r="BN121" s="249" t="s">
        <v>2088</v>
      </c>
      <c r="BR121" s="249" t="s">
        <v>2078</v>
      </c>
      <c r="BV121" s="249" t="s">
        <v>2078</v>
      </c>
      <c r="BX121" s="252"/>
      <c r="BY121" s="252"/>
      <c r="BZ121" s="249" t="s">
        <v>2078</v>
      </c>
      <c r="CA121" s="247"/>
      <c r="CD121" s="249" t="s">
        <v>2088</v>
      </c>
      <c r="CH121" s="249" t="s">
        <v>2078</v>
      </c>
      <c r="CL121" s="249" t="s">
        <v>2078</v>
      </c>
      <c r="CN121" s="252"/>
      <c r="CO121" s="252"/>
      <c r="CP121" s="249" t="s">
        <v>2078</v>
      </c>
      <c r="CQ121" s="247"/>
      <c r="CT121" s="249" t="s">
        <v>2088</v>
      </c>
      <c r="CX121" s="249" t="s">
        <v>2078</v>
      </c>
      <c r="DB121" s="249" t="s">
        <v>2078</v>
      </c>
    </row>
    <row r="122" spans="44:106" ht="15" customHeight="1" x14ac:dyDescent="0.2">
      <c r="AR122" s="252"/>
      <c r="AS122" s="252"/>
      <c r="AT122" s="249" t="s">
        <v>2078</v>
      </c>
      <c r="AU122" s="247"/>
      <c r="AX122" s="249" t="s">
        <v>2088</v>
      </c>
      <c r="BB122" s="249" t="s">
        <v>2078</v>
      </c>
      <c r="BF122" s="249" t="s">
        <v>2078</v>
      </c>
      <c r="BH122" s="252"/>
      <c r="BI122" s="252"/>
      <c r="BJ122" s="249" t="s">
        <v>2078</v>
      </c>
      <c r="BK122" s="247"/>
      <c r="BN122" s="249" t="s">
        <v>2088</v>
      </c>
      <c r="BR122" s="249" t="s">
        <v>2078</v>
      </c>
      <c r="BV122" s="249" t="s">
        <v>2078</v>
      </c>
      <c r="BX122" s="252"/>
      <c r="BY122" s="252"/>
      <c r="BZ122" s="249" t="s">
        <v>2078</v>
      </c>
      <c r="CA122" s="247"/>
      <c r="CD122" s="249" t="s">
        <v>2088</v>
      </c>
      <c r="CH122" s="249" t="s">
        <v>2078</v>
      </c>
      <c r="CL122" s="249" t="s">
        <v>2078</v>
      </c>
      <c r="CN122" s="252"/>
      <c r="CO122" s="252"/>
      <c r="CP122" s="249" t="s">
        <v>2078</v>
      </c>
      <c r="CQ122" s="247"/>
      <c r="CT122" s="249" t="s">
        <v>2088</v>
      </c>
      <c r="CX122" s="249" t="s">
        <v>2078</v>
      </c>
      <c r="DB122" s="249" t="s">
        <v>2078</v>
      </c>
    </row>
    <row r="123" spans="44:106" ht="15" customHeight="1" x14ac:dyDescent="0.2">
      <c r="AR123" s="252"/>
      <c r="AS123" s="252"/>
      <c r="AT123" s="249" t="s">
        <v>2078</v>
      </c>
      <c r="AU123" s="247"/>
      <c r="AX123" s="249" t="s">
        <v>2088</v>
      </c>
      <c r="BB123" s="249" t="s">
        <v>2078</v>
      </c>
      <c r="BF123" s="249" t="s">
        <v>2078</v>
      </c>
      <c r="BH123" s="252"/>
      <c r="BI123" s="252"/>
      <c r="BJ123" s="249" t="s">
        <v>2078</v>
      </c>
      <c r="BK123" s="247"/>
      <c r="BN123" s="249" t="s">
        <v>2088</v>
      </c>
      <c r="BR123" s="249" t="s">
        <v>2078</v>
      </c>
      <c r="BV123" s="249" t="s">
        <v>2078</v>
      </c>
      <c r="BX123" s="252"/>
      <c r="BY123" s="252"/>
      <c r="BZ123" s="249" t="s">
        <v>2078</v>
      </c>
      <c r="CA123" s="247"/>
      <c r="CD123" s="249" t="s">
        <v>2088</v>
      </c>
      <c r="CH123" s="249" t="s">
        <v>2078</v>
      </c>
      <c r="CL123" s="249" t="s">
        <v>2078</v>
      </c>
      <c r="CN123" s="252"/>
      <c r="CO123" s="252"/>
      <c r="CP123" s="249" t="s">
        <v>2078</v>
      </c>
      <c r="CQ123" s="247"/>
      <c r="CT123" s="249" t="s">
        <v>2088</v>
      </c>
      <c r="CX123" s="249" t="s">
        <v>2078</v>
      </c>
      <c r="DB123" s="249" t="s">
        <v>2078</v>
      </c>
    </row>
    <row r="124" spans="44:106" ht="15" customHeight="1" x14ac:dyDescent="0.2">
      <c r="AR124" s="252"/>
      <c r="AS124" s="252"/>
      <c r="AT124" s="249" t="s">
        <v>2078</v>
      </c>
      <c r="AU124" s="247"/>
      <c r="AX124" s="249" t="s">
        <v>2088</v>
      </c>
      <c r="BB124" s="249" t="s">
        <v>2078</v>
      </c>
      <c r="BF124" s="249" t="s">
        <v>2078</v>
      </c>
      <c r="BH124" s="252"/>
      <c r="BI124" s="252"/>
      <c r="BJ124" s="249" t="s">
        <v>2078</v>
      </c>
      <c r="BK124" s="247"/>
      <c r="BN124" s="249" t="s">
        <v>2088</v>
      </c>
      <c r="BR124" s="249" t="s">
        <v>2078</v>
      </c>
      <c r="BV124" s="249" t="s">
        <v>2078</v>
      </c>
      <c r="BX124" s="252"/>
      <c r="BY124" s="252"/>
      <c r="BZ124" s="249" t="s">
        <v>2078</v>
      </c>
      <c r="CA124" s="247"/>
      <c r="CD124" s="249" t="s">
        <v>2088</v>
      </c>
      <c r="CH124" s="249" t="s">
        <v>2078</v>
      </c>
      <c r="CL124" s="249" t="s">
        <v>2078</v>
      </c>
      <c r="CN124" s="252"/>
      <c r="CO124" s="252"/>
      <c r="CP124" s="249" t="s">
        <v>2078</v>
      </c>
      <c r="CQ124" s="247"/>
      <c r="CT124" s="249" t="s">
        <v>2088</v>
      </c>
      <c r="CX124" s="249" t="s">
        <v>2078</v>
      </c>
      <c r="DB124" s="249" t="s">
        <v>2078</v>
      </c>
    </row>
    <row r="125" spans="44:106" ht="15" customHeight="1" x14ac:dyDescent="0.2">
      <c r="AR125" s="252"/>
      <c r="AS125" s="252"/>
      <c r="AT125" s="249" t="s">
        <v>2078</v>
      </c>
      <c r="AU125" s="247"/>
      <c r="AX125" s="249" t="s">
        <v>2088</v>
      </c>
      <c r="BB125" s="249" t="s">
        <v>2078</v>
      </c>
      <c r="BF125" s="249" t="s">
        <v>2078</v>
      </c>
      <c r="BH125" s="252"/>
      <c r="BI125" s="252"/>
      <c r="BJ125" s="249" t="s">
        <v>2078</v>
      </c>
      <c r="BK125" s="247"/>
      <c r="BN125" s="249" t="s">
        <v>2088</v>
      </c>
      <c r="BR125" s="249" t="s">
        <v>2078</v>
      </c>
      <c r="BV125" s="249" t="s">
        <v>2078</v>
      </c>
      <c r="BX125" s="252"/>
      <c r="BY125" s="252"/>
      <c r="BZ125" s="249" t="s">
        <v>2078</v>
      </c>
      <c r="CA125" s="247"/>
      <c r="CD125" s="249" t="s">
        <v>2088</v>
      </c>
      <c r="CH125" s="249" t="s">
        <v>2078</v>
      </c>
      <c r="CL125" s="249" t="s">
        <v>2078</v>
      </c>
      <c r="CN125" s="252"/>
      <c r="CO125" s="252"/>
      <c r="CP125" s="249" t="s">
        <v>2078</v>
      </c>
      <c r="CQ125" s="247"/>
      <c r="CT125" s="249" t="s">
        <v>2088</v>
      </c>
      <c r="CX125" s="249" t="s">
        <v>2078</v>
      </c>
      <c r="DB125" s="249" t="s">
        <v>2078</v>
      </c>
    </row>
    <row r="126" spans="44:106" ht="15" customHeight="1" x14ac:dyDescent="0.2">
      <c r="AR126" s="252"/>
      <c r="AS126" s="252"/>
      <c r="AT126" s="249" t="s">
        <v>2078</v>
      </c>
      <c r="AU126" s="247"/>
      <c r="AX126" s="249" t="s">
        <v>2088</v>
      </c>
      <c r="BB126" s="249" t="s">
        <v>2078</v>
      </c>
      <c r="BF126" s="249" t="s">
        <v>2078</v>
      </c>
      <c r="BH126" s="252"/>
      <c r="BI126" s="252"/>
      <c r="BJ126" s="249" t="s">
        <v>2078</v>
      </c>
      <c r="BK126" s="247"/>
      <c r="BN126" s="249" t="s">
        <v>2088</v>
      </c>
      <c r="BR126" s="249" t="s">
        <v>2078</v>
      </c>
      <c r="BV126" s="249" t="s">
        <v>2078</v>
      </c>
      <c r="BX126" s="252"/>
      <c r="BY126" s="252"/>
      <c r="BZ126" s="249" t="s">
        <v>2078</v>
      </c>
      <c r="CA126" s="247"/>
      <c r="CD126" s="249" t="s">
        <v>2088</v>
      </c>
      <c r="CH126" s="249" t="s">
        <v>2078</v>
      </c>
      <c r="CL126" s="249" t="s">
        <v>2078</v>
      </c>
      <c r="CN126" s="252"/>
      <c r="CO126" s="252"/>
      <c r="CP126" s="249" t="s">
        <v>2078</v>
      </c>
      <c r="CQ126" s="247"/>
      <c r="CT126" s="249" t="s">
        <v>2088</v>
      </c>
      <c r="CX126" s="249" t="s">
        <v>2078</v>
      </c>
      <c r="DB126" s="249" t="s">
        <v>2078</v>
      </c>
    </row>
    <row r="127" spans="44:106" ht="15" customHeight="1" x14ac:dyDescent="0.2">
      <c r="AR127" s="252"/>
      <c r="AS127" s="252"/>
      <c r="AT127" s="249" t="s">
        <v>2078</v>
      </c>
      <c r="AU127" s="247"/>
      <c r="AX127" s="249" t="s">
        <v>2088</v>
      </c>
      <c r="BB127" s="249" t="s">
        <v>2078</v>
      </c>
      <c r="BF127" s="249" t="s">
        <v>2078</v>
      </c>
      <c r="BH127" s="252"/>
      <c r="BI127" s="252"/>
      <c r="BJ127" s="249" t="s">
        <v>2078</v>
      </c>
      <c r="BK127" s="247"/>
      <c r="BN127" s="249" t="s">
        <v>2088</v>
      </c>
      <c r="BR127" s="249" t="s">
        <v>2078</v>
      </c>
      <c r="BV127" s="249" t="s">
        <v>2078</v>
      </c>
      <c r="BX127" s="252"/>
      <c r="BY127" s="252"/>
      <c r="BZ127" s="249" t="s">
        <v>2078</v>
      </c>
      <c r="CA127" s="247"/>
      <c r="CD127" s="249" t="s">
        <v>2088</v>
      </c>
      <c r="CH127" s="249" t="s">
        <v>2078</v>
      </c>
      <c r="CL127" s="249" t="s">
        <v>2078</v>
      </c>
      <c r="CN127" s="252"/>
      <c r="CO127" s="252"/>
      <c r="CP127" s="249" t="s">
        <v>2078</v>
      </c>
      <c r="CQ127" s="247"/>
      <c r="CT127" s="249" t="s">
        <v>2088</v>
      </c>
      <c r="CX127" s="249" t="s">
        <v>2078</v>
      </c>
      <c r="DB127" s="249" t="s">
        <v>2078</v>
      </c>
    </row>
    <row r="128" spans="44:106" ht="15" customHeight="1" x14ac:dyDescent="0.2">
      <c r="AR128" s="252"/>
      <c r="AS128" s="252"/>
      <c r="AT128" s="249" t="s">
        <v>2078</v>
      </c>
      <c r="AU128" s="247"/>
      <c r="AX128" s="249" t="s">
        <v>2088</v>
      </c>
      <c r="BB128" s="249" t="s">
        <v>2078</v>
      </c>
      <c r="BF128" s="249" t="s">
        <v>2078</v>
      </c>
      <c r="BH128" s="252"/>
      <c r="BI128" s="252"/>
      <c r="BJ128" s="249" t="s">
        <v>2078</v>
      </c>
      <c r="BK128" s="247"/>
      <c r="BN128" s="249" t="s">
        <v>2088</v>
      </c>
      <c r="BR128" s="249" t="s">
        <v>2078</v>
      </c>
      <c r="BV128" s="249" t="s">
        <v>2078</v>
      </c>
      <c r="BX128" s="252"/>
      <c r="BY128" s="252"/>
      <c r="BZ128" s="249" t="s">
        <v>2078</v>
      </c>
      <c r="CA128" s="247"/>
      <c r="CD128" s="249" t="s">
        <v>2088</v>
      </c>
      <c r="CH128" s="249" t="s">
        <v>2078</v>
      </c>
      <c r="CL128" s="249" t="s">
        <v>2078</v>
      </c>
      <c r="CN128" s="252"/>
      <c r="CO128" s="252"/>
      <c r="CP128" s="249" t="s">
        <v>2078</v>
      </c>
      <c r="CQ128" s="247"/>
      <c r="CT128" s="249" t="s">
        <v>2088</v>
      </c>
      <c r="CX128" s="249" t="s">
        <v>2078</v>
      </c>
      <c r="DB128" s="249" t="s">
        <v>2078</v>
      </c>
    </row>
    <row r="129" spans="44:106" ht="15" customHeight="1" x14ac:dyDescent="0.2">
      <c r="AR129" s="252"/>
      <c r="AS129" s="252"/>
      <c r="AT129" s="249" t="s">
        <v>2078</v>
      </c>
      <c r="AU129" s="247"/>
      <c r="AX129" s="249" t="s">
        <v>2088</v>
      </c>
      <c r="BB129" s="249" t="s">
        <v>2078</v>
      </c>
      <c r="BF129" s="249" t="s">
        <v>2078</v>
      </c>
      <c r="BH129" s="252"/>
      <c r="BI129" s="252"/>
      <c r="BJ129" s="249" t="s">
        <v>2078</v>
      </c>
      <c r="BK129" s="247"/>
      <c r="BN129" s="249" t="s">
        <v>2088</v>
      </c>
      <c r="BR129" s="249" t="s">
        <v>2078</v>
      </c>
      <c r="BV129" s="249" t="s">
        <v>2078</v>
      </c>
      <c r="BX129" s="252"/>
      <c r="BY129" s="252"/>
      <c r="BZ129" s="249" t="s">
        <v>2078</v>
      </c>
      <c r="CA129" s="247"/>
      <c r="CD129" s="249" t="s">
        <v>2088</v>
      </c>
      <c r="CH129" s="249" t="s">
        <v>2078</v>
      </c>
      <c r="CL129" s="249" t="s">
        <v>2078</v>
      </c>
      <c r="CN129" s="252"/>
      <c r="CO129" s="252"/>
      <c r="CP129" s="249" t="s">
        <v>2078</v>
      </c>
      <c r="CQ129" s="247"/>
      <c r="CT129" s="249" t="s">
        <v>2088</v>
      </c>
      <c r="CX129" s="249" t="s">
        <v>2078</v>
      </c>
      <c r="DB129" s="249" t="s">
        <v>2078</v>
      </c>
    </row>
    <row r="130" spans="44:106" ht="15" customHeight="1" x14ac:dyDescent="0.2">
      <c r="AR130" s="252"/>
      <c r="AS130" s="252"/>
      <c r="AT130" s="249" t="s">
        <v>2078</v>
      </c>
      <c r="AU130" s="247"/>
      <c r="AX130" s="249" t="s">
        <v>2088</v>
      </c>
      <c r="BB130" s="249" t="s">
        <v>2078</v>
      </c>
      <c r="BF130" s="249" t="s">
        <v>2078</v>
      </c>
      <c r="BH130" s="252"/>
      <c r="BI130" s="252"/>
      <c r="BJ130" s="249" t="s">
        <v>2078</v>
      </c>
      <c r="BK130" s="247"/>
      <c r="BN130" s="249" t="s">
        <v>2088</v>
      </c>
      <c r="BR130" s="249" t="s">
        <v>2078</v>
      </c>
      <c r="BV130" s="249" t="s">
        <v>2078</v>
      </c>
      <c r="BX130" s="252"/>
      <c r="BY130" s="252"/>
      <c r="BZ130" s="249" t="s">
        <v>2078</v>
      </c>
      <c r="CA130" s="247"/>
      <c r="CD130" s="249" t="s">
        <v>2088</v>
      </c>
      <c r="CH130" s="249" t="s">
        <v>2078</v>
      </c>
      <c r="CL130" s="249" t="s">
        <v>2078</v>
      </c>
      <c r="CN130" s="252"/>
      <c r="CO130" s="252"/>
      <c r="CP130" s="249" t="s">
        <v>2078</v>
      </c>
      <c r="CQ130" s="247"/>
      <c r="CT130" s="249" t="s">
        <v>2088</v>
      </c>
      <c r="CX130" s="249" t="s">
        <v>2078</v>
      </c>
      <c r="DB130" s="249" t="s">
        <v>2078</v>
      </c>
    </row>
    <row r="131" spans="44:106" ht="15" customHeight="1" x14ac:dyDescent="0.2">
      <c r="AR131" s="252"/>
      <c r="AS131" s="252"/>
      <c r="AT131" s="249" t="s">
        <v>2078</v>
      </c>
      <c r="AU131" s="247"/>
      <c r="AX131" s="249" t="s">
        <v>2088</v>
      </c>
      <c r="BB131" s="249" t="s">
        <v>2078</v>
      </c>
      <c r="BF131" s="249" t="s">
        <v>2078</v>
      </c>
      <c r="BH131" s="252"/>
      <c r="BI131" s="252"/>
      <c r="BJ131" s="249" t="s">
        <v>2078</v>
      </c>
      <c r="BK131" s="247"/>
      <c r="BN131" s="249" t="s">
        <v>2088</v>
      </c>
      <c r="BR131" s="249" t="s">
        <v>2078</v>
      </c>
      <c r="BV131" s="249" t="s">
        <v>2078</v>
      </c>
      <c r="BX131" s="252"/>
      <c r="BY131" s="252"/>
      <c r="BZ131" s="249" t="s">
        <v>2078</v>
      </c>
      <c r="CA131" s="247"/>
      <c r="CD131" s="249" t="s">
        <v>2088</v>
      </c>
      <c r="CH131" s="249" t="s">
        <v>2078</v>
      </c>
      <c r="CL131" s="249" t="s">
        <v>2078</v>
      </c>
      <c r="CN131" s="252"/>
      <c r="CO131" s="252"/>
      <c r="CP131" s="249" t="s">
        <v>2078</v>
      </c>
      <c r="CQ131" s="247"/>
      <c r="CT131" s="249" t="s">
        <v>2088</v>
      </c>
      <c r="CX131" s="249" t="s">
        <v>2078</v>
      </c>
      <c r="DB131" s="249" t="s">
        <v>2078</v>
      </c>
    </row>
    <row r="132" spans="44:106" ht="15" customHeight="1" x14ac:dyDescent="0.2">
      <c r="AR132" s="252"/>
      <c r="AS132" s="252"/>
      <c r="AT132" s="249" t="s">
        <v>2078</v>
      </c>
      <c r="AU132" s="247"/>
      <c r="AX132" s="249" t="s">
        <v>2088</v>
      </c>
      <c r="BB132" s="249" t="s">
        <v>2078</v>
      </c>
      <c r="BF132" s="249" t="s">
        <v>2078</v>
      </c>
      <c r="BH132" s="252"/>
      <c r="BI132" s="252"/>
      <c r="BJ132" s="249" t="s">
        <v>2078</v>
      </c>
      <c r="BK132" s="247"/>
      <c r="BN132" s="249" t="s">
        <v>2088</v>
      </c>
      <c r="BR132" s="249" t="s">
        <v>2078</v>
      </c>
      <c r="BV132" s="249" t="s">
        <v>2078</v>
      </c>
      <c r="BX132" s="252"/>
      <c r="BY132" s="252"/>
      <c r="BZ132" s="249" t="s">
        <v>2078</v>
      </c>
      <c r="CA132" s="247"/>
      <c r="CD132" s="249" t="s">
        <v>2088</v>
      </c>
      <c r="CH132" s="249" t="s">
        <v>2078</v>
      </c>
      <c r="CL132" s="249" t="s">
        <v>2078</v>
      </c>
      <c r="CN132" s="252"/>
      <c r="CO132" s="252"/>
      <c r="CP132" s="249" t="s">
        <v>2078</v>
      </c>
      <c r="CQ132" s="247"/>
      <c r="CT132" s="249" t="s">
        <v>2088</v>
      </c>
      <c r="CX132" s="249" t="s">
        <v>2078</v>
      </c>
      <c r="DB132" s="249" t="s">
        <v>2078</v>
      </c>
    </row>
    <row r="133" spans="44:106" ht="15" customHeight="1" x14ac:dyDescent="0.2">
      <c r="AR133" s="252"/>
      <c r="AS133" s="252"/>
      <c r="AT133" s="249" t="s">
        <v>2078</v>
      </c>
      <c r="AU133" s="247"/>
      <c r="AX133" s="249" t="s">
        <v>2088</v>
      </c>
      <c r="BB133" s="249" t="s">
        <v>2078</v>
      </c>
      <c r="BF133" s="249" t="s">
        <v>2078</v>
      </c>
      <c r="BH133" s="252"/>
      <c r="BI133" s="252"/>
      <c r="BJ133" s="249" t="s">
        <v>2078</v>
      </c>
      <c r="BK133" s="247"/>
      <c r="BN133" s="249" t="s">
        <v>2088</v>
      </c>
      <c r="BR133" s="249" t="s">
        <v>2078</v>
      </c>
      <c r="BV133" s="249" t="s">
        <v>2078</v>
      </c>
      <c r="BX133" s="252"/>
      <c r="BY133" s="252"/>
      <c r="BZ133" s="249" t="s">
        <v>2078</v>
      </c>
      <c r="CA133" s="247"/>
      <c r="CD133" s="249" t="s">
        <v>2088</v>
      </c>
      <c r="CH133" s="249" t="s">
        <v>2078</v>
      </c>
      <c r="CL133" s="249" t="s">
        <v>2078</v>
      </c>
      <c r="CN133" s="252"/>
      <c r="CO133" s="252"/>
      <c r="CP133" s="249" t="s">
        <v>2078</v>
      </c>
      <c r="CQ133" s="247"/>
      <c r="CT133" s="249" t="s">
        <v>2088</v>
      </c>
      <c r="CX133" s="249" t="s">
        <v>2078</v>
      </c>
      <c r="DB133" s="249" t="s">
        <v>2078</v>
      </c>
    </row>
    <row r="134" spans="44:106" ht="15" customHeight="1" x14ac:dyDescent="0.2">
      <c r="AR134" s="252"/>
      <c r="AS134" s="252"/>
      <c r="AT134" s="249" t="s">
        <v>2078</v>
      </c>
      <c r="AU134" s="247"/>
      <c r="AX134" s="249" t="s">
        <v>2088</v>
      </c>
      <c r="BB134" s="249" t="s">
        <v>2078</v>
      </c>
      <c r="BF134" s="249" t="s">
        <v>2078</v>
      </c>
      <c r="BH134" s="252"/>
      <c r="BI134" s="252"/>
      <c r="BJ134" s="249" t="s">
        <v>2078</v>
      </c>
      <c r="BK134" s="247"/>
      <c r="BN134" s="249" t="s">
        <v>2088</v>
      </c>
      <c r="BR134" s="249" t="s">
        <v>2078</v>
      </c>
      <c r="BV134" s="249" t="s">
        <v>2078</v>
      </c>
      <c r="BX134" s="252"/>
      <c r="BY134" s="252"/>
      <c r="BZ134" s="249" t="s">
        <v>2078</v>
      </c>
      <c r="CA134" s="247"/>
      <c r="CD134" s="249" t="s">
        <v>2088</v>
      </c>
      <c r="CH134" s="249" t="s">
        <v>2078</v>
      </c>
      <c r="CL134" s="249" t="s">
        <v>2078</v>
      </c>
      <c r="CN134" s="252"/>
      <c r="CO134" s="252"/>
      <c r="CP134" s="249" t="s">
        <v>2078</v>
      </c>
      <c r="CQ134" s="247"/>
      <c r="CT134" s="249" t="s">
        <v>2088</v>
      </c>
      <c r="CX134" s="249" t="s">
        <v>2078</v>
      </c>
      <c r="DB134" s="249" t="s">
        <v>2078</v>
      </c>
    </row>
    <row r="135" spans="44:106" ht="15" customHeight="1" x14ac:dyDescent="0.2">
      <c r="AR135" s="252"/>
      <c r="AS135" s="252"/>
      <c r="AT135" s="249" t="s">
        <v>2078</v>
      </c>
      <c r="AU135" s="247"/>
      <c r="AX135" s="249" t="s">
        <v>2088</v>
      </c>
      <c r="BB135" s="249" t="s">
        <v>2078</v>
      </c>
      <c r="BF135" s="249" t="s">
        <v>2078</v>
      </c>
      <c r="BH135" s="252"/>
      <c r="BI135" s="252"/>
      <c r="BJ135" s="249" t="s">
        <v>2078</v>
      </c>
      <c r="BK135" s="247"/>
      <c r="BN135" s="249" t="s">
        <v>2088</v>
      </c>
      <c r="BR135" s="249" t="s">
        <v>2078</v>
      </c>
      <c r="BV135" s="249" t="s">
        <v>2078</v>
      </c>
      <c r="BX135" s="252"/>
      <c r="BY135" s="252"/>
      <c r="BZ135" s="249" t="s">
        <v>2078</v>
      </c>
      <c r="CA135" s="247"/>
      <c r="CD135" s="249" t="s">
        <v>2088</v>
      </c>
      <c r="CH135" s="249" t="s">
        <v>2078</v>
      </c>
      <c r="CL135" s="249" t="s">
        <v>2078</v>
      </c>
      <c r="CN135" s="252"/>
      <c r="CO135" s="252"/>
      <c r="CP135" s="249" t="s">
        <v>2078</v>
      </c>
      <c r="CQ135" s="247"/>
      <c r="CT135" s="249" t="s">
        <v>2088</v>
      </c>
      <c r="CX135" s="249" t="s">
        <v>2078</v>
      </c>
      <c r="DB135" s="249" t="s">
        <v>2078</v>
      </c>
    </row>
    <row r="136" spans="44:106" ht="15" customHeight="1" x14ac:dyDescent="0.2">
      <c r="AR136" s="252"/>
      <c r="AS136" s="252"/>
      <c r="AT136" s="249" t="s">
        <v>2078</v>
      </c>
      <c r="AU136" s="247"/>
      <c r="AX136" s="249" t="s">
        <v>2088</v>
      </c>
      <c r="BB136" s="249" t="s">
        <v>2078</v>
      </c>
      <c r="BF136" s="249" t="s">
        <v>2078</v>
      </c>
      <c r="BH136" s="252"/>
      <c r="BI136" s="252"/>
      <c r="BJ136" s="249" t="s">
        <v>2078</v>
      </c>
      <c r="BK136" s="247"/>
      <c r="BN136" s="249" t="s">
        <v>2088</v>
      </c>
      <c r="BR136" s="249" t="s">
        <v>2078</v>
      </c>
      <c r="BV136" s="249" t="s">
        <v>2078</v>
      </c>
      <c r="BX136" s="252"/>
      <c r="BY136" s="252"/>
      <c r="BZ136" s="249" t="s">
        <v>2078</v>
      </c>
      <c r="CA136" s="247"/>
      <c r="CD136" s="249" t="s">
        <v>2088</v>
      </c>
      <c r="CH136" s="249" t="s">
        <v>2078</v>
      </c>
      <c r="CL136" s="249" t="s">
        <v>2078</v>
      </c>
      <c r="CN136" s="252"/>
      <c r="CO136" s="252"/>
      <c r="CP136" s="249" t="s">
        <v>2078</v>
      </c>
      <c r="CQ136" s="247"/>
      <c r="CT136" s="249" t="s">
        <v>2088</v>
      </c>
      <c r="CX136" s="249" t="s">
        <v>2078</v>
      </c>
      <c r="DB136" s="249" t="s">
        <v>2078</v>
      </c>
    </row>
    <row r="137" spans="44:106" ht="15" customHeight="1" x14ac:dyDescent="0.2">
      <c r="AR137" s="252"/>
      <c r="AS137" s="252"/>
      <c r="AT137" s="249" t="s">
        <v>2078</v>
      </c>
      <c r="AU137" s="247"/>
      <c r="AX137" s="249" t="s">
        <v>2088</v>
      </c>
      <c r="BB137" s="249" t="s">
        <v>2078</v>
      </c>
      <c r="BF137" s="249" t="s">
        <v>2078</v>
      </c>
      <c r="BH137" s="252"/>
      <c r="BI137" s="252"/>
      <c r="BJ137" s="249" t="s">
        <v>2078</v>
      </c>
      <c r="BK137" s="247"/>
      <c r="BN137" s="249" t="s">
        <v>2088</v>
      </c>
      <c r="BR137" s="249" t="s">
        <v>2078</v>
      </c>
      <c r="BV137" s="249" t="s">
        <v>2078</v>
      </c>
      <c r="BX137" s="252"/>
      <c r="BY137" s="252"/>
      <c r="BZ137" s="249" t="s">
        <v>2078</v>
      </c>
      <c r="CA137" s="247"/>
      <c r="CD137" s="249" t="s">
        <v>2088</v>
      </c>
      <c r="CH137" s="249" t="s">
        <v>2078</v>
      </c>
      <c r="CL137" s="249" t="s">
        <v>2078</v>
      </c>
      <c r="CN137" s="252"/>
      <c r="CO137" s="252"/>
      <c r="CP137" s="249" t="s">
        <v>2078</v>
      </c>
      <c r="CQ137" s="247"/>
      <c r="CT137" s="249" t="s">
        <v>2088</v>
      </c>
      <c r="CX137" s="249" t="s">
        <v>2078</v>
      </c>
      <c r="DB137" s="249" t="s">
        <v>2078</v>
      </c>
    </row>
    <row r="138" spans="44:106" ht="15" customHeight="1" x14ac:dyDescent="0.2">
      <c r="AR138" s="252"/>
      <c r="AS138" s="252"/>
      <c r="AT138" s="249" t="s">
        <v>2078</v>
      </c>
      <c r="AU138" s="247"/>
      <c r="AX138" s="249" t="s">
        <v>2088</v>
      </c>
      <c r="BB138" s="249" t="s">
        <v>2078</v>
      </c>
      <c r="BF138" s="249" t="s">
        <v>2078</v>
      </c>
      <c r="BH138" s="252"/>
      <c r="BI138" s="252"/>
      <c r="BJ138" s="249" t="s">
        <v>2078</v>
      </c>
      <c r="BK138" s="247"/>
      <c r="BN138" s="249" t="s">
        <v>2088</v>
      </c>
      <c r="BR138" s="249" t="s">
        <v>2078</v>
      </c>
      <c r="BV138" s="249" t="s">
        <v>2078</v>
      </c>
      <c r="BX138" s="252"/>
      <c r="BY138" s="252"/>
      <c r="BZ138" s="249" t="s">
        <v>2078</v>
      </c>
      <c r="CA138" s="247"/>
      <c r="CD138" s="249" t="s">
        <v>2088</v>
      </c>
      <c r="CH138" s="249" t="s">
        <v>2078</v>
      </c>
      <c r="CL138" s="249" t="s">
        <v>2078</v>
      </c>
      <c r="CN138" s="252"/>
      <c r="CO138" s="252"/>
      <c r="CP138" s="249" t="s">
        <v>2078</v>
      </c>
      <c r="CQ138" s="247"/>
      <c r="CT138" s="249" t="s">
        <v>2088</v>
      </c>
      <c r="CX138" s="249" t="s">
        <v>2078</v>
      </c>
      <c r="DB138" s="249" t="s">
        <v>2078</v>
      </c>
    </row>
    <row r="139" spans="44:106" ht="15" customHeight="1" x14ac:dyDescent="0.2">
      <c r="AR139" s="252"/>
      <c r="AS139" s="252"/>
      <c r="AT139" s="249" t="s">
        <v>2078</v>
      </c>
      <c r="AU139" s="247"/>
      <c r="AX139" s="249" t="s">
        <v>2088</v>
      </c>
      <c r="BB139" s="249" t="s">
        <v>2078</v>
      </c>
      <c r="BF139" s="249" t="s">
        <v>2078</v>
      </c>
      <c r="BH139" s="252"/>
      <c r="BI139" s="252"/>
      <c r="BJ139" s="249" t="s">
        <v>2078</v>
      </c>
      <c r="BK139" s="247"/>
      <c r="BN139" s="249" t="s">
        <v>2088</v>
      </c>
      <c r="BR139" s="249" t="s">
        <v>2078</v>
      </c>
      <c r="BV139" s="249" t="s">
        <v>2078</v>
      </c>
      <c r="BX139" s="252"/>
      <c r="BY139" s="252"/>
      <c r="BZ139" s="249" t="s">
        <v>2078</v>
      </c>
      <c r="CA139" s="247"/>
      <c r="CD139" s="249" t="s">
        <v>2088</v>
      </c>
      <c r="CH139" s="249" t="s">
        <v>2078</v>
      </c>
      <c r="CL139" s="249" t="s">
        <v>2078</v>
      </c>
      <c r="CN139" s="252"/>
      <c r="CO139" s="252"/>
      <c r="CP139" s="249" t="s">
        <v>2078</v>
      </c>
      <c r="CQ139" s="247"/>
      <c r="CT139" s="249" t="s">
        <v>2088</v>
      </c>
      <c r="CX139" s="249" t="s">
        <v>2078</v>
      </c>
      <c r="DB139" s="249" t="s">
        <v>2078</v>
      </c>
    </row>
    <row r="140" spans="44:106" ht="15" customHeight="1" x14ac:dyDescent="0.2">
      <c r="AR140" s="252"/>
      <c r="AS140" s="252"/>
      <c r="AT140" s="249" t="s">
        <v>2078</v>
      </c>
      <c r="AU140" s="247"/>
      <c r="AX140" s="249" t="s">
        <v>2088</v>
      </c>
      <c r="BB140" s="249" t="s">
        <v>2078</v>
      </c>
      <c r="BF140" s="249" t="s">
        <v>2078</v>
      </c>
      <c r="BH140" s="252"/>
      <c r="BI140" s="252"/>
      <c r="BJ140" s="249" t="s">
        <v>2078</v>
      </c>
      <c r="BK140" s="247"/>
      <c r="BN140" s="249" t="s">
        <v>2088</v>
      </c>
      <c r="BR140" s="249" t="s">
        <v>2078</v>
      </c>
      <c r="BV140" s="249" t="s">
        <v>2078</v>
      </c>
      <c r="BX140" s="252"/>
      <c r="BY140" s="252"/>
      <c r="BZ140" s="249" t="s">
        <v>2078</v>
      </c>
      <c r="CA140" s="247"/>
      <c r="CD140" s="249" t="s">
        <v>2088</v>
      </c>
      <c r="CH140" s="249" t="s">
        <v>2078</v>
      </c>
      <c r="CL140" s="249" t="s">
        <v>2078</v>
      </c>
      <c r="CN140" s="252"/>
      <c r="CO140" s="252"/>
      <c r="CP140" s="249" t="s">
        <v>2078</v>
      </c>
      <c r="CQ140" s="247"/>
      <c r="CT140" s="249" t="s">
        <v>2088</v>
      </c>
      <c r="CX140" s="249" t="s">
        <v>2078</v>
      </c>
      <c r="DB140" s="249" t="s">
        <v>2078</v>
      </c>
    </row>
    <row r="141" spans="44:106" ht="15" customHeight="1" x14ac:dyDescent="0.2">
      <c r="AR141" s="252"/>
      <c r="AS141" s="252"/>
      <c r="AT141" s="249" t="s">
        <v>2078</v>
      </c>
      <c r="AU141" s="247"/>
      <c r="AX141" s="249" t="s">
        <v>2088</v>
      </c>
      <c r="BB141" s="249" t="s">
        <v>2078</v>
      </c>
      <c r="BF141" s="249" t="s">
        <v>2078</v>
      </c>
      <c r="BH141" s="252"/>
      <c r="BI141" s="252"/>
      <c r="BJ141" s="249" t="s">
        <v>2078</v>
      </c>
      <c r="BK141" s="247"/>
      <c r="BN141" s="249" t="s">
        <v>2088</v>
      </c>
      <c r="BR141" s="249" t="s">
        <v>2078</v>
      </c>
      <c r="BV141" s="249" t="s">
        <v>2078</v>
      </c>
      <c r="BX141" s="252"/>
      <c r="BY141" s="252"/>
      <c r="BZ141" s="249" t="s">
        <v>2078</v>
      </c>
      <c r="CA141" s="247"/>
      <c r="CD141" s="249" t="s">
        <v>2088</v>
      </c>
      <c r="CH141" s="249" t="s">
        <v>2078</v>
      </c>
      <c r="CL141" s="249" t="s">
        <v>2078</v>
      </c>
      <c r="CN141" s="252"/>
      <c r="CO141" s="252"/>
      <c r="CP141" s="249" t="s">
        <v>2078</v>
      </c>
      <c r="CQ141" s="247"/>
      <c r="CT141" s="249" t="s">
        <v>2088</v>
      </c>
      <c r="CX141" s="249" t="s">
        <v>2078</v>
      </c>
      <c r="DB141" s="249" t="s">
        <v>2078</v>
      </c>
    </row>
    <row r="142" spans="44:106" ht="15" customHeight="1" x14ac:dyDescent="0.2">
      <c r="AR142" s="252"/>
      <c r="AS142" s="252"/>
      <c r="AT142" s="249" t="s">
        <v>2078</v>
      </c>
      <c r="AU142" s="247"/>
      <c r="AX142" s="249" t="s">
        <v>2088</v>
      </c>
      <c r="BB142" s="249" t="s">
        <v>2078</v>
      </c>
      <c r="BF142" s="249" t="s">
        <v>2078</v>
      </c>
      <c r="BH142" s="252"/>
      <c r="BI142" s="252"/>
      <c r="BJ142" s="249" t="s">
        <v>2078</v>
      </c>
      <c r="BK142" s="247"/>
      <c r="BN142" s="249" t="s">
        <v>2088</v>
      </c>
      <c r="BR142" s="249" t="s">
        <v>2078</v>
      </c>
      <c r="BV142" s="249" t="s">
        <v>2078</v>
      </c>
      <c r="BX142" s="252"/>
      <c r="BY142" s="252"/>
      <c r="BZ142" s="249" t="s">
        <v>2078</v>
      </c>
      <c r="CA142" s="247"/>
      <c r="CD142" s="249" t="s">
        <v>2088</v>
      </c>
      <c r="CH142" s="249" t="s">
        <v>2078</v>
      </c>
      <c r="CL142" s="249" t="s">
        <v>2078</v>
      </c>
      <c r="CN142" s="252"/>
      <c r="CO142" s="252"/>
      <c r="CP142" s="249" t="s">
        <v>2078</v>
      </c>
      <c r="CQ142" s="247"/>
      <c r="CT142" s="249" t="s">
        <v>2088</v>
      </c>
      <c r="CX142" s="249" t="s">
        <v>2078</v>
      </c>
      <c r="DB142" s="249" t="s">
        <v>2078</v>
      </c>
    </row>
    <row r="143" spans="44:106" ht="15" customHeight="1" x14ac:dyDescent="0.2">
      <c r="AR143" s="252"/>
      <c r="AS143" s="252"/>
      <c r="AT143" s="249" t="s">
        <v>2078</v>
      </c>
      <c r="AU143" s="247"/>
      <c r="AX143" s="249" t="s">
        <v>2088</v>
      </c>
      <c r="BB143" s="249" t="s">
        <v>2078</v>
      </c>
      <c r="BF143" s="249" t="s">
        <v>2078</v>
      </c>
      <c r="BH143" s="252"/>
      <c r="BI143" s="252"/>
      <c r="BJ143" s="249" t="s">
        <v>2078</v>
      </c>
      <c r="BK143" s="247"/>
      <c r="BN143" s="249" t="s">
        <v>2088</v>
      </c>
      <c r="BR143" s="249" t="s">
        <v>2078</v>
      </c>
      <c r="BV143" s="249" t="s">
        <v>2078</v>
      </c>
      <c r="BX143" s="252"/>
      <c r="BY143" s="252"/>
      <c r="BZ143" s="249" t="s">
        <v>2078</v>
      </c>
      <c r="CA143" s="247"/>
      <c r="CD143" s="249" t="s">
        <v>2088</v>
      </c>
      <c r="CH143" s="249" t="s">
        <v>2078</v>
      </c>
      <c r="CL143" s="249" t="s">
        <v>2078</v>
      </c>
      <c r="CN143" s="252"/>
      <c r="CO143" s="252"/>
      <c r="CP143" s="249" t="s">
        <v>2078</v>
      </c>
      <c r="CQ143" s="247"/>
      <c r="CT143" s="249" t="s">
        <v>2088</v>
      </c>
      <c r="CX143" s="249" t="s">
        <v>2078</v>
      </c>
      <c r="DB143" s="249" t="s">
        <v>2078</v>
      </c>
    </row>
    <row r="144" spans="44:106" ht="15" customHeight="1" x14ac:dyDescent="0.2">
      <c r="AR144" s="252"/>
      <c r="AS144" s="252"/>
      <c r="AT144" s="249" t="s">
        <v>2078</v>
      </c>
      <c r="AU144" s="247"/>
      <c r="AX144" s="249" t="s">
        <v>2088</v>
      </c>
      <c r="BB144" s="249" t="s">
        <v>2078</v>
      </c>
      <c r="BF144" s="249" t="s">
        <v>2078</v>
      </c>
      <c r="BH144" s="252"/>
      <c r="BI144" s="252"/>
      <c r="BJ144" s="249" t="s">
        <v>2078</v>
      </c>
      <c r="BK144" s="247"/>
      <c r="BN144" s="249" t="s">
        <v>2088</v>
      </c>
      <c r="BR144" s="249" t="s">
        <v>2078</v>
      </c>
      <c r="BV144" s="249" t="s">
        <v>2078</v>
      </c>
      <c r="BX144" s="252"/>
      <c r="BY144" s="252"/>
      <c r="BZ144" s="249" t="s">
        <v>2078</v>
      </c>
      <c r="CA144" s="247"/>
      <c r="CD144" s="249" t="s">
        <v>2088</v>
      </c>
      <c r="CH144" s="249" t="s">
        <v>2078</v>
      </c>
      <c r="CL144" s="249" t="s">
        <v>2078</v>
      </c>
      <c r="CN144" s="252"/>
      <c r="CO144" s="252"/>
      <c r="CP144" s="249" t="s">
        <v>2078</v>
      </c>
      <c r="CQ144" s="247"/>
      <c r="CT144" s="249" t="s">
        <v>2088</v>
      </c>
      <c r="CX144" s="249" t="s">
        <v>2078</v>
      </c>
      <c r="DB144" s="249" t="s">
        <v>2078</v>
      </c>
    </row>
    <row r="145" spans="44:106" ht="15" customHeight="1" x14ac:dyDescent="0.2">
      <c r="AR145" s="252"/>
      <c r="AS145" s="252"/>
      <c r="AT145" s="249" t="s">
        <v>2078</v>
      </c>
      <c r="AU145" s="247"/>
      <c r="AX145" s="249" t="s">
        <v>2088</v>
      </c>
      <c r="BB145" s="249" t="s">
        <v>2078</v>
      </c>
      <c r="BF145" s="249" t="s">
        <v>2078</v>
      </c>
      <c r="BH145" s="252"/>
      <c r="BI145" s="252"/>
      <c r="BJ145" s="249" t="s">
        <v>2078</v>
      </c>
      <c r="BK145" s="247"/>
      <c r="BN145" s="249" t="s">
        <v>2088</v>
      </c>
      <c r="BR145" s="249" t="s">
        <v>2078</v>
      </c>
      <c r="BV145" s="249" t="s">
        <v>2078</v>
      </c>
      <c r="BX145" s="252"/>
      <c r="BY145" s="252"/>
      <c r="BZ145" s="249" t="s">
        <v>2078</v>
      </c>
      <c r="CA145" s="247"/>
      <c r="CD145" s="249" t="s">
        <v>2088</v>
      </c>
      <c r="CH145" s="249" t="s">
        <v>2078</v>
      </c>
      <c r="CL145" s="249" t="s">
        <v>2078</v>
      </c>
      <c r="CN145" s="252"/>
      <c r="CO145" s="252"/>
      <c r="CP145" s="249" t="s">
        <v>2078</v>
      </c>
      <c r="CQ145" s="247"/>
      <c r="CT145" s="249" t="s">
        <v>2088</v>
      </c>
      <c r="CX145" s="249" t="s">
        <v>2078</v>
      </c>
      <c r="DB145" s="249" t="s">
        <v>2078</v>
      </c>
    </row>
    <row r="146" spans="44:106" ht="15" customHeight="1" x14ac:dyDescent="0.2">
      <c r="AR146" s="252"/>
      <c r="AS146" s="252"/>
      <c r="AT146" s="249" t="s">
        <v>2078</v>
      </c>
      <c r="AU146" s="247"/>
      <c r="AX146" s="249" t="s">
        <v>2088</v>
      </c>
      <c r="BB146" s="249" t="s">
        <v>2078</v>
      </c>
      <c r="BF146" s="249" t="s">
        <v>2078</v>
      </c>
      <c r="BH146" s="252"/>
      <c r="BI146" s="252"/>
      <c r="BJ146" s="249" t="s">
        <v>2078</v>
      </c>
      <c r="BK146" s="247"/>
      <c r="BN146" s="249" t="s">
        <v>2088</v>
      </c>
      <c r="BR146" s="249" t="s">
        <v>2078</v>
      </c>
      <c r="BV146" s="249" t="s">
        <v>2078</v>
      </c>
      <c r="BX146" s="252"/>
      <c r="BY146" s="252"/>
      <c r="BZ146" s="249" t="s">
        <v>2078</v>
      </c>
      <c r="CA146" s="247"/>
      <c r="CD146" s="249" t="s">
        <v>2088</v>
      </c>
      <c r="CH146" s="249" t="s">
        <v>2078</v>
      </c>
      <c r="CL146" s="249" t="s">
        <v>2078</v>
      </c>
      <c r="CN146" s="252"/>
      <c r="CO146" s="252"/>
      <c r="CP146" s="249" t="s">
        <v>2078</v>
      </c>
      <c r="CQ146" s="247"/>
      <c r="CT146" s="249" t="s">
        <v>2088</v>
      </c>
      <c r="CX146" s="249" t="s">
        <v>2078</v>
      </c>
      <c r="DB146" s="249" t="s">
        <v>2078</v>
      </c>
    </row>
    <row r="147" spans="44:106" ht="15" customHeight="1" x14ac:dyDescent="0.2">
      <c r="AR147" s="252"/>
      <c r="AS147" s="252"/>
      <c r="AT147" s="249" t="s">
        <v>2078</v>
      </c>
      <c r="AU147" s="247"/>
      <c r="AX147" s="249" t="s">
        <v>2088</v>
      </c>
      <c r="BB147" s="249" t="s">
        <v>2078</v>
      </c>
      <c r="BF147" s="249" t="s">
        <v>2078</v>
      </c>
      <c r="BH147" s="252"/>
      <c r="BI147" s="252"/>
      <c r="BJ147" s="249" t="s">
        <v>2078</v>
      </c>
      <c r="BK147" s="247"/>
      <c r="BN147" s="249" t="s">
        <v>2088</v>
      </c>
      <c r="BR147" s="249" t="s">
        <v>2078</v>
      </c>
      <c r="BV147" s="249" t="s">
        <v>2078</v>
      </c>
      <c r="BX147" s="252"/>
      <c r="BY147" s="252"/>
      <c r="BZ147" s="249" t="s">
        <v>2078</v>
      </c>
      <c r="CA147" s="247"/>
      <c r="CD147" s="249" t="s">
        <v>2088</v>
      </c>
      <c r="CH147" s="249" t="s">
        <v>2078</v>
      </c>
      <c r="CL147" s="249" t="s">
        <v>2078</v>
      </c>
      <c r="CN147" s="252"/>
      <c r="CO147" s="252"/>
      <c r="CP147" s="249" t="s">
        <v>2078</v>
      </c>
      <c r="CQ147" s="247"/>
      <c r="CT147" s="249" t="s">
        <v>2088</v>
      </c>
      <c r="CX147" s="249" t="s">
        <v>2078</v>
      </c>
      <c r="DB147" s="249" t="s">
        <v>2078</v>
      </c>
    </row>
    <row r="148" spans="44:106" ht="15" customHeight="1" x14ac:dyDescent="0.2">
      <c r="AR148" s="252"/>
      <c r="AS148" s="252"/>
      <c r="AT148" s="249" t="s">
        <v>2078</v>
      </c>
      <c r="AU148" s="247"/>
      <c r="AX148" s="249" t="s">
        <v>2088</v>
      </c>
      <c r="BB148" s="249" t="s">
        <v>2078</v>
      </c>
      <c r="BF148" s="249" t="s">
        <v>2078</v>
      </c>
      <c r="BH148" s="252"/>
      <c r="BI148" s="252"/>
      <c r="BJ148" s="249" t="s">
        <v>2078</v>
      </c>
      <c r="BK148" s="247"/>
      <c r="BN148" s="249" t="s">
        <v>2088</v>
      </c>
      <c r="BR148" s="249" t="s">
        <v>2078</v>
      </c>
      <c r="BV148" s="249" t="s">
        <v>2078</v>
      </c>
      <c r="BX148" s="252"/>
      <c r="BY148" s="252"/>
      <c r="BZ148" s="249" t="s">
        <v>2078</v>
      </c>
      <c r="CA148" s="247"/>
      <c r="CD148" s="249" t="s">
        <v>2088</v>
      </c>
      <c r="CH148" s="249" t="s">
        <v>2078</v>
      </c>
      <c r="CL148" s="249" t="s">
        <v>2078</v>
      </c>
      <c r="CN148" s="252"/>
      <c r="CO148" s="252"/>
      <c r="CP148" s="249" t="s">
        <v>2078</v>
      </c>
      <c r="CQ148" s="247"/>
      <c r="CT148" s="249" t="s">
        <v>2088</v>
      </c>
      <c r="CX148" s="249" t="s">
        <v>2078</v>
      </c>
      <c r="DB148" s="249" t="s">
        <v>2078</v>
      </c>
    </row>
    <row r="149" spans="44:106" ht="15" customHeight="1" x14ac:dyDescent="0.2">
      <c r="AR149" s="252"/>
      <c r="AS149" s="252"/>
      <c r="AT149" s="249" t="s">
        <v>2078</v>
      </c>
      <c r="AU149" s="247"/>
      <c r="AX149" s="249" t="s">
        <v>2088</v>
      </c>
      <c r="BB149" s="249" t="s">
        <v>2078</v>
      </c>
      <c r="BF149" s="249" t="s">
        <v>2078</v>
      </c>
      <c r="BH149" s="252"/>
      <c r="BI149" s="252"/>
      <c r="BJ149" s="249" t="s">
        <v>2078</v>
      </c>
      <c r="BK149" s="247"/>
      <c r="BN149" s="249" t="s">
        <v>2088</v>
      </c>
      <c r="BR149" s="249" t="s">
        <v>2078</v>
      </c>
      <c r="BV149" s="249" t="s">
        <v>2078</v>
      </c>
      <c r="BX149" s="252"/>
      <c r="BY149" s="252"/>
      <c r="BZ149" s="249" t="s">
        <v>2078</v>
      </c>
      <c r="CA149" s="247"/>
      <c r="CD149" s="249" t="s">
        <v>2088</v>
      </c>
      <c r="CH149" s="249" t="s">
        <v>2078</v>
      </c>
      <c r="CL149" s="249" t="s">
        <v>2078</v>
      </c>
      <c r="CN149" s="252"/>
      <c r="CO149" s="252"/>
      <c r="CP149" s="249" t="s">
        <v>2078</v>
      </c>
      <c r="CQ149" s="247"/>
      <c r="CT149" s="249" t="s">
        <v>2088</v>
      </c>
      <c r="CX149" s="249" t="s">
        <v>2078</v>
      </c>
      <c r="DB149" s="249" t="s">
        <v>2078</v>
      </c>
    </row>
    <row r="150" spans="44:106" ht="15" customHeight="1" x14ac:dyDescent="0.2">
      <c r="AR150" s="252"/>
      <c r="AS150" s="252"/>
      <c r="AT150" s="249" t="s">
        <v>2078</v>
      </c>
      <c r="AU150" s="247"/>
      <c r="AX150" s="249" t="s">
        <v>2088</v>
      </c>
      <c r="BB150" s="249" t="s">
        <v>2078</v>
      </c>
      <c r="BF150" s="249" t="s">
        <v>2078</v>
      </c>
      <c r="BH150" s="252"/>
      <c r="BI150" s="252"/>
      <c r="BJ150" s="249" t="s">
        <v>2078</v>
      </c>
      <c r="BK150" s="247"/>
      <c r="BN150" s="249" t="s">
        <v>2088</v>
      </c>
      <c r="BR150" s="249" t="s">
        <v>2078</v>
      </c>
      <c r="BV150" s="249" t="s">
        <v>2078</v>
      </c>
      <c r="BX150" s="252"/>
      <c r="BY150" s="252"/>
      <c r="BZ150" s="249" t="s">
        <v>2078</v>
      </c>
      <c r="CA150" s="247"/>
      <c r="CD150" s="249" t="s">
        <v>2088</v>
      </c>
      <c r="CH150" s="249" t="s">
        <v>2078</v>
      </c>
      <c r="CL150" s="249" t="s">
        <v>2078</v>
      </c>
      <c r="CN150" s="252"/>
      <c r="CO150" s="252"/>
      <c r="CP150" s="249" t="s">
        <v>2078</v>
      </c>
      <c r="CQ150" s="247"/>
      <c r="CT150" s="249" t="s">
        <v>2088</v>
      </c>
      <c r="CX150" s="249" t="s">
        <v>2078</v>
      </c>
      <c r="DB150" s="249" t="s">
        <v>2078</v>
      </c>
    </row>
    <row r="151" spans="44:106" ht="15" customHeight="1" x14ac:dyDescent="0.2">
      <c r="AR151" s="252"/>
      <c r="AS151" s="252"/>
      <c r="AT151" s="249" t="s">
        <v>2078</v>
      </c>
      <c r="AU151" s="247"/>
      <c r="AX151" s="249" t="s">
        <v>2088</v>
      </c>
      <c r="BB151" s="249" t="s">
        <v>2078</v>
      </c>
      <c r="BF151" s="249" t="s">
        <v>2078</v>
      </c>
      <c r="BH151" s="252"/>
      <c r="BI151" s="252"/>
      <c r="BJ151" s="249" t="s">
        <v>2078</v>
      </c>
      <c r="BK151" s="247"/>
      <c r="BN151" s="249" t="s">
        <v>2088</v>
      </c>
      <c r="BR151" s="249" t="s">
        <v>2078</v>
      </c>
      <c r="BV151" s="249" t="s">
        <v>2078</v>
      </c>
      <c r="BX151" s="252"/>
      <c r="BY151" s="252"/>
      <c r="BZ151" s="249" t="s">
        <v>2078</v>
      </c>
      <c r="CA151" s="247"/>
      <c r="CD151" s="249" t="s">
        <v>2088</v>
      </c>
      <c r="CH151" s="249" t="s">
        <v>2078</v>
      </c>
      <c r="CL151" s="249" t="s">
        <v>2078</v>
      </c>
      <c r="CN151" s="252"/>
      <c r="CO151" s="252"/>
      <c r="CP151" s="249" t="s">
        <v>2078</v>
      </c>
      <c r="CQ151" s="247"/>
      <c r="CT151" s="249" t="s">
        <v>2088</v>
      </c>
      <c r="CX151" s="249" t="s">
        <v>2078</v>
      </c>
      <c r="DB151" s="249" t="s">
        <v>2078</v>
      </c>
    </row>
    <row r="152" spans="44:106" ht="15" customHeight="1" x14ac:dyDescent="0.2">
      <c r="AR152" s="252"/>
      <c r="AS152" s="252"/>
      <c r="AT152" s="249" t="s">
        <v>2078</v>
      </c>
      <c r="AU152" s="247"/>
      <c r="AX152" s="249" t="s">
        <v>2088</v>
      </c>
      <c r="BB152" s="249" t="s">
        <v>2078</v>
      </c>
      <c r="BF152" s="249" t="s">
        <v>2078</v>
      </c>
      <c r="BH152" s="252"/>
      <c r="BI152" s="252"/>
      <c r="BJ152" s="249" t="s">
        <v>2078</v>
      </c>
      <c r="BK152" s="247"/>
      <c r="BN152" s="249" t="s">
        <v>2088</v>
      </c>
      <c r="BR152" s="249" t="s">
        <v>2078</v>
      </c>
      <c r="BV152" s="249" t="s">
        <v>2078</v>
      </c>
      <c r="BX152" s="252"/>
      <c r="BY152" s="252"/>
      <c r="BZ152" s="249" t="s">
        <v>2078</v>
      </c>
      <c r="CA152" s="247"/>
      <c r="CD152" s="249" t="s">
        <v>2088</v>
      </c>
      <c r="CH152" s="249" t="s">
        <v>2078</v>
      </c>
      <c r="CL152" s="249" t="s">
        <v>2078</v>
      </c>
      <c r="CN152" s="252"/>
      <c r="CO152" s="252"/>
      <c r="CP152" s="249" t="s">
        <v>2078</v>
      </c>
      <c r="CQ152" s="247"/>
      <c r="CT152" s="249" t="s">
        <v>2088</v>
      </c>
      <c r="CX152" s="249" t="s">
        <v>2078</v>
      </c>
      <c r="DB152" s="249" t="s">
        <v>2078</v>
      </c>
    </row>
    <row r="153" spans="44:106" ht="15" customHeight="1" x14ac:dyDescent="0.2">
      <c r="AR153" s="252"/>
      <c r="AS153" s="252"/>
      <c r="AT153" s="249" t="s">
        <v>2078</v>
      </c>
      <c r="AU153" s="247"/>
      <c r="AX153" s="249" t="s">
        <v>2088</v>
      </c>
      <c r="BB153" s="249" t="s">
        <v>2078</v>
      </c>
      <c r="BF153" s="249" t="s">
        <v>2078</v>
      </c>
      <c r="BH153" s="252"/>
      <c r="BI153" s="252"/>
      <c r="BJ153" s="249" t="s">
        <v>2078</v>
      </c>
      <c r="BK153" s="247"/>
      <c r="BN153" s="249" t="s">
        <v>2088</v>
      </c>
      <c r="BR153" s="249" t="s">
        <v>2078</v>
      </c>
      <c r="BV153" s="249" t="s">
        <v>2078</v>
      </c>
      <c r="BX153" s="252"/>
      <c r="BY153" s="252"/>
      <c r="BZ153" s="249" t="s">
        <v>2078</v>
      </c>
      <c r="CA153" s="247"/>
      <c r="CD153" s="249" t="s">
        <v>2088</v>
      </c>
      <c r="CH153" s="249" t="s">
        <v>2078</v>
      </c>
      <c r="CL153" s="249" t="s">
        <v>2078</v>
      </c>
      <c r="CN153" s="252"/>
      <c r="CO153" s="252"/>
      <c r="CP153" s="249" t="s">
        <v>2078</v>
      </c>
      <c r="CQ153" s="247"/>
      <c r="CT153" s="249" t="s">
        <v>2088</v>
      </c>
      <c r="CX153" s="249" t="s">
        <v>2078</v>
      </c>
      <c r="DB153" s="249" t="s">
        <v>2078</v>
      </c>
    </row>
    <row r="154" spans="44:106" ht="15" customHeight="1" x14ac:dyDescent="0.2">
      <c r="AR154" s="252"/>
      <c r="AS154" s="252"/>
      <c r="AT154" s="249" t="s">
        <v>2078</v>
      </c>
      <c r="AU154" s="247"/>
      <c r="AX154" s="249" t="s">
        <v>2088</v>
      </c>
      <c r="BB154" s="249" t="s">
        <v>2078</v>
      </c>
      <c r="BF154" s="249" t="s">
        <v>2078</v>
      </c>
      <c r="BH154" s="252"/>
      <c r="BI154" s="252"/>
      <c r="BJ154" s="249" t="s">
        <v>2078</v>
      </c>
      <c r="BK154" s="247"/>
      <c r="BN154" s="249" t="s">
        <v>2088</v>
      </c>
      <c r="BR154" s="249" t="s">
        <v>2078</v>
      </c>
      <c r="BV154" s="249" t="s">
        <v>2078</v>
      </c>
      <c r="BX154" s="252"/>
      <c r="BY154" s="252"/>
      <c r="BZ154" s="249" t="s">
        <v>2078</v>
      </c>
      <c r="CA154" s="247"/>
      <c r="CD154" s="249" t="s">
        <v>2088</v>
      </c>
      <c r="CH154" s="249" t="s">
        <v>2078</v>
      </c>
      <c r="CL154" s="249" t="s">
        <v>2078</v>
      </c>
      <c r="CN154" s="252"/>
      <c r="CO154" s="252"/>
      <c r="CP154" s="249" t="s">
        <v>2078</v>
      </c>
      <c r="CQ154" s="247"/>
      <c r="CT154" s="249" t="s">
        <v>2088</v>
      </c>
      <c r="CX154" s="249" t="s">
        <v>2078</v>
      </c>
      <c r="DB154" s="249" t="s">
        <v>2078</v>
      </c>
    </row>
    <row r="155" spans="44:106" ht="15" customHeight="1" x14ac:dyDescent="0.2">
      <c r="AR155" s="252"/>
      <c r="AS155" s="252"/>
      <c r="AT155" s="249" t="s">
        <v>2078</v>
      </c>
      <c r="AU155" s="247"/>
      <c r="AX155" s="249" t="s">
        <v>2088</v>
      </c>
      <c r="BB155" s="249" t="s">
        <v>2078</v>
      </c>
      <c r="BF155" s="249" t="s">
        <v>2078</v>
      </c>
      <c r="BH155" s="252"/>
      <c r="BI155" s="252"/>
      <c r="BJ155" s="249" t="s">
        <v>2078</v>
      </c>
      <c r="BK155" s="247"/>
      <c r="BN155" s="249" t="s">
        <v>2088</v>
      </c>
      <c r="BR155" s="249" t="s">
        <v>2078</v>
      </c>
      <c r="BV155" s="249" t="s">
        <v>2078</v>
      </c>
      <c r="BX155" s="252"/>
      <c r="BY155" s="252"/>
      <c r="BZ155" s="249" t="s">
        <v>2078</v>
      </c>
      <c r="CA155" s="247"/>
      <c r="CD155" s="249" t="s">
        <v>2088</v>
      </c>
      <c r="CH155" s="249" t="s">
        <v>2078</v>
      </c>
      <c r="CL155" s="249" t="s">
        <v>2078</v>
      </c>
      <c r="CN155" s="252"/>
      <c r="CO155" s="252"/>
      <c r="CP155" s="249" t="s">
        <v>2078</v>
      </c>
      <c r="CQ155" s="247"/>
      <c r="CT155" s="249" t="s">
        <v>2088</v>
      </c>
      <c r="CX155" s="249" t="s">
        <v>2078</v>
      </c>
      <c r="DB155" s="249" t="s">
        <v>2078</v>
      </c>
    </row>
    <row r="156" spans="44:106" ht="15" customHeight="1" x14ac:dyDescent="0.2">
      <c r="AR156" s="252"/>
      <c r="AS156" s="252"/>
      <c r="AT156" s="249" t="s">
        <v>2078</v>
      </c>
      <c r="AU156" s="247"/>
      <c r="AX156" s="249" t="s">
        <v>2088</v>
      </c>
      <c r="BB156" s="249" t="s">
        <v>2078</v>
      </c>
      <c r="BF156" s="249" t="s">
        <v>2078</v>
      </c>
      <c r="BH156" s="252"/>
      <c r="BI156" s="252"/>
      <c r="BJ156" s="249" t="s">
        <v>2078</v>
      </c>
      <c r="BK156" s="247"/>
      <c r="BN156" s="249" t="s">
        <v>2088</v>
      </c>
      <c r="BR156" s="249" t="s">
        <v>2078</v>
      </c>
      <c r="BV156" s="249" t="s">
        <v>2078</v>
      </c>
      <c r="BX156" s="252"/>
      <c r="BY156" s="252"/>
      <c r="BZ156" s="249" t="s">
        <v>2078</v>
      </c>
      <c r="CA156" s="247"/>
      <c r="CD156" s="249" t="s">
        <v>2088</v>
      </c>
      <c r="CH156" s="249" t="s">
        <v>2078</v>
      </c>
      <c r="CL156" s="249" t="s">
        <v>2078</v>
      </c>
      <c r="CN156" s="252"/>
      <c r="CO156" s="252"/>
      <c r="CP156" s="249" t="s">
        <v>2078</v>
      </c>
      <c r="CQ156" s="247"/>
      <c r="CT156" s="249" t="s">
        <v>2088</v>
      </c>
      <c r="CX156" s="249" t="s">
        <v>2078</v>
      </c>
      <c r="DB156" s="249" t="s">
        <v>2078</v>
      </c>
    </row>
    <row r="157" spans="44:106" ht="15" customHeight="1" x14ac:dyDescent="0.2">
      <c r="AR157" s="252"/>
      <c r="AS157" s="252"/>
      <c r="AT157" s="249" t="s">
        <v>2078</v>
      </c>
      <c r="AU157" s="247"/>
      <c r="AX157" s="249" t="s">
        <v>2088</v>
      </c>
      <c r="BB157" s="249" t="s">
        <v>2078</v>
      </c>
      <c r="BF157" s="249" t="s">
        <v>2078</v>
      </c>
      <c r="BH157" s="252"/>
      <c r="BI157" s="252"/>
      <c r="BJ157" s="249" t="s">
        <v>2078</v>
      </c>
      <c r="BK157" s="247"/>
      <c r="BN157" s="249" t="s">
        <v>2088</v>
      </c>
      <c r="BR157" s="249" t="s">
        <v>2078</v>
      </c>
      <c r="BV157" s="249" t="s">
        <v>2078</v>
      </c>
      <c r="BX157" s="252"/>
      <c r="BY157" s="252"/>
      <c r="BZ157" s="249" t="s">
        <v>2078</v>
      </c>
      <c r="CA157" s="247"/>
      <c r="CD157" s="249" t="s">
        <v>2088</v>
      </c>
      <c r="CH157" s="249" t="s">
        <v>2078</v>
      </c>
      <c r="CL157" s="249" t="s">
        <v>2078</v>
      </c>
      <c r="CN157" s="252"/>
      <c r="CO157" s="252"/>
      <c r="CP157" s="249" t="s">
        <v>2078</v>
      </c>
      <c r="CQ157" s="247"/>
      <c r="CT157" s="249" t="s">
        <v>2088</v>
      </c>
      <c r="CX157" s="249" t="s">
        <v>2078</v>
      </c>
      <c r="DB157" s="249" t="s">
        <v>2078</v>
      </c>
    </row>
    <row r="158" spans="44:106" ht="15" customHeight="1" x14ac:dyDescent="0.2">
      <c r="AR158" s="252"/>
      <c r="AS158" s="252"/>
      <c r="AT158" s="249" t="s">
        <v>2078</v>
      </c>
      <c r="AU158" s="247"/>
      <c r="AX158" s="249" t="s">
        <v>2088</v>
      </c>
      <c r="BB158" s="249" t="s">
        <v>2078</v>
      </c>
      <c r="BF158" s="249" t="s">
        <v>2078</v>
      </c>
      <c r="BH158" s="252"/>
      <c r="BI158" s="252"/>
      <c r="BJ158" s="249" t="s">
        <v>2078</v>
      </c>
      <c r="BK158" s="247"/>
      <c r="BN158" s="249" t="s">
        <v>2088</v>
      </c>
      <c r="BR158" s="249" t="s">
        <v>2078</v>
      </c>
      <c r="BV158" s="249" t="s">
        <v>2078</v>
      </c>
      <c r="BX158" s="252"/>
      <c r="BY158" s="252"/>
      <c r="BZ158" s="249" t="s">
        <v>2078</v>
      </c>
      <c r="CA158" s="247"/>
      <c r="CD158" s="249" t="s">
        <v>2088</v>
      </c>
      <c r="CH158" s="249" t="s">
        <v>2078</v>
      </c>
      <c r="CL158" s="249" t="s">
        <v>2078</v>
      </c>
      <c r="CN158" s="252"/>
      <c r="CO158" s="252"/>
      <c r="CP158" s="249" t="s">
        <v>2078</v>
      </c>
      <c r="CQ158" s="247"/>
      <c r="CT158" s="249" t="s">
        <v>2088</v>
      </c>
      <c r="CX158" s="249" t="s">
        <v>2078</v>
      </c>
      <c r="DB158" s="249" t="s">
        <v>2078</v>
      </c>
    </row>
    <row r="159" spans="44:106" ht="15" customHeight="1" x14ac:dyDescent="0.2">
      <c r="AR159" s="252"/>
      <c r="AS159" s="252"/>
      <c r="AT159" s="249" t="s">
        <v>2078</v>
      </c>
      <c r="AU159" s="247"/>
      <c r="AX159" s="249" t="s">
        <v>2088</v>
      </c>
      <c r="BB159" s="249" t="s">
        <v>2078</v>
      </c>
      <c r="BF159" s="249" t="s">
        <v>2078</v>
      </c>
      <c r="BH159" s="252"/>
      <c r="BI159" s="252"/>
      <c r="BJ159" s="249" t="s">
        <v>2078</v>
      </c>
      <c r="BK159" s="247"/>
      <c r="BN159" s="249" t="s">
        <v>2088</v>
      </c>
      <c r="BR159" s="249" t="s">
        <v>2078</v>
      </c>
      <c r="BV159" s="249" t="s">
        <v>2078</v>
      </c>
      <c r="BX159" s="252"/>
      <c r="BY159" s="252"/>
      <c r="BZ159" s="249" t="s">
        <v>2078</v>
      </c>
      <c r="CA159" s="247"/>
      <c r="CD159" s="249" t="s">
        <v>2088</v>
      </c>
      <c r="CH159" s="249" t="s">
        <v>2078</v>
      </c>
      <c r="CL159" s="249" t="s">
        <v>2078</v>
      </c>
      <c r="CN159" s="252"/>
      <c r="CO159" s="252"/>
      <c r="CP159" s="249" t="s">
        <v>2078</v>
      </c>
      <c r="CQ159" s="247"/>
      <c r="CT159" s="249" t="s">
        <v>2088</v>
      </c>
      <c r="CX159" s="249" t="s">
        <v>2078</v>
      </c>
      <c r="DB159" s="249" t="s">
        <v>2078</v>
      </c>
    </row>
    <row r="160" spans="44:106" ht="15" customHeight="1" x14ac:dyDescent="0.2">
      <c r="AR160" s="252"/>
      <c r="AS160" s="252"/>
      <c r="AT160" s="249" t="s">
        <v>2078</v>
      </c>
      <c r="AU160" s="247"/>
      <c r="AX160" s="249" t="s">
        <v>2088</v>
      </c>
      <c r="BB160" s="249" t="s">
        <v>2078</v>
      </c>
      <c r="BF160" s="249" t="s">
        <v>2078</v>
      </c>
      <c r="BH160" s="252"/>
      <c r="BI160" s="252"/>
      <c r="BJ160" s="249" t="s">
        <v>2078</v>
      </c>
      <c r="BK160" s="247"/>
      <c r="BN160" s="249" t="s">
        <v>2088</v>
      </c>
      <c r="BR160" s="249" t="s">
        <v>2078</v>
      </c>
      <c r="BV160" s="249" t="s">
        <v>2078</v>
      </c>
      <c r="BX160" s="252"/>
      <c r="BY160" s="252"/>
      <c r="BZ160" s="249" t="s">
        <v>2078</v>
      </c>
      <c r="CA160" s="247"/>
      <c r="CD160" s="249" t="s">
        <v>2088</v>
      </c>
      <c r="CH160" s="249" t="s">
        <v>2078</v>
      </c>
      <c r="CL160" s="249" t="s">
        <v>2078</v>
      </c>
      <c r="CN160" s="252"/>
      <c r="CO160" s="252"/>
      <c r="CP160" s="249" t="s">
        <v>2078</v>
      </c>
      <c r="CQ160" s="247"/>
      <c r="CT160" s="249" t="s">
        <v>2088</v>
      </c>
      <c r="CX160" s="249" t="s">
        <v>2078</v>
      </c>
      <c r="DB160" s="249" t="s">
        <v>2078</v>
      </c>
    </row>
    <row r="161" spans="44:106" ht="15" customHeight="1" x14ac:dyDescent="0.2">
      <c r="AR161" s="252"/>
      <c r="AS161" s="252"/>
      <c r="AT161" s="249" t="s">
        <v>2078</v>
      </c>
      <c r="AU161" s="247"/>
      <c r="AX161" s="249" t="s">
        <v>2088</v>
      </c>
      <c r="BB161" s="249" t="s">
        <v>2078</v>
      </c>
      <c r="BF161" s="249" t="s">
        <v>2078</v>
      </c>
      <c r="BH161" s="252"/>
      <c r="BI161" s="252"/>
      <c r="BJ161" s="249" t="s">
        <v>2078</v>
      </c>
      <c r="BK161" s="247"/>
      <c r="BN161" s="249" t="s">
        <v>2088</v>
      </c>
      <c r="BR161" s="249" t="s">
        <v>2078</v>
      </c>
      <c r="BV161" s="249" t="s">
        <v>2078</v>
      </c>
      <c r="BX161" s="252"/>
      <c r="BY161" s="252"/>
      <c r="BZ161" s="249" t="s">
        <v>2078</v>
      </c>
      <c r="CA161" s="247"/>
      <c r="CD161" s="249" t="s">
        <v>2088</v>
      </c>
      <c r="CH161" s="249" t="s">
        <v>2078</v>
      </c>
      <c r="CL161" s="249" t="s">
        <v>2078</v>
      </c>
      <c r="CN161" s="252"/>
      <c r="CO161" s="252"/>
      <c r="CP161" s="249" t="s">
        <v>2078</v>
      </c>
      <c r="CQ161" s="247"/>
      <c r="CT161" s="249" t="s">
        <v>2088</v>
      </c>
      <c r="CX161" s="249" t="s">
        <v>2078</v>
      </c>
      <c r="DB161" s="249" t="s">
        <v>2078</v>
      </c>
    </row>
    <row r="162" spans="44:106" ht="15" customHeight="1" x14ac:dyDescent="0.2">
      <c r="AR162" s="252"/>
      <c r="AS162" s="252"/>
      <c r="AT162" s="249" t="s">
        <v>2078</v>
      </c>
      <c r="AU162" s="247"/>
      <c r="AX162" s="249" t="s">
        <v>2088</v>
      </c>
      <c r="BB162" s="249" t="s">
        <v>2078</v>
      </c>
      <c r="BF162" s="249" t="s">
        <v>2078</v>
      </c>
      <c r="BH162" s="252"/>
      <c r="BI162" s="252"/>
      <c r="BJ162" s="249" t="s">
        <v>2078</v>
      </c>
      <c r="BK162" s="247"/>
      <c r="BN162" s="249" t="s">
        <v>2088</v>
      </c>
      <c r="BR162" s="249" t="s">
        <v>2078</v>
      </c>
      <c r="BV162" s="249" t="s">
        <v>2078</v>
      </c>
      <c r="BX162" s="252"/>
      <c r="BY162" s="252"/>
      <c r="BZ162" s="249" t="s">
        <v>2078</v>
      </c>
      <c r="CA162" s="247"/>
      <c r="CD162" s="249" t="s">
        <v>2088</v>
      </c>
      <c r="CH162" s="249" t="s">
        <v>2078</v>
      </c>
      <c r="CL162" s="249" t="s">
        <v>2078</v>
      </c>
      <c r="CN162" s="252"/>
      <c r="CO162" s="252"/>
      <c r="CP162" s="249" t="s">
        <v>2078</v>
      </c>
      <c r="CQ162" s="247"/>
      <c r="CT162" s="249" t="s">
        <v>2088</v>
      </c>
      <c r="CX162" s="249" t="s">
        <v>2078</v>
      </c>
      <c r="DB162" s="249" t="s">
        <v>2078</v>
      </c>
    </row>
    <row r="163" spans="44:106" ht="15" customHeight="1" x14ac:dyDescent="0.2">
      <c r="AR163" s="252"/>
      <c r="AS163" s="252"/>
      <c r="AT163" s="249" t="s">
        <v>2078</v>
      </c>
      <c r="AU163" s="247"/>
      <c r="AX163" s="249" t="s">
        <v>2088</v>
      </c>
      <c r="BB163" s="249" t="s">
        <v>2078</v>
      </c>
      <c r="BF163" s="249" t="s">
        <v>2078</v>
      </c>
      <c r="BH163" s="252"/>
      <c r="BI163" s="252"/>
      <c r="BJ163" s="249" t="s">
        <v>2078</v>
      </c>
      <c r="BK163" s="247"/>
      <c r="BN163" s="249" t="s">
        <v>2088</v>
      </c>
      <c r="BR163" s="249" t="s">
        <v>2078</v>
      </c>
      <c r="BV163" s="249" t="s">
        <v>2078</v>
      </c>
      <c r="BX163" s="252"/>
      <c r="BY163" s="252"/>
      <c r="BZ163" s="249" t="s">
        <v>2078</v>
      </c>
      <c r="CA163" s="247"/>
      <c r="CD163" s="249" t="s">
        <v>2088</v>
      </c>
      <c r="CH163" s="249" t="s">
        <v>2078</v>
      </c>
      <c r="CL163" s="249" t="s">
        <v>2078</v>
      </c>
      <c r="CN163" s="252"/>
      <c r="CO163" s="252"/>
      <c r="CP163" s="249" t="s">
        <v>2078</v>
      </c>
      <c r="CQ163" s="247"/>
      <c r="CT163" s="249" t="s">
        <v>2088</v>
      </c>
      <c r="CX163" s="249" t="s">
        <v>2078</v>
      </c>
      <c r="DB163" s="249" t="s">
        <v>2078</v>
      </c>
    </row>
    <row r="164" spans="44:106" ht="15" customHeight="1" x14ac:dyDescent="0.2">
      <c r="AR164" s="252"/>
      <c r="AS164" s="252"/>
      <c r="AT164" s="249" t="s">
        <v>2078</v>
      </c>
      <c r="AU164" s="247"/>
      <c r="AX164" s="249" t="s">
        <v>2088</v>
      </c>
      <c r="BB164" s="249" t="s">
        <v>2078</v>
      </c>
      <c r="BF164" s="249" t="s">
        <v>2078</v>
      </c>
      <c r="BH164" s="252"/>
      <c r="BI164" s="252"/>
      <c r="BJ164" s="249" t="s">
        <v>2078</v>
      </c>
      <c r="BK164" s="247"/>
      <c r="BN164" s="249" t="s">
        <v>2088</v>
      </c>
      <c r="BR164" s="249" t="s">
        <v>2078</v>
      </c>
      <c r="BV164" s="249" t="s">
        <v>2078</v>
      </c>
      <c r="BX164" s="252"/>
      <c r="BY164" s="252"/>
      <c r="BZ164" s="249" t="s">
        <v>2078</v>
      </c>
      <c r="CA164" s="247"/>
      <c r="CD164" s="249" t="s">
        <v>2088</v>
      </c>
      <c r="CH164" s="249" t="s">
        <v>2078</v>
      </c>
      <c r="CL164" s="249" t="s">
        <v>2078</v>
      </c>
      <c r="CN164" s="252"/>
      <c r="CO164" s="252"/>
      <c r="CP164" s="249" t="s">
        <v>2078</v>
      </c>
      <c r="CQ164" s="247"/>
      <c r="CT164" s="249" t="s">
        <v>2088</v>
      </c>
      <c r="CX164" s="249" t="s">
        <v>2078</v>
      </c>
      <c r="DB164" s="249" t="s">
        <v>2078</v>
      </c>
    </row>
    <row r="165" spans="44:106" ht="15" customHeight="1" x14ac:dyDescent="0.2">
      <c r="AR165" s="252"/>
      <c r="AS165" s="252"/>
      <c r="AT165" s="249" t="s">
        <v>2078</v>
      </c>
      <c r="AU165" s="247"/>
      <c r="AX165" s="249" t="s">
        <v>2088</v>
      </c>
      <c r="BB165" s="249" t="s">
        <v>2078</v>
      </c>
      <c r="BF165" s="249" t="s">
        <v>2078</v>
      </c>
      <c r="BH165" s="252"/>
      <c r="BI165" s="252"/>
      <c r="BJ165" s="249" t="s">
        <v>2078</v>
      </c>
      <c r="BK165" s="247"/>
      <c r="BN165" s="249" t="s">
        <v>2088</v>
      </c>
      <c r="BR165" s="249" t="s">
        <v>2078</v>
      </c>
      <c r="BV165" s="249" t="s">
        <v>2078</v>
      </c>
      <c r="BX165" s="252"/>
      <c r="BY165" s="252"/>
      <c r="BZ165" s="249" t="s">
        <v>2078</v>
      </c>
      <c r="CA165" s="247"/>
      <c r="CD165" s="249" t="s">
        <v>2088</v>
      </c>
      <c r="CH165" s="249" t="s">
        <v>2078</v>
      </c>
      <c r="CL165" s="249" t="s">
        <v>2078</v>
      </c>
      <c r="CN165" s="252"/>
      <c r="CO165" s="252"/>
      <c r="CP165" s="249" t="s">
        <v>2078</v>
      </c>
      <c r="CQ165" s="247"/>
      <c r="CT165" s="249" t="s">
        <v>2088</v>
      </c>
      <c r="CX165" s="249" t="s">
        <v>2078</v>
      </c>
      <c r="DB165" s="249" t="s">
        <v>2078</v>
      </c>
    </row>
    <row r="166" spans="44:106" ht="15" customHeight="1" x14ac:dyDescent="0.2">
      <c r="AR166" s="252"/>
      <c r="AS166" s="252"/>
      <c r="AT166" s="249" t="s">
        <v>2078</v>
      </c>
      <c r="AU166" s="247"/>
      <c r="AX166" s="249" t="s">
        <v>2088</v>
      </c>
      <c r="BB166" s="249" t="s">
        <v>2078</v>
      </c>
      <c r="BF166" s="249" t="s">
        <v>2078</v>
      </c>
      <c r="BH166" s="252"/>
      <c r="BI166" s="252"/>
      <c r="BJ166" s="249" t="s">
        <v>2078</v>
      </c>
      <c r="BK166" s="247"/>
      <c r="BN166" s="249" t="s">
        <v>2088</v>
      </c>
      <c r="BR166" s="249" t="s">
        <v>2078</v>
      </c>
      <c r="BV166" s="249" t="s">
        <v>2078</v>
      </c>
      <c r="BX166" s="252"/>
      <c r="BY166" s="252"/>
      <c r="BZ166" s="249" t="s">
        <v>2078</v>
      </c>
      <c r="CA166" s="247"/>
      <c r="CD166" s="249" t="s">
        <v>2088</v>
      </c>
      <c r="CH166" s="249" t="s">
        <v>2078</v>
      </c>
      <c r="CL166" s="249" t="s">
        <v>2078</v>
      </c>
      <c r="CN166" s="252"/>
      <c r="CO166" s="252"/>
      <c r="CP166" s="249" t="s">
        <v>2078</v>
      </c>
      <c r="CQ166" s="247"/>
      <c r="CT166" s="249" t="s">
        <v>2088</v>
      </c>
      <c r="CX166" s="249" t="s">
        <v>2078</v>
      </c>
      <c r="DB166" s="249" t="s">
        <v>2078</v>
      </c>
    </row>
    <row r="167" spans="44:106" ht="15" customHeight="1" x14ac:dyDescent="0.2">
      <c r="AR167" s="252"/>
      <c r="AS167" s="252"/>
      <c r="AT167" s="249" t="s">
        <v>2078</v>
      </c>
      <c r="AU167" s="247"/>
      <c r="AX167" s="249" t="s">
        <v>2088</v>
      </c>
      <c r="BB167" s="249" t="s">
        <v>2078</v>
      </c>
      <c r="BF167" s="249" t="s">
        <v>2078</v>
      </c>
      <c r="BH167" s="252"/>
      <c r="BI167" s="252"/>
      <c r="BJ167" s="249" t="s">
        <v>2078</v>
      </c>
      <c r="BK167" s="247"/>
      <c r="BN167" s="249" t="s">
        <v>2088</v>
      </c>
      <c r="BR167" s="249" t="s">
        <v>2078</v>
      </c>
      <c r="BV167" s="249" t="s">
        <v>2078</v>
      </c>
      <c r="BX167" s="252"/>
      <c r="BY167" s="252"/>
      <c r="BZ167" s="249" t="s">
        <v>2078</v>
      </c>
      <c r="CA167" s="247"/>
      <c r="CD167" s="249" t="s">
        <v>2088</v>
      </c>
      <c r="CH167" s="249" t="s">
        <v>2078</v>
      </c>
      <c r="CL167" s="249" t="s">
        <v>2078</v>
      </c>
      <c r="CN167" s="252"/>
      <c r="CO167" s="252"/>
      <c r="CP167" s="249" t="s">
        <v>2078</v>
      </c>
      <c r="CQ167" s="247"/>
      <c r="CT167" s="249" t="s">
        <v>2088</v>
      </c>
      <c r="CX167" s="249" t="s">
        <v>2078</v>
      </c>
      <c r="DB167" s="249" t="s">
        <v>2078</v>
      </c>
    </row>
    <row r="168" spans="44:106" ht="15" customHeight="1" x14ac:dyDescent="0.2">
      <c r="AR168" s="252"/>
      <c r="AS168" s="252"/>
      <c r="AT168" s="249" t="s">
        <v>2078</v>
      </c>
      <c r="AU168" s="247"/>
      <c r="AX168" s="249" t="s">
        <v>2088</v>
      </c>
      <c r="BB168" s="249" t="s">
        <v>2078</v>
      </c>
      <c r="BF168" s="249" t="s">
        <v>2078</v>
      </c>
      <c r="BH168" s="252"/>
      <c r="BI168" s="252"/>
      <c r="BJ168" s="249" t="s">
        <v>2078</v>
      </c>
      <c r="BK168" s="247"/>
      <c r="BN168" s="249" t="s">
        <v>2088</v>
      </c>
      <c r="BR168" s="249" t="s">
        <v>2078</v>
      </c>
      <c r="BV168" s="249" t="s">
        <v>2078</v>
      </c>
      <c r="BX168" s="252"/>
      <c r="BY168" s="252"/>
      <c r="BZ168" s="249" t="s">
        <v>2078</v>
      </c>
      <c r="CA168" s="247"/>
      <c r="CD168" s="249" t="s">
        <v>2088</v>
      </c>
      <c r="CH168" s="249" t="s">
        <v>2078</v>
      </c>
      <c r="CL168" s="249" t="s">
        <v>2078</v>
      </c>
      <c r="CN168" s="252"/>
      <c r="CO168" s="252"/>
      <c r="CP168" s="249" t="s">
        <v>2078</v>
      </c>
      <c r="CQ168" s="247"/>
      <c r="CT168" s="249" t="s">
        <v>2088</v>
      </c>
      <c r="CX168" s="249" t="s">
        <v>2078</v>
      </c>
      <c r="DB168" s="249" t="s">
        <v>2078</v>
      </c>
    </row>
    <row r="169" spans="44:106" ht="15" customHeight="1" x14ac:dyDescent="0.2">
      <c r="AR169" s="252"/>
      <c r="AS169" s="252"/>
      <c r="AT169" s="249" t="s">
        <v>2078</v>
      </c>
      <c r="AU169" s="247"/>
      <c r="AX169" s="249" t="s">
        <v>2088</v>
      </c>
      <c r="BB169" s="249" t="s">
        <v>2078</v>
      </c>
      <c r="BF169" s="249" t="s">
        <v>2078</v>
      </c>
      <c r="BH169" s="252"/>
      <c r="BI169" s="252"/>
      <c r="BJ169" s="249" t="s">
        <v>2078</v>
      </c>
      <c r="BK169" s="247"/>
      <c r="BN169" s="249" t="s">
        <v>2088</v>
      </c>
      <c r="BR169" s="249" t="s">
        <v>2078</v>
      </c>
      <c r="BV169" s="249" t="s">
        <v>2078</v>
      </c>
      <c r="BX169" s="252"/>
      <c r="BY169" s="252"/>
      <c r="BZ169" s="249" t="s">
        <v>2078</v>
      </c>
      <c r="CA169" s="247"/>
      <c r="CD169" s="249" t="s">
        <v>2088</v>
      </c>
      <c r="CH169" s="249" t="s">
        <v>2078</v>
      </c>
      <c r="CL169" s="249" t="s">
        <v>2078</v>
      </c>
      <c r="CN169" s="252"/>
      <c r="CO169" s="252"/>
      <c r="CP169" s="249" t="s">
        <v>2078</v>
      </c>
      <c r="CQ169" s="247"/>
      <c r="CT169" s="249" t="s">
        <v>2088</v>
      </c>
      <c r="CX169" s="249" t="s">
        <v>2078</v>
      </c>
      <c r="DB169" s="249" t="s">
        <v>2078</v>
      </c>
    </row>
    <row r="170" spans="44:106" ht="15" customHeight="1" x14ac:dyDescent="0.2">
      <c r="AR170" s="252"/>
      <c r="AS170" s="252"/>
      <c r="AT170" s="249" t="s">
        <v>2078</v>
      </c>
      <c r="AU170" s="247"/>
      <c r="AX170" s="249" t="s">
        <v>2088</v>
      </c>
      <c r="BB170" s="249" t="s">
        <v>2078</v>
      </c>
      <c r="BF170" s="249" t="s">
        <v>2078</v>
      </c>
      <c r="BH170" s="252"/>
      <c r="BI170" s="252"/>
      <c r="BJ170" s="249" t="s">
        <v>2078</v>
      </c>
      <c r="BK170" s="247"/>
      <c r="BN170" s="249" t="s">
        <v>2088</v>
      </c>
      <c r="BR170" s="249" t="s">
        <v>2078</v>
      </c>
      <c r="BV170" s="249" t="s">
        <v>2078</v>
      </c>
      <c r="BX170" s="252"/>
      <c r="BY170" s="252"/>
      <c r="BZ170" s="249" t="s">
        <v>2078</v>
      </c>
      <c r="CA170" s="247"/>
      <c r="CD170" s="249" t="s">
        <v>2088</v>
      </c>
      <c r="CH170" s="249" t="s">
        <v>2078</v>
      </c>
      <c r="CL170" s="249" t="s">
        <v>2078</v>
      </c>
      <c r="CN170" s="252"/>
      <c r="CO170" s="252"/>
      <c r="CP170" s="249" t="s">
        <v>2078</v>
      </c>
      <c r="CQ170" s="247"/>
      <c r="CT170" s="249" t="s">
        <v>2088</v>
      </c>
      <c r="CX170" s="249" t="s">
        <v>2078</v>
      </c>
      <c r="DB170" s="249" t="s">
        <v>2078</v>
      </c>
    </row>
    <row r="171" spans="44:106" ht="15" customHeight="1" x14ac:dyDescent="0.2">
      <c r="AR171" s="252"/>
      <c r="AS171" s="252"/>
      <c r="AT171" s="249" t="s">
        <v>2078</v>
      </c>
      <c r="AU171" s="247"/>
      <c r="AX171" s="249" t="s">
        <v>2088</v>
      </c>
      <c r="BB171" s="249" t="s">
        <v>2078</v>
      </c>
      <c r="BF171" s="249" t="s">
        <v>2078</v>
      </c>
      <c r="BH171" s="252"/>
      <c r="BI171" s="252"/>
      <c r="BJ171" s="249" t="s">
        <v>2078</v>
      </c>
      <c r="BK171" s="247"/>
      <c r="BN171" s="249" t="s">
        <v>2088</v>
      </c>
      <c r="BR171" s="249" t="s">
        <v>2078</v>
      </c>
      <c r="BV171" s="249" t="s">
        <v>2078</v>
      </c>
      <c r="BX171" s="252"/>
      <c r="BY171" s="252"/>
      <c r="BZ171" s="249" t="s">
        <v>2078</v>
      </c>
      <c r="CA171" s="247"/>
      <c r="CD171" s="249" t="s">
        <v>2088</v>
      </c>
      <c r="CH171" s="249" t="s">
        <v>2078</v>
      </c>
      <c r="CL171" s="249" t="s">
        <v>2078</v>
      </c>
      <c r="CN171" s="252"/>
      <c r="CO171" s="252"/>
      <c r="CP171" s="249" t="s">
        <v>2078</v>
      </c>
      <c r="CQ171" s="247"/>
      <c r="CT171" s="249" t="s">
        <v>2088</v>
      </c>
      <c r="CX171" s="249" t="s">
        <v>2078</v>
      </c>
      <c r="DB171" s="249" t="s">
        <v>2078</v>
      </c>
    </row>
    <row r="172" spans="44:106" ht="15" customHeight="1" x14ac:dyDescent="0.2">
      <c r="AR172" s="252"/>
      <c r="AS172" s="252"/>
      <c r="AT172" s="249" t="s">
        <v>2078</v>
      </c>
      <c r="AU172" s="247"/>
      <c r="AX172" s="249" t="s">
        <v>2088</v>
      </c>
      <c r="BB172" s="249" t="s">
        <v>2078</v>
      </c>
      <c r="BF172" s="249" t="s">
        <v>2078</v>
      </c>
      <c r="BH172" s="252"/>
      <c r="BI172" s="252"/>
      <c r="BJ172" s="249" t="s">
        <v>2078</v>
      </c>
      <c r="BK172" s="247"/>
      <c r="BN172" s="249" t="s">
        <v>2088</v>
      </c>
      <c r="BR172" s="249" t="s">
        <v>2078</v>
      </c>
      <c r="BV172" s="249" t="s">
        <v>2078</v>
      </c>
      <c r="BX172" s="252"/>
      <c r="BY172" s="252"/>
      <c r="BZ172" s="249" t="s">
        <v>2078</v>
      </c>
      <c r="CA172" s="247"/>
      <c r="CD172" s="249" t="s">
        <v>2088</v>
      </c>
      <c r="CH172" s="249" t="s">
        <v>2078</v>
      </c>
      <c r="CL172" s="249" t="s">
        <v>2078</v>
      </c>
      <c r="CN172" s="252"/>
      <c r="CO172" s="252"/>
      <c r="CP172" s="249" t="s">
        <v>2078</v>
      </c>
      <c r="CQ172" s="247"/>
      <c r="CT172" s="249" t="s">
        <v>2088</v>
      </c>
      <c r="CX172" s="249" t="s">
        <v>2078</v>
      </c>
      <c r="DB172" s="249" t="s">
        <v>2078</v>
      </c>
    </row>
    <row r="173" spans="44:106" ht="15" customHeight="1" x14ac:dyDescent="0.2">
      <c r="AR173" s="252"/>
      <c r="AS173" s="252"/>
      <c r="AT173" s="249" t="s">
        <v>2078</v>
      </c>
      <c r="AU173" s="247"/>
      <c r="AX173" s="249" t="s">
        <v>2088</v>
      </c>
      <c r="BB173" s="249" t="s">
        <v>2078</v>
      </c>
      <c r="BF173" s="249" t="s">
        <v>2078</v>
      </c>
      <c r="BH173" s="252"/>
      <c r="BI173" s="252"/>
      <c r="BJ173" s="249" t="s">
        <v>2078</v>
      </c>
      <c r="BK173" s="247"/>
      <c r="BN173" s="249" t="s">
        <v>2088</v>
      </c>
      <c r="BR173" s="249" t="s">
        <v>2078</v>
      </c>
      <c r="BV173" s="249" t="s">
        <v>2078</v>
      </c>
      <c r="BX173" s="252"/>
      <c r="BY173" s="252"/>
      <c r="BZ173" s="249" t="s">
        <v>2078</v>
      </c>
      <c r="CA173" s="247"/>
      <c r="CD173" s="249" t="s">
        <v>2088</v>
      </c>
      <c r="CH173" s="249" t="s">
        <v>2078</v>
      </c>
      <c r="CL173" s="249" t="s">
        <v>2078</v>
      </c>
      <c r="CN173" s="252"/>
      <c r="CO173" s="252"/>
      <c r="CP173" s="249" t="s">
        <v>2078</v>
      </c>
      <c r="CQ173" s="247"/>
      <c r="CT173" s="249" t="s">
        <v>2088</v>
      </c>
      <c r="CX173" s="249" t="s">
        <v>2078</v>
      </c>
      <c r="DB173" s="249" t="s">
        <v>2078</v>
      </c>
    </row>
    <row r="174" spans="44:106" ht="15" customHeight="1" x14ac:dyDescent="0.2">
      <c r="AR174" s="252"/>
      <c r="AS174" s="252"/>
      <c r="AT174" s="249" t="s">
        <v>2078</v>
      </c>
      <c r="AU174" s="247"/>
      <c r="AX174" s="249" t="s">
        <v>2088</v>
      </c>
      <c r="BB174" s="249" t="s">
        <v>2078</v>
      </c>
      <c r="BF174" s="249" t="s">
        <v>2078</v>
      </c>
      <c r="BH174" s="252"/>
      <c r="BI174" s="252"/>
      <c r="BJ174" s="249" t="s">
        <v>2078</v>
      </c>
      <c r="BK174" s="247"/>
      <c r="BN174" s="249" t="s">
        <v>2088</v>
      </c>
      <c r="BR174" s="249" t="s">
        <v>2078</v>
      </c>
      <c r="BV174" s="249" t="s">
        <v>2078</v>
      </c>
      <c r="BX174" s="252"/>
      <c r="BY174" s="252"/>
      <c r="BZ174" s="249" t="s">
        <v>2078</v>
      </c>
      <c r="CA174" s="247"/>
      <c r="CD174" s="249" t="s">
        <v>2088</v>
      </c>
      <c r="CH174" s="249" t="s">
        <v>2078</v>
      </c>
      <c r="CL174" s="249" t="s">
        <v>2078</v>
      </c>
      <c r="CN174" s="252"/>
      <c r="CO174" s="252"/>
      <c r="CP174" s="249" t="s">
        <v>2078</v>
      </c>
      <c r="CQ174" s="247"/>
      <c r="CT174" s="249" t="s">
        <v>2088</v>
      </c>
      <c r="CX174" s="249" t="s">
        <v>2078</v>
      </c>
      <c r="DB174" s="249" t="s">
        <v>2078</v>
      </c>
    </row>
    <row r="175" spans="44:106" ht="15" customHeight="1" x14ac:dyDescent="0.2">
      <c r="AR175" s="252"/>
      <c r="AS175" s="252"/>
      <c r="AT175" s="249" t="s">
        <v>2078</v>
      </c>
      <c r="AU175" s="247"/>
      <c r="AX175" s="249" t="s">
        <v>2088</v>
      </c>
      <c r="BB175" s="249" t="s">
        <v>2078</v>
      </c>
      <c r="BF175" s="249" t="s">
        <v>2078</v>
      </c>
      <c r="BH175" s="252"/>
      <c r="BI175" s="252"/>
      <c r="BJ175" s="249" t="s">
        <v>2078</v>
      </c>
      <c r="BK175" s="247"/>
      <c r="BN175" s="249" t="s">
        <v>2088</v>
      </c>
      <c r="BR175" s="249" t="s">
        <v>2078</v>
      </c>
      <c r="BV175" s="249" t="s">
        <v>2078</v>
      </c>
      <c r="BX175" s="252"/>
      <c r="BY175" s="252"/>
      <c r="BZ175" s="249" t="s">
        <v>2078</v>
      </c>
      <c r="CA175" s="247"/>
      <c r="CD175" s="249" t="s">
        <v>2088</v>
      </c>
      <c r="CH175" s="249" t="s">
        <v>2078</v>
      </c>
      <c r="CL175" s="249" t="s">
        <v>2078</v>
      </c>
      <c r="CN175" s="252"/>
      <c r="CO175" s="252"/>
      <c r="CP175" s="249" t="s">
        <v>2078</v>
      </c>
      <c r="CQ175" s="247"/>
      <c r="CT175" s="249" t="s">
        <v>2088</v>
      </c>
      <c r="CX175" s="249" t="s">
        <v>2078</v>
      </c>
      <c r="DB175" s="249" t="s">
        <v>2078</v>
      </c>
    </row>
    <row r="176" spans="44:106" ht="15" customHeight="1" x14ac:dyDescent="0.2">
      <c r="AR176" s="252"/>
      <c r="AS176" s="252"/>
      <c r="AT176" s="249" t="s">
        <v>2078</v>
      </c>
      <c r="AU176" s="247"/>
      <c r="AX176" s="249" t="s">
        <v>2088</v>
      </c>
      <c r="BB176" s="249" t="s">
        <v>2078</v>
      </c>
      <c r="BF176" s="249" t="s">
        <v>2078</v>
      </c>
      <c r="BH176" s="252"/>
      <c r="BI176" s="252"/>
      <c r="BJ176" s="249" t="s">
        <v>2078</v>
      </c>
      <c r="BK176" s="247"/>
      <c r="BN176" s="249" t="s">
        <v>2088</v>
      </c>
      <c r="BR176" s="249" t="s">
        <v>2078</v>
      </c>
      <c r="BV176" s="249" t="s">
        <v>2078</v>
      </c>
      <c r="BX176" s="252"/>
      <c r="BY176" s="252"/>
      <c r="BZ176" s="249" t="s">
        <v>2078</v>
      </c>
      <c r="CA176" s="247"/>
      <c r="CD176" s="249" t="s">
        <v>2088</v>
      </c>
      <c r="CH176" s="249" t="s">
        <v>2078</v>
      </c>
      <c r="CL176" s="249" t="s">
        <v>2078</v>
      </c>
      <c r="CN176" s="252"/>
      <c r="CO176" s="252"/>
      <c r="CP176" s="249" t="s">
        <v>2078</v>
      </c>
      <c r="CQ176" s="247"/>
      <c r="CT176" s="249" t="s">
        <v>2088</v>
      </c>
      <c r="CX176" s="249" t="s">
        <v>2078</v>
      </c>
      <c r="DB176" s="249" t="s">
        <v>2078</v>
      </c>
    </row>
    <row r="177" spans="44:106" ht="15" customHeight="1" x14ac:dyDescent="0.2">
      <c r="AR177" s="252"/>
      <c r="AS177" s="252"/>
      <c r="AT177" s="249" t="s">
        <v>2078</v>
      </c>
      <c r="AU177" s="247"/>
      <c r="AX177" s="249" t="s">
        <v>2088</v>
      </c>
      <c r="BB177" s="249" t="s">
        <v>2078</v>
      </c>
      <c r="BF177" s="249" t="s">
        <v>2078</v>
      </c>
      <c r="BH177" s="252"/>
      <c r="BI177" s="252"/>
      <c r="BJ177" s="249" t="s">
        <v>2078</v>
      </c>
      <c r="BK177" s="247"/>
      <c r="BN177" s="249" t="s">
        <v>2088</v>
      </c>
      <c r="BR177" s="249" t="s">
        <v>2078</v>
      </c>
      <c r="BV177" s="249" t="s">
        <v>2078</v>
      </c>
      <c r="BX177" s="252"/>
      <c r="BY177" s="252"/>
      <c r="BZ177" s="249" t="s">
        <v>2078</v>
      </c>
      <c r="CA177" s="247"/>
      <c r="CD177" s="249" t="s">
        <v>2088</v>
      </c>
      <c r="CH177" s="249" t="s">
        <v>2078</v>
      </c>
      <c r="CL177" s="249" t="s">
        <v>2078</v>
      </c>
      <c r="CN177" s="252"/>
      <c r="CO177" s="252"/>
      <c r="CP177" s="249" t="s">
        <v>2078</v>
      </c>
      <c r="CQ177" s="247"/>
      <c r="CT177" s="249" t="s">
        <v>2088</v>
      </c>
      <c r="CX177" s="249" t="s">
        <v>2078</v>
      </c>
      <c r="DB177" s="249" t="s">
        <v>2078</v>
      </c>
    </row>
    <row r="178" spans="44:106" ht="15" customHeight="1" x14ac:dyDescent="0.2">
      <c r="AR178" s="252"/>
      <c r="AS178" s="252"/>
      <c r="AT178" s="249" t="s">
        <v>2078</v>
      </c>
      <c r="AU178" s="247"/>
      <c r="AX178" s="249" t="s">
        <v>2088</v>
      </c>
      <c r="BB178" s="249" t="s">
        <v>2078</v>
      </c>
      <c r="BF178" s="249" t="s">
        <v>2078</v>
      </c>
      <c r="BH178" s="252"/>
      <c r="BI178" s="252"/>
      <c r="BJ178" s="249" t="s">
        <v>2078</v>
      </c>
      <c r="BK178" s="247"/>
      <c r="BN178" s="249" t="s">
        <v>2088</v>
      </c>
      <c r="BR178" s="249" t="s">
        <v>2078</v>
      </c>
      <c r="BV178" s="249" t="s">
        <v>2078</v>
      </c>
      <c r="BX178" s="252"/>
      <c r="BY178" s="252"/>
      <c r="BZ178" s="249" t="s">
        <v>2078</v>
      </c>
      <c r="CA178" s="247"/>
      <c r="CD178" s="249" t="s">
        <v>2088</v>
      </c>
      <c r="CH178" s="249" t="s">
        <v>2078</v>
      </c>
      <c r="CL178" s="249" t="s">
        <v>2078</v>
      </c>
      <c r="CN178" s="252"/>
      <c r="CO178" s="252"/>
      <c r="CP178" s="249" t="s">
        <v>2078</v>
      </c>
      <c r="CQ178" s="247"/>
      <c r="CT178" s="249" t="s">
        <v>2088</v>
      </c>
      <c r="CX178" s="249" t="s">
        <v>2078</v>
      </c>
      <c r="DB178" s="249" t="s">
        <v>2078</v>
      </c>
    </row>
    <row r="179" spans="44:106" ht="15" customHeight="1" x14ac:dyDescent="0.2">
      <c r="AR179" s="252"/>
      <c r="AS179" s="252"/>
      <c r="AT179" s="249" t="s">
        <v>2078</v>
      </c>
      <c r="AU179" s="247"/>
      <c r="AX179" s="249" t="s">
        <v>2088</v>
      </c>
      <c r="BB179" s="249" t="s">
        <v>2078</v>
      </c>
      <c r="BF179" s="249" t="s">
        <v>2078</v>
      </c>
      <c r="BH179" s="252"/>
      <c r="BI179" s="252"/>
      <c r="BJ179" s="249" t="s">
        <v>2078</v>
      </c>
      <c r="BK179" s="247"/>
      <c r="BN179" s="249" t="s">
        <v>2088</v>
      </c>
      <c r="BR179" s="249" t="s">
        <v>2078</v>
      </c>
      <c r="BV179" s="249" t="s">
        <v>2078</v>
      </c>
      <c r="BX179" s="252"/>
      <c r="BY179" s="252"/>
      <c r="BZ179" s="249" t="s">
        <v>2078</v>
      </c>
      <c r="CA179" s="247"/>
      <c r="CD179" s="249" t="s">
        <v>2088</v>
      </c>
      <c r="CH179" s="249" t="s">
        <v>2078</v>
      </c>
      <c r="CL179" s="249" t="s">
        <v>2078</v>
      </c>
      <c r="CN179" s="252"/>
      <c r="CO179" s="252"/>
      <c r="CP179" s="249" t="s">
        <v>2078</v>
      </c>
      <c r="CQ179" s="247"/>
      <c r="CT179" s="249" t="s">
        <v>2088</v>
      </c>
      <c r="CX179" s="249" t="s">
        <v>2078</v>
      </c>
      <c r="DB179" s="249" t="s">
        <v>2078</v>
      </c>
    </row>
    <row r="180" spans="44:106" ht="15" customHeight="1" x14ac:dyDescent="0.2">
      <c r="AR180" s="252"/>
      <c r="AS180" s="252"/>
      <c r="AT180" s="249" t="s">
        <v>2078</v>
      </c>
      <c r="AU180" s="247"/>
      <c r="AX180" s="249" t="s">
        <v>2088</v>
      </c>
      <c r="BB180" s="249" t="s">
        <v>2078</v>
      </c>
      <c r="BF180" s="249" t="s">
        <v>2078</v>
      </c>
      <c r="BH180" s="252"/>
      <c r="BI180" s="252"/>
      <c r="BJ180" s="249" t="s">
        <v>2078</v>
      </c>
      <c r="BK180" s="247"/>
      <c r="BN180" s="249" t="s">
        <v>2088</v>
      </c>
      <c r="BR180" s="249" t="s">
        <v>2078</v>
      </c>
      <c r="BV180" s="249" t="s">
        <v>2078</v>
      </c>
      <c r="BX180" s="252"/>
      <c r="BY180" s="252"/>
      <c r="BZ180" s="249" t="s">
        <v>2078</v>
      </c>
      <c r="CA180" s="247"/>
      <c r="CD180" s="249" t="s">
        <v>2088</v>
      </c>
      <c r="CH180" s="249" t="s">
        <v>2078</v>
      </c>
      <c r="CL180" s="249" t="s">
        <v>2078</v>
      </c>
      <c r="CN180" s="252"/>
      <c r="CO180" s="252"/>
      <c r="CP180" s="249" t="s">
        <v>2078</v>
      </c>
      <c r="CQ180" s="247"/>
      <c r="CT180" s="249" t="s">
        <v>2088</v>
      </c>
      <c r="CX180" s="249" t="s">
        <v>2078</v>
      </c>
      <c r="DB180" s="249" t="s">
        <v>2078</v>
      </c>
    </row>
    <row r="181" spans="44:106" ht="15" customHeight="1" x14ac:dyDescent="0.2">
      <c r="AR181" s="252"/>
      <c r="AS181" s="252"/>
      <c r="AT181" s="249" t="s">
        <v>2078</v>
      </c>
      <c r="AU181" s="247"/>
      <c r="AX181" s="249" t="s">
        <v>2088</v>
      </c>
      <c r="BB181" s="249" t="s">
        <v>2078</v>
      </c>
      <c r="BF181" s="249" t="s">
        <v>2078</v>
      </c>
      <c r="BH181" s="252"/>
      <c r="BI181" s="252"/>
      <c r="BJ181" s="249" t="s">
        <v>2078</v>
      </c>
      <c r="BK181" s="247"/>
      <c r="BN181" s="249" t="s">
        <v>2088</v>
      </c>
      <c r="BR181" s="249" t="s">
        <v>2078</v>
      </c>
      <c r="BV181" s="249" t="s">
        <v>2078</v>
      </c>
      <c r="BX181" s="252"/>
      <c r="BY181" s="252"/>
      <c r="BZ181" s="249" t="s">
        <v>2078</v>
      </c>
      <c r="CA181" s="247"/>
      <c r="CD181" s="249" t="s">
        <v>2088</v>
      </c>
      <c r="CH181" s="249" t="s">
        <v>2078</v>
      </c>
      <c r="CL181" s="249" t="s">
        <v>2078</v>
      </c>
      <c r="CN181" s="252"/>
      <c r="CO181" s="252"/>
      <c r="CP181" s="249" t="s">
        <v>2078</v>
      </c>
      <c r="CQ181" s="247"/>
      <c r="CT181" s="249" t="s">
        <v>2088</v>
      </c>
      <c r="CX181" s="249" t="s">
        <v>2078</v>
      </c>
      <c r="DB181" s="249" t="s">
        <v>2078</v>
      </c>
    </row>
    <row r="182" spans="44:106" ht="15" customHeight="1" x14ac:dyDescent="0.2">
      <c r="AR182" s="252"/>
      <c r="AS182" s="252"/>
      <c r="AT182" s="249" t="s">
        <v>2078</v>
      </c>
      <c r="AU182" s="247"/>
      <c r="AX182" s="249" t="s">
        <v>2088</v>
      </c>
      <c r="BB182" s="249" t="s">
        <v>2078</v>
      </c>
      <c r="BF182" s="249" t="s">
        <v>2078</v>
      </c>
      <c r="BH182" s="252"/>
      <c r="BI182" s="252"/>
      <c r="BJ182" s="249" t="s">
        <v>2078</v>
      </c>
      <c r="BK182" s="247"/>
      <c r="BN182" s="249" t="s">
        <v>2088</v>
      </c>
      <c r="BR182" s="249" t="s">
        <v>2078</v>
      </c>
      <c r="BV182" s="249" t="s">
        <v>2078</v>
      </c>
      <c r="BX182" s="252"/>
      <c r="BY182" s="252"/>
      <c r="BZ182" s="249" t="s">
        <v>2078</v>
      </c>
      <c r="CA182" s="247"/>
      <c r="CD182" s="249" t="s">
        <v>2088</v>
      </c>
      <c r="CH182" s="249" t="s">
        <v>2078</v>
      </c>
      <c r="CL182" s="249" t="s">
        <v>2078</v>
      </c>
      <c r="CN182" s="252"/>
      <c r="CO182" s="252"/>
      <c r="CP182" s="249" t="s">
        <v>2078</v>
      </c>
      <c r="CQ182" s="247"/>
      <c r="CT182" s="249" t="s">
        <v>2088</v>
      </c>
      <c r="CX182" s="249" t="s">
        <v>2078</v>
      </c>
      <c r="DB182" s="249" t="s">
        <v>2078</v>
      </c>
    </row>
    <row r="183" spans="44:106" ht="15" customHeight="1" x14ac:dyDescent="0.2">
      <c r="AR183" s="252"/>
      <c r="AS183" s="252"/>
      <c r="AT183" s="249" t="s">
        <v>2078</v>
      </c>
      <c r="AU183" s="247"/>
      <c r="AX183" s="249" t="s">
        <v>2088</v>
      </c>
      <c r="BB183" s="249" t="s">
        <v>2078</v>
      </c>
      <c r="BF183" s="249" t="s">
        <v>2078</v>
      </c>
      <c r="BH183" s="252"/>
      <c r="BI183" s="252"/>
      <c r="BJ183" s="249" t="s">
        <v>2078</v>
      </c>
      <c r="BK183" s="247"/>
      <c r="BN183" s="249" t="s">
        <v>2088</v>
      </c>
      <c r="BR183" s="249" t="s">
        <v>2078</v>
      </c>
      <c r="BV183" s="249" t="s">
        <v>2078</v>
      </c>
      <c r="BX183" s="252"/>
      <c r="BY183" s="252"/>
      <c r="BZ183" s="249" t="s">
        <v>2078</v>
      </c>
      <c r="CA183" s="247"/>
      <c r="CD183" s="249" t="s">
        <v>2088</v>
      </c>
      <c r="CH183" s="249" t="s">
        <v>2078</v>
      </c>
      <c r="CL183" s="249" t="s">
        <v>2078</v>
      </c>
      <c r="CN183" s="252"/>
      <c r="CO183" s="252"/>
      <c r="CP183" s="249" t="s">
        <v>2078</v>
      </c>
      <c r="CQ183" s="247"/>
      <c r="CT183" s="249" t="s">
        <v>2088</v>
      </c>
      <c r="CX183" s="249" t="s">
        <v>2078</v>
      </c>
      <c r="DB183" s="249" t="s">
        <v>2078</v>
      </c>
    </row>
    <row r="184" spans="44:106" ht="15" customHeight="1" x14ac:dyDescent="0.2">
      <c r="AR184" s="252"/>
      <c r="AS184" s="252"/>
      <c r="AT184" s="249" t="s">
        <v>2078</v>
      </c>
      <c r="AU184" s="247"/>
      <c r="AX184" s="249" t="s">
        <v>2088</v>
      </c>
      <c r="BB184" s="249" t="s">
        <v>2078</v>
      </c>
      <c r="BF184" s="249" t="s">
        <v>2078</v>
      </c>
      <c r="BH184" s="252"/>
      <c r="BI184" s="252"/>
      <c r="BJ184" s="249" t="s">
        <v>2078</v>
      </c>
      <c r="BK184" s="247"/>
      <c r="BN184" s="249" t="s">
        <v>2088</v>
      </c>
      <c r="BR184" s="249" t="s">
        <v>2078</v>
      </c>
      <c r="BV184" s="249" t="s">
        <v>2078</v>
      </c>
      <c r="BX184" s="252"/>
      <c r="BY184" s="252"/>
      <c r="BZ184" s="249" t="s">
        <v>2078</v>
      </c>
      <c r="CA184" s="247"/>
      <c r="CD184" s="249" t="s">
        <v>2088</v>
      </c>
      <c r="CH184" s="249" t="s">
        <v>2078</v>
      </c>
      <c r="CL184" s="249" t="s">
        <v>2078</v>
      </c>
      <c r="CN184" s="252"/>
      <c r="CO184" s="252"/>
      <c r="CP184" s="249" t="s">
        <v>2078</v>
      </c>
      <c r="CQ184" s="247"/>
      <c r="CT184" s="249" t="s">
        <v>2088</v>
      </c>
      <c r="CX184" s="249" t="s">
        <v>2078</v>
      </c>
      <c r="DB184" s="249" t="s">
        <v>2078</v>
      </c>
    </row>
    <row r="185" spans="44:106" ht="15" customHeight="1" x14ac:dyDescent="0.2">
      <c r="AR185" s="252"/>
      <c r="AS185" s="252"/>
      <c r="AT185" s="249" t="s">
        <v>2078</v>
      </c>
      <c r="AU185" s="247"/>
      <c r="AX185" s="249" t="s">
        <v>2088</v>
      </c>
      <c r="BB185" s="249" t="s">
        <v>2078</v>
      </c>
      <c r="BF185" s="249" t="s">
        <v>2078</v>
      </c>
      <c r="BH185" s="252"/>
      <c r="BI185" s="252"/>
      <c r="BJ185" s="249" t="s">
        <v>2078</v>
      </c>
      <c r="BK185" s="247"/>
      <c r="BN185" s="249" t="s">
        <v>2088</v>
      </c>
      <c r="BR185" s="249" t="s">
        <v>2078</v>
      </c>
      <c r="BV185" s="249" t="s">
        <v>2078</v>
      </c>
      <c r="BX185" s="252"/>
      <c r="BY185" s="252"/>
      <c r="BZ185" s="249" t="s">
        <v>2078</v>
      </c>
      <c r="CA185" s="247"/>
      <c r="CD185" s="249" t="s">
        <v>2088</v>
      </c>
      <c r="CH185" s="249" t="s">
        <v>2078</v>
      </c>
      <c r="CL185" s="249" t="s">
        <v>2078</v>
      </c>
      <c r="CN185" s="252"/>
      <c r="CO185" s="252"/>
      <c r="CP185" s="249" t="s">
        <v>2078</v>
      </c>
      <c r="CQ185" s="247"/>
      <c r="CT185" s="249" t="s">
        <v>2088</v>
      </c>
      <c r="CX185" s="249" t="s">
        <v>2078</v>
      </c>
      <c r="DB185" s="249" t="s">
        <v>2078</v>
      </c>
    </row>
    <row r="186" spans="44:106" ht="15" customHeight="1" x14ac:dyDescent="0.2">
      <c r="AR186" s="252"/>
      <c r="AS186" s="252"/>
      <c r="AT186" s="249" t="s">
        <v>2078</v>
      </c>
      <c r="AU186" s="247"/>
      <c r="AX186" s="249" t="s">
        <v>2088</v>
      </c>
      <c r="BB186" s="249" t="s">
        <v>2078</v>
      </c>
      <c r="BF186" s="249" t="s">
        <v>2078</v>
      </c>
      <c r="BH186" s="252"/>
      <c r="BI186" s="252"/>
      <c r="BJ186" s="249" t="s">
        <v>2078</v>
      </c>
      <c r="BK186" s="247"/>
      <c r="BN186" s="249" t="s">
        <v>2088</v>
      </c>
      <c r="BR186" s="249" t="s">
        <v>2078</v>
      </c>
      <c r="BV186" s="249" t="s">
        <v>2078</v>
      </c>
      <c r="BX186" s="252"/>
      <c r="BY186" s="252"/>
      <c r="BZ186" s="249" t="s">
        <v>2078</v>
      </c>
      <c r="CA186" s="247"/>
      <c r="CD186" s="249" t="s">
        <v>2088</v>
      </c>
      <c r="CH186" s="249" t="s">
        <v>2078</v>
      </c>
      <c r="CL186" s="249" t="s">
        <v>2078</v>
      </c>
      <c r="CN186" s="252"/>
      <c r="CO186" s="252"/>
      <c r="CP186" s="249" t="s">
        <v>2078</v>
      </c>
      <c r="CQ186" s="247"/>
      <c r="CT186" s="249" t="s">
        <v>2088</v>
      </c>
      <c r="CX186" s="249" t="s">
        <v>2078</v>
      </c>
      <c r="DB186" s="249" t="s">
        <v>2078</v>
      </c>
    </row>
    <row r="187" spans="44:106" ht="15" customHeight="1" x14ac:dyDescent="0.2">
      <c r="AR187" s="252"/>
      <c r="AS187" s="252"/>
      <c r="AT187" s="249" t="s">
        <v>2078</v>
      </c>
      <c r="AU187" s="247"/>
      <c r="AX187" s="249" t="s">
        <v>2088</v>
      </c>
      <c r="BB187" s="249" t="s">
        <v>2078</v>
      </c>
      <c r="BF187" s="249" t="s">
        <v>2078</v>
      </c>
      <c r="BH187" s="252"/>
      <c r="BI187" s="252"/>
      <c r="BJ187" s="249" t="s">
        <v>2078</v>
      </c>
      <c r="BK187" s="247"/>
      <c r="BN187" s="249" t="s">
        <v>2088</v>
      </c>
      <c r="BR187" s="249" t="s">
        <v>2078</v>
      </c>
      <c r="BV187" s="249" t="s">
        <v>2078</v>
      </c>
      <c r="BX187" s="252"/>
      <c r="BY187" s="252"/>
      <c r="BZ187" s="249" t="s">
        <v>2078</v>
      </c>
      <c r="CA187" s="247"/>
      <c r="CD187" s="249" t="s">
        <v>2088</v>
      </c>
      <c r="CH187" s="249" t="s">
        <v>2078</v>
      </c>
      <c r="CL187" s="249" t="s">
        <v>2078</v>
      </c>
      <c r="CN187" s="252"/>
      <c r="CO187" s="252"/>
      <c r="CP187" s="249" t="s">
        <v>2078</v>
      </c>
      <c r="CQ187" s="247"/>
      <c r="CT187" s="249" t="s">
        <v>2088</v>
      </c>
      <c r="CX187" s="249" t="s">
        <v>2078</v>
      </c>
      <c r="DB187" s="249" t="s">
        <v>2078</v>
      </c>
    </row>
    <row r="188" spans="44:106" ht="15" customHeight="1" x14ac:dyDescent="0.2">
      <c r="AR188" s="252"/>
      <c r="AS188" s="252"/>
      <c r="AT188" s="249" t="s">
        <v>2078</v>
      </c>
      <c r="AU188" s="247"/>
      <c r="AX188" s="249" t="s">
        <v>2088</v>
      </c>
      <c r="BB188" s="249" t="s">
        <v>2078</v>
      </c>
      <c r="BF188" s="249" t="s">
        <v>2078</v>
      </c>
      <c r="BH188" s="252"/>
      <c r="BI188" s="252"/>
      <c r="BJ188" s="249" t="s">
        <v>2078</v>
      </c>
      <c r="BK188" s="247"/>
      <c r="BN188" s="249" t="s">
        <v>2088</v>
      </c>
      <c r="BR188" s="249" t="s">
        <v>2078</v>
      </c>
      <c r="BV188" s="249" t="s">
        <v>2078</v>
      </c>
      <c r="BX188" s="252"/>
      <c r="BY188" s="252"/>
      <c r="BZ188" s="249" t="s">
        <v>2078</v>
      </c>
      <c r="CA188" s="247"/>
      <c r="CD188" s="249" t="s">
        <v>2088</v>
      </c>
      <c r="CH188" s="249" t="s">
        <v>2078</v>
      </c>
      <c r="CL188" s="249" t="s">
        <v>2078</v>
      </c>
      <c r="CN188" s="252"/>
      <c r="CO188" s="252"/>
      <c r="CP188" s="249" t="s">
        <v>2078</v>
      </c>
      <c r="CQ188" s="247"/>
      <c r="CT188" s="249" t="s">
        <v>2088</v>
      </c>
      <c r="CX188" s="249" t="s">
        <v>2078</v>
      </c>
      <c r="DB188" s="249" t="s">
        <v>2078</v>
      </c>
    </row>
    <row r="189" spans="44:106" ht="15" customHeight="1" x14ac:dyDescent="0.2">
      <c r="AR189" s="252"/>
      <c r="AS189" s="252"/>
      <c r="AT189" s="249" t="s">
        <v>2078</v>
      </c>
      <c r="AU189" s="247"/>
      <c r="AX189" s="249" t="s">
        <v>2088</v>
      </c>
      <c r="BB189" s="249" t="s">
        <v>2078</v>
      </c>
      <c r="BF189" s="249" t="s">
        <v>2078</v>
      </c>
      <c r="BH189" s="252"/>
      <c r="BI189" s="252"/>
      <c r="BJ189" s="249" t="s">
        <v>2078</v>
      </c>
      <c r="BK189" s="247"/>
      <c r="BN189" s="249" t="s">
        <v>2088</v>
      </c>
      <c r="BR189" s="249" t="s">
        <v>2078</v>
      </c>
      <c r="BV189" s="249" t="s">
        <v>2078</v>
      </c>
      <c r="BX189" s="252"/>
      <c r="BY189" s="252"/>
      <c r="BZ189" s="249" t="s">
        <v>2078</v>
      </c>
      <c r="CA189" s="247"/>
      <c r="CD189" s="249" t="s">
        <v>2088</v>
      </c>
      <c r="CH189" s="249" t="s">
        <v>2078</v>
      </c>
      <c r="CL189" s="249" t="s">
        <v>2078</v>
      </c>
      <c r="CN189" s="252"/>
      <c r="CO189" s="252"/>
      <c r="CP189" s="249" t="s">
        <v>2078</v>
      </c>
      <c r="CQ189" s="247"/>
      <c r="CT189" s="249" t="s">
        <v>2088</v>
      </c>
      <c r="CX189" s="249" t="s">
        <v>2078</v>
      </c>
      <c r="DB189" s="249" t="s">
        <v>2078</v>
      </c>
    </row>
    <row r="190" spans="44:106" ht="15" customHeight="1" x14ac:dyDescent="0.2">
      <c r="AR190" s="252"/>
      <c r="AS190" s="252"/>
      <c r="AT190" s="249" t="s">
        <v>2078</v>
      </c>
      <c r="AU190" s="247"/>
      <c r="AX190" s="249" t="s">
        <v>2088</v>
      </c>
      <c r="BB190" s="249" t="s">
        <v>2078</v>
      </c>
      <c r="BF190" s="249" t="s">
        <v>2078</v>
      </c>
      <c r="BH190" s="252"/>
      <c r="BI190" s="252"/>
      <c r="BJ190" s="249" t="s">
        <v>2078</v>
      </c>
      <c r="BK190" s="247"/>
      <c r="BN190" s="249" t="s">
        <v>2088</v>
      </c>
      <c r="BR190" s="249" t="s">
        <v>2078</v>
      </c>
      <c r="BV190" s="249" t="s">
        <v>2078</v>
      </c>
      <c r="BX190" s="252"/>
      <c r="BY190" s="252"/>
      <c r="BZ190" s="249" t="s">
        <v>2078</v>
      </c>
      <c r="CA190" s="247"/>
      <c r="CD190" s="249" t="s">
        <v>2088</v>
      </c>
      <c r="CH190" s="249" t="s">
        <v>2078</v>
      </c>
      <c r="CL190" s="249" t="s">
        <v>2078</v>
      </c>
      <c r="CN190" s="252"/>
      <c r="CO190" s="252"/>
      <c r="CP190" s="249" t="s">
        <v>2078</v>
      </c>
      <c r="CQ190" s="247"/>
      <c r="CT190" s="249" t="s">
        <v>2088</v>
      </c>
      <c r="CX190" s="249" t="s">
        <v>2078</v>
      </c>
      <c r="DB190" s="249" t="s">
        <v>2078</v>
      </c>
    </row>
    <row r="191" spans="44:106" ht="15" customHeight="1" x14ac:dyDescent="0.2">
      <c r="AR191" s="252"/>
      <c r="AS191" s="252"/>
      <c r="AT191" s="249" t="s">
        <v>2078</v>
      </c>
      <c r="AU191" s="247"/>
      <c r="AX191" s="249" t="s">
        <v>2088</v>
      </c>
      <c r="BB191" s="249" t="s">
        <v>2078</v>
      </c>
      <c r="BF191" s="249" t="s">
        <v>2078</v>
      </c>
      <c r="BH191" s="252"/>
      <c r="BI191" s="252"/>
      <c r="BJ191" s="249" t="s">
        <v>2078</v>
      </c>
      <c r="BK191" s="247"/>
      <c r="BN191" s="249" t="s">
        <v>2088</v>
      </c>
      <c r="BR191" s="249" t="s">
        <v>2078</v>
      </c>
      <c r="BV191" s="249" t="s">
        <v>2078</v>
      </c>
      <c r="BX191" s="252"/>
      <c r="BY191" s="252"/>
      <c r="BZ191" s="249" t="s">
        <v>2078</v>
      </c>
      <c r="CA191" s="247"/>
      <c r="CD191" s="249" t="s">
        <v>2088</v>
      </c>
      <c r="CH191" s="249" t="s">
        <v>2078</v>
      </c>
      <c r="CL191" s="249" t="s">
        <v>2078</v>
      </c>
      <c r="CN191" s="252"/>
      <c r="CO191" s="252"/>
      <c r="CP191" s="249" t="s">
        <v>2078</v>
      </c>
      <c r="CQ191" s="247"/>
      <c r="CT191" s="249" t="s">
        <v>2088</v>
      </c>
      <c r="CX191" s="249" t="s">
        <v>2078</v>
      </c>
      <c r="DB191" s="249" t="s">
        <v>2078</v>
      </c>
    </row>
    <row r="192" spans="44:106" ht="15" customHeight="1" x14ac:dyDescent="0.2">
      <c r="AR192" s="252"/>
      <c r="AS192" s="252"/>
      <c r="AT192" s="249" t="s">
        <v>2078</v>
      </c>
      <c r="AU192" s="247"/>
      <c r="AX192" s="249" t="s">
        <v>2088</v>
      </c>
      <c r="BB192" s="249" t="s">
        <v>2078</v>
      </c>
      <c r="BF192" s="249" t="s">
        <v>2078</v>
      </c>
      <c r="BH192" s="252"/>
      <c r="BI192" s="252"/>
      <c r="BJ192" s="249" t="s">
        <v>2078</v>
      </c>
      <c r="BK192" s="247"/>
      <c r="BN192" s="249" t="s">
        <v>2088</v>
      </c>
      <c r="BR192" s="249" t="s">
        <v>2078</v>
      </c>
      <c r="BV192" s="249" t="s">
        <v>2078</v>
      </c>
      <c r="BX192" s="252"/>
      <c r="BY192" s="252"/>
      <c r="BZ192" s="249" t="s">
        <v>2078</v>
      </c>
      <c r="CA192" s="247"/>
      <c r="CD192" s="249" t="s">
        <v>2088</v>
      </c>
      <c r="CH192" s="249" t="s">
        <v>2078</v>
      </c>
      <c r="CL192" s="249" t="s">
        <v>2078</v>
      </c>
      <c r="CN192" s="252"/>
      <c r="CO192" s="252"/>
      <c r="CP192" s="249" t="s">
        <v>2078</v>
      </c>
      <c r="CQ192" s="247"/>
      <c r="CT192" s="249" t="s">
        <v>2088</v>
      </c>
      <c r="CX192" s="249" t="s">
        <v>2078</v>
      </c>
      <c r="DB192" s="249" t="s">
        <v>2078</v>
      </c>
    </row>
    <row r="193" spans="44:106" ht="15" customHeight="1" x14ac:dyDescent="0.2">
      <c r="AR193" s="252"/>
      <c r="AS193" s="252"/>
      <c r="AT193" s="249" t="s">
        <v>2078</v>
      </c>
      <c r="AU193" s="247"/>
      <c r="AX193" s="249" t="s">
        <v>2088</v>
      </c>
      <c r="BB193" s="249" t="s">
        <v>2078</v>
      </c>
      <c r="BF193" s="249" t="s">
        <v>2078</v>
      </c>
      <c r="BH193" s="252"/>
      <c r="BI193" s="252"/>
      <c r="BJ193" s="249" t="s">
        <v>2078</v>
      </c>
      <c r="BK193" s="247"/>
      <c r="BN193" s="249" t="s">
        <v>2088</v>
      </c>
      <c r="BR193" s="249" t="s">
        <v>2078</v>
      </c>
      <c r="BV193" s="249" t="s">
        <v>2078</v>
      </c>
      <c r="BX193" s="252"/>
      <c r="BY193" s="252"/>
      <c r="BZ193" s="249" t="s">
        <v>2078</v>
      </c>
      <c r="CA193" s="247"/>
      <c r="CD193" s="249" t="s">
        <v>2088</v>
      </c>
      <c r="CH193" s="249" t="s">
        <v>2078</v>
      </c>
      <c r="CL193" s="249" t="s">
        <v>2078</v>
      </c>
      <c r="CN193" s="252"/>
      <c r="CO193" s="252"/>
      <c r="CP193" s="249" t="s">
        <v>2078</v>
      </c>
      <c r="CQ193" s="247"/>
      <c r="CT193" s="249" t="s">
        <v>2088</v>
      </c>
      <c r="CX193" s="249" t="s">
        <v>2078</v>
      </c>
      <c r="DB193" s="249" t="s">
        <v>2078</v>
      </c>
    </row>
    <row r="194" spans="44:106" ht="15" customHeight="1" x14ac:dyDescent="0.2">
      <c r="AR194" s="252"/>
      <c r="AS194" s="252"/>
      <c r="AT194" s="249" t="s">
        <v>2078</v>
      </c>
      <c r="AU194" s="247"/>
      <c r="AX194" s="249" t="s">
        <v>2088</v>
      </c>
      <c r="BB194" s="249" t="s">
        <v>2078</v>
      </c>
      <c r="BF194" s="249" t="s">
        <v>2078</v>
      </c>
      <c r="BH194" s="252"/>
      <c r="BI194" s="252"/>
      <c r="BJ194" s="249" t="s">
        <v>2078</v>
      </c>
      <c r="BK194" s="247"/>
      <c r="BN194" s="249" t="s">
        <v>2088</v>
      </c>
      <c r="BR194" s="249" t="s">
        <v>2078</v>
      </c>
      <c r="BV194" s="249" t="s">
        <v>2078</v>
      </c>
      <c r="BX194" s="252"/>
      <c r="BY194" s="252"/>
      <c r="BZ194" s="249" t="s">
        <v>2078</v>
      </c>
      <c r="CA194" s="247"/>
      <c r="CD194" s="249" t="s">
        <v>2088</v>
      </c>
      <c r="CH194" s="249" t="s">
        <v>2078</v>
      </c>
      <c r="CL194" s="249" t="s">
        <v>2078</v>
      </c>
      <c r="CN194" s="252"/>
      <c r="CO194" s="252"/>
      <c r="CP194" s="249" t="s">
        <v>2078</v>
      </c>
      <c r="CQ194" s="247"/>
      <c r="CT194" s="249" t="s">
        <v>2088</v>
      </c>
      <c r="CX194" s="249" t="s">
        <v>2078</v>
      </c>
      <c r="DB194" s="249" t="s">
        <v>2078</v>
      </c>
    </row>
    <row r="195" spans="44:106" ht="15" customHeight="1" x14ac:dyDescent="0.2">
      <c r="AR195" s="252"/>
      <c r="AS195" s="252"/>
      <c r="AT195" s="249" t="s">
        <v>2078</v>
      </c>
      <c r="AU195" s="247"/>
      <c r="AX195" s="249" t="s">
        <v>2088</v>
      </c>
      <c r="BB195" s="249" t="s">
        <v>2078</v>
      </c>
      <c r="BF195" s="249" t="s">
        <v>2078</v>
      </c>
      <c r="BH195" s="252"/>
      <c r="BI195" s="252"/>
      <c r="BJ195" s="249" t="s">
        <v>2078</v>
      </c>
      <c r="BK195" s="247"/>
      <c r="BN195" s="249" t="s">
        <v>2088</v>
      </c>
      <c r="BR195" s="249" t="s">
        <v>2078</v>
      </c>
      <c r="BV195" s="249" t="s">
        <v>2078</v>
      </c>
      <c r="BX195" s="252"/>
      <c r="BY195" s="252"/>
      <c r="BZ195" s="249" t="s">
        <v>2078</v>
      </c>
      <c r="CA195" s="247"/>
      <c r="CD195" s="249" t="s">
        <v>2088</v>
      </c>
      <c r="CH195" s="249" t="s">
        <v>2078</v>
      </c>
      <c r="CL195" s="249" t="s">
        <v>2078</v>
      </c>
      <c r="CN195" s="252"/>
      <c r="CO195" s="252"/>
      <c r="CP195" s="249" t="s">
        <v>2078</v>
      </c>
      <c r="CQ195" s="247"/>
      <c r="CT195" s="249" t="s">
        <v>2088</v>
      </c>
      <c r="CX195" s="249" t="s">
        <v>2078</v>
      </c>
      <c r="DB195" s="249" t="s">
        <v>2078</v>
      </c>
    </row>
    <row r="196" spans="44:106" ht="15" customHeight="1" x14ac:dyDescent="0.2">
      <c r="AR196" s="252"/>
      <c r="AS196" s="252"/>
      <c r="AT196" s="249" t="s">
        <v>2078</v>
      </c>
      <c r="AU196" s="247"/>
      <c r="AX196" s="249" t="s">
        <v>2088</v>
      </c>
      <c r="BB196" s="249" t="s">
        <v>2078</v>
      </c>
      <c r="BF196" s="249" t="s">
        <v>2078</v>
      </c>
      <c r="BH196" s="252"/>
      <c r="BI196" s="252"/>
      <c r="BJ196" s="249" t="s">
        <v>2078</v>
      </c>
      <c r="BK196" s="247"/>
      <c r="BN196" s="249" t="s">
        <v>2088</v>
      </c>
      <c r="BR196" s="249" t="s">
        <v>2078</v>
      </c>
      <c r="BV196" s="249" t="s">
        <v>2078</v>
      </c>
      <c r="BX196" s="252"/>
      <c r="BY196" s="252"/>
      <c r="BZ196" s="249" t="s">
        <v>2078</v>
      </c>
      <c r="CA196" s="247"/>
      <c r="CD196" s="249" t="s">
        <v>2088</v>
      </c>
      <c r="CH196" s="249" t="s">
        <v>2078</v>
      </c>
      <c r="CL196" s="249" t="s">
        <v>2078</v>
      </c>
      <c r="CN196" s="252"/>
      <c r="CO196" s="252"/>
      <c r="CP196" s="249" t="s">
        <v>2078</v>
      </c>
      <c r="CQ196" s="247"/>
      <c r="CT196" s="249" t="s">
        <v>2088</v>
      </c>
      <c r="CX196" s="249" t="s">
        <v>2078</v>
      </c>
      <c r="DB196" s="249" t="s">
        <v>2078</v>
      </c>
    </row>
    <row r="197" spans="44:106" ht="15" customHeight="1" x14ac:dyDescent="0.2">
      <c r="AR197" s="252"/>
      <c r="AS197" s="252"/>
      <c r="AT197" s="249" t="s">
        <v>2078</v>
      </c>
      <c r="AU197" s="247"/>
      <c r="AX197" s="249" t="s">
        <v>2088</v>
      </c>
      <c r="BB197" s="249" t="s">
        <v>2078</v>
      </c>
      <c r="BF197" s="249" t="s">
        <v>2078</v>
      </c>
      <c r="BH197" s="252"/>
      <c r="BI197" s="252"/>
      <c r="BJ197" s="249" t="s">
        <v>2078</v>
      </c>
      <c r="BK197" s="247"/>
      <c r="BN197" s="249" t="s">
        <v>2088</v>
      </c>
      <c r="BR197" s="249" t="s">
        <v>2078</v>
      </c>
      <c r="BV197" s="249" t="s">
        <v>2078</v>
      </c>
      <c r="BX197" s="252"/>
      <c r="BY197" s="252"/>
      <c r="BZ197" s="249" t="s">
        <v>2078</v>
      </c>
      <c r="CA197" s="247"/>
      <c r="CD197" s="249" t="s">
        <v>2088</v>
      </c>
      <c r="CH197" s="249" t="s">
        <v>2078</v>
      </c>
      <c r="CL197" s="249" t="s">
        <v>2078</v>
      </c>
      <c r="CN197" s="252"/>
      <c r="CO197" s="252"/>
      <c r="CP197" s="249" t="s">
        <v>2078</v>
      </c>
      <c r="CQ197" s="247"/>
      <c r="CT197" s="249" t="s">
        <v>2088</v>
      </c>
      <c r="CX197" s="249" t="s">
        <v>2078</v>
      </c>
      <c r="DB197" s="249" t="s">
        <v>2078</v>
      </c>
    </row>
    <row r="198" spans="44:106" ht="15" customHeight="1" x14ac:dyDescent="0.2">
      <c r="AR198" s="252"/>
      <c r="AS198" s="252"/>
      <c r="AT198" s="249" t="s">
        <v>2078</v>
      </c>
      <c r="AU198" s="247"/>
      <c r="AX198" s="249" t="s">
        <v>2088</v>
      </c>
      <c r="BB198" s="249" t="s">
        <v>2078</v>
      </c>
      <c r="BF198" s="249" t="s">
        <v>2078</v>
      </c>
      <c r="BH198" s="252"/>
      <c r="BI198" s="252"/>
      <c r="BJ198" s="249" t="s">
        <v>2078</v>
      </c>
      <c r="BK198" s="247"/>
      <c r="BN198" s="249" t="s">
        <v>2088</v>
      </c>
      <c r="BR198" s="249" t="s">
        <v>2078</v>
      </c>
      <c r="BV198" s="249" t="s">
        <v>2078</v>
      </c>
      <c r="BX198" s="252"/>
      <c r="BY198" s="252"/>
      <c r="BZ198" s="249" t="s">
        <v>2078</v>
      </c>
      <c r="CA198" s="247"/>
      <c r="CD198" s="249" t="s">
        <v>2088</v>
      </c>
      <c r="CH198" s="249" t="s">
        <v>2078</v>
      </c>
      <c r="CL198" s="249" t="s">
        <v>2078</v>
      </c>
      <c r="CN198" s="252"/>
      <c r="CO198" s="252"/>
      <c r="CP198" s="249" t="s">
        <v>2078</v>
      </c>
      <c r="CQ198" s="247"/>
      <c r="CT198" s="249" t="s">
        <v>2088</v>
      </c>
      <c r="CX198" s="249" t="s">
        <v>2078</v>
      </c>
      <c r="DB198" s="249" t="s">
        <v>2078</v>
      </c>
    </row>
    <row r="199" spans="44:106" ht="15" customHeight="1" x14ac:dyDescent="0.2">
      <c r="AR199" s="252"/>
      <c r="AS199" s="252"/>
      <c r="AT199" s="249" t="s">
        <v>2078</v>
      </c>
      <c r="AU199" s="247"/>
      <c r="AX199" s="249" t="s">
        <v>2088</v>
      </c>
      <c r="BB199" s="249" t="s">
        <v>2078</v>
      </c>
      <c r="BF199" s="249" t="s">
        <v>2078</v>
      </c>
      <c r="BH199" s="252"/>
      <c r="BI199" s="252"/>
      <c r="BJ199" s="249" t="s">
        <v>2078</v>
      </c>
      <c r="BK199" s="247"/>
      <c r="BN199" s="249" t="s">
        <v>2088</v>
      </c>
      <c r="BR199" s="249" t="s">
        <v>2078</v>
      </c>
      <c r="BV199" s="249" t="s">
        <v>2078</v>
      </c>
      <c r="BX199" s="252"/>
      <c r="BY199" s="252"/>
      <c r="BZ199" s="249" t="s">
        <v>2078</v>
      </c>
      <c r="CA199" s="247"/>
      <c r="CD199" s="249" t="s">
        <v>2088</v>
      </c>
      <c r="CH199" s="249" t="s">
        <v>2078</v>
      </c>
      <c r="CL199" s="249" t="s">
        <v>2078</v>
      </c>
      <c r="CN199" s="252"/>
      <c r="CO199" s="252"/>
      <c r="CP199" s="249" t="s">
        <v>2078</v>
      </c>
      <c r="CQ199" s="247"/>
      <c r="CT199" s="249" t="s">
        <v>2088</v>
      </c>
      <c r="CX199" s="249" t="s">
        <v>2078</v>
      </c>
      <c r="DB199" s="249" t="s">
        <v>2078</v>
      </c>
    </row>
    <row r="200" spans="44:106" ht="15" customHeight="1" x14ac:dyDescent="0.2">
      <c r="AR200" s="252"/>
      <c r="AS200" s="252"/>
      <c r="AT200" s="249" t="s">
        <v>2078</v>
      </c>
      <c r="AU200" s="247"/>
      <c r="AX200" s="249" t="s">
        <v>2088</v>
      </c>
      <c r="BB200" s="249" t="s">
        <v>2078</v>
      </c>
      <c r="BF200" s="249" t="s">
        <v>2078</v>
      </c>
      <c r="BH200" s="252"/>
      <c r="BI200" s="252"/>
      <c r="BJ200" s="249" t="s">
        <v>2078</v>
      </c>
      <c r="BK200" s="247"/>
      <c r="BN200" s="249" t="s">
        <v>2088</v>
      </c>
      <c r="BR200" s="249" t="s">
        <v>2078</v>
      </c>
      <c r="BV200" s="249" t="s">
        <v>2078</v>
      </c>
      <c r="BX200" s="252"/>
      <c r="BY200" s="252"/>
      <c r="BZ200" s="249" t="s">
        <v>2078</v>
      </c>
      <c r="CA200" s="247"/>
      <c r="CD200" s="249" t="s">
        <v>2088</v>
      </c>
      <c r="CH200" s="249" t="s">
        <v>2078</v>
      </c>
      <c r="CL200" s="249" t="s">
        <v>2078</v>
      </c>
      <c r="CN200" s="252"/>
      <c r="CO200" s="252"/>
      <c r="CP200" s="249" t="s">
        <v>2078</v>
      </c>
      <c r="CQ200" s="247"/>
      <c r="CT200" s="249" t="s">
        <v>2088</v>
      </c>
      <c r="CX200" s="249" t="s">
        <v>2078</v>
      </c>
      <c r="DB200" s="249" t="s">
        <v>2078</v>
      </c>
    </row>
    <row r="201" spans="44:106" ht="15" customHeight="1" x14ac:dyDescent="0.2">
      <c r="AR201" s="252"/>
      <c r="AS201" s="252"/>
      <c r="AT201" s="249" t="s">
        <v>2078</v>
      </c>
      <c r="AU201" s="247"/>
      <c r="AX201" s="249" t="s">
        <v>2088</v>
      </c>
      <c r="BB201" s="249" t="s">
        <v>2078</v>
      </c>
      <c r="BF201" s="249" t="s">
        <v>2078</v>
      </c>
      <c r="BH201" s="252"/>
      <c r="BI201" s="252"/>
      <c r="BJ201" s="249" t="s">
        <v>2078</v>
      </c>
      <c r="BK201" s="247"/>
      <c r="BN201" s="249" t="s">
        <v>2088</v>
      </c>
      <c r="BR201" s="249" t="s">
        <v>2078</v>
      </c>
      <c r="BV201" s="249" t="s">
        <v>2078</v>
      </c>
      <c r="BX201" s="252"/>
      <c r="BY201" s="252"/>
      <c r="BZ201" s="249" t="s">
        <v>2078</v>
      </c>
      <c r="CA201" s="247"/>
      <c r="CD201" s="249" t="s">
        <v>2088</v>
      </c>
      <c r="CH201" s="249" t="s">
        <v>2078</v>
      </c>
      <c r="CL201" s="249" t="s">
        <v>2078</v>
      </c>
      <c r="CN201" s="252"/>
      <c r="CO201" s="252"/>
      <c r="CP201" s="249" t="s">
        <v>2078</v>
      </c>
      <c r="CQ201" s="247"/>
      <c r="CT201" s="249" t="s">
        <v>2088</v>
      </c>
      <c r="CX201" s="249" t="s">
        <v>2078</v>
      </c>
      <c r="DB201" s="249" t="s">
        <v>2078</v>
      </c>
    </row>
    <row r="202" spans="44:106" ht="15" customHeight="1" x14ac:dyDescent="0.2">
      <c r="AR202" s="252"/>
      <c r="AS202" s="252"/>
      <c r="AT202" s="249" t="s">
        <v>2078</v>
      </c>
      <c r="AU202" s="247"/>
      <c r="AX202" s="249" t="s">
        <v>2088</v>
      </c>
      <c r="BB202" s="249" t="s">
        <v>2078</v>
      </c>
      <c r="BF202" s="249" t="s">
        <v>2078</v>
      </c>
      <c r="BH202" s="252"/>
      <c r="BI202" s="252"/>
      <c r="BJ202" s="249" t="s">
        <v>2078</v>
      </c>
      <c r="BK202" s="247"/>
      <c r="BN202" s="249" t="s">
        <v>2088</v>
      </c>
      <c r="BR202" s="249" t="s">
        <v>2078</v>
      </c>
      <c r="BV202" s="249" t="s">
        <v>2078</v>
      </c>
      <c r="BX202" s="252"/>
      <c r="BY202" s="252"/>
      <c r="BZ202" s="249" t="s">
        <v>2078</v>
      </c>
      <c r="CA202" s="247"/>
      <c r="CD202" s="249" t="s">
        <v>2088</v>
      </c>
      <c r="CH202" s="249" t="s">
        <v>2078</v>
      </c>
      <c r="CL202" s="249" t="s">
        <v>2078</v>
      </c>
      <c r="CN202" s="252"/>
      <c r="CO202" s="252"/>
      <c r="CP202" s="249" t="s">
        <v>2078</v>
      </c>
      <c r="CQ202" s="247"/>
      <c r="CT202" s="249" t="s">
        <v>2088</v>
      </c>
      <c r="CX202" s="249" t="s">
        <v>2078</v>
      </c>
      <c r="DB202" s="249" t="s">
        <v>2078</v>
      </c>
    </row>
    <row r="203" spans="44:106" ht="15" customHeight="1" x14ac:dyDescent="0.2">
      <c r="AR203" s="252"/>
      <c r="AS203" s="252"/>
      <c r="AT203" s="249" t="s">
        <v>2078</v>
      </c>
      <c r="AU203" s="247"/>
      <c r="AX203" s="249" t="s">
        <v>2088</v>
      </c>
      <c r="BB203" s="249" t="s">
        <v>2078</v>
      </c>
      <c r="BF203" s="249" t="s">
        <v>2078</v>
      </c>
      <c r="BH203" s="252"/>
      <c r="BI203" s="252"/>
      <c r="BJ203" s="249" t="s">
        <v>2078</v>
      </c>
      <c r="BK203" s="247"/>
      <c r="BN203" s="249" t="s">
        <v>2088</v>
      </c>
      <c r="BR203" s="249" t="s">
        <v>2078</v>
      </c>
      <c r="BV203" s="249" t="s">
        <v>2078</v>
      </c>
      <c r="BX203" s="252"/>
      <c r="BY203" s="252"/>
      <c r="BZ203" s="249" t="s">
        <v>2078</v>
      </c>
      <c r="CA203" s="247"/>
      <c r="CD203" s="249" t="s">
        <v>2088</v>
      </c>
      <c r="CH203" s="249" t="s">
        <v>2078</v>
      </c>
      <c r="CL203" s="249" t="s">
        <v>2078</v>
      </c>
      <c r="CN203" s="252"/>
      <c r="CO203" s="252"/>
      <c r="CP203" s="249" t="s">
        <v>2078</v>
      </c>
      <c r="CQ203" s="247"/>
      <c r="CT203" s="249" t="s">
        <v>2088</v>
      </c>
      <c r="CX203" s="249" t="s">
        <v>2078</v>
      </c>
      <c r="DB203" s="249" t="s">
        <v>2078</v>
      </c>
    </row>
    <row r="204" spans="44:106" ht="15" customHeight="1" x14ac:dyDescent="0.2">
      <c r="AR204" s="252"/>
      <c r="AS204" s="252"/>
      <c r="AT204" s="249" t="s">
        <v>2078</v>
      </c>
      <c r="AU204" s="247"/>
      <c r="AX204" s="249" t="s">
        <v>2088</v>
      </c>
      <c r="BB204" s="249" t="s">
        <v>2078</v>
      </c>
      <c r="BF204" s="249" t="s">
        <v>2078</v>
      </c>
      <c r="BH204" s="252"/>
      <c r="BI204" s="252"/>
      <c r="BJ204" s="249" t="s">
        <v>2078</v>
      </c>
      <c r="BK204" s="247"/>
      <c r="BN204" s="249" t="s">
        <v>2088</v>
      </c>
      <c r="BR204" s="249" t="s">
        <v>2078</v>
      </c>
      <c r="BV204" s="249" t="s">
        <v>2078</v>
      </c>
      <c r="BX204" s="252"/>
      <c r="BY204" s="252"/>
      <c r="BZ204" s="249" t="s">
        <v>2078</v>
      </c>
      <c r="CA204" s="247"/>
      <c r="CD204" s="249" t="s">
        <v>2088</v>
      </c>
      <c r="CH204" s="249" t="s">
        <v>2078</v>
      </c>
      <c r="CL204" s="249" t="s">
        <v>2078</v>
      </c>
      <c r="CN204" s="252"/>
      <c r="CO204" s="252"/>
      <c r="CP204" s="249" t="s">
        <v>2078</v>
      </c>
      <c r="CQ204" s="247"/>
      <c r="CT204" s="249" t="s">
        <v>2088</v>
      </c>
      <c r="CX204" s="249" t="s">
        <v>2078</v>
      </c>
      <c r="DB204" s="249" t="s">
        <v>2078</v>
      </c>
    </row>
    <row r="205" spans="44:106" ht="15" customHeight="1" x14ac:dyDescent="0.2">
      <c r="AR205" s="252"/>
      <c r="AS205" s="252"/>
      <c r="AT205" s="249" t="s">
        <v>2078</v>
      </c>
      <c r="AU205" s="247"/>
      <c r="AX205" s="249" t="s">
        <v>2088</v>
      </c>
      <c r="BB205" s="249" t="s">
        <v>2078</v>
      </c>
      <c r="BF205" s="249" t="s">
        <v>2078</v>
      </c>
      <c r="BH205" s="252"/>
      <c r="BI205" s="252"/>
      <c r="BJ205" s="249" t="s">
        <v>2078</v>
      </c>
      <c r="BK205" s="247"/>
      <c r="BN205" s="249" t="s">
        <v>2088</v>
      </c>
      <c r="BR205" s="249" t="s">
        <v>2078</v>
      </c>
      <c r="BV205" s="249" t="s">
        <v>2078</v>
      </c>
      <c r="BX205" s="252"/>
      <c r="BY205" s="252"/>
      <c r="BZ205" s="249" t="s">
        <v>2078</v>
      </c>
      <c r="CA205" s="247"/>
      <c r="CD205" s="249" t="s">
        <v>2088</v>
      </c>
      <c r="CH205" s="249" t="s">
        <v>2078</v>
      </c>
      <c r="CL205" s="249" t="s">
        <v>2078</v>
      </c>
      <c r="CN205" s="252"/>
      <c r="CO205" s="252"/>
      <c r="CP205" s="249" t="s">
        <v>2078</v>
      </c>
      <c r="CQ205" s="247"/>
      <c r="CT205" s="249" t="s">
        <v>2088</v>
      </c>
      <c r="CX205" s="249" t="s">
        <v>2078</v>
      </c>
      <c r="DB205" s="249" t="s">
        <v>2078</v>
      </c>
    </row>
    <row r="206" spans="44:106" ht="15" customHeight="1" x14ac:dyDescent="0.2">
      <c r="AR206" s="252"/>
      <c r="AS206" s="252"/>
      <c r="AT206" s="249" t="s">
        <v>2078</v>
      </c>
      <c r="AU206" s="247"/>
      <c r="AX206" s="249" t="s">
        <v>2088</v>
      </c>
      <c r="BB206" s="249" t="s">
        <v>2078</v>
      </c>
      <c r="BF206" s="249" t="s">
        <v>2078</v>
      </c>
      <c r="BH206" s="252"/>
      <c r="BI206" s="252"/>
      <c r="BJ206" s="249" t="s">
        <v>2078</v>
      </c>
      <c r="BK206" s="247"/>
      <c r="BN206" s="249" t="s">
        <v>2088</v>
      </c>
      <c r="BR206" s="249" t="s">
        <v>2078</v>
      </c>
      <c r="BV206" s="249" t="s">
        <v>2078</v>
      </c>
      <c r="BX206" s="252"/>
      <c r="BY206" s="252"/>
      <c r="BZ206" s="249" t="s">
        <v>2078</v>
      </c>
      <c r="CA206" s="247"/>
      <c r="CD206" s="249" t="s">
        <v>2088</v>
      </c>
      <c r="CH206" s="249" t="s">
        <v>2078</v>
      </c>
      <c r="CL206" s="249" t="s">
        <v>2078</v>
      </c>
      <c r="CN206" s="252"/>
      <c r="CO206" s="252"/>
      <c r="CP206" s="249" t="s">
        <v>2078</v>
      </c>
      <c r="CQ206" s="247"/>
      <c r="CT206" s="249" t="s">
        <v>2088</v>
      </c>
      <c r="CX206" s="249" t="s">
        <v>2078</v>
      </c>
      <c r="DB206" s="249" t="s">
        <v>2078</v>
      </c>
    </row>
    <row r="207" spans="44:106" ht="15" customHeight="1" x14ac:dyDescent="0.2">
      <c r="AR207" s="252"/>
      <c r="AS207" s="252"/>
      <c r="AT207" s="249" t="s">
        <v>2078</v>
      </c>
      <c r="AU207" s="247"/>
      <c r="AX207" s="249" t="s">
        <v>2088</v>
      </c>
      <c r="BB207" s="249" t="s">
        <v>2078</v>
      </c>
      <c r="BF207" s="249" t="s">
        <v>2078</v>
      </c>
      <c r="BH207" s="252"/>
      <c r="BI207" s="252"/>
      <c r="BJ207" s="249" t="s">
        <v>2078</v>
      </c>
      <c r="BK207" s="247"/>
      <c r="BN207" s="249" t="s">
        <v>2088</v>
      </c>
      <c r="BR207" s="249" t="s">
        <v>2078</v>
      </c>
      <c r="BV207" s="249" t="s">
        <v>2078</v>
      </c>
      <c r="BX207" s="252"/>
      <c r="BY207" s="252"/>
      <c r="BZ207" s="249" t="s">
        <v>2078</v>
      </c>
      <c r="CA207" s="247"/>
      <c r="CD207" s="249" t="s">
        <v>2088</v>
      </c>
      <c r="CH207" s="249" t="s">
        <v>2078</v>
      </c>
      <c r="CL207" s="249" t="s">
        <v>2078</v>
      </c>
      <c r="CN207" s="252"/>
      <c r="CO207" s="252"/>
      <c r="CP207" s="249" t="s">
        <v>2078</v>
      </c>
      <c r="CQ207" s="247"/>
      <c r="CT207" s="249" t="s">
        <v>2088</v>
      </c>
      <c r="CX207" s="249" t="s">
        <v>2078</v>
      </c>
      <c r="DB207" s="249" t="s">
        <v>2078</v>
      </c>
    </row>
    <row r="208" spans="44:106" ht="15" customHeight="1" x14ac:dyDescent="0.2">
      <c r="AR208" s="252"/>
      <c r="AS208" s="252"/>
      <c r="AT208" s="249" t="s">
        <v>2078</v>
      </c>
      <c r="AU208" s="247"/>
      <c r="AX208" s="249" t="s">
        <v>2088</v>
      </c>
      <c r="BB208" s="249" t="s">
        <v>2078</v>
      </c>
      <c r="BF208" s="249" t="s">
        <v>2078</v>
      </c>
      <c r="BH208" s="252"/>
      <c r="BI208" s="252"/>
      <c r="BJ208" s="249" t="s">
        <v>2078</v>
      </c>
      <c r="BK208" s="247"/>
      <c r="BN208" s="249" t="s">
        <v>2088</v>
      </c>
      <c r="BR208" s="249" t="s">
        <v>2078</v>
      </c>
      <c r="BV208" s="249" t="s">
        <v>2078</v>
      </c>
      <c r="BX208" s="252"/>
      <c r="BY208" s="252"/>
      <c r="BZ208" s="249" t="s">
        <v>2078</v>
      </c>
      <c r="CA208" s="247"/>
      <c r="CD208" s="249" t="s">
        <v>2088</v>
      </c>
      <c r="CH208" s="249" t="s">
        <v>2078</v>
      </c>
      <c r="CL208" s="249" t="s">
        <v>2078</v>
      </c>
      <c r="CN208" s="252"/>
      <c r="CO208" s="252"/>
      <c r="CP208" s="249" t="s">
        <v>2078</v>
      </c>
      <c r="CQ208" s="247"/>
      <c r="CT208" s="249" t="s">
        <v>2088</v>
      </c>
      <c r="CX208" s="249" t="s">
        <v>2078</v>
      </c>
      <c r="DB208" s="249" t="s">
        <v>2078</v>
      </c>
    </row>
    <row r="209" spans="44:106" ht="15" customHeight="1" x14ac:dyDescent="0.2">
      <c r="AR209" s="252"/>
      <c r="AS209" s="252"/>
      <c r="AT209" s="249" t="s">
        <v>2078</v>
      </c>
      <c r="AU209" s="247"/>
      <c r="AX209" s="249" t="s">
        <v>2088</v>
      </c>
      <c r="BB209" s="249" t="s">
        <v>2078</v>
      </c>
      <c r="BF209" s="249" t="s">
        <v>2078</v>
      </c>
      <c r="BH209" s="252"/>
      <c r="BI209" s="252"/>
      <c r="BJ209" s="249" t="s">
        <v>2078</v>
      </c>
      <c r="BK209" s="247"/>
      <c r="BN209" s="249" t="s">
        <v>2088</v>
      </c>
      <c r="BR209" s="249" t="s">
        <v>2078</v>
      </c>
      <c r="BV209" s="249" t="s">
        <v>2078</v>
      </c>
      <c r="BX209" s="252"/>
      <c r="BY209" s="252"/>
      <c r="BZ209" s="249" t="s">
        <v>2078</v>
      </c>
      <c r="CA209" s="247"/>
      <c r="CD209" s="249" t="s">
        <v>2088</v>
      </c>
      <c r="CH209" s="249" t="s">
        <v>2078</v>
      </c>
      <c r="CL209" s="249" t="s">
        <v>2078</v>
      </c>
      <c r="CN209" s="252"/>
      <c r="CO209" s="252"/>
      <c r="CP209" s="249" t="s">
        <v>2078</v>
      </c>
      <c r="CQ209" s="247"/>
      <c r="CT209" s="249" t="s">
        <v>2088</v>
      </c>
      <c r="CX209" s="249" t="s">
        <v>2078</v>
      </c>
      <c r="DB209" s="249" t="s">
        <v>2078</v>
      </c>
    </row>
    <row r="210" spans="44:106" ht="15" customHeight="1" x14ac:dyDescent="0.2">
      <c r="AR210" s="252"/>
      <c r="AS210" s="252"/>
      <c r="AT210" s="249" t="s">
        <v>2078</v>
      </c>
      <c r="AU210" s="247"/>
      <c r="AX210" s="249" t="s">
        <v>2088</v>
      </c>
      <c r="BB210" s="249" t="s">
        <v>2078</v>
      </c>
      <c r="BF210" s="249" t="s">
        <v>2078</v>
      </c>
      <c r="BH210" s="252"/>
      <c r="BI210" s="252"/>
      <c r="BJ210" s="249" t="s">
        <v>2078</v>
      </c>
      <c r="BK210" s="247"/>
      <c r="BN210" s="249" t="s">
        <v>2088</v>
      </c>
      <c r="BR210" s="249" t="s">
        <v>2078</v>
      </c>
      <c r="BV210" s="249" t="s">
        <v>2078</v>
      </c>
      <c r="BX210" s="252"/>
      <c r="BY210" s="252"/>
      <c r="BZ210" s="249" t="s">
        <v>2078</v>
      </c>
      <c r="CA210" s="247"/>
      <c r="CD210" s="249" t="s">
        <v>2088</v>
      </c>
      <c r="CH210" s="249" t="s">
        <v>2078</v>
      </c>
      <c r="CL210" s="249" t="s">
        <v>2078</v>
      </c>
      <c r="CN210" s="252"/>
      <c r="CO210" s="252"/>
      <c r="CP210" s="249" t="s">
        <v>2078</v>
      </c>
      <c r="CQ210" s="247"/>
      <c r="CT210" s="249" t="s">
        <v>2088</v>
      </c>
      <c r="CX210" s="249" t="s">
        <v>2078</v>
      </c>
      <c r="DB210" s="249" t="s">
        <v>2078</v>
      </c>
    </row>
    <row r="211" spans="44:106" ht="15" customHeight="1" x14ac:dyDescent="0.2">
      <c r="AR211" s="252"/>
      <c r="AS211" s="252"/>
      <c r="AT211" s="249" t="s">
        <v>2078</v>
      </c>
      <c r="AU211" s="247"/>
      <c r="AX211" s="249" t="s">
        <v>2088</v>
      </c>
      <c r="BB211" s="249" t="s">
        <v>2078</v>
      </c>
      <c r="BF211" s="249" t="s">
        <v>2078</v>
      </c>
      <c r="BH211" s="252"/>
      <c r="BI211" s="252"/>
      <c r="BJ211" s="249" t="s">
        <v>2078</v>
      </c>
      <c r="BK211" s="247"/>
      <c r="BN211" s="249" t="s">
        <v>2088</v>
      </c>
      <c r="BR211" s="249" t="s">
        <v>2078</v>
      </c>
      <c r="BV211" s="249" t="s">
        <v>2078</v>
      </c>
      <c r="BX211" s="252"/>
      <c r="BY211" s="252"/>
      <c r="BZ211" s="249" t="s">
        <v>2078</v>
      </c>
      <c r="CA211" s="247"/>
      <c r="CD211" s="249" t="s">
        <v>2088</v>
      </c>
      <c r="CH211" s="249" t="s">
        <v>2078</v>
      </c>
      <c r="CL211" s="249" t="s">
        <v>2078</v>
      </c>
      <c r="CN211" s="252"/>
      <c r="CO211" s="252"/>
      <c r="CP211" s="249" t="s">
        <v>2078</v>
      </c>
      <c r="CQ211" s="247"/>
      <c r="CT211" s="249" t="s">
        <v>2088</v>
      </c>
      <c r="CX211" s="249" t="s">
        <v>2078</v>
      </c>
      <c r="DB211" s="249" t="s">
        <v>2078</v>
      </c>
    </row>
    <row r="212" spans="44:106" ht="15" customHeight="1" x14ac:dyDescent="0.2">
      <c r="AR212" s="252"/>
      <c r="AS212" s="252"/>
      <c r="AT212" s="249" t="s">
        <v>2078</v>
      </c>
      <c r="AU212" s="247"/>
      <c r="AX212" s="249" t="s">
        <v>2088</v>
      </c>
      <c r="BB212" s="249" t="s">
        <v>2078</v>
      </c>
      <c r="BF212" s="249" t="s">
        <v>2078</v>
      </c>
      <c r="BH212" s="252"/>
      <c r="BI212" s="252"/>
      <c r="BJ212" s="249" t="s">
        <v>2078</v>
      </c>
      <c r="BK212" s="247"/>
      <c r="BN212" s="249" t="s">
        <v>2088</v>
      </c>
      <c r="BR212" s="249" t="s">
        <v>2078</v>
      </c>
      <c r="BV212" s="249" t="s">
        <v>2078</v>
      </c>
      <c r="BX212" s="252"/>
      <c r="BY212" s="252"/>
      <c r="BZ212" s="249" t="s">
        <v>2078</v>
      </c>
      <c r="CA212" s="247"/>
      <c r="CD212" s="249" t="s">
        <v>2088</v>
      </c>
      <c r="CH212" s="249" t="s">
        <v>2078</v>
      </c>
      <c r="CL212" s="249" t="s">
        <v>2078</v>
      </c>
      <c r="CN212" s="252"/>
      <c r="CO212" s="252"/>
      <c r="CP212" s="249" t="s">
        <v>2078</v>
      </c>
      <c r="CQ212" s="247"/>
      <c r="CT212" s="249" t="s">
        <v>2088</v>
      </c>
      <c r="CX212" s="249" t="s">
        <v>2078</v>
      </c>
      <c r="DB212" s="249" t="s">
        <v>2078</v>
      </c>
    </row>
    <row r="213" spans="44:106" ht="15" customHeight="1" x14ac:dyDescent="0.2">
      <c r="AR213" s="252"/>
      <c r="AS213" s="252"/>
      <c r="AT213" s="249" t="s">
        <v>2078</v>
      </c>
      <c r="AU213" s="247"/>
      <c r="AX213" s="249" t="s">
        <v>2088</v>
      </c>
      <c r="BB213" s="249" t="s">
        <v>2078</v>
      </c>
      <c r="BF213" s="249" t="s">
        <v>2078</v>
      </c>
      <c r="BH213" s="252"/>
      <c r="BI213" s="252"/>
      <c r="BJ213" s="249" t="s">
        <v>2078</v>
      </c>
      <c r="BK213" s="247"/>
      <c r="BN213" s="249" t="s">
        <v>2088</v>
      </c>
      <c r="BR213" s="249" t="s">
        <v>2078</v>
      </c>
      <c r="BV213" s="249" t="s">
        <v>2078</v>
      </c>
      <c r="BX213" s="252"/>
      <c r="BY213" s="252"/>
      <c r="BZ213" s="249" t="s">
        <v>2078</v>
      </c>
      <c r="CA213" s="247"/>
      <c r="CD213" s="249" t="s">
        <v>2088</v>
      </c>
      <c r="CH213" s="249" t="s">
        <v>2078</v>
      </c>
      <c r="CL213" s="249" t="s">
        <v>2078</v>
      </c>
      <c r="CN213" s="252"/>
      <c r="CO213" s="252"/>
      <c r="CP213" s="249" t="s">
        <v>2078</v>
      </c>
      <c r="CQ213" s="247"/>
      <c r="CT213" s="249" t="s">
        <v>2088</v>
      </c>
      <c r="CX213" s="249" t="s">
        <v>2078</v>
      </c>
      <c r="DB213" s="249" t="s">
        <v>2078</v>
      </c>
    </row>
    <row r="214" spans="44:106" ht="15" customHeight="1" x14ac:dyDescent="0.2">
      <c r="AR214" s="252"/>
      <c r="AS214" s="252"/>
      <c r="AT214" s="249" t="s">
        <v>2078</v>
      </c>
      <c r="AU214" s="247"/>
      <c r="AX214" s="249" t="s">
        <v>2088</v>
      </c>
      <c r="BB214" s="249" t="s">
        <v>2078</v>
      </c>
      <c r="BF214" s="249" t="s">
        <v>2078</v>
      </c>
      <c r="BH214" s="252"/>
      <c r="BI214" s="252"/>
      <c r="BJ214" s="249" t="s">
        <v>2078</v>
      </c>
      <c r="BK214" s="247"/>
      <c r="BN214" s="249" t="s">
        <v>2088</v>
      </c>
      <c r="BR214" s="249" t="s">
        <v>2078</v>
      </c>
      <c r="BV214" s="249" t="s">
        <v>2078</v>
      </c>
      <c r="BX214" s="252"/>
      <c r="BY214" s="252"/>
      <c r="BZ214" s="249" t="s">
        <v>2078</v>
      </c>
      <c r="CA214" s="247"/>
      <c r="CD214" s="249" t="s">
        <v>2088</v>
      </c>
      <c r="CH214" s="249" t="s">
        <v>2078</v>
      </c>
      <c r="CL214" s="249" t="s">
        <v>2078</v>
      </c>
      <c r="CN214" s="252"/>
      <c r="CO214" s="252"/>
      <c r="CP214" s="249" t="s">
        <v>2078</v>
      </c>
      <c r="CQ214" s="247"/>
      <c r="CT214" s="249" t="s">
        <v>2088</v>
      </c>
      <c r="CX214" s="249" t="s">
        <v>2078</v>
      </c>
      <c r="DB214" s="249" t="s">
        <v>2078</v>
      </c>
    </row>
    <row r="215" spans="44:106" ht="15" customHeight="1" x14ac:dyDescent="0.2">
      <c r="AR215" s="252"/>
      <c r="AS215" s="252"/>
      <c r="AT215" s="249" t="s">
        <v>2078</v>
      </c>
      <c r="AU215" s="247"/>
      <c r="AX215" s="249" t="s">
        <v>2088</v>
      </c>
      <c r="BB215" s="249" t="s">
        <v>2078</v>
      </c>
      <c r="BF215" s="249" t="s">
        <v>2078</v>
      </c>
      <c r="BH215" s="252"/>
      <c r="BI215" s="252"/>
      <c r="BJ215" s="249" t="s">
        <v>2078</v>
      </c>
      <c r="BK215" s="247"/>
      <c r="BN215" s="249" t="s">
        <v>2088</v>
      </c>
      <c r="BR215" s="249" t="s">
        <v>2078</v>
      </c>
      <c r="BV215" s="249" t="s">
        <v>2078</v>
      </c>
      <c r="BX215" s="252"/>
      <c r="BY215" s="252"/>
      <c r="BZ215" s="249" t="s">
        <v>2078</v>
      </c>
      <c r="CA215" s="247"/>
      <c r="CD215" s="249" t="s">
        <v>2088</v>
      </c>
      <c r="CH215" s="249" t="s">
        <v>2078</v>
      </c>
      <c r="CL215" s="249" t="s">
        <v>2078</v>
      </c>
      <c r="CN215" s="252"/>
      <c r="CO215" s="252"/>
      <c r="CP215" s="249" t="s">
        <v>2078</v>
      </c>
      <c r="CQ215" s="247"/>
      <c r="CT215" s="249" t="s">
        <v>2088</v>
      </c>
      <c r="CX215" s="249" t="s">
        <v>2078</v>
      </c>
      <c r="DB215" s="249" t="s">
        <v>2078</v>
      </c>
    </row>
    <row r="216" spans="44:106" ht="15" customHeight="1" x14ac:dyDescent="0.2">
      <c r="AR216" s="252"/>
      <c r="AS216" s="252"/>
      <c r="AT216" s="249" t="s">
        <v>2078</v>
      </c>
      <c r="AU216" s="247"/>
      <c r="AX216" s="249" t="s">
        <v>2088</v>
      </c>
      <c r="BB216" s="249" t="s">
        <v>2078</v>
      </c>
      <c r="BF216" s="249" t="s">
        <v>2078</v>
      </c>
      <c r="BH216" s="252"/>
      <c r="BI216" s="252"/>
      <c r="BJ216" s="249" t="s">
        <v>2078</v>
      </c>
      <c r="BK216" s="247"/>
      <c r="BN216" s="249" t="s">
        <v>2088</v>
      </c>
      <c r="BR216" s="249" t="s">
        <v>2078</v>
      </c>
      <c r="BV216" s="249" t="s">
        <v>2078</v>
      </c>
      <c r="BX216" s="252"/>
      <c r="BY216" s="252"/>
      <c r="BZ216" s="249" t="s">
        <v>2078</v>
      </c>
      <c r="CA216" s="247"/>
      <c r="CD216" s="249" t="s">
        <v>2088</v>
      </c>
      <c r="CH216" s="249" t="s">
        <v>2078</v>
      </c>
      <c r="CL216" s="249" t="s">
        <v>2078</v>
      </c>
      <c r="CN216" s="252"/>
      <c r="CO216" s="252"/>
      <c r="CP216" s="249" t="s">
        <v>2078</v>
      </c>
      <c r="CQ216" s="247"/>
      <c r="CT216" s="249" t="s">
        <v>2088</v>
      </c>
      <c r="CX216" s="249" t="s">
        <v>2078</v>
      </c>
      <c r="DB216" s="249" t="s">
        <v>2078</v>
      </c>
    </row>
    <row r="217" spans="44:106" ht="15" customHeight="1" x14ac:dyDescent="0.2">
      <c r="AR217" s="252"/>
      <c r="AS217" s="252"/>
      <c r="AT217" s="249" t="s">
        <v>2078</v>
      </c>
      <c r="AU217" s="247"/>
      <c r="AX217" s="249" t="s">
        <v>2088</v>
      </c>
      <c r="BB217" s="249" t="s">
        <v>2078</v>
      </c>
      <c r="BF217" s="249" t="s">
        <v>2078</v>
      </c>
      <c r="BH217" s="252"/>
      <c r="BI217" s="252"/>
      <c r="BJ217" s="249" t="s">
        <v>2078</v>
      </c>
      <c r="BK217" s="247"/>
      <c r="BN217" s="249" t="s">
        <v>2088</v>
      </c>
      <c r="BR217" s="249" t="s">
        <v>2078</v>
      </c>
      <c r="BV217" s="249" t="s">
        <v>2078</v>
      </c>
      <c r="BX217" s="252"/>
      <c r="BY217" s="252"/>
      <c r="BZ217" s="249" t="s">
        <v>2078</v>
      </c>
      <c r="CA217" s="247"/>
      <c r="CD217" s="249" t="s">
        <v>2088</v>
      </c>
      <c r="CH217" s="249" t="s">
        <v>2078</v>
      </c>
      <c r="CL217" s="249" t="s">
        <v>2078</v>
      </c>
      <c r="CN217" s="252"/>
      <c r="CO217" s="252"/>
      <c r="CP217" s="249" t="s">
        <v>2078</v>
      </c>
      <c r="CQ217" s="247"/>
      <c r="CT217" s="249" t="s">
        <v>2088</v>
      </c>
      <c r="CX217" s="249" t="s">
        <v>2078</v>
      </c>
      <c r="DB217" s="249" t="s">
        <v>2078</v>
      </c>
    </row>
    <row r="218" spans="44:106" ht="15" customHeight="1" x14ac:dyDescent="0.2">
      <c r="AR218" s="252"/>
      <c r="AS218" s="252"/>
      <c r="AT218" s="249" t="s">
        <v>2078</v>
      </c>
      <c r="AU218" s="247"/>
      <c r="AX218" s="249" t="s">
        <v>2088</v>
      </c>
      <c r="BB218" s="249" t="s">
        <v>2078</v>
      </c>
      <c r="BF218" s="249" t="s">
        <v>2078</v>
      </c>
      <c r="BH218" s="252"/>
      <c r="BI218" s="252"/>
      <c r="BJ218" s="249" t="s">
        <v>2078</v>
      </c>
      <c r="BK218" s="247"/>
      <c r="BN218" s="249" t="s">
        <v>2088</v>
      </c>
      <c r="BR218" s="249" t="s">
        <v>2078</v>
      </c>
      <c r="BV218" s="249" t="s">
        <v>2078</v>
      </c>
      <c r="BX218" s="252"/>
      <c r="BY218" s="252"/>
      <c r="BZ218" s="249" t="s">
        <v>2078</v>
      </c>
      <c r="CA218" s="247"/>
      <c r="CD218" s="249" t="s">
        <v>2088</v>
      </c>
      <c r="CH218" s="249" t="s">
        <v>2078</v>
      </c>
      <c r="CL218" s="249" t="s">
        <v>2078</v>
      </c>
      <c r="CN218" s="252"/>
      <c r="CO218" s="252"/>
      <c r="CP218" s="249" t="s">
        <v>2078</v>
      </c>
      <c r="CQ218" s="247"/>
      <c r="CT218" s="249" t="s">
        <v>2088</v>
      </c>
      <c r="CX218" s="249" t="s">
        <v>2078</v>
      </c>
      <c r="DB218" s="249" t="s">
        <v>2078</v>
      </c>
    </row>
    <row r="219" spans="44:106" ht="15" customHeight="1" x14ac:dyDescent="0.2">
      <c r="AR219" s="252"/>
      <c r="AS219" s="252"/>
      <c r="AT219" s="249" t="s">
        <v>2078</v>
      </c>
      <c r="AU219" s="247"/>
      <c r="AX219" s="249" t="s">
        <v>2088</v>
      </c>
      <c r="BB219" s="249" t="s">
        <v>2078</v>
      </c>
      <c r="BF219" s="249" t="s">
        <v>2078</v>
      </c>
      <c r="BH219" s="252"/>
      <c r="BI219" s="252"/>
      <c r="BJ219" s="249" t="s">
        <v>2078</v>
      </c>
      <c r="BK219" s="247"/>
      <c r="BN219" s="249" t="s">
        <v>2088</v>
      </c>
      <c r="BR219" s="249" t="s">
        <v>2078</v>
      </c>
      <c r="BV219" s="249" t="s">
        <v>2078</v>
      </c>
      <c r="BX219" s="252"/>
      <c r="BY219" s="252"/>
      <c r="BZ219" s="249" t="s">
        <v>2078</v>
      </c>
      <c r="CA219" s="247"/>
      <c r="CD219" s="249" t="s">
        <v>2088</v>
      </c>
      <c r="CH219" s="249" t="s">
        <v>2078</v>
      </c>
      <c r="CL219" s="249" t="s">
        <v>2078</v>
      </c>
      <c r="CN219" s="252"/>
      <c r="CO219" s="252"/>
      <c r="CP219" s="249" t="s">
        <v>2078</v>
      </c>
      <c r="CQ219" s="247"/>
      <c r="CT219" s="249" t="s">
        <v>2088</v>
      </c>
      <c r="CX219" s="249" t="s">
        <v>2078</v>
      </c>
      <c r="DB219" s="249" t="s">
        <v>2078</v>
      </c>
    </row>
    <row r="220" spans="44:106" ht="15" customHeight="1" x14ac:dyDescent="0.2">
      <c r="AR220" s="252"/>
      <c r="AS220" s="252"/>
      <c r="AT220" s="249" t="s">
        <v>2078</v>
      </c>
      <c r="AU220" s="247"/>
      <c r="AX220" s="249" t="s">
        <v>2088</v>
      </c>
      <c r="BB220" s="249" t="s">
        <v>2078</v>
      </c>
      <c r="BF220" s="249" t="s">
        <v>2078</v>
      </c>
      <c r="BH220" s="252"/>
      <c r="BI220" s="252"/>
      <c r="BJ220" s="249" t="s">
        <v>2078</v>
      </c>
      <c r="BK220" s="247"/>
      <c r="BN220" s="249" t="s">
        <v>2088</v>
      </c>
      <c r="BR220" s="249" t="s">
        <v>2078</v>
      </c>
      <c r="BV220" s="249" t="s">
        <v>2078</v>
      </c>
      <c r="BX220" s="252"/>
      <c r="BY220" s="252"/>
      <c r="BZ220" s="249" t="s">
        <v>2078</v>
      </c>
      <c r="CA220" s="247"/>
      <c r="CD220" s="249" t="s">
        <v>2088</v>
      </c>
      <c r="CH220" s="249" t="s">
        <v>2078</v>
      </c>
      <c r="CL220" s="249" t="s">
        <v>2078</v>
      </c>
      <c r="CN220" s="252"/>
      <c r="CO220" s="252"/>
      <c r="CP220" s="249" t="s">
        <v>2078</v>
      </c>
      <c r="CQ220" s="247"/>
      <c r="CT220" s="249" t="s">
        <v>2088</v>
      </c>
      <c r="CX220" s="249" t="s">
        <v>2078</v>
      </c>
      <c r="DB220" s="249" t="s">
        <v>2078</v>
      </c>
    </row>
    <row r="221" spans="44:106" ht="15" customHeight="1" x14ac:dyDescent="0.2">
      <c r="AR221" s="252"/>
      <c r="AS221" s="252"/>
      <c r="AT221" s="249" t="s">
        <v>2078</v>
      </c>
      <c r="AU221" s="247"/>
      <c r="AX221" s="249" t="s">
        <v>2088</v>
      </c>
      <c r="BB221" s="249" t="s">
        <v>2078</v>
      </c>
      <c r="BF221" s="249" t="s">
        <v>2078</v>
      </c>
      <c r="BH221" s="252"/>
      <c r="BI221" s="252"/>
      <c r="BJ221" s="249" t="s">
        <v>2078</v>
      </c>
      <c r="BK221" s="247"/>
      <c r="BN221" s="249" t="s">
        <v>2088</v>
      </c>
      <c r="BR221" s="249" t="s">
        <v>2078</v>
      </c>
      <c r="BV221" s="249" t="s">
        <v>2078</v>
      </c>
      <c r="BX221" s="252"/>
      <c r="BY221" s="252"/>
      <c r="BZ221" s="249" t="s">
        <v>2078</v>
      </c>
      <c r="CA221" s="247"/>
      <c r="CD221" s="249" t="s">
        <v>2088</v>
      </c>
      <c r="CH221" s="249" t="s">
        <v>2078</v>
      </c>
      <c r="CL221" s="249" t="s">
        <v>2078</v>
      </c>
      <c r="CN221" s="252"/>
      <c r="CO221" s="252"/>
      <c r="CP221" s="249" t="s">
        <v>2078</v>
      </c>
      <c r="CQ221" s="247"/>
      <c r="CT221" s="249" t="s">
        <v>2088</v>
      </c>
      <c r="CX221" s="249" t="s">
        <v>2078</v>
      </c>
      <c r="DB221" s="249" t="s">
        <v>2078</v>
      </c>
    </row>
    <row r="222" spans="44:106" ht="15" customHeight="1" x14ac:dyDescent="0.2">
      <c r="AR222" s="252"/>
      <c r="AS222" s="252"/>
      <c r="AT222" s="249" t="s">
        <v>2078</v>
      </c>
      <c r="AU222" s="247"/>
      <c r="AX222" s="249" t="s">
        <v>2088</v>
      </c>
      <c r="BB222" s="249" t="s">
        <v>2078</v>
      </c>
      <c r="BF222" s="249" t="s">
        <v>2078</v>
      </c>
      <c r="BH222" s="252"/>
      <c r="BI222" s="252"/>
      <c r="BJ222" s="249" t="s">
        <v>2078</v>
      </c>
      <c r="BK222" s="247"/>
      <c r="BN222" s="249" t="s">
        <v>2088</v>
      </c>
      <c r="BR222" s="249" t="s">
        <v>2078</v>
      </c>
      <c r="BV222" s="249" t="s">
        <v>2078</v>
      </c>
      <c r="BX222" s="252"/>
      <c r="BY222" s="252"/>
      <c r="BZ222" s="249" t="s">
        <v>2078</v>
      </c>
      <c r="CA222" s="247"/>
      <c r="CD222" s="249" t="s">
        <v>2088</v>
      </c>
      <c r="CH222" s="249" t="s">
        <v>2078</v>
      </c>
      <c r="CL222" s="249" t="s">
        <v>2078</v>
      </c>
      <c r="CN222" s="252"/>
      <c r="CO222" s="252"/>
      <c r="CP222" s="249" t="s">
        <v>2078</v>
      </c>
      <c r="CQ222" s="247"/>
      <c r="CT222" s="249" t="s">
        <v>2088</v>
      </c>
      <c r="CX222" s="249" t="s">
        <v>2078</v>
      </c>
      <c r="DB222" s="249" t="s">
        <v>2078</v>
      </c>
    </row>
    <row r="223" spans="44:106" ht="15" customHeight="1" x14ac:dyDescent="0.2">
      <c r="AR223" s="252"/>
      <c r="AS223" s="252"/>
      <c r="AT223" s="249" t="s">
        <v>2078</v>
      </c>
      <c r="AU223" s="247"/>
      <c r="AX223" s="249" t="s">
        <v>2088</v>
      </c>
      <c r="BB223" s="249" t="s">
        <v>2078</v>
      </c>
      <c r="BF223" s="249" t="s">
        <v>2078</v>
      </c>
      <c r="BH223" s="252"/>
      <c r="BI223" s="252"/>
      <c r="BJ223" s="249" t="s">
        <v>2078</v>
      </c>
      <c r="BK223" s="247"/>
      <c r="BN223" s="249" t="s">
        <v>2088</v>
      </c>
      <c r="BR223" s="249" t="s">
        <v>2078</v>
      </c>
      <c r="BV223" s="249" t="s">
        <v>2078</v>
      </c>
      <c r="BX223" s="252"/>
      <c r="BY223" s="252"/>
      <c r="BZ223" s="249" t="s">
        <v>2078</v>
      </c>
      <c r="CA223" s="247"/>
      <c r="CD223" s="249" t="s">
        <v>2088</v>
      </c>
      <c r="CH223" s="249" t="s">
        <v>2078</v>
      </c>
      <c r="CL223" s="249" t="s">
        <v>2078</v>
      </c>
      <c r="CN223" s="252"/>
      <c r="CO223" s="252"/>
      <c r="CP223" s="249" t="s">
        <v>2078</v>
      </c>
      <c r="CQ223" s="247"/>
      <c r="CT223" s="249" t="s">
        <v>2088</v>
      </c>
      <c r="CX223" s="249" t="s">
        <v>2078</v>
      </c>
      <c r="DB223" s="249" t="s">
        <v>2078</v>
      </c>
    </row>
    <row r="224" spans="44:106" ht="15" customHeight="1" x14ac:dyDescent="0.2">
      <c r="AR224" s="252"/>
      <c r="AS224" s="252"/>
      <c r="AT224" s="249" t="s">
        <v>2078</v>
      </c>
      <c r="AU224" s="247"/>
      <c r="AX224" s="249" t="s">
        <v>2088</v>
      </c>
      <c r="BB224" s="249" t="s">
        <v>2078</v>
      </c>
      <c r="BF224" s="249" t="s">
        <v>2078</v>
      </c>
      <c r="BH224" s="252"/>
      <c r="BI224" s="252"/>
      <c r="BJ224" s="249" t="s">
        <v>2078</v>
      </c>
      <c r="BK224" s="247"/>
      <c r="BN224" s="249" t="s">
        <v>2088</v>
      </c>
      <c r="BR224" s="249" t="s">
        <v>2078</v>
      </c>
      <c r="BV224" s="249" t="s">
        <v>2078</v>
      </c>
      <c r="BX224" s="252"/>
      <c r="BY224" s="252"/>
      <c r="BZ224" s="249" t="s">
        <v>2078</v>
      </c>
      <c r="CA224" s="247"/>
      <c r="CD224" s="249" t="s">
        <v>2088</v>
      </c>
      <c r="CH224" s="249" t="s">
        <v>2078</v>
      </c>
      <c r="CL224" s="249" t="s">
        <v>2078</v>
      </c>
      <c r="CN224" s="252"/>
      <c r="CO224" s="252"/>
      <c r="CP224" s="249" t="s">
        <v>2078</v>
      </c>
      <c r="CQ224" s="247"/>
      <c r="CT224" s="249" t="s">
        <v>2088</v>
      </c>
      <c r="CX224" s="249" t="s">
        <v>2078</v>
      </c>
      <c r="DB224" s="249" t="s">
        <v>2078</v>
      </c>
    </row>
    <row r="225" spans="44:106" ht="15" customHeight="1" x14ac:dyDescent="0.2">
      <c r="AR225" s="252"/>
      <c r="AS225" s="252"/>
      <c r="AT225" s="249" t="s">
        <v>2078</v>
      </c>
      <c r="AU225" s="247"/>
      <c r="AX225" s="249" t="s">
        <v>2088</v>
      </c>
      <c r="BB225" s="249" t="s">
        <v>2078</v>
      </c>
      <c r="BF225" s="249" t="s">
        <v>2078</v>
      </c>
      <c r="BH225" s="252"/>
      <c r="BI225" s="252"/>
      <c r="BJ225" s="249" t="s">
        <v>2078</v>
      </c>
      <c r="BK225" s="247"/>
      <c r="BN225" s="249" t="s">
        <v>2088</v>
      </c>
      <c r="BR225" s="249" t="s">
        <v>2078</v>
      </c>
      <c r="BV225" s="249" t="s">
        <v>2078</v>
      </c>
      <c r="BX225" s="252"/>
      <c r="BY225" s="252"/>
      <c r="BZ225" s="249" t="s">
        <v>2078</v>
      </c>
      <c r="CA225" s="247"/>
      <c r="CD225" s="249" t="s">
        <v>2088</v>
      </c>
      <c r="CH225" s="249" t="s">
        <v>2078</v>
      </c>
      <c r="CL225" s="249" t="s">
        <v>2078</v>
      </c>
      <c r="CN225" s="252"/>
      <c r="CO225" s="252"/>
      <c r="CP225" s="249" t="s">
        <v>2078</v>
      </c>
      <c r="CQ225" s="247"/>
      <c r="CT225" s="249" t="s">
        <v>2088</v>
      </c>
      <c r="CX225" s="249" t="s">
        <v>2078</v>
      </c>
      <c r="DB225" s="249" t="s">
        <v>2078</v>
      </c>
    </row>
    <row r="226" spans="44:106" ht="15" customHeight="1" x14ac:dyDescent="0.2">
      <c r="AR226" s="252"/>
      <c r="AS226" s="252"/>
      <c r="AT226" s="249" t="s">
        <v>2078</v>
      </c>
      <c r="AU226" s="247"/>
      <c r="AX226" s="249" t="s">
        <v>2088</v>
      </c>
      <c r="BB226" s="249" t="s">
        <v>2078</v>
      </c>
      <c r="BF226" s="249" t="s">
        <v>2078</v>
      </c>
      <c r="BH226" s="252"/>
      <c r="BI226" s="252"/>
      <c r="BJ226" s="249" t="s">
        <v>2078</v>
      </c>
      <c r="BK226" s="247"/>
      <c r="BN226" s="249" t="s">
        <v>2088</v>
      </c>
      <c r="BR226" s="249" t="s">
        <v>2078</v>
      </c>
      <c r="BV226" s="249" t="s">
        <v>2078</v>
      </c>
      <c r="BX226" s="252"/>
      <c r="BY226" s="252"/>
      <c r="BZ226" s="249" t="s">
        <v>2078</v>
      </c>
      <c r="CA226" s="247"/>
      <c r="CD226" s="249" t="s">
        <v>2088</v>
      </c>
      <c r="CH226" s="249" t="s">
        <v>2078</v>
      </c>
      <c r="CL226" s="249" t="s">
        <v>2078</v>
      </c>
      <c r="CN226" s="252"/>
      <c r="CO226" s="252"/>
      <c r="CP226" s="249" t="s">
        <v>2078</v>
      </c>
      <c r="CQ226" s="247"/>
      <c r="CT226" s="249" t="s">
        <v>2088</v>
      </c>
      <c r="CX226" s="249" t="s">
        <v>2078</v>
      </c>
      <c r="DB226" s="249" t="s">
        <v>2078</v>
      </c>
    </row>
    <row r="227" spans="44:106" ht="15" customHeight="1" x14ac:dyDescent="0.2">
      <c r="AR227" s="252"/>
      <c r="AS227" s="252"/>
      <c r="AT227" s="249" t="s">
        <v>2078</v>
      </c>
      <c r="AU227" s="247"/>
      <c r="AX227" s="249" t="s">
        <v>2088</v>
      </c>
      <c r="BB227" s="249" t="s">
        <v>2078</v>
      </c>
      <c r="BF227" s="249" t="s">
        <v>2078</v>
      </c>
      <c r="BH227" s="252"/>
      <c r="BI227" s="252"/>
      <c r="BJ227" s="249" t="s">
        <v>2078</v>
      </c>
      <c r="BK227" s="247"/>
      <c r="BN227" s="249" t="s">
        <v>2088</v>
      </c>
      <c r="BR227" s="249" t="s">
        <v>2078</v>
      </c>
      <c r="BV227" s="249" t="s">
        <v>2078</v>
      </c>
      <c r="BX227" s="252"/>
      <c r="BY227" s="252"/>
      <c r="BZ227" s="249" t="s">
        <v>2078</v>
      </c>
      <c r="CA227" s="247"/>
      <c r="CD227" s="249" t="s">
        <v>2088</v>
      </c>
      <c r="CH227" s="249" t="s">
        <v>2078</v>
      </c>
      <c r="CL227" s="249" t="s">
        <v>2078</v>
      </c>
      <c r="CN227" s="252"/>
      <c r="CO227" s="252"/>
      <c r="CP227" s="249" t="s">
        <v>2078</v>
      </c>
      <c r="CQ227" s="247"/>
      <c r="CT227" s="249" t="s">
        <v>2088</v>
      </c>
      <c r="CX227" s="249" t="s">
        <v>2078</v>
      </c>
      <c r="DB227" s="249" t="s">
        <v>2078</v>
      </c>
    </row>
    <row r="228" spans="44:106" ht="15" customHeight="1" x14ac:dyDescent="0.2">
      <c r="AR228" s="252"/>
      <c r="AS228" s="252"/>
      <c r="AT228" s="249" t="s">
        <v>2078</v>
      </c>
      <c r="AU228" s="247"/>
      <c r="AX228" s="249" t="s">
        <v>2088</v>
      </c>
      <c r="BB228" s="249" t="s">
        <v>2078</v>
      </c>
      <c r="BF228" s="249" t="s">
        <v>2078</v>
      </c>
      <c r="BH228" s="252"/>
      <c r="BI228" s="252"/>
      <c r="BJ228" s="249" t="s">
        <v>2078</v>
      </c>
      <c r="BK228" s="247"/>
      <c r="BN228" s="249" t="s">
        <v>2088</v>
      </c>
      <c r="BR228" s="249" t="s">
        <v>2078</v>
      </c>
      <c r="BV228" s="249" t="s">
        <v>2078</v>
      </c>
      <c r="BX228" s="252"/>
      <c r="BY228" s="252"/>
      <c r="BZ228" s="249" t="s">
        <v>2078</v>
      </c>
      <c r="CA228" s="247"/>
      <c r="CD228" s="249" t="s">
        <v>2088</v>
      </c>
      <c r="CH228" s="249" t="s">
        <v>2078</v>
      </c>
      <c r="CL228" s="249" t="s">
        <v>2078</v>
      </c>
      <c r="CN228" s="252"/>
      <c r="CO228" s="252"/>
      <c r="CP228" s="249" t="s">
        <v>2078</v>
      </c>
      <c r="CQ228" s="247"/>
      <c r="CT228" s="249" t="s">
        <v>2088</v>
      </c>
      <c r="CX228" s="249" t="s">
        <v>2078</v>
      </c>
      <c r="DB228" s="249" t="s">
        <v>2078</v>
      </c>
    </row>
    <row r="229" spans="44:106" ht="15" customHeight="1" x14ac:dyDescent="0.2">
      <c r="AR229" s="252"/>
      <c r="AS229" s="252"/>
      <c r="AT229" s="249" t="s">
        <v>2078</v>
      </c>
      <c r="AU229" s="247"/>
      <c r="AX229" s="249" t="s">
        <v>2088</v>
      </c>
      <c r="BB229" s="249" t="s">
        <v>2078</v>
      </c>
      <c r="BF229" s="249" t="s">
        <v>2078</v>
      </c>
      <c r="BH229" s="252"/>
      <c r="BI229" s="252"/>
      <c r="BJ229" s="249" t="s">
        <v>2078</v>
      </c>
      <c r="BK229" s="247"/>
      <c r="BN229" s="249" t="s">
        <v>2088</v>
      </c>
      <c r="BR229" s="249" t="s">
        <v>2078</v>
      </c>
      <c r="BV229" s="249" t="s">
        <v>2078</v>
      </c>
      <c r="BX229" s="252"/>
      <c r="BY229" s="252"/>
      <c r="BZ229" s="249" t="s">
        <v>2078</v>
      </c>
      <c r="CA229" s="247"/>
      <c r="CD229" s="249" t="s">
        <v>2088</v>
      </c>
      <c r="CH229" s="249" t="s">
        <v>2078</v>
      </c>
      <c r="CL229" s="249" t="s">
        <v>2078</v>
      </c>
      <c r="CN229" s="252"/>
      <c r="CO229" s="252"/>
      <c r="CP229" s="249" t="s">
        <v>2078</v>
      </c>
      <c r="CQ229" s="247"/>
      <c r="CT229" s="249" t="s">
        <v>2088</v>
      </c>
      <c r="CX229" s="249" t="s">
        <v>2078</v>
      </c>
      <c r="DB229" s="249" t="s">
        <v>2078</v>
      </c>
    </row>
    <row r="230" spans="44:106" ht="15" customHeight="1" x14ac:dyDescent="0.2">
      <c r="AR230" s="252"/>
      <c r="AS230" s="252"/>
      <c r="AT230" s="249" t="s">
        <v>2078</v>
      </c>
      <c r="AU230" s="247"/>
      <c r="AX230" s="249" t="s">
        <v>2088</v>
      </c>
      <c r="BB230" s="249" t="s">
        <v>2078</v>
      </c>
      <c r="BF230" s="249" t="s">
        <v>2078</v>
      </c>
      <c r="BH230" s="252"/>
      <c r="BI230" s="252"/>
      <c r="BJ230" s="249" t="s">
        <v>2078</v>
      </c>
      <c r="BK230" s="247"/>
      <c r="BN230" s="249" t="s">
        <v>2088</v>
      </c>
      <c r="BR230" s="249" t="s">
        <v>2078</v>
      </c>
      <c r="BV230" s="249" t="s">
        <v>2078</v>
      </c>
      <c r="BX230" s="252"/>
      <c r="BY230" s="252"/>
      <c r="BZ230" s="249" t="s">
        <v>2078</v>
      </c>
      <c r="CA230" s="247"/>
      <c r="CD230" s="249" t="s">
        <v>2088</v>
      </c>
      <c r="CH230" s="249" t="s">
        <v>2078</v>
      </c>
      <c r="CL230" s="249" t="s">
        <v>2078</v>
      </c>
      <c r="CN230" s="252"/>
      <c r="CO230" s="252"/>
      <c r="CP230" s="249" t="s">
        <v>2078</v>
      </c>
      <c r="CQ230" s="247"/>
      <c r="CT230" s="249" t="s">
        <v>2088</v>
      </c>
      <c r="CX230" s="249" t="s">
        <v>2078</v>
      </c>
      <c r="DB230" s="249" t="s">
        <v>2078</v>
      </c>
    </row>
    <row r="231" spans="44:106" ht="15" customHeight="1" x14ac:dyDescent="0.2">
      <c r="AR231" s="252"/>
      <c r="AS231" s="252"/>
      <c r="AT231" s="249" t="s">
        <v>2078</v>
      </c>
      <c r="AU231" s="247"/>
      <c r="AX231" s="249" t="s">
        <v>2088</v>
      </c>
      <c r="BB231" s="249" t="s">
        <v>2078</v>
      </c>
      <c r="BF231" s="249" t="s">
        <v>2078</v>
      </c>
      <c r="BH231" s="252"/>
      <c r="BI231" s="252"/>
      <c r="BJ231" s="249" t="s">
        <v>2078</v>
      </c>
      <c r="BK231" s="247"/>
      <c r="BN231" s="249" t="s">
        <v>2088</v>
      </c>
      <c r="BR231" s="249" t="s">
        <v>2078</v>
      </c>
      <c r="BV231" s="249" t="s">
        <v>2078</v>
      </c>
      <c r="BX231" s="252"/>
      <c r="BY231" s="252"/>
      <c r="BZ231" s="249" t="s">
        <v>2078</v>
      </c>
      <c r="CA231" s="247"/>
      <c r="CD231" s="249" t="s">
        <v>2088</v>
      </c>
      <c r="CH231" s="249" t="s">
        <v>2078</v>
      </c>
      <c r="CL231" s="249" t="s">
        <v>2078</v>
      </c>
      <c r="CN231" s="252"/>
      <c r="CO231" s="252"/>
      <c r="CP231" s="249" t="s">
        <v>2078</v>
      </c>
      <c r="CQ231" s="247"/>
      <c r="CT231" s="249" t="s">
        <v>2088</v>
      </c>
      <c r="CX231" s="249" t="s">
        <v>2078</v>
      </c>
      <c r="DB231" s="249" t="s">
        <v>2078</v>
      </c>
    </row>
    <row r="232" spans="44:106" ht="15" customHeight="1" x14ac:dyDescent="0.2">
      <c r="AR232" s="252"/>
      <c r="AS232" s="252"/>
      <c r="AT232" s="249" t="s">
        <v>2078</v>
      </c>
      <c r="AU232" s="247"/>
      <c r="AX232" s="249" t="s">
        <v>2088</v>
      </c>
      <c r="BB232" s="249" t="s">
        <v>2078</v>
      </c>
      <c r="BF232" s="249" t="s">
        <v>2078</v>
      </c>
      <c r="BH232" s="252"/>
      <c r="BI232" s="252"/>
      <c r="BJ232" s="249" t="s">
        <v>2078</v>
      </c>
      <c r="BK232" s="247"/>
      <c r="BN232" s="249" t="s">
        <v>2088</v>
      </c>
      <c r="BR232" s="249" t="s">
        <v>2078</v>
      </c>
      <c r="BV232" s="249" t="s">
        <v>2078</v>
      </c>
      <c r="BX232" s="252"/>
      <c r="BY232" s="252"/>
      <c r="BZ232" s="249" t="s">
        <v>2078</v>
      </c>
      <c r="CA232" s="247"/>
      <c r="CD232" s="249" t="s">
        <v>2088</v>
      </c>
      <c r="CH232" s="249" t="s">
        <v>2078</v>
      </c>
      <c r="CL232" s="249" t="s">
        <v>2078</v>
      </c>
      <c r="CN232" s="252"/>
      <c r="CO232" s="252"/>
      <c r="CP232" s="249" t="s">
        <v>2078</v>
      </c>
      <c r="CQ232" s="247"/>
      <c r="CT232" s="249" t="s">
        <v>2088</v>
      </c>
      <c r="CX232" s="249" t="s">
        <v>2078</v>
      </c>
      <c r="DB232" s="249" t="s">
        <v>2078</v>
      </c>
    </row>
    <row r="233" spans="44:106" ht="15" customHeight="1" x14ac:dyDescent="0.2">
      <c r="AR233" s="252"/>
      <c r="AS233" s="252"/>
      <c r="AT233" s="249" t="s">
        <v>2078</v>
      </c>
      <c r="AU233" s="247"/>
      <c r="AX233" s="249" t="s">
        <v>2088</v>
      </c>
      <c r="BB233" s="249" t="s">
        <v>2078</v>
      </c>
      <c r="BF233" s="249" t="s">
        <v>2078</v>
      </c>
      <c r="BH233" s="252"/>
      <c r="BI233" s="252"/>
      <c r="BJ233" s="249" t="s">
        <v>2078</v>
      </c>
      <c r="BK233" s="247"/>
      <c r="BN233" s="249" t="s">
        <v>2088</v>
      </c>
      <c r="BR233" s="249" t="s">
        <v>2078</v>
      </c>
      <c r="BV233" s="249" t="s">
        <v>2078</v>
      </c>
      <c r="BX233" s="252"/>
      <c r="BY233" s="252"/>
      <c r="BZ233" s="249" t="s">
        <v>2078</v>
      </c>
      <c r="CA233" s="247"/>
      <c r="CD233" s="249" t="s">
        <v>2088</v>
      </c>
      <c r="CH233" s="249" t="s">
        <v>2078</v>
      </c>
      <c r="CL233" s="249" t="s">
        <v>2078</v>
      </c>
      <c r="CN233" s="252"/>
      <c r="CO233" s="252"/>
      <c r="CP233" s="249" t="s">
        <v>2078</v>
      </c>
      <c r="CQ233" s="247"/>
      <c r="CT233" s="249" t="s">
        <v>2088</v>
      </c>
      <c r="CX233" s="249" t="s">
        <v>2078</v>
      </c>
      <c r="DB233" s="249" t="s">
        <v>2078</v>
      </c>
    </row>
    <row r="234" spans="44:106" ht="15" customHeight="1" x14ac:dyDescent="0.2">
      <c r="AR234" s="252"/>
      <c r="AS234" s="252"/>
      <c r="AT234" s="249" t="s">
        <v>2078</v>
      </c>
      <c r="AU234" s="247"/>
      <c r="AX234" s="249" t="s">
        <v>2088</v>
      </c>
      <c r="BB234" s="249" t="s">
        <v>2078</v>
      </c>
      <c r="BF234" s="249" t="s">
        <v>2078</v>
      </c>
      <c r="BH234" s="252"/>
      <c r="BI234" s="252"/>
      <c r="BJ234" s="249" t="s">
        <v>2078</v>
      </c>
      <c r="BK234" s="247"/>
      <c r="BN234" s="249" t="s">
        <v>2088</v>
      </c>
      <c r="BR234" s="249" t="s">
        <v>2078</v>
      </c>
      <c r="BV234" s="249" t="s">
        <v>2078</v>
      </c>
      <c r="BX234" s="252"/>
      <c r="BY234" s="252"/>
      <c r="BZ234" s="249" t="s">
        <v>2078</v>
      </c>
      <c r="CA234" s="247"/>
      <c r="CD234" s="249" t="s">
        <v>2088</v>
      </c>
      <c r="CH234" s="249" t="s">
        <v>2078</v>
      </c>
      <c r="CL234" s="249" t="s">
        <v>2078</v>
      </c>
      <c r="CN234" s="252"/>
      <c r="CO234" s="252"/>
      <c r="CP234" s="249" t="s">
        <v>2078</v>
      </c>
      <c r="CQ234" s="247"/>
      <c r="CT234" s="249" t="s">
        <v>2088</v>
      </c>
      <c r="CX234" s="249" t="s">
        <v>2078</v>
      </c>
      <c r="DB234" s="249" t="s">
        <v>2078</v>
      </c>
    </row>
    <row r="235" spans="44:106" ht="15" customHeight="1" x14ac:dyDescent="0.2">
      <c r="AR235" s="252"/>
      <c r="AS235" s="252"/>
      <c r="AT235" s="249" t="s">
        <v>2078</v>
      </c>
      <c r="AU235" s="247"/>
      <c r="AX235" s="249" t="s">
        <v>2088</v>
      </c>
      <c r="BB235" s="249" t="s">
        <v>2078</v>
      </c>
      <c r="BF235" s="249" t="s">
        <v>2078</v>
      </c>
      <c r="BH235" s="252"/>
      <c r="BI235" s="252"/>
      <c r="BJ235" s="249" t="s">
        <v>2078</v>
      </c>
      <c r="BK235" s="247"/>
      <c r="BN235" s="249" t="s">
        <v>2088</v>
      </c>
      <c r="BR235" s="249" t="s">
        <v>2078</v>
      </c>
      <c r="BV235" s="249" t="s">
        <v>2078</v>
      </c>
      <c r="BX235" s="252"/>
      <c r="BY235" s="252"/>
      <c r="BZ235" s="249" t="s">
        <v>2078</v>
      </c>
      <c r="CA235" s="247"/>
      <c r="CD235" s="249" t="s">
        <v>2088</v>
      </c>
      <c r="CH235" s="249" t="s">
        <v>2078</v>
      </c>
      <c r="CL235" s="249" t="s">
        <v>2078</v>
      </c>
      <c r="CN235" s="252"/>
      <c r="CO235" s="252"/>
      <c r="CP235" s="249" t="s">
        <v>2078</v>
      </c>
      <c r="CQ235" s="247"/>
      <c r="CT235" s="249" t="s">
        <v>2088</v>
      </c>
      <c r="CX235" s="249" t="s">
        <v>2078</v>
      </c>
      <c r="DB235" s="249" t="s">
        <v>2078</v>
      </c>
    </row>
    <row r="236" spans="44:106" ht="15" customHeight="1" x14ac:dyDescent="0.2">
      <c r="AR236" s="252"/>
      <c r="AS236" s="252"/>
      <c r="AT236" s="249" t="s">
        <v>2078</v>
      </c>
      <c r="AU236" s="247"/>
      <c r="AX236" s="249" t="s">
        <v>2088</v>
      </c>
      <c r="BB236" s="249" t="s">
        <v>2078</v>
      </c>
      <c r="BF236" s="249" t="s">
        <v>2078</v>
      </c>
      <c r="BH236" s="252"/>
      <c r="BI236" s="252"/>
      <c r="BJ236" s="249" t="s">
        <v>2078</v>
      </c>
      <c r="BK236" s="247"/>
      <c r="BN236" s="249" t="s">
        <v>2088</v>
      </c>
      <c r="BR236" s="249" t="s">
        <v>2078</v>
      </c>
      <c r="BV236" s="249" t="s">
        <v>2078</v>
      </c>
      <c r="BX236" s="252"/>
      <c r="BY236" s="252"/>
      <c r="BZ236" s="249" t="s">
        <v>2078</v>
      </c>
      <c r="CA236" s="247"/>
      <c r="CD236" s="249" t="s">
        <v>2088</v>
      </c>
      <c r="CH236" s="249" t="s">
        <v>2078</v>
      </c>
      <c r="CL236" s="249" t="s">
        <v>2078</v>
      </c>
      <c r="CN236" s="252"/>
      <c r="CO236" s="252"/>
      <c r="CP236" s="249" t="s">
        <v>2078</v>
      </c>
      <c r="CQ236" s="247"/>
      <c r="CT236" s="249" t="s">
        <v>2088</v>
      </c>
      <c r="CX236" s="249" t="s">
        <v>2078</v>
      </c>
      <c r="DB236" s="249" t="s">
        <v>2078</v>
      </c>
    </row>
    <row r="237" spans="44:106" ht="15" customHeight="1" x14ac:dyDescent="0.2">
      <c r="AR237" s="252"/>
      <c r="AS237" s="252"/>
      <c r="AT237" s="249" t="s">
        <v>2078</v>
      </c>
      <c r="AU237" s="247"/>
      <c r="AX237" s="249" t="s">
        <v>2088</v>
      </c>
      <c r="BB237" s="249" t="s">
        <v>2078</v>
      </c>
      <c r="BF237" s="249" t="s">
        <v>2078</v>
      </c>
      <c r="BH237" s="252"/>
      <c r="BI237" s="252"/>
      <c r="BJ237" s="249" t="s">
        <v>2078</v>
      </c>
      <c r="BK237" s="247"/>
      <c r="BN237" s="249" t="s">
        <v>2088</v>
      </c>
      <c r="BR237" s="249" t="s">
        <v>2078</v>
      </c>
      <c r="BV237" s="249" t="s">
        <v>2078</v>
      </c>
      <c r="BX237" s="252"/>
      <c r="BY237" s="252"/>
      <c r="BZ237" s="249" t="s">
        <v>2078</v>
      </c>
      <c r="CA237" s="247"/>
      <c r="CD237" s="249" t="s">
        <v>2088</v>
      </c>
      <c r="CH237" s="249" t="s">
        <v>2078</v>
      </c>
      <c r="CL237" s="249" t="s">
        <v>2078</v>
      </c>
      <c r="CN237" s="252"/>
      <c r="CO237" s="252"/>
      <c r="CP237" s="249" t="s">
        <v>2078</v>
      </c>
      <c r="CQ237" s="247"/>
      <c r="CT237" s="249" t="s">
        <v>2088</v>
      </c>
      <c r="CX237" s="249" t="s">
        <v>2078</v>
      </c>
      <c r="DB237" s="249" t="s">
        <v>2078</v>
      </c>
    </row>
    <row r="238" spans="44:106" ht="15" customHeight="1" x14ac:dyDescent="0.2">
      <c r="AR238" s="252"/>
      <c r="AS238" s="252"/>
      <c r="AT238" s="249" t="s">
        <v>2078</v>
      </c>
      <c r="AU238" s="247"/>
      <c r="AX238" s="249" t="s">
        <v>2088</v>
      </c>
      <c r="BB238" s="249" t="s">
        <v>2078</v>
      </c>
      <c r="BF238" s="249" t="s">
        <v>2078</v>
      </c>
      <c r="BH238" s="252"/>
      <c r="BI238" s="252"/>
      <c r="BJ238" s="249" t="s">
        <v>2078</v>
      </c>
      <c r="BK238" s="247"/>
      <c r="BN238" s="249" t="s">
        <v>2088</v>
      </c>
      <c r="BR238" s="249" t="s">
        <v>2078</v>
      </c>
      <c r="BV238" s="249" t="s">
        <v>2078</v>
      </c>
      <c r="BX238" s="252"/>
      <c r="BY238" s="252"/>
      <c r="BZ238" s="249" t="s">
        <v>2078</v>
      </c>
      <c r="CA238" s="247"/>
      <c r="CD238" s="249" t="s">
        <v>2088</v>
      </c>
      <c r="CH238" s="249" t="s">
        <v>2078</v>
      </c>
      <c r="CL238" s="249" t="s">
        <v>2078</v>
      </c>
      <c r="CN238" s="252"/>
      <c r="CO238" s="252"/>
      <c r="CP238" s="249" t="s">
        <v>2078</v>
      </c>
      <c r="CQ238" s="247"/>
      <c r="CT238" s="249" t="s">
        <v>2088</v>
      </c>
      <c r="CX238" s="249" t="s">
        <v>2078</v>
      </c>
      <c r="DB238" s="249" t="s">
        <v>2078</v>
      </c>
    </row>
    <row r="239" spans="44:106" ht="15" customHeight="1" x14ac:dyDescent="0.2">
      <c r="AR239" s="252"/>
      <c r="AS239" s="252"/>
      <c r="AT239" s="249" t="s">
        <v>2078</v>
      </c>
      <c r="AU239" s="247"/>
      <c r="AX239" s="249" t="s">
        <v>2088</v>
      </c>
      <c r="BB239" s="249" t="s">
        <v>2078</v>
      </c>
      <c r="BF239" s="249" t="s">
        <v>2078</v>
      </c>
      <c r="BH239" s="252"/>
      <c r="BI239" s="252"/>
      <c r="BJ239" s="249" t="s">
        <v>2078</v>
      </c>
      <c r="BK239" s="247"/>
      <c r="BN239" s="249" t="s">
        <v>2088</v>
      </c>
      <c r="BR239" s="249" t="s">
        <v>2078</v>
      </c>
      <c r="BV239" s="249" t="s">
        <v>2078</v>
      </c>
      <c r="BX239" s="252"/>
      <c r="BY239" s="252"/>
      <c r="BZ239" s="249" t="s">
        <v>2078</v>
      </c>
      <c r="CA239" s="247"/>
      <c r="CD239" s="249" t="s">
        <v>2088</v>
      </c>
      <c r="CH239" s="249" t="s">
        <v>2078</v>
      </c>
      <c r="CL239" s="249" t="s">
        <v>2078</v>
      </c>
      <c r="CN239" s="252"/>
      <c r="CO239" s="252"/>
      <c r="CP239" s="249" t="s">
        <v>2078</v>
      </c>
      <c r="CQ239" s="247"/>
      <c r="CT239" s="249" t="s">
        <v>2088</v>
      </c>
      <c r="CX239" s="249" t="s">
        <v>2078</v>
      </c>
      <c r="DB239" s="249" t="s">
        <v>2078</v>
      </c>
    </row>
    <row r="240" spans="44:106" ht="15" customHeight="1" x14ac:dyDescent="0.2">
      <c r="AR240" s="252"/>
      <c r="AS240" s="252"/>
      <c r="AT240" s="249" t="s">
        <v>2078</v>
      </c>
      <c r="AU240" s="247"/>
      <c r="AX240" s="249" t="s">
        <v>2088</v>
      </c>
      <c r="BB240" s="249" t="s">
        <v>2078</v>
      </c>
      <c r="BF240" s="249" t="s">
        <v>2078</v>
      </c>
      <c r="BH240" s="252"/>
      <c r="BI240" s="252"/>
      <c r="BJ240" s="249" t="s">
        <v>2078</v>
      </c>
      <c r="BK240" s="247"/>
      <c r="BN240" s="249" t="s">
        <v>2088</v>
      </c>
      <c r="BR240" s="249" t="s">
        <v>2078</v>
      </c>
      <c r="BV240" s="249" t="s">
        <v>2078</v>
      </c>
      <c r="BX240" s="252"/>
      <c r="BY240" s="252"/>
      <c r="BZ240" s="249" t="s">
        <v>2078</v>
      </c>
      <c r="CA240" s="247"/>
      <c r="CD240" s="249" t="s">
        <v>2088</v>
      </c>
      <c r="CH240" s="249" t="s">
        <v>2078</v>
      </c>
      <c r="CL240" s="249" t="s">
        <v>2078</v>
      </c>
      <c r="CN240" s="252"/>
      <c r="CO240" s="252"/>
      <c r="CP240" s="249" t="s">
        <v>2078</v>
      </c>
      <c r="CQ240" s="247"/>
      <c r="CT240" s="249" t="s">
        <v>2088</v>
      </c>
      <c r="CX240" s="249" t="s">
        <v>2078</v>
      </c>
      <c r="DB240" s="249" t="s">
        <v>2078</v>
      </c>
    </row>
    <row r="241" spans="44:106" ht="15" customHeight="1" x14ac:dyDescent="0.2">
      <c r="AR241" s="252"/>
      <c r="AS241" s="252"/>
      <c r="AT241" s="249" t="s">
        <v>2078</v>
      </c>
      <c r="AU241" s="247"/>
      <c r="AX241" s="249" t="s">
        <v>2088</v>
      </c>
      <c r="BB241" s="249" t="s">
        <v>2078</v>
      </c>
      <c r="BF241" s="249" t="s">
        <v>2078</v>
      </c>
      <c r="BH241" s="252"/>
      <c r="BI241" s="252"/>
      <c r="BJ241" s="249" t="s">
        <v>2078</v>
      </c>
      <c r="BK241" s="247"/>
      <c r="BN241" s="249" t="s">
        <v>2088</v>
      </c>
      <c r="BR241" s="249" t="s">
        <v>2078</v>
      </c>
      <c r="BV241" s="249" t="s">
        <v>2078</v>
      </c>
      <c r="BX241" s="252"/>
      <c r="BY241" s="252"/>
      <c r="BZ241" s="249" t="s">
        <v>2078</v>
      </c>
      <c r="CA241" s="247"/>
      <c r="CD241" s="249" t="s">
        <v>2088</v>
      </c>
      <c r="CH241" s="249" t="s">
        <v>2078</v>
      </c>
      <c r="CL241" s="249" t="s">
        <v>2078</v>
      </c>
      <c r="CN241" s="252"/>
      <c r="CO241" s="252"/>
      <c r="CP241" s="249" t="s">
        <v>2078</v>
      </c>
      <c r="CQ241" s="247"/>
      <c r="CT241" s="249" t="s">
        <v>2088</v>
      </c>
      <c r="CX241" s="249" t="s">
        <v>2078</v>
      </c>
      <c r="DB241" s="249" t="s">
        <v>2078</v>
      </c>
    </row>
    <row r="242" spans="44:106" ht="15" customHeight="1" x14ac:dyDescent="0.2">
      <c r="AR242" s="252"/>
      <c r="AS242" s="252"/>
      <c r="AT242" s="249" t="s">
        <v>2078</v>
      </c>
      <c r="AU242" s="247"/>
      <c r="AX242" s="249" t="s">
        <v>2088</v>
      </c>
      <c r="BB242" s="249" t="s">
        <v>2078</v>
      </c>
      <c r="BF242" s="249" t="s">
        <v>2078</v>
      </c>
      <c r="BH242" s="252"/>
      <c r="BI242" s="252"/>
      <c r="BJ242" s="249" t="s">
        <v>2078</v>
      </c>
      <c r="BK242" s="247"/>
      <c r="BN242" s="249" t="s">
        <v>2088</v>
      </c>
      <c r="BR242" s="249" t="s">
        <v>2078</v>
      </c>
      <c r="BV242" s="249" t="s">
        <v>2078</v>
      </c>
      <c r="BX242" s="252"/>
      <c r="BY242" s="252"/>
      <c r="BZ242" s="249" t="s">
        <v>2078</v>
      </c>
      <c r="CA242" s="247"/>
      <c r="CD242" s="249" t="s">
        <v>2088</v>
      </c>
      <c r="CH242" s="249" t="s">
        <v>2078</v>
      </c>
      <c r="CL242" s="249" t="s">
        <v>2078</v>
      </c>
      <c r="CN242" s="252"/>
      <c r="CO242" s="252"/>
      <c r="CP242" s="249" t="s">
        <v>2078</v>
      </c>
      <c r="CQ242" s="247"/>
      <c r="CT242" s="249" t="s">
        <v>2088</v>
      </c>
      <c r="CX242" s="249" t="s">
        <v>2078</v>
      </c>
      <c r="DB242" s="249" t="s">
        <v>2078</v>
      </c>
    </row>
    <row r="243" spans="44:106" ht="15" customHeight="1" x14ac:dyDescent="0.2">
      <c r="AR243" s="252"/>
      <c r="AS243" s="252"/>
      <c r="AT243" s="249" t="s">
        <v>2078</v>
      </c>
      <c r="AU243" s="247"/>
      <c r="AX243" s="249" t="s">
        <v>2088</v>
      </c>
      <c r="BB243" s="249" t="s">
        <v>2078</v>
      </c>
      <c r="BF243" s="249" t="s">
        <v>2078</v>
      </c>
      <c r="BH243" s="252"/>
      <c r="BI243" s="252"/>
      <c r="BJ243" s="249" t="s">
        <v>2078</v>
      </c>
      <c r="BK243" s="247"/>
      <c r="BN243" s="249" t="s">
        <v>2088</v>
      </c>
      <c r="BR243" s="249" t="s">
        <v>2078</v>
      </c>
      <c r="BV243" s="249" t="s">
        <v>2078</v>
      </c>
      <c r="BX243" s="252"/>
      <c r="BY243" s="252"/>
      <c r="BZ243" s="249" t="s">
        <v>2078</v>
      </c>
      <c r="CA243" s="247"/>
      <c r="CD243" s="249" t="s">
        <v>2088</v>
      </c>
      <c r="CH243" s="249" t="s">
        <v>2078</v>
      </c>
      <c r="CL243" s="249" t="s">
        <v>2078</v>
      </c>
      <c r="CN243" s="252"/>
      <c r="CO243" s="252"/>
      <c r="CP243" s="249" t="s">
        <v>2078</v>
      </c>
      <c r="CQ243" s="247"/>
      <c r="CT243" s="249" t="s">
        <v>2088</v>
      </c>
      <c r="CX243" s="249" t="s">
        <v>2078</v>
      </c>
      <c r="DB243" s="249" t="s">
        <v>2078</v>
      </c>
    </row>
    <row r="244" spans="44:106" ht="15" customHeight="1" x14ac:dyDescent="0.2">
      <c r="AR244" s="252"/>
      <c r="AS244" s="252"/>
      <c r="AT244" s="249" t="s">
        <v>2078</v>
      </c>
      <c r="AU244" s="247"/>
      <c r="AX244" s="249" t="s">
        <v>2088</v>
      </c>
      <c r="BB244" s="249" t="s">
        <v>2078</v>
      </c>
      <c r="BF244" s="249" t="s">
        <v>2078</v>
      </c>
      <c r="BH244" s="252"/>
      <c r="BI244" s="252"/>
      <c r="BJ244" s="249" t="s">
        <v>2078</v>
      </c>
      <c r="BK244" s="247"/>
      <c r="BN244" s="249" t="s">
        <v>2088</v>
      </c>
      <c r="BR244" s="249" t="s">
        <v>2078</v>
      </c>
      <c r="BV244" s="249" t="s">
        <v>2078</v>
      </c>
      <c r="BX244" s="252"/>
      <c r="BY244" s="252"/>
      <c r="BZ244" s="249" t="s">
        <v>2078</v>
      </c>
      <c r="CA244" s="247"/>
      <c r="CD244" s="249" t="s">
        <v>2088</v>
      </c>
      <c r="CH244" s="249" t="s">
        <v>2078</v>
      </c>
      <c r="CL244" s="249" t="s">
        <v>2078</v>
      </c>
      <c r="CN244" s="252"/>
      <c r="CO244" s="252"/>
      <c r="CP244" s="249" t="s">
        <v>2078</v>
      </c>
      <c r="CQ244" s="247"/>
      <c r="CT244" s="249" t="s">
        <v>2088</v>
      </c>
      <c r="CX244" s="249" t="s">
        <v>2078</v>
      </c>
      <c r="DB244" s="249" t="s">
        <v>2078</v>
      </c>
    </row>
    <row r="245" spans="44:106" ht="15" customHeight="1" x14ac:dyDescent="0.2">
      <c r="AR245" s="252"/>
      <c r="AS245" s="252"/>
      <c r="AT245" s="249" t="s">
        <v>2078</v>
      </c>
      <c r="AU245" s="247"/>
      <c r="AX245" s="249" t="s">
        <v>2088</v>
      </c>
      <c r="BB245" s="249" t="s">
        <v>2078</v>
      </c>
      <c r="BF245" s="249" t="s">
        <v>2078</v>
      </c>
      <c r="BH245" s="252"/>
      <c r="BI245" s="252"/>
      <c r="BJ245" s="249" t="s">
        <v>2078</v>
      </c>
      <c r="BK245" s="247"/>
      <c r="BN245" s="249" t="s">
        <v>2088</v>
      </c>
      <c r="BR245" s="249" t="s">
        <v>2078</v>
      </c>
      <c r="BV245" s="249" t="s">
        <v>2078</v>
      </c>
      <c r="BX245" s="252"/>
      <c r="BY245" s="252"/>
      <c r="BZ245" s="249" t="s">
        <v>2078</v>
      </c>
      <c r="CA245" s="247"/>
      <c r="CD245" s="249" t="s">
        <v>2088</v>
      </c>
      <c r="CH245" s="249" t="s">
        <v>2078</v>
      </c>
      <c r="CL245" s="249" t="s">
        <v>2078</v>
      </c>
      <c r="CN245" s="252"/>
      <c r="CO245" s="252"/>
      <c r="CP245" s="249" t="s">
        <v>2078</v>
      </c>
      <c r="CQ245" s="247"/>
      <c r="CT245" s="249" t="s">
        <v>2088</v>
      </c>
      <c r="CX245" s="249" t="s">
        <v>2078</v>
      </c>
      <c r="DB245" s="249" t="s">
        <v>2078</v>
      </c>
    </row>
    <row r="246" spans="44:106" ht="15" customHeight="1" x14ac:dyDescent="0.2">
      <c r="AR246" s="252"/>
      <c r="AS246" s="252"/>
      <c r="AT246" s="249" t="s">
        <v>2078</v>
      </c>
      <c r="AU246" s="247"/>
      <c r="AX246" s="249" t="s">
        <v>2088</v>
      </c>
      <c r="BB246" s="249" t="s">
        <v>2078</v>
      </c>
      <c r="BF246" s="249" t="s">
        <v>2078</v>
      </c>
      <c r="BH246" s="252"/>
      <c r="BI246" s="252"/>
      <c r="BJ246" s="249" t="s">
        <v>2078</v>
      </c>
      <c r="BK246" s="247"/>
      <c r="BN246" s="249" t="s">
        <v>2088</v>
      </c>
      <c r="BR246" s="249" t="s">
        <v>2078</v>
      </c>
      <c r="BV246" s="249" t="s">
        <v>2078</v>
      </c>
      <c r="BX246" s="252"/>
      <c r="BY246" s="252"/>
      <c r="BZ246" s="249" t="s">
        <v>2078</v>
      </c>
      <c r="CA246" s="247"/>
      <c r="CD246" s="249" t="s">
        <v>2088</v>
      </c>
      <c r="CH246" s="249" t="s">
        <v>2078</v>
      </c>
      <c r="CL246" s="249" t="s">
        <v>2078</v>
      </c>
      <c r="CN246" s="252"/>
      <c r="CO246" s="252"/>
      <c r="CP246" s="249" t="s">
        <v>2078</v>
      </c>
      <c r="CQ246" s="247"/>
      <c r="CT246" s="249" t="s">
        <v>2088</v>
      </c>
      <c r="CX246" s="249" t="s">
        <v>2078</v>
      </c>
      <c r="DB246" s="249" t="s">
        <v>2078</v>
      </c>
    </row>
    <row r="247" spans="44:106" ht="15" customHeight="1" x14ac:dyDescent="0.2">
      <c r="AR247" s="252"/>
      <c r="AS247" s="252"/>
      <c r="AT247" s="249" t="s">
        <v>2078</v>
      </c>
      <c r="AU247" s="247"/>
      <c r="AX247" s="249" t="s">
        <v>2088</v>
      </c>
      <c r="BB247" s="249" t="s">
        <v>2078</v>
      </c>
      <c r="BF247" s="249" t="s">
        <v>2078</v>
      </c>
      <c r="BH247" s="252"/>
      <c r="BI247" s="252"/>
      <c r="BJ247" s="249" t="s">
        <v>2078</v>
      </c>
      <c r="BK247" s="247"/>
      <c r="BN247" s="249" t="s">
        <v>2088</v>
      </c>
      <c r="BR247" s="249" t="s">
        <v>2078</v>
      </c>
      <c r="BV247" s="249" t="s">
        <v>2078</v>
      </c>
      <c r="BX247" s="252"/>
      <c r="BY247" s="252"/>
      <c r="BZ247" s="249" t="s">
        <v>2078</v>
      </c>
      <c r="CA247" s="247"/>
      <c r="CD247" s="249" t="s">
        <v>2088</v>
      </c>
      <c r="CH247" s="249" t="s">
        <v>2078</v>
      </c>
      <c r="CL247" s="249" t="s">
        <v>2078</v>
      </c>
      <c r="CN247" s="252"/>
      <c r="CO247" s="252"/>
      <c r="CP247" s="249" t="s">
        <v>2078</v>
      </c>
      <c r="CQ247" s="247"/>
      <c r="CT247" s="249" t="s">
        <v>2088</v>
      </c>
      <c r="CX247" s="249" t="s">
        <v>2078</v>
      </c>
      <c r="DB247" s="249" t="s">
        <v>2078</v>
      </c>
    </row>
    <row r="248" spans="44:106" ht="15" customHeight="1" x14ac:dyDescent="0.2">
      <c r="AR248" s="252"/>
      <c r="AS248" s="252"/>
      <c r="AT248" s="249" t="s">
        <v>2078</v>
      </c>
      <c r="AU248" s="247"/>
      <c r="AX248" s="249" t="s">
        <v>2088</v>
      </c>
      <c r="BB248" s="249" t="s">
        <v>2078</v>
      </c>
      <c r="BF248" s="249" t="s">
        <v>2078</v>
      </c>
      <c r="BH248" s="252"/>
      <c r="BI248" s="252"/>
      <c r="BJ248" s="249" t="s">
        <v>2078</v>
      </c>
      <c r="BK248" s="247"/>
      <c r="BN248" s="249" t="s">
        <v>2088</v>
      </c>
      <c r="BR248" s="249" t="s">
        <v>2078</v>
      </c>
      <c r="BV248" s="249" t="s">
        <v>2078</v>
      </c>
      <c r="BX248" s="252"/>
      <c r="BY248" s="252"/>
      <c r="BZ248" s="249" t="s">
        <v>2078</v>
      </c>
      <c r="CA248" s="247"/>
      <c r="CD248" s="249" t="s">
        <v>2088</v>
      </c>
      <c r="CH248" s="249" t="s">
        <v>2078</v>
      </c>
      <c r="CL248" s="249" t="s">
        <v>2078</v>
      </c>
      <c r="CN248" s="252"/>
      <c r="CO248" s="252"/>
      <c r="CP248" s="249" t="s">
        <v>2078</v>
      </c>
      <c r="CQ248" s="247"/>
      <c r="CT248" s="249" t="s">
        <v>2088</v>
      </c>
      <c r="CX248" s="249" t="s">
        <v>2078</v>
      </c>
      <c r="DB248" s="249" t="s">
        <v>2078</v>
      </c>
    </row>
    <row r="249" spans="44:106" ht="15" customHeight="1" x14ac:dyDescent="0.2">
      <c r="AR249" s="252"/>
      <c r="AS249" s="252"/>
      <c r="AT249" s="249" t="s">
        <v>2078</v>
      </c>
      <c r="AU249" s="247"/>
      <c r="AX249" s="249" t="s">
        <v>2088</v>
      </c>
      <c r="BB249" s="249" t="s">
        <v>2078</v>
      </c>
      <c r="BF249" s="249" t="s">
        <v>2078</v>
      </c>
      <c r="BH249" s="252"/>
      <c r="BI249" s="252"/>
      <c r="BJ249" s="249" t="s">
        <v>2078</v>
      </c>
      <c r="BK249" s="247"/>
      <c r="BN249" s="249" t="s">
        <v>2088</v>
      </c>
      <c r="BR249" s="249" t="s">
        <v>2078</v>
      </c>
      <c r="BV249" s="249" t="s">
        <v>2078</v>
      </c>
      <c r="BX249" s="252"/>
      <c r="BY249" s="252"/>
      <c r="BZ249" s="249" t="s">
        <v>2078</v>
      </c>
      <c r="CA249" s="247"/>
      <c r="CD249" s="249" t="s">
        <v>2088</v>
      </c>
      <c r="CH249" s="249" t="s">
        <v>2078</v>
      </c>
      <c r="CL249" s="249" t="s">
        <v>2078</v>
      </c>
      <c r="CN249" s="252"/>
      <c r="CO249" s="252"/>
      <c r="CP249" s="249" t="s">
        <v>2078</v>
      </c>
      <c r="CQ249" s="247"/>
      <c r="CT249" s="249" t="s">
        <v>2088</v>
      </c>
      <c r="CX249" s="249" t="s">
        <v>2078</v>
      </c>
      <c r="DB249" s="249" t="s">
        <v>2078</v>
      </c>
    </row>
    <row r="250" spans="44:106" ht="15" customHeight="1" x14ac:dyDescent="0.2">
      <c r="AR250" s="252"/>
      <c r="AS250" s="252"/>
      <c r="AT250" s="249" t="s">
        <v>2078</v>
      </c>
      <c r="AU250" s="247"/>
      <c r="AX250" s="249" t="s">
        <v>2088</v>
      </c>
      <c r="BB250" s="249" t="s">
        <v>2078</v>
      </c>
      <c r="BF250" s="249" t="s">
        <v>2078</v>
      </c>
      <c r="BH250" s="252"/>
      <c r="BI250" s="252"/>
      <c r="BJ250" s="249" t="s">
        <v>2078</v>
      </c>
      <c r="BK250" s="247"/>
      <c r="BN250" s="249" t="s">
        <v>2088</v>
      </c>
      <c r="BR250" s="249" t="s">
        <v>2078</v>
      </c>
      <c r="BV250" s="249" t="s">
        <v>2078</v>
      </c>
      <c r="BX250" s="252"/>
      <c r="BY250" s="252"/>
      <c r="BZ250" s="249" t="s">
        <v>2078</v>
      </c>
      <c r="CA250" s="247"/>
      <c r="CD250" s="249" t="s">
        <v>2088</v>
      </c>
      <c r="CH250" s="249" t="s">
        <v>2078</v>
      </c>
      <c r="CL250" s="249" t="s">
        <v>2078</v>
      </c>
      <c r="CN250" s="252"/>
      <c r="CO250" s="252"/>
      <c r="CP250" s="249" t="s">
        <v>2078</v>
      </c>
      <c r="CQ250" s="247"/>
      <c r="CT250" s="249" t="s">
        <v>2088</v>
      </c>
      <c r="CX250" s="249" t="s">
        <v>2078</v>
      </c>
      <c r="DB250" s="249" t="s">
        <v>2078</v>
      </c>
    </row>
    <row r="251" spans="44:106" ht="15" customHeight="1" x14ac:dyDescent="0.2">
      <c r="AR251" s="252"/>
      <c r="AS251" s="252"/>
      <c r="AT251" s="249" t="s">
        <v>2078</v>
      </c>
      <c r="AU251" s="247"/>
      <c r="AX251" s="249" t="s">
        <v>2088</v>
      </c>
      <c r="BB251" s="249" t="s">
        <v>2078</v>
      </c>
      <c r="BF251" s="249" t="s">
        <v>2078</v>
      </c>
      <c r="BH251" s="252"/>
      <c r="BI251" s="252"/>
      <c r="BJ251" s="249" t="s">
        <v>2078</v>
      </c>
      <c r="BK251" s="247"/>
      <c r="BN251" s="249" t="s">
        <v>2088</v>
      </c>
      <c r="BR251" s="249" t="s">
        <v>2078</v>
      </c>
      <c r="BV251" s="249" t="s">
        <v>2078</v>
      </c>
      <c r="BX251" s="252"/>
      <c r="BY251" s="252"/>
      <c r="BZ251" s="249" t="s">
        <v>2078</v>
      </c>
      <c r="CA251" s="247"/>
      <c r="CD251" s="249" t="s">
        <v>2088</v>
      </c>
      <c r="CH251" s="249" t="s">
        <v>2078</v>
      </c>
      <c r="CL251" s="249" t="s">
        <v>2078</v>
      </c>
      <c r="CN251" s="252"/>
      <c r="CO251" s="252"/>
      <c r="CP251" s="249" t="s">
        <v>2078</v>
      </c>
      <c r="CQ251" s="247"/>
      <c r="CT251" s="249" t="s">
        <v>2088</v>
      </c>
      <c r="CX251" s="249" t="s">
        <v>2078</v>
      </c>
      <c r="DB251" s="249" t="s">
        <v>2078</v>
      </c>
    </row>
    <row r="252" spans="44:106" ht="15" customHeight="1" x14ac:dyDescent="0.2">
      <c r="AR252" s="252"/>
      <c r="AS252" s="252"/>
      <c r="AT252" s="249" t="s">
        <v>2078</v>
      </c>
      <c r="AU252" s="247"/>
      <c r="AX252" s="249" t="s">
        <v>2088</v>
      </c>
      <c r="BB252" s="249" t="s">
        <v>2078</v>
      </c>
      <c r="BF252" s="249" t="s">
        <v>2078</v>
      </c>
      <c r="BH252" s="252"/>
      <c r="BI252" s="252"/>
      <c r="BJ252" s="249" t="s">
        <v>2078</v>
      </c>
      <c r="BK252" s="247"/>
      <c r="BN252" s="249" t="s">
        <v>2088</v>
      </c>
      <c r="BR252" s="249" t="s">
        <v>2078</v>
      </c>
      <c r="BV252" s="249" t="s">
        <v>2078</v>
      </c>
      <c r="BX252" s="252"/>
      <c r="BY252" s="252"/>
      <c r="BZ252" s="249" t="s">
        <v>2078</v>
      </c>
      <c r="CA252" s="247"/>
      <c r="CD252" s="249" t="s">
        <v>2088</v>
      </c>
      <c r="CH252" s="249" t="s">
        <v>2078</v>
      </c>
      <c r="CL252" s="249" t="s">
        <v>2078</v>
      </c>
      <c r="CN252" s="252"/>
      <c r="CO252" s="252"/>
      <c r="CP252" s="249" t="s">
        <v>2078</v>
      </c>
      <c r="CQ252" s="247"/>
      <c r="CT252" s="249" t="s">
        <v>2088</v>
      </c>
      <c r="CX252" s="249" t="s">
        <v>2078</v>
      </c>
      <c r="DB252" s="249" t="s">
        <v>2078</v>
      </c>
    </row>
    <row r="253" spans="44:106" ht="15" customHeight="1" x14ac:dyDescent="0.2">
      <c r="AR253" s="252"/>
      <c r="AS253" s="252"/>
      <c r="AT253" s="249" t="s">
        <v>2078</v>
      </c>
      <c r="AU253" s="247"/>
      <c r="AX253" s="249" t="s">
        <v>2088</v>
      </c>
      <c r="BB253" s="249" t="s">
        <v>2078</v>
      </c>
      <c r="BF253" s="249" t="s">
        <v>2078</v>
      </c>
      <c r="BH253" s="252"/>
      <c r="BI253" s="252"/>
      <c r="BJ253" s="249" t="s">
        <v>2078</v>
      </c>
      <c r="BK253" s="247"/>
      <c r="BN253" s="249" t="s">
        <v>2088</v>
      </c>
      <c r="BR253" s="249" t="s">
        <v>2078</v>
      </c>
      <c r="BV253" s="249" t="s">
        <v>2078</v>
      </c>
      <c r="BX253" s="252"/>
      <c r="BY253" s="252"/>
      <c r="BZ253" s="249" t="s">
        <v>2078</v>
      </c>
      <c r="CA253" s="247"/>
      <c r="CD253" s="249" t="s">
        <v>2088</v>
      </c>
      <c r="CH253" s="249" t="s">
        <v>2078</v>
      </c>
      <c r="CL253" s="249" t="s">
        <v>2078</v>
      </c>
      <c r="CN253" s="252"/>
      <c r="CO253" s="252"/>
      <c r="CP253" s="249" t="s">
        <v>2078</v>
      </c>
      <c r="CQ253" s="247"/>
      <c r="CT253" s="249" t="s">
        <v>2088</v>
      </c>
      <c r="CX253" s="249" t="s">
        <v>2078</v>
      </c>
      <c r="DB253" s="249" t="s">
        <v>2078</v>
      </c>
    </row>
    <row r="254" spans="44:106" ht="15" customHeight="1" x14ac:dyDescent="0.2">
      <c r="AR254" s="252"/>
      <c r="AS254" s="252"/>
      <c r="AT254" s="249" t="s">
        <v>2078</v>
      </c>
      <c r="AU254" s="247"/>
      <c r="AX254" s="249" t="s">
        <v>2088</v>
      </c>
      <c r="BB254" s="249" t="s">
        <v>2078</v>
      </c>
      <c r="BF254" s="249" t="s">
        <v>2078</v>
      </c>
      <c r="BH254" s="252"/>
      <c r="BI254" s="252"/>
      <c r="BJ254" s="249" t="s">
        <v>2078</v>
      </c>
      <c r="BK254" s="247"/>
      <c r="BN254" s="249" t="s">
        <v>2088</v>
      </c>
      <c r="BR254" s="249" t="s">
        <v>2078</v>
      </c>
      <c r="BV254" s="249" t="s">
        <v>2078</v>
      </c>
      <c r="BX254" s="252"/>
      <c r="BY254" s="252"/>
      <c r="BZ254" s="249" t="s">
        <v>2078</v>
      </c>
      <c r="CA254" s="247"/>
      <c r="CD254" s="249" t="s">
        <v>2088</v>
      </c>
      <c r="CH254" s="249" t="s">
        <v>2078</v>
      </c>
      <c r="CL254" s="249" t="s">
        <v>2078</v>
      </c>
      <c r="CN254" s="252"/>
      <c r="CO254" s="252"/>
      <c r="CP254" s="249" t="s">
        <v>2078</v>
      </c>
      <c r="CQ254" s="247"/>
      <c r="CT254" s="249" t="s">
        <v>2088</v>
      </c>
      <c r="CX254" s="249" t="s">
        <v>2078</v>
      </c>
      <c r="DB254" s="249" t="s">
        <v>2078</v>
      </c>
    </row>
    <row r="255" spans="44:106" ht="15" customHeight="1" x14ac:dyDescent="0.2">
      <c r="AR255" s="252"/>
      <c r="AS255" s="252"/>
      <c r="AT255" s="249" t="s">
        <v>2078</v>
      </c>
      <c r="AU255" s="247"/>
      <c r="AX255" s="249" t="s">
        <v>2088</v>
      </c>
      <c r="BB255" s="249" t="s">
        <v>2078</v>
      </c>
      <c r="BF255" s="249" t="s">
        <v>2078</v>
      </c>
      <c r="BH255" s="252"/>
      <c r="BI255" s="252"/>
      <c r="BJ255" s="249" t="s">
        <v>2078</v>
      </c>
      <c r="BK255" s="247"/>
      <c r="BN255" s="249" t="s">
        <v>2088</v>
      </c>
      <c r="BR255" s="249" t="s">
        <v>2078</v>
      </c>
      <c r="BV255" s="249" t="s">
        <v>2078</v>
      </c>
      <c r="BX255" s="252"/>
      <c r="BY255" s="252"/>
      <c r="BZ255" s="249" t="s">
        <v>2078</v>
      </c>
      <c r="CA255" s="247"/>
      <c r="CD255" s="249" t="s">
        <v>2088</v>
      </c>
      <c r="CH255" s="249" t="s">
        <v>2078</v>
      </c>
      <c r="CL255" s="249" t="s">
        <v>2078</v>
      </c>
      <c r="CN255" s="252"/>
      <c r="CO255" s="252"/>
      <c r="CP255" s="249" t="s">
        <v>2078</v>
      </c>
      <c r="CQ255" s="247"/>
      <c r="CT255" s="249" t="s">
        <v>2088</v>
      </c>
      <c r="CX255" s="249" t="s">
        <v>2078</v>
      </c>
      <c r="DB255" s="249" t="s">
        <v>2078</v>
      </c>
    </row>
    <row r="256" spans="44:106" ht="15" customHeight="1" x14ac:dyDescent="0.2">
      <c r="AR256" s="252"/>
      <c r="AS256" s="252"/>
      <c r="AT256" s="249" t="s">
        <v>2078</v>
      </c>
      <c r="AU256" s="247"/>
      <c r="AX256" s="249" t="s">
        <v>2088</v>
      </c>
      <c r="BB256" s="249" t="s">
        <v>2078</v>
      </c>
      <c r="BF256" s="249" t="s">
        <v>2078</v>
      </c>
      <c r="BH256" s="252"/>
      <c r="BI256" s="252"/>
      <c r="BJ256" s="249" t="s">
        <v>2078</v>
      </c>
      <c r="BK256" s="247"/>
      <c r="BN256" s="249" t="s">
        <v>2088</v>
      </c>
      <c r="BR256" s="249" t="s">
        <v>2078</v>
      </c>
      <c r="BV256" s="249" t="s">
        <v>2078</v>
      </c>
      <c r="BX256" s="252"/>
      <c r="BY256" s="252"/>
      <c r="BZ256" s="249" t="s">
        <v>2078</v>
      </c>
      <c r="CA256" s="247"/>
      <c r="CD256" s="249" t="s">
        <v>2088</v>
      </c>
      <c r="CH256" s="249" t="s">
        <v>2078</v>
      </c>
      <c r="CL256" s="249" t="s">
        <v>2078</v>
      </c>
      <c r="CN256" s="252"/>
      <c r="CO256" s="252"/>
      <c r="CP256" s="249" t="s">
        <v>2078</v>
      </c>
      <c r="CQ256" s="247"/>
      <c r="CT256" s="249" t="s">
        <v>2088</v>
      </c>
      <c r="CX256" s="249" t="s">
        <v>2078</v>
      </c>
      <c r="DB256" s="249" t="s">
        <v>2078</v>
      </c>
    </row>
    <row r="257" spans="44:106" ht="15" customHeight="1" x14ac:dyDescent="0.2">
      <c r="AR257" s="252"/>
      <c r="AS257" s="252"/>
      <c r="AT257" s="249" t="s">
        <v>2078</v>
      </c>
      <c r="AU257" s="247"/>
      <c r="AX257" s="249" t="s">
        <v>2088</v>
      </c>
      <c r="BB257" s="249" t="s">
        <v>2078</v>
      </c>
      <c r="BF257" s="249" t="s">
        <v>2078</v>
      </c>
      <c r="BH257" s="252"/>
      <c r="BI257" s="252"/>
      <c r="BJ257" s="249" t="s">
        <v>2078</v>
      </c>
      <c r="BK257" s="247"/>
      <c r="BN257" s="249" t="s">
        <v>2088</v>
      </c>
      <c r="BR257" s="249" t="s">
        <v>2078</v>
      </c>
      <c r="BV257" s="249" t="s">
        <v>2078</v>
      </c>
      <c r="BX257" s="252"/>
      <c r="BY257" s="252"/>
      <c r="BZ257" s="249" t="s">
        <v>2078</v>
      </c>
      <c r="CA257" s="247"/>
      <c r="CD257" s="249" t="s">
        <v>2088</v>
      </c>
      <c r="CH257" s="249" t="s">
        <v>2078</v>
      </c>
      <c r="CL257" s="249" t="s">
        <v>2078</v>
      </c>
      <c r="CN257" s="252"/>
      <c r="CO257" s="252"/>
      <c r="CP257" s="249" t="s">
        <v>2078</v>
      </c>
      <c r="CQ257" s="247"/>
      <c r="CT257" s="249" t="s">
        <v>2088</v>
      </c>
      <c r="CX257" s="249" t="s">
        <v>2078</v>
      </c>
      <c r="DB257" s="249" t="s">
        <v>2078</v>
      </c>
    </row>
    <row r="258" spans="44:106" ht="15" customHeight="1" x14ac:dyDescent="0.2">
      <c r="AR258" s="252"/>
      <c r="AS258" s="252"/>
      <c r="AT258" s="249" t="s">
        <v>2078</v>
      </c>
      <c r="AU258" s="247"/>
      <c r="AX258" s="249" t="s">
        <v>2088</v>
      </c>
      <c r="BB258" s="249" t="s">
        <v>2078</v>
      </c>
      <c r="BF258" s="249" t="s">
        <v>2078</v>
      </c>
      <c r="BH258" s="252"/>
      <c r="BI258" s="252"/>
      <c r="BJ258" s="249" t="s">
        <v>2078</v>
      </c>
      <c r="BK258" s="247"/>
      <c r="BN258" s="249" t="s">
        <v>2088</v>
      </c>
      <c r="BR258" s="249" t="s">
        <v>2078</v>
      </c>
      <c r="BV258" s="249" t="s">
        <v>2078</v>
      </c>
      <c r="BX258" s="252"/>
      <c r="BY258" s="252"/>
      <c r="BZ258" s="249" t="s">
        <v>2078</v>
      </c>
      <c r="CA258" s="247"/>
      <c r="CD258" s="249" t="s">
        <v>2088</v>
      </c>
      <c r="CH258" s="249" t="s">
        <v>2078</v>
      </c>
      <c r="CL258" s="249" t="s">
        <v>2078</v>
      </c>
      <c r="CN258" s="252"/>
      <c r="CO258" s="252"/>
      <c r="CP258" s="249" t="s">
        <v>2078</v>
      </c>
      <c r="CQ258" s="247"/>
      <c r="CT258" s="249" t="s">
        <v>2088</v>
      </c>
      <c r="CX258" s="249" t="s">
        <v>2078</v>
      </c>
      <c r="DB258" s="249" t="s">
        <v>2078</v>
      </c>
    </row>
    <row r="259" spans="44:106" ht="15" customHeight="1" x14ac:dyDescent="0.2">
      <c r="AR259" s="252"/>
      <c r="AS259" s="252"/>
      <c r="AT259" s="249" t="s">
        <v>2078</v>
      </c>
      <c r="AU259" s="247"/>
      <c r="AX259" s="249" t="s">
        <v>2088</v>
      </c>
      <c r="BB259" s="249" t="s">
        <v>2078</v>
      </c>
      <c r="BF259" s="249" t="s">
        <v>2078</v>
      </c>
      <c r="BH259" s="252"/>
      <c r="BI259" s="252"/>
      <c r="BJ259" s="249" t="s">
        <v>2078</v>
      </c>
      <c r="BK259" s="247"/>
      <c r="BN259" s="249" t="s">
        <v>2088</v>
      </c>
      <c r="BR259" s="249" t="s">
        <v>2078</v>
      </c>
      <c r="BV259" s="249" t="s">
        <v>2078</v>
      </c>
      <c r="BX259" s="252"/>
      <c r="BY259" s="252"/>
      <c r="BZ259" s="249" t="s">
        <v>2078</v>
      </c>
      <c r="CA259" s="247"/>
      <c r="CD259" s="249" t="s">
        <v>2088</v>
      </c>
      <c r="CH259" s="249" t="s">
        <v>2078</v>
      </c>
      <c r="CL259" s="249" t="s">
        <v>2078</v>
      </c>
      <c r="CN259" s="252"/>
      <c r="CO259" s="252"/>
      <c r="CP259" s="249" t="s">
        <v>2078</v>
      </c>
      <c r="CQ259" s="247"/>
      <c r="CT259" s="249" t="s">
        <v>2088</v>
      </c>
      <c r="CX259" s="249" t="s">
        <v>2078</v>
      </c>
      <c r="DB259" s="249" t="s">
        <v>2078</v>
      </c>
    </row>
    <row r="260" spans="44:106" ht="15" customHeight="1" x14ac:dyDescent="0.2">
      <c r="AR260" s="252"/>
      <c r="AS260" s="252"/>
      <c r="AT260" s="249" t="s">
        <v>2078</v>
      </c>
      <c r="AU260" s="247"/>
      <c r="AX260" s="249" t="s">
        <v>2088</v>
      </c>
      <c r="BB260" s="249" t="s">
        <v>2078</v>
      </c>
      <c r="BF260" s="249" t="s">
        <v>2078</v>
      </c>
      <c r="BH260" s="252"/>
      <c r="BI260" s="252"/>
      <c r="BJ260" s="249" t="s">
        <v>2078</v>
      </c>
      <c r="BK260" s="247"/>
      <c r="BN260" s="249" t="s">
        <v>2088</v>
      </c>
      <c r="BR260" s="249" t="s">
        <v>2078</v>
      </c>
      <c r="BV260" s="249" t="s">
        <v>2078</v>
      </c>
      <c r="BX260" s="252"/>
      <c r="BY260" s="252"/>
      <c r="BZ260" s="249" t="s">
        <v>2078</v>
      </c>
      <c r="CA260" s="247"/>
      <c r="CD260" s="249" t="s">
        <v>2088</v>
      </c>
      <c r="CH260" s="249" t="s">
        <v>2078</v>
      </c>
      <c r="CL260" s="249" t="s">
        <v>2078</v>
      </c>
      <c r="CN260" s="252"/>
      <c r="CO260" s="252"/>
      <c r="CP260" s="249" t="s">
        <v>2078</v>
      </c>
      <c r="CQ260" s="247"/>
      <c r="CT260" s="249" t="s">
        <v>2088</v>
      </c>
      <c r="CX260" s="249" t="s">
        <v>2078</v>
      </c>
      <c r="DB260" s="249" t="s">
        <v>2078</v>
      </c>
    </row>
    <row r="261" spans="44:106" ht="15" customHeight="1" x14ac:dyDescent="0.2">
      <c r="AR261" s="252"/>
      <c r="AS261" s="252"/>
      <c r="AT261" s="249" t="s">
        <v>2078</v>
      </c>
      <c r="AU261" s="247"/>
      <c r="AX261" s="249" t="s">
        <v>2088</v>
      </c>
      <c r="BB261" s="249" t="s">
        <v>2078</v>
      </c>
      <c r="BF261" s="249" t="s">
        <v>2078</v>
      </c>
      <c r="BH261" s="252"/>
      <c r="BI261" s="252"/>
      <c r="BJ261" s="249" t="s">
        <v>2078</v>
      </c>
      <c r="BK261" s="247"/>
      <c r="BN261" s="249" t="s">
        <v>2088</v>
      </c>
      <c r="BR261" s="249" t="s">
        <v>2078</v>
      </c>
      <c r="BV261" s="249" t="s">
        <v>2078</v>
      </c>
      <c r="BX261" s="252"/>
      <c r="BY261" s="252"/>
      <c r="BZ261" s="249" t="s">
        <v>2078</v>
      </c>
      <c r="CA261" s="247"/>
      <c r="CD261" s="249" t="s">
        <v>2088</v>
      </c>
      <c r="CH261" s="249" t="s">
        <v>2078</v>
      </c>
      <c r="CL261" s="249" t="s">
        <v>2078</v>
      </c>
      <c r="CN261" s="252"/>
      <c r="CO261" s="252"/>
      <c r="CP261" s="249" t="s">
        <v>2078</v>
      </c>
      <c r="CQ261" s="247"/>
      <c r="CT261" s="249" t="s">
        <v>2088</v>
      </c>
      <c r="CX261" s="249" t="s">
        <v>2078</v>
      </c>
      <c r="DB261" s="249" t="s">
        <v>2078</v>
      </c>
    </row>
    <row r="262" spans="44:106" ht="15" customHeight="1" x14ac:dyDescent="0.2">
      <c r="AR262" s="252"/>
      <c r="AS262" s="252"/>
      <c r="AT262" s="249" t="s">
        <v>2078</v>
      </c>
      <c r="AU262" s="247"/>
      <c r="AX262" s="249" t="s">
        <v>2088</v>
      </c>
      <c r="BB262" s="249" t="s">
        <v>2078</v>
      </c>
      <c r="BF262" s="249" t="s">
        <v>2078</v>
      </c>
      <c r="BH262" s="252"/>
      <c r="BI262" s="252"/>
      <c r="BJ262" s="249" t="s">
        <v>2078</v>
      </c>
      <c r="BK262" s="247"/>
      <c r="BN262" s="249" t="s">
        <v>2088</v>
      </c>
      <c r="BR262" s="249" t="s">
        <v>2078</v>
      </c>
      <c r="BV262" s="249" t="s">
        <v>2078</v>
      </c>
      <c r="BX262" s="252"/>
      <c r="BY262" s="252"/>
      <c r="BZ262" s="249" t="s">
        <v>2078</v>
      </c>
      <c r="CA262" s="247"/>
      <c r="CD262" s="249" t="s">
        <v>2088</v>
      </c>
      <c r="CH262" s="249" t="s">
        <v>2078</v>
      </c>
      <c r="CL262" s="249" t="s">
        <v>2078</v>
      </c>
      <c r="CN262" s="252"/>
      <c r="CO262" s="252"/>
      <c r="CP262" s="249" t="s">
        <v>2078</v>
      </c>
      <c r="CQ262" s="247"/>
      <c r="CT262" s="249" t="s">
        <v>2088</v>
      </c>
      <c r="CX262" s="249" t="s">
        <v>2078</v>
      </c>
      <c r="DB262" s="249" t="s">
        <v>2078</v>
      </c>
    </row>
    <row r="263" spans="44:106" ht="15" customHeight="1" x14ac:dyDescent="0.2">
      <c r="AR263" s="252"/>
      <c r="AS263" s="252"/>
      <c r="AT263" s="249" t="s">
        <v>2078</v>
      </c>
      <c r="AU263" s="247"/>
      <c r="AX263" s="249" t="s">
        <v>2088</v>
      </c>
      <c r="BB263" s="249" t="s">
        <v>2078</v>
      </c>
      <c r="BF263" s="249" t="s">
        <v>2078</v>
      </c>
      <c r="BH263" s="252"/>
      <c r="BI263" s="252"/>
      <c r="BJ263" s="249" t="s">
        <v>2078</v>
      </c>
      <c r="BK263" s="247"/>
      <c r="BN263" s="249" t="s">
        <v>2088</v>
      </c>
      <c r="BR263" s="249" t="s">
        <v>2078</v>
      </c>
      <c r="BV263" s="249" t="s">
        <v>2078</v>
      </c>
      <c r="BX263" s="252"/>
      <c r="BY263" s="252"/>
      <c r="BZ263" s="249" t="s">
        <v>2078</v>
      </c>
      <c r="CA263" s="247"/>
      <c r="CD263" s="249" t="s">
        <v>2088</v>
      </c>
      <c r="CH263" s="249" t="s">
        <v>2078</v>
      </c>
      <c r="CL263" s="249" t="s">
        <v>2078</v>
      </c>
      <c r="CN263" s="252"/>
      <c r="CO263" s="252"/>
      <c r="CP263" s="249" t="s">
        <v>2078</v>
      </c>
      <c r="CQ263" s="247"/>
      <c r="CT263" s="249" t="s">
        <v>2088</v>
      </c>
      <c r="CX263" s="249" t="s">
        <v>2078</v>
      </c>
      <c r="DB263" s="249" t="s">
        <v>2078</v>
      </c>
    </row>
    <row r="264" spans="44:106" ht="15" customHeight="1" x14ac:dyDescent="0.2">
      <c r="AR264" s="252"/>
      <c r="AS264" s="252"/>
      <c r="AT264" s="249" t="s">
        <v>2078</v>
      </c>
      <c r="AU264" s="247"/>
      <c r="AX264" s="249" t="s">
        <v>2088</v>
      </c>
      <c r="BB264" s="249" t="s">
        <v>2078</v>
      </c>
      <c r="BF264" s="249" t="s">
        <v>2078</v>
      </c>
      <c r="BH264" s="252"/>
      <c r="BI264" s="252"/>
      <c r="BJ264" s="249" t="s">
        <v>2078</v>
      </c>
      <c r="BK264" s="247"/>
      <c r="BN264" s="249" t="s">
        <v>2088</v>
      </c>
      <c r="BR264" s="249" t="s">
        <v>2078</v>
      </c>
      <c r="BV264" s="249" t="s">
        <v>2078</v>
      </c>
      <c r="BX264" s="252"/>
      <c r="BY264" s="252"/>
      <c r="BZ264" s="249" t="s">
        <v>2078</v>
      </c>
      <c r="CA264" s="247"/>
      <c r="CD264" s="249" t="s">
        <v>2088</v>
      </c>
      <c r="CH264" s="249" t="s">
        <v>2078</v>
      </c>
      <c r="CL264" s="249" t="s">
        <v>2078</v>
      </c>
      <c r="CN264" s="252"/>
      <c r="CO264" s="252"/>
      <c r="CP264" s="249" t="s">
        <v>2078</v>
      </c>
      <c r="CQ264" s="247"/>
      <c r="CT264" s="249" t="s">
        <v>2088</v>
      </c>
      <c r="CX264" s="249" t="s">
        <v>2078</v>
      </c>
      <c r="DB264" s="249" t="s">
        <v>2078</v>
      </c>
    </row>
    <row r="265" spans="44:106" ht="15" customHeight="1" x14ac:dyDescent="0.2">
      <c r="AR265" s="252"/>
      <c r="AS265" s="252"/>
      <c r="AT265" s="249" t="s">
        <v>2078</v>
      </c>
      <c r="AU265" s="247"/>
      <c r="AX265" s="249" t="s">
        <v>2088</v>
      </c>
      <c r="BB265" s="249" t="s">
        <v>2078</v>
      </c>
      <c r="BF265" s="249" t="s">
        <v>2078</v>
      </c>
      <c r="BH265" s="252"/>
      <c r="BI265" s="252"/>
      <c r="BJ265" s="249" t="s">
        <v>2078</v>
      </c>
      <c r="BK265" s="247"/>
      <c r="BN265" s="249" t="s">
        <v>2088</v>
      </c>
      <c r="BR265" s="249" t="s">
        <v>2078</v>
      </c>
      <c r="BV265" s="249" t="s">
        <v>2078</v>
      </c>
      <c r="BX265" s="252"/>
      <c r="BY265" s="252"/>
      <c r="BZ265" s="249" t="s">
        <v>2078</v>
      </c>
      <c r="CA265" s="247"/>
      <c r="CD265" s="249" t="s">
        <v>2088</v>
      </c>
      <c r="CH265" s="249" t="s">
        <v>2078</v>
      </c>
      <c r="CL265" s="249" t="s">
        <v>2078</v>
      </c>
      <c r="CN265" s="252"/>
      <c r="CO265" s="252"/>
      <c r="CP265" s="249" t="s">
        <v>2078</v>
      </c>
      <c r="CQ265" s="247"/>
      <c r="CT265" s="249" t="s">
        <v>2088</v>
      </c>
      <c r="CX265" s="249" t="s">
        <v>2078</v>
      </c>
      <c r="DB265" s="249" t="s">
        <v>2078</v>
      </c>
    </row>
    <row r="266" spans="44:106" ht="15" customHeight="1" x14ac:dyDescent="0.2">
      <c r="AR266" s="252"/>
      <c r="AS266" s="252"/>
      <c r="AT266" s="249" t="s">
        <v>2078</v>
      </c>
      <c r="AU266" s="247"/>
      <c r="AX266" s="249" t="s">
        <v>2088</v>
      </c>
      <c r="BB266" s="249" t="s">
        <v>2078</v>
      </c>
      <c r="BF266" s="249" t="s">
        <v>2078</v>
      </c>
      <c r="BH266" s="252"/>
      <c r="BI266" s="252"/>
      <c r="BJ266" s="249" t="s">
        <v>2078</v>
      </c>
      <c r="BK266" s="247"/>
      <c r="BN266" s="249" t="s">
        <v>2088</v>
      </c>
      <c r="BR266" s="249" t="s">
        <v>2078</v>
      </c>
      <c r="BV266" s="249" t="s">
        <v>2078</v>
      </c>
      <c r="BX266" s="252"/>
      <c r="BY266" s="252"/>
      <c r="BZ266" s="249" t="s">
        <v>2078</v>
      </c>
      <c r="CA266" s="247"/>
      <c r="CD266" s="249" t="s">
        <v>2088</v>
      </c>
      <c r="CH266" s="249" t="s">
        <v>2078</v>
      </c>
      <c r="CL266" s="249" t="s">
        <v>2078</v>
      </c>
      <c r="CN266" s="252"/>
      <c r="CO266" s="252"/>
      <c r="CP266" s="249" t="s">
        <v>2078</v>
      </c>
      <c r="CQ266" s="247"/>
      <c r="CT266" s="249" t="s">
        <v>2088</v>
      </c>
      <c r="CX266" s="249" t="s">
        <v>2078</v>
      </c>
      <c r="DB266" s="249" t="s">
        <v>2078</v>
      </c>
    </row>
    <row r="267" spans="44:106" ht="15" customHeight="1" x14ac:dyDescent="0.2">
      <c r="AR267" s="252"/>
      <c r="AS267" s="252"/>
      <c r="AT267" s="249" t="s">
        <v>2078</v>
      </c>
      <c r="AU267" s="247"/>
      <c r="AX267" s="249" t="s">
        <v>2088</v>
      </c>
      <c r="BB267" s="249" t="s">
        <v>2078</v>
      </c>
      <c r="BF267" s="249" t="s">
        <v>2078</v>
      </c>
      <c r="BH267" s="252"/>
      <c r="BI267" s="252"/>
      <c r="BJ267" s="249" t="s">
        <v>2078</v>
      </c>
      <c r="BK267" s="247"/>
      <c r="BN267" s="249" t="s">
        <v>2088</v>
      </c>
      <c r="BR267" s="249" t="s">
        <v>2078</v>
      </c>
      <c r="BV267" s="249" t="s">
        <v>2078</v>
      </c>
      <c r="BX267" s="252"/>
      <c r="BY267" s="252"/>
      <c r="BZ267" s="249" t="s">
        <v>2078</v>
      </c>
      <c r="CA267" s="247"/>
      <c r="CD267" s="249" t="s">
        <v>2088</v>
      </c>
      <c r="CH267" s="249" t="s">
        <v>2078</v>
      </c>
      <c r="CL267" s="249" t="s">
        <v>2078</v>
      </c>
      <c r="CN267" s="252"/>
      <c r="CO267" s="252"/>
      <c r="CP267" s="249" t="s">
        <v>2078</v>
      </c>
      <c r="CQ267" s="247"/>
      <c r="CT267" s="249" t="s">
        <v>2088</v>
      </c>
      <c r="CX267" s="249" t="s">
        <v>2078</v>
      </c>
      <c r="DB267" s="249" t="s">
        <v>2078</v>
      </c>
    </row>
    <row r="268" spans="44:106" ht="15" customHeight="1" x14ac:dyDescent="0.2">
      <c r="AR268" s="252"/>
      <c r="AS268" s="252"/>
      <c r="AT268" s="249" t="s">
        <v>2078</v>
      </c>
      <c r="AU268" s="247"/>
      <c r="AX268" s="249" t="s">
        <v>2088</v>
      </c>
      <c r="BB268" s="249" t="s">
        <v>2078</v>
      </c>
      <c r="BF268" s="249" t="s">
        <v>2078</v>
      </c>
      <c r="BH268" s="252"/>
      <c r="BI268" s="252"/>
      <c r="BJ268" s="249" t="s">
        <v>2078</v>
      </c>
      <c r="BK268" s="247"/>
      <c r="BN268" s="249" t="s">
        <v>2088</v>
      </c>
      <c r="BR268" s="249" t="s">
        <v>2078</v>
      </c>
      <c r="BV268" s="249" t="s">
        <v>2078</v>
      </c>
      <c r="BX268" s="252"/>
      <c r="BY268" s="252"/>
      <c r="BZ268" s="249" t="s">
        <v>2078</v>
      </c>
      <c r="CA268" s="247"/>
      <c r="CD268" s="249" t="s">
        <v>2088</v>
      </c>
      <c r="CH268" s="249" t="s">
        <v>2078</v>
      </c>
      <c r="CL268" s="249" t="s">
        <v>2078</v>
      </c>
      <c r="CN268" s="252"/>
      <c r="CO268" s="252"/>
      <c r="CP268" s="249" t="s">
        <v>2078</v>
      </c>
      <c r="CQ268" s="247"/>
      <c r="CT268" s="249" t="s">
        <v>2088</v>
      </c>
      <c r="CX268" s="249" t="s">
        <v>2078</v>
      </c>
      <c r="DB268" s="249" t="s">
        <v>2078</v>
      </c>
    </row>
    <row r="269" spans="44:106" ht="15" customHeight="1" x14ac:dyDescent="0.2">
      <c r="AR269" s="252"/>
      <c r="AS269" s="252"/>
      <c r="AT269" s="249" t="s">
        <v>2078</v>
      </c>
      <c r="AU269" s="247"/>
      <c r="AX269" s="249" t="s">
        <v>2088</v>
      </c>
      <c r="BB269" s="249" t="s">
        <v>2078</v>
      </c>
      <c r="BF269" s="249" t="s">
        <v>2078</v>
      </c>
      <c r="BH269" s="252"/>
      <c r="BI269" s="252"/>
      <c r="BJ269" s="249" t="s">
        <v>2078</v>
      </c>
      <c r="BK269" s="247"/>
      <c r="BN269" s="249" t="s">
        <v>2088</v>
      </c>
      <c r="BR269" s="249" t="s">
        <v>2078</v>
      </c>
      <c r="BV269" s="249" t="s">
        <v>2078</v>
      </c>
      <c r="BX269" s="252"/>
      <c r="BY269" s="252"/>
      <c r="BZ269" s="249" t="s">
        <v>2078</v>
      </c>
      <c r="CA269" s="247"/>
      <c r="CD269" s="249" t="s">
        <v>2088</v>
      </c>
      <c r="CH269" s="249" t="s">
        <v>2078</v>
      </c>
      <c r="CL269" s="249" t="s">
        <v>2078</v>
      </c>
      <c r="CN269" s="252"/>
      <c r="CO269" s="252"/>
      <c r="CP269" s="249" t="s">
        <v>2078</v>
      </c>
      <c r="CQ269" s="247"/>
      <c r="CT269" s="249" t="s">
        <v>2088</v>
      </c>
      <c r="CX269" s="249" t="s">
        <v>2078</v>
      </c>
      <c r="DB269" s="249" t="s">
        <v>2078</v>
      </c>
    </row>
    <row r="270" spans="44:106" ht="15" customHeight="1" x14ac:dyDescent="0.2">
      <c r="AR270" s="252"/>
      <c r="AS270" s="252"/>
      <c r="AT270" s="249" t="s">
        <v>2078</v>
      </c>
      <c r="AU270" s="247"/>
      <c r="AX270" s="249" t="s">
        <v>2088</v>
      </c>
      <c r="BB270" s="249" t="s">
        <v>2078</v>
      </c>
      <c r="BF270" s="249" t="s">
        <v>2078</v>
      </c>
      <c r="BH270" s="252"/>
      <c r="BI270" s="252"/>
      <c r="BJ270" s="249" t="s">
        <v>2078</v>
      </c>
      <c r="BK270" s="247"/>
      <c r="BN270" s="249" t="s">
        <v>2088</v>
      </c>
      <c r="BR270" s="249" t="s">
        <v>2078</v>
      </c>
      <c r="BV270" s="249" t="s">
        <v>2078</v>
      </c>
      <c r="BX270" s="252"/>
      <c r="BY270" s="252"/>
      <c r="BZ270" s="249" t="s">
        <v>2078</v>
      </c>
      <c r="CA270" s="247"/>
      <c r="CD270" s="249" t="s">
        <v>2088</v>
      </c>
      <c r="CH270" s="249" t="s">
        <v>2078</v>
      </c>
      <c r="CL270" s="249" t="s">
        <v>2078</v>
      </c>
      <c r="CN270" s="252"/>
      <c r="CO270" s="252"/>
      <c r="CP270" s="249" t="s">
        <v>2078</v>
      </c>
      <c r="CQ270" s="247"/>
      <c r="CT270" s="249" t="s">
        <v>2088</v>
      </c>
      <c r="CX270" s="249" t="s">
        <v>2078</v>
      </c>
      <c r="DB270" s="249" t="s">
        <v>2078</v>
      </c>
    </row>
    <row r="271" spans="44:106" ht="15" customHeight="1" x14ac:dyDescent="0.2">
      <c r="AR271" s="252"/>
      <c r="AS271" s="252"/>
      <c r="AT271" s="249" t="s">
        <v>2078</v>
      </c>
      <c r="AU271" s="247"/>
      <c r="AX271" s="249" t="s">
        <v>2088</v>
      </c>
      <c r="BB271" s="249" t="s">
        <v>2078</v>
      </c>
      <c r="BF271" s="249" t="s">
        <v>2078</v>
      </c>
      <c r="BH271" s="252"/>
      <c r="BI271" s="252"/>
      <c r="BJ271" s="249" t="s">
        <v>2078</v>
      </c>
      <c r="BK271" s="247"/>
      <c r="BN271" s="249" t="s">
        <v>2088</v>
      </c>
      <c r="BR271" s="249" t="s">
        <v>2078</v>
      </c>
      <c r="BV271" s="249" t="s">
        <v>2078</v>
      </c>
      <c r="BX271" s="252"/>
      <c r="BY271" s="252"/>
      <c r="BZ271" s="249" t="s">
        <v>2078</v>
      </c>
      <c r="CA271" s="247"/>
      <c r="CD271" s="249" t="s">
        <v>2088</v>
      </c>
      <c r="CH271" s="249" t="s">
        <v>2078</v>
      </c>
      <c r="CL271" s="249" t="s">
        <v>2078</v>
      </c>
      <c r="CN271" s="252"/>
      <c r="CO271" s="252"/>
      <c r="CP271" s="249" t="s">
        <v>2078</v>
      </c>
      <c r="CQ271" s="247"/>
      <c r="CT271" s="249" t="s">
        <v>2088</v>
      </c>
      <c r="CX271" s="249" t="s">
        <v>2078</v>
      </c>
      <c r="DB271" s="249" t="s">
        <v>2078</v>
      </c>
    </row>
    <row r="272" spans="44:106" ht="15" customHeight="1" x14ac:dyDescent="0.2">
      <c r="AR272" s="252"/>
      <c r="AS272" s="252"/>
      <c r="AT272" s="249" t="s">
        <v>2078</v>
      </c>
      <c r="AU272" s="247"/>
      <c r="AX272" s="249" t="s">
        <v>2088</v>
      </c>
      <c r="BB272" s="249" t="s">
        <v>2078</v>
      </c>
      <c r="BF272" s="249" t="s">
        <v>2078</v>
      </c>
      <c r="BH272" s="252"/>
      <c r="BI272" s="252"/>
      <c r="BJ272" s="249" t="s">
        <v>2078</v>
      </c>
      <c r="BK272" s="247"/>
      <c r="BN272" s="249" t="s">
        <v>2088</v>
      </c>
      <c r="BR272" s="249" t="s">
        <v>2078</v>
      </c>
      <c r="BV272" s="249" t="s">
        <v>2078</v>
      </c>
      <c r="BX272" s="252"/>
      <c r="BY272" s="252"/>
      <c r="BZ272" s="249" t="s">
        <v>2078</v>
      </c>
      <c r="CA272" s="247"/>
      <c r="CD272" s="249" t="s">
        <v>2088</v>
      </c>
      <c r="CH272" s="249" t="s">
        <v>2078</v>
      </c>
      <c r="CL272" s="249" t="s">
        <v>2078</v>
      </c>
      <c r="CN272" s="252"/>
      <c r="CO272" s="252"/>
      <c r="CP272" s="249" t="s">
        <v>2078</v>
      </c>
      <c r="CQ272" s="247"/>
      <c r="CT272" s="249" t="s">
        <v>2088</v>
      </c>
      <c r="CX272" s="249" t="s">
        <v>2078</v>
      </c>
      <c r="DB272" s="249" t="s">
        <v>2078</v>
      </c>
    </row>
    <row r="273" spans="44:106" ht="15" customHeight="1" x14ac:dyDescent="0.2">
      <c r="AR273" s="252"/>
      <c r="AS273" s="252"/>
      <c r="AT273" s="249" t="s">
        <v>2078</v>
      </c>
      <c r="AU273" s="247"/>
      <c r="AX273" s="249" t="s">
        <v>2088</v>
      </c>
      <c r="BB273" s="249" t="s">
        <v>2078</v>
      </c>
      <c r="BF273" s="249" t="s">
        <v>2078</v>
      </c>
      <c r="BH273" s="252"/>
      <c r="BI273" s="252"/>
      <c r="BJ273" s="249" t="s">
        <v>2078</v>
      </c>
      <c r="BK273" s="247"/>
      <c r="BN273" s="249" t="s">
        <v>2088</v>
      </c>
      <c r="BR273" s="249" t="s">
        <v>2078</v>
      </c>
      <c r="BV273" s="249" t="s">
        <v>2078</v>
      </c>
      <c r="BX273" s="252"/>
      <c r="BY273" s="252"/>
      <c r="BZ273" s="249" t="s">
        <v>2078</v>
      </c>
      <c r="CA273" s="247"/>
      <c r="CD273" s="249" t="s">
        <v>2088</v>
      </c>
      <c r="CH273" s="249" t="s">
        <v>2078</v>
      </c>
      <c r="CL273" s="249" t="s">
        <v>2078</v>
      </c>
      <c r="CN273" s="252"/>
      <c r="CO273" s="252"/>
      <c r="CP273" s="249" t="s">
        <v>2078</v>
      </c>
      <c r="CQ273" s="247"/>
      <c r="CT273" s="249" t="s">
        <v>2088</v>
      </c>
      <c r="CX273" s="249" t="s">
        <v>2078</v>
      </c>
      <c r="DB273" s="249" t="s">
        <v>2078</v>
      </c>
    </row>
    <row r="274" spans="44:106" ht="15" customHeight="1" x14ac:dyDescent="0.2">
      <c r="AR274" s="252"/>
      <c r="AS274" s="252"/>
      <c r="AT274" s="249" t="s">
        <v>2078</v>
      </c>
      <c r="AU274" s="247"/>
      <c r="AX274" s="249" t="s">
        <v>2088</v>
      </c>
      <c r="BB274" s="249" t="s">
        <v>2078</v>
      </c>
      <c r="BF274" s="249" t="s">
        <v>2078</v>
      </c>
      <c r="BH274" s="252"/>
      <c r="BI274" s="252"/>
      <c r="BJ274" s="249" t="s">
        <v>2078</v>
      </c>
      <c r="BK274" s="247"/>
      <c r="BN274" s="249" t="s">
        <v>2088</v>
      </c>
      <c r="BR274" s="249" t="s">
        <v>2078</v>
      </c>
      <c r="BV274" s="249" t="s">
        <v>2078</v>
      </c>
      <c r="BX274" s="252"/>
      <c r="BY274" s="252"/>
      <c r="BZ274" s="249" t="s">
        <v>2078</v>
      </c>
      <c r="CA274" s="247"/>
      <c r="CD274" s="249" t="s">
        <v>2088</v>
      </c>
      <c r="CH274" s="249" t="s">
        <v>2078</v>
      </c>
      <c r="CL274" s="249" t="s">
        <v>2078</v>
      </c>
      <c r="CN274" s="252"/>
      <c r="CO274" s="252"/>
      <c r="CP274" s="249" t="s">
        <v>2078</v>
      </c>
      <c r="CQ274" s="247"/>
      <c r="CT274" s="249" t="s">
        <v>2088</v>
      </c>
      <c r="CX274" s="249" t="s">
        <v>2078</v>
      </c>
      <c r="DB274" s="249" t="s">
        <v>2078</v>
      </c>
    </row>
    <row r="275" spans="44:106" ht="15" customHeight="1" x14ac:dyDescent="0.2">
      <c r="AR275" s="252"/>
      <c r="AS275" s="252"/>
      <c r="AT275" s="249" t="s">
        <v>2078</v>
      </c>
      <c r="AU275" s="247"/>
      <c r="AX275" s="249" t="s">
        <v>2088</v>
      </c>
      <c r="BB275" s="249" t="s">
        <v>2078</v>
      </c>
      <c r="BF275" s="249" t="s">
        <v>2078</v>
      </c>
      <c r="BH275" s="252"/>
      <c r="BI275" s="252"/>
      <c r="BJ275" s="249" t="s">
        <v>2078</v>
      </c>
      <c r="BK275" s="247"/>
      <c r="BN275" s="249" t="s">
        <v>2088</v>
      </c>
      <c r="BR275" s="249" t="s">
        <v>2078</v>
      </c>
      <c r="BV275" s="249" t="s">
        <v>2078</v>
      </c>
      <c r="BX275" s="252"/>
      <c r="BY275" s="252"/>
      <c r="BZ275" s="249" t="s">
        <v>2078</v>
      </c>
      <c r="CA275" s="247"/>
      <c r="CD275" s="249" t="s">
        <v>2088</v>
      </c>
      <c r="CH275" s="249" t="s">
        <v>2078</v>
      </c>
      <c r="CL275" s="249" t="s">
        <v>2078</v>
      </c>
      <c r="CN275" s="252"/>
      <c r="CO275" s="252"/>
      <c r="CP275" s="249" t="s">
        <v>2078</v>
      </c>
      <c r="CQ275" s="247"/>
      <c r="CT275" s="249" t="s">
        <v>2088</v>
      </c>
      <c r="CX275" s="249" t="s">
        <v>2078</v>
      </c>
      <c r="DB275" s="249" t="s">
        <v>2078</v>
      </c>
    </row>
    <row r="276" spans="44:106" ht="15" customHeight="1" x14ac:dyDescent="0.2">
      <c r="AR276" s="252"/>
      <c r="AS276" s="252"/>
      <c r="AT276" s="249" t="s">
        <v>2078</v>
      </c>
      <c r="AU276" s="247"/>
      <c r="AX276" s="249" t="s">
        <v>2088</v>
      </c>
      <c r="BB276" s="249" t="s">
        <v>2078</v>
      </c>
      <c r="BF276" s="249" t="s">
        <v>2078</v>
      </c>
      <c r="BH276" s="252"/>
      <c r="BI276" s="252"/>
      <c r="BJ276" s="249" t="s">
        <v>2078</v>
      </c>
      <c r="BK276" s="247"/>
      <c r="BN276" s="249" t="s">
        <v>2088</v>
      </c>
      <c r="BR276" s="249" t="s">
        <v>2078</v>
      </c>
      <c r="BV276" s="249" t="s">
        <v>2078</v>
      </c>
      <c r="BX276" s="252"/>
      <c r="BY276" s="252"/>
      <c r="BZ276" s="249" t="s">
        <v>2078</v>
      </c>
      <c r="CA276" s="247"/>
      <c r="CD276" s="249" t="s">
        <v>2088</v>
      </c>
      <c r="CH276" s="249" t="s">
        <v>2078</v>
      </c>
      <c r="CL276" s="249" t="s">
        <v>2078</v>
      </c>
      <c r="CN276" s="252"/>
      <c r="CO276" s="252"/>
      <c r="CP276" s="249" t="s">
        <v>2078</v>
      </c>
      <c r="CQ276" s="247"/>
      <c r="CT276" s="249" t="s">
        <v>2088</v>
      </c>
      <c r="CX276" s="249" t="s">
        <v>2078</v>
      </c>
      <c r="DB276" s="249" t="s">
        <v>2078</v>
      </c>
    </row>
    <row r="277" spans="44:106" ht="15" customHeight="1" x14ac:dyDescent="0.2">
      <c r="AR277" s="252"/>
      <c r="AS277" s="252"/>
      <c r="AT277" s="249" t="s">
        <v>2078</v>
      </c>
      <c r="AU277" s="247"/>
      <c r="AX277" s="249" t="s">
        <v>2088</v>
      </c>
      <c r="BB277" s="249" t="s">
        <v>2078</v>
      </c>
      <c r="BF277" s="249" t="s">
        <v>2078</v>
      </c>
      <c r="BH277" s="252"/>
      <c r="BI277" s="252"/>
      <c r="BJ277" s="249" t="s">
        <v>2078</v>
      </c>
      <c r="BK277" s="247"/>
      <c r="BN277" s="249" t="s">
        <v>2088</v>
      </c>
      <c r="BR277" s="249" t="s">
        <v>2078</v>
      </c>
      <c r="BV277" s="249" t="s">
        <v>2078</v>
      </c>
      <c r="BX277" s="252"/>
      <c r="BY277" s="252"/>
      <c r="BZ277" s="249" t="s">
        <v>2078</v>
      </c>
      <c r="CA277" s="247"/>
      <c r="CD277" s="249" t="s">
        <v>2088</v>
      </c>
      <c r="CH277" s="249" t="s">
        <v>2078</v>
      </c>
      <c r="CL277" s="249" t="s">
        <v>2078</v>
      </c>
      <c r="CN277" s="252"/>
      <c r="CO277" s="252"/>
      <c r="CP277" s="249" t="s">
        <v>2078</v>
      </c>
      <c r="CQ277" s="247"/>
      <c r="CT277" s="249" t="s">
        <v>2088</v>
      </c>
      <c r="CX277" s="249" t="s">
        <v>2078</v>
      </c>
      <c r="DB277" s="249" t="s">
        <v>2078</v>
      </c>
    </row>
    <row r="278" spans="44:106" ht="15" customHeight="1" x14ac:dyDescent="0.2">
      <c r="AR278" s="252"/>
      <c r="AS278" s="252"/>
      <c r="AT278" s="249" t="s">
        <v>2078</v>
      </c>
      <c r="AU278" s="247"/>
      <c r="AX278" s="249" t="s">
        <v>2088</v>
      </c>
      <c r="BB278" s="249" t="s">
        <v>2078</v>
      </c>
      <c r="BF278" s="249" t="s">
        <v>2078</v>
      </c>
      <c r="BH278" s="252"/>
      <c r="BI278" s="252"/>
      <c r="BJ278" s="249" t="s">
        <v>2078</v>
      </c>
      <c r="BK278" s="247"/>
      <c r="BN278" s="249" t="s">
        <v>2088</v>
      </c>
      <c r="BR278" s="249" t="s">
        <v>2078</v>
      </c>
      <c r="BV278" s="249" t="s">
        <v>2078</v>
      </c>
      <c r="BX278" s="252"/>
      <c r="BY278" s="252"/>
      <c r="BZ278" s="249" t="s">
        <v>2078</v>
      </c>
      <c r="CA278" s="247"/>
      <c r="CD278" s="249" t="s">
        <v>2088</v>
      </c>
      <c r="CH278" s="249" t="s">
        <v>2078</v>
      </c>
      <c r="CL278" s="249" t="s">
        <v>2078</v>
      </c>
      <c r="CN278" s="252"/>
      <c r="CO278" s="252"/>
      <c r="CP278" s="249" t="s">
        <v>2078</v>
      </c>
      <c r="CQ278" s="247"/>
      <c r="CT278" s="249" t="s">
        <v>2088</v>
      </c>
      <c r="CX278" s="249" t="s">
        <v>2078</v>
      </c>
      <c r="DB278" s="249" t="s">
        <v>2078</v>
      </c>
    </row>
    <row r="279" spans="44:106" ht="15" customHeight="1" x14ac:dyDescent="0.2">
      <c r="AR279" s="252"/>
      <c r="AS279" s="252"/>
      <c r="AT279" s="249" t="s">
        <v>2078</v>
      </c>
      <c r="AU279" s="247"/>
      <c r="AX279" s="249" t="s">
        <v>2088</v>
      </c>
      <c r="BB279" s="249" t="s">
        <v>2078</v>
      </c>
      <c r="BF279" s="249" t="s">
        <v>2078</v>
      </c>
      <c r="BH279" s="252"/>
      <c r="BI279" s="252"/>
      <c r="BJ279" s="249" t="s">
        <v>2078</v>
      </c>
      <c r="BK279" s="247"/>
      <c r="BN279" s="249" t="s">
        <v>2088</v>
      </c>
      <c r="BR279" s="249" t="s">
        <v>2078</v>
      </c>
      <c r="BV279" s="249" t="s">
        <v>2078</v>
      </c>
      <c r="BX279" s="252"/>
      <c r="BY279" s="252"/>
      <c r="BZ279" s="249" t="s">
        <v>2078</v>
      </c>
      <c r="CA279" s="247"/>
      <c r="CD279" s="249" t="s">
        <v>2088</v>
      </c>
      <c r="CH279" s="249" t="s">
        <v>2078</v>
      </c>
      <c r="CL279" s="249" t="s">
        <v>2078</v>
      </c>
      <c r="CN279" s="252"/>
      <c r="CO279" s="252"/>
      <c r="CP279" s="249" t="s">
        <v>2078</v>
      </c>
      <c r="CQ279" s="247"/>
      <c r="CT279" s="249" t="s">
        <v>2088</v>
      </c>
      <c r="CX279" s="249" t="s">
        <v>2078</v>
      </c>
      <c r="DB279" s="249" t="s">
        <v>2078</v>
      </c>
    </row>
    <row r="280" spans="44:106" ht="15" customHeight="1" x14ac:dyDescent="0.2">
      <c r="AR280" s="252"/>
      <c r="AS280" s="252"/>
      <c r="AT280" s="249" t="s">
        <v>2078</v>
      </c>
      <c r="AU280" s="247"/>
      <c r="AX280" s="249" t="s">
        <v>2088</v>
      </c>
      <c r="BB280" s="249" t="s">
        <v>2078</v>
      </c>
      <c r="BF280" s="249" t="s">
        <v>2078</v>
      </c>
      <c r="BH280" s="252"/>
      <c r="BI280" s="252"/>
      <c r="BJ280" s="249" t="s">
        <v>2078</v>
      </c>
      <c r="BK280" s="247"/>
      <c r="BN280" s="249" t="s">
        <v>2088</v>
      </c>
      <c r="BR280" s="249" t="s">
        <v>2078</v>
      </c>
      <c r="BV280" s="249" t="s">
        <v>2078</v>
      </c>
      <c r="BX280" s="252"/>
      <c r="BY280" s="252"/>
      <c r="BZ280" s="249" t="s">
        <v>2078</v>
      </c>
      <c r="CA280" s="247"/>
      <c r="CD280" s="249" t="s">
        <v>2088</v>
      </c>
      <c r="CH280" s="249" t="s">
        <v>2078</v>
      </c>
      <c r="CL280" s="249" t="s">
        <v>2078</v>
      </c>
      <c r="CN280" s="252"/>
      <c r="CO280" s="252"/>
      <c r="CP280" s="249" t="s">
        <v>2078</v>
      </c>
      <c r="CQ280" s="247"/>
      <c r="CT280" s="249" t="s">
        <v>2088</v>
      </c>
      <c r="CX280" s="249" t="s">
        <v>2078</v>
      </c>
      <c r="DB280" s="249" t="s">
        <v>2078</v>
      </c>
    </row>
    <row r="281" spans="44:106" ht="15" customHeight="1" x14ac:dyDescent="0.2">
      <c r="AR281" s="252"/>
      <c r="AS281" s="252"/>
      <c r="AT281" s="249" t="s">
        <v>2078</v>
      </c>
      <c r="AU281" s="247"/>
      <c r="AX281" s="249" t="s">
        <v>2088</v>
      </c>
      <c r="BB281" s="249" t="s">
        <v>2078</v>
      </c>
      <c r="BF281" s="249" t="s">
        <v>2078</v>
      </c>
      <c r="BH281" s="252"/>
      <c r="BI281" s="252"/>
      <c r="BJ281" s="249" t="s">
        <v>2078</v>
      </c>
      <c r="BK281" s="247"/>
      <c r="BN281" s="249" t="s">
        <v>2088</v>
      </c>
      <c r="BR281" s="249" t="s">
        <v>2078</v>
      </c>
      <c r="BV281" s="249" t="s">
        <v>2078</v>
      </c>
      <c r="BX281" s="252"/>
      <c r="BY281" s="252"/>
      <c r="BZ281" s="249" t="s">
        <v>2078</v>
      </c>
      <c r="CA281" s="247"/>
      <c r="CD281" s="249" t="s">
        <v>2088</v>
      </c>
      <c r="CH281" s="249" t="s">
        <v>2078</v>
      </c>
      <c r="CL281" s="249" t="s">
        <v>2078</v>
      </c>
      <c r="CN281" s="252"/>
      <c r="CO281" s="252"/>
      <c r="CP281" s="249" t="s">
        <v>2078</v>
      </c>
      <c r="CQ281" s="247"/>
      <c r="CT281" s="249" t="s">
        <v>2088</v>
      </c>
      <c r="CX281" s="249" t="s">
        <v>2078</v>
      </c>
      <c r="DB281" s="249" t="s">
        <v>2078</v>
      </c>
    </row>
    <row r="282" spans="44:106" ht="15" customHeight="1" x14ac:dyDescent="0.2">
      <c r="AR282" s="252"/>
      <c r="AS282" s="252"/>
      <c r="AT282" s="249" t="s">
        <v>2078</v>
      </c>
      <c r="AU282" s="247"/>
      <c r="AX282" s="249" t="s">
        <v>2088</v>
      </c>
      <c r="BB282" s="249" t="s">
        <v>2078</v>
      </c>
      <c r="BF282" s="249" t="s">
        <v>2078</v>
      </c>
      <c r="BH282" s="252"/>
      <c r="BI282" s="252"/>
      <c r="BJ282" s="249" t="s">
        <v>2078</v>
      </c>
      <c r="BK282" s="247"/>
      <c r="BN282" s="249" t="s">
        <v>2088</v>
      </c>
      <c r="BR282" s="249" t="s">
        <v>2078</v>
      </c>
      <c r="BV282" s="249" t="s">
        <v>2078</v>
      </c>
      <c r="BX282" s="252"/>
      <c r="BY282" s="252"/>
      <c r="BZ282" s="249" t="s">
        <v>2078</v>
      </c>
      <c r="CA282" s="247"/>
      <c r="CD282" s="249" t="s">
        <v>2088</v>
      </c>
      <c r="CH282" s="249" t="s">
        <v>2078</v>
      </c>
      <c r="CL282" s="249" t="s">
        <v>2078</v>
      </c>
      <c r="CN282" s="252"/>
      <c r="CO282" s="252"/>
      <c r="CP282" s="249" t="s">
        <v>2078</v>
      </c>
      <c r="CQ282" s="247"/>
      <c r="CT282" s="249" t="s">
        <v>2088</v>
      </c>
      <c r="CX282" s="249" t="s">
        <v>2078</v>
      </c>
      <c r="DB282" s="249" t="s">
        <v>2078</v>
      </c>
    </row>
    <row r="283" spans="44:106" ht="15" customHeight="1" x14ac:dyDescent="0.2">
      <c r="AR283" s="252"/>
      <c r="AS283" s="252"/>
      <c r="AT283" s="249" t="s">
        <v>2078</v>
      </c>
      <c r="AU283" s="247"/>
      <c r="AX283" s="249" t="s">
        <v>2088</v>
      </c>
      <c r="BB283" s="249" t="s">
        <v>2078</v>
      </c>
      <c r="BF283" s="249" t="s">
        <v>2078</v>
      </c>
      <c r="BH283" s="252"/>
      <c r="BI283" s="252"/>
      <c r="BJ283" s="249" t="s">
        <v>2078</v>
      </c>
      <c r="BK283" s="247"/>
      <c r="BN283" s="249" t="s">
        <v>2088</v>
      </c>
      <c r="BR283" s="249" t="s">
        <v>2078</v>
      </c>
      <c r="BV283" s="249" t="s">
        <v>2078</v>
      </c>
      <c r="BX283" s="252"/>
      <c r="BY283" s="252"/>
      <c r="BZ283" s="249" t="s">
        <v>2078</v>
      </c>
      <c r="CA283" s="247"/>
      <c r="CD283" s="249" t="s">
        <v>2088</v>
      </c>
      <c r="CH283" s="249" t="s">
        <v>2078</v>
      </c>
      <c r="CL283" s="249" t="s">
        <v>2078</v>
      </c>
      <c r="CN283" s="252"/>
      <c r="CO283" s="252"/>
      <c r="CP283" s="249" t="s">
        <v>2078</v>
      </c>
      <c r="CQ283" s="247"/>
      <c r="CT283" s="249" t="s">
        <v>2088</v>
      </c>
      <c r="CX283" s="249" t="s">
        <v>2078</v>
      </c>
      <c r="DB283" s="249" t="s">
        <v>2078</v>
      </c>
    </row>
    <row r="284" spans="44:106" ht="15" customHeight="1" x14ac:dyDescent="0.2">
      <c r="AR284" s="252"/>
      <c r="AS284" s="252"/>
      <c r="AT284" s="249" t="s">
        <v>2078</v>
      </c>
      <c r="AU284" s="247"/>
      <c r="AX284" s="249" t="s">
        <v>2088</v>
      </c>
      <c r="BB284" s="249" t="s">
        <v>2078</v>
      </c>
      <c r="BF284" s="249" t="s">
        <v>2078</v>
      </c>
      <c r="BH284" s="252"/>
      <c r="BI284" s="252"/>
      <c r="BJ284" s="249" t="s">
        <v>2078</v>
      </c>
      <c r="BK284" s="247"/>
      <c r="BN284" s="249" t="s">
        <v>2088</v>
      </c>
      <c r="BR284" s="249" t="s">
        <v>2078</v>
      </c>
      <c r="BV284" s="249" t="s">
        <v>2078</v>
      </c>
      <c r="BX284" s="252"/>
      <c r="BY284" s="252"/>
      <c r="BZ284" s="249" t="s">
        <v>2078</v>
      </c>
      <c r="CA284" s="247"/>
      <c r="CD284" s="249" t="s">
        <v>2088</v>
      </c>
      <c r="CH284" s="249" t="s">
        <v>2078</v>
      </c>
      <c r="CL284" s="249" t="s">
        <v>2078</v>
      </c>
      <c r="CN284" s="252"/>
      <c r="CO284" s="252"/>
      <c r="CP284" s="249" t="s">
        <v>2078</v>
      </c>
      <c r="CQ284" s="247"/>
      <c r="CT284" s="249" t="s">
        <v>2088</v>
      </c>
      <c r="CX284" s="249" t="s">
        <v>2078</v>
      </c>
      <c r="DB284" s="249" t="s">
        <v>2078</v>
      </c>
    </row>
    <row r="285" spans="44:106" ht="15" customHeight="1" x14ac:dyDescent="0.2">
      <c r="AR285" s="252"/>
      <c r="AS285" s="252"/>
      <c r="AT285" s="249" t="s">
        <v>2078</v>
      </c>
      <c r="AU285" s="247"/>
      <c r="AX285" s="249" t="s">
        <v>2088</v>
      </c>
      <c r="BB285" s="249" t="s">
        <v>2078</v>
      </c>
      <c r="BF285" s="249" t="s">
        <v>2078</v>
      </c>
      <c r="BH285" s="252"/>
      <c r="BI285" s="252"/>
      <c r="BJ285" s="249" t="s">
        <v>2078</v>
      </c>
      <c r="BK285" s="247"/>
      <c r="BN285" s="249" t="s">
        <v>2088</v>
      </c>
      <c r="BR285" s="249" t="s">
        <v>2078</v>
      </c>
      <c r="BV285" s="249" t="s">
        <v>2078</v>
      </c>
      <c r="BX285" s="252"/>
      <c r="BY285" s="252"/>
      <c r="BZ285" s="249" t="s">
        <v>2078</v>
      </c>
      <c r="CA285" s="247"/>
      <c r="CD285" s="249" t="s">
        <v>2088</v>
      </c>
      <c r="CH285" s="249" t="s">
        <v>2078</v>
      </c>
      <c r="CL285" s="249" t="s">
        <v>2078</v>
      </c>
      <c r="CN285" s="252"/>
      <c r="CO285" s="252"/>
      <c r="CP285" s="249" t="s">
        <v>2078</v>
      </c>
      <c r="CQ285" s="247"/>
      <c r="CT285" s="249" t="s">
        <v>2088</v>
      </c>
      <c r="CX285" s="249" t="s">
        <v>2078</v>
      </c>
      <c r="DB285" s="249" t="s">
        <v>2078</v>
      </c>
    </row>
    <row r="286" spans="44:106" ht="15" customHeight="1" x14ac:dyDescent="0.2">
      <c r="AR286" s="252"/>
      <c r="AS286" s="252"/>
      <c r="AT286" s="249" t="s">
        <v>2078</v>
      </c>
      <c r="AU286" s="247"/>
      <c r="AX286" s="249" t="s">
        <v>2088</v>
      </c>
      <c r="BB286" s="249" t="s">
        <v>2078</v>
      </c>
      <c r="BF286" s="249" t="s">
        <v>2078</v>
      </c>
      <c r="BH286" s="252"/>
      <c r="BI286" s="252"/>
      <c r="BJ286" s="249" t="s">
        <v>2078</v>
      </c>
      <c r="BK286" s="247"/>
      <c r="BN286" s="249" t="s">
        <v>2088</v>
      </c>
      <c r="BR286" s="249" t="s">
        <v>2078</v>
      </c>
      <c r="BV286" s="249" t="s">
        <v>2078</v>
      </c>
      <c r="BX286" s="252"/>
      <c r="BY286" s="252"/>
      <c r="BZ286" s="249" t="s">
        <v>2078</v>
      </c>
      <c r="CA286" s="247"/>
      <c r="CD286" s="249" t="s">
        <v>2088</v>
      </c>
      <c r="CH286" s="249" t="s">
        <v>2078</v>
      </c>
      <c r="CL286" s="249" t="s">
        <v>2078</v>
      </c>
      <c r="CN286" s="252"/>
      <c r="CO286" s="252"/>
      <c r="CP286" s="249" t="s">
        <v>2078</v>
      </c>
      <c r="CQ286" s="247"/>
      <c r="CT286" s="249" t="s">
        <v>2088</v>
      </c>
      <c r="CX286" s="249" t="s">
        <v>2078</v>
      </c>
      <c r="DB286" s="249" t="s">
        <v>2078</v>
      </c>
    </row>
    <row r="287" spans="44:106" ht="15" customHeight="1" x14ac:dyDescent="0.2">
      <c r="AR287" s="252"/>
      <c r="AS287" s="252"/>
      <c r="AT287" s="249" t="s">
        <v>2078</v>
      </c>
      <c r="AU287" s="247"/>
      <c r="AX287" s="249" t="s">
        <v>2088</v>
      </c>
      <c r="BB287" s="249" t="s">
        <v>2078</v>
      </c>
      <c r="BF287" s="249" t="s">
        <v>2078</v>
      </c>
      <c r="BH287" s="252"/>
      <c r="BI287" s="252"/>
      <c r="BJ287" s="249" t="s">
        <v>2078</v>
      </c>
      <c r="BK287" s="247"/>
      <c r="BN287" s="249" t="s">
        <v>2088</v>
      </c>
      <c r="BR287" s="249" t="s">
        <v>2078</v>
      </c>
      <c r="BV287" s="249" t="s">
        <v>2078</v>
      </c>
      <c r="BX287" s="252"/>
      <c r="BY287" s="252"/>
      <c r="BZ287" s="249" t="s">
        <v>2078</v>
      </c>
      <c r="CA287" s="247"/>
      <c r="CD287" s="249" t="s">
        <v>2088</v>
      </c>
      <c r="CH287" s="249" t="s">
        <v>2078</v>
      </c>
      <c r="CL287" s="249" t="s">
        <v>2078</v>
      </c>
      <c r="CN287" s="252"/>
      <c r="CO287" s="252"/>
      <c r="CP287" s="249" t="s">
        <v>2078</v>
      </c>
      <c r="CQ287" s="247"/>
      <c r="CT287" s="249" t="s">
        <v>2088</v>
      </c>
      <c r="CX287" s="249" t="s">
        <v>2078</v>
      </c>
      <c r="DB287" s="249" t="s">
        <v>2078</v>
      </c>
    </row>
    <row r="288" spans="44:106" ht="15" customHeight="1" x14ac:dyDescent="0.2">
      <c r="AR288" s="252"/>
      <c r="AS288" s="252"/>
      <c r="AT288" s="249" t="s">
        <v>2078</v>
      </c>
      <c r="AU288" s="247"/>
      <c r="AX288" s="249" t="s">
        <v>2088</v>
      </c>
      <c r="BB288" s="249" t="s">
        <v>2078</v>
      </c>
      <c r="BF288" s="249" t="s">
        <v>2078</v>
      </c>
      <c r="BH288" s="252"/>
      <c r="BI288" s="252"/>
      <c r="BJ288" s="249" t="s">
        <v>2078</v>
      </c>
      <c r="BK288" s="247"/>
      <c r="BN288" s="249" t="s">
        <v>2088</v>
      </c>
      <c r="BR288" s="249" t="s">
        <v>2078</v>
      </c>
      <c r="BV288" s="249" t="s">
        <v>2078</v>
      </c>
      <c r="BX288" s="252"/>
      <c r="BY288" s="252"/>
      <c r="BZ288" s="249" t="s">
        <v>2078</v>
      </c>
      <c r="CA288" s="247"/>
      <c r="CD288" s="249" t="s">
        <v>2088</v>
      </c>
      <c r="CH288" s="249" t="s">
        <v>2078</v>
      </c>
      <c r="CL288" s="249" t="s">
        <v>2078</v>
      </c>
      <c r="CN288" s="252"/>
      <c r="CO288" s="252"/>
      <c r="CP288" s="249" t="s">
        <v>2078</v>
      </c>
      <c r="CQ288" s="247"/>
      <c r="CT288" s="249" t="s">
        <v>2088</v>
      </c>
      <c r="CX288" s="249" t="s">
        <v>2078</v>
      </c>
      <c r="DB288" s="249" t="s">
        <v>2078</v>
      </c>
    </row>
    <row r="289" spans="44:106" ht="15" customHeight="1" x14ac:dyDescent="0.2">
      <c r="AR289" s="252"/>
      <c r="AS289" s="252"/>
      <c r="AT289" s="249" t="s">
        <v>2078</v>
      </c>
      <c r="AU289" s="247"/>
      <c r="AX289" s="249" t="s">
        <v>2088</v>
      </c>
      <c r="BB289" s="249" t="s">
        <v>2078</v>
      </c>
      <c r="BF289" s="249" t="s">
        <v>2078</v>
      </c>
      <c r="BH289" s="252"/>
      <c r="BI289" s="252"/>
      <c r="BJ289" s="249" t="s">
        <v>2078</v>
      </c>
      <c r="BK289" s="247"/>
      <c r="BN289" s="249" t="s">
        <v>2088</v>
      </c>
      <c r="BR289" s="249" t="s">
        <v>2078</v>
      </c>
      <c r="BV289" s="249" t="s">
        <v>2078</v>
      </c>
      <c r="BX289" s="252"/>
      <c r="BY289" s="252"/>
      <c r="BZ289" s="249" t="s">
        <v>2078</v>
      </c>
      <c r="CA289" s="247"/>
      <c r="CD289" s="249" t="s">
        <v>2088</v>
      </c>
      <c r="CH289" s="249" t="s">
        <v>2078</v>
      </c>
      <c r="CL289" s="249" t="s">
        <v>2078</v>
      </c>
      <c r="CN289" s="252"/>
      <c r="CO289" s="252"/>
      <c r="CP289" s="249" t="s">
        <v>2078</v>
      </c>
      <c r="CQ289" s="247"/>
      <c r="CT289" s="249" t="s">
        <v>2088</v>
      </c>
      <c r="CX289" s="249" t="s">
        <v>2078</v>
      </c>
      <c r="DB289" s="249" t="s">
        <v>2078</v>
      </c>
    </row>
    <row r="290" spans="44:106" ht="15" customHeight="1" x14ac:dyDescent="0.2">
      <c r="AR290" s="252"/>
      <c r="AS290" s="252"/>
      <c r="AT290" s="249" t="s">
        <v>2078</v>
      </c>
      <c r="AU290" s="247"/>
      <c r="AX290" s="249" t="s">
        <v>2088</v>
      </c>
      <c r="BB290" s="249" t="s">
        <v>2078</v>
      </c>
      <c r="BF290" s="249" t="s">
        <v>2078</v>
      </c>
      <c r="BH290" s="252"/>
      <c r="BI290" s="252"/>
      <c r="BJ290" s="249" t="s">
        <v>2078</v>
      </c>
      <c r="BK290" s="247"/>
      <c r="BN290" s="249" t="s">
        <v>2088</v>
      </c>
      <c r="BR290" s="249" t="s">
        <v>2078</v>
      </c>
      <c r="BV290" s="249" t="s">
        <v>2078</v>
      </c>
      <c r="BX290" s="252"/>
      <c r="BY290" s="252"/>
      <c r="BZ290" s="249" t="s">
        <v>2078</v>
      </c>
      <c r="CA290" s="247"/>
      <c r="CD290" s="249" t="s">
        <v>2088</v>
      </c>
      <c r="CH290" s="249" t="s">
        <v>2078</v>
      </c>
      <c r="CL290" s="249" t="s">
        <v>2078</v>
      </c>
      <c r="CN290" s="252"/>
      <c r="CO290" s="252"/>
      <c r="CP290" s="249" t="s">
        <v>2078</v>
      </c>
      <c r="CQ290" s="247"/>
      <c r="CT290" s="249" t="s">
        <v>2088</v>
      </c>
      <c r="CX290" s="249" t="s">
        <v>2078</v>
      </c>
      <c r="DB290" s="249" t="s">
        <v>2078</v>
      </c>
    </row>
    <row r="291" spans="44:106" ht="15" customHeight="1" x14ac:dyDescent="0.2">
      <c r="AR291" s="252"/>
      <c r="AS291" s="252"/>
      <c r="AT291" s="249" t="s">
        <v>2078</v>
      </c>
      <c r="AU291" s="247"/>
      <c r="AX291" s="249" t="s">
        <v>2088</v>
      </c>
      <c r="BB291" s="249" t="s">
        <v>2078</v>
      </c>
      <c r="BF291" s="249" t="s">
        <v>2078</v>
      </c>
      <c r="BH291" s="252"/>
      <c r="BI291" s="252"/>
      <c r="BJ291" s="249" t="s">
        <v>2078</v>
      </c>
      <c r="BK291" s="247"/>
      <c r="BN291" s="249" t="s">
        <v>2088</v>
      </c>
      <c r="BR291" s="249" t="s">
        <v>2078</v>
      </c>
      <c r="BV291" s="249" t="s">
        <v>2078</v>
      </c>
      <c r="BX291" s="252"/>
      <c r="BY291" s="252"/>
      <c r="BZ291" s="249" t="s">
        <v>2078</v>
      </c>
      <c r="CA291" s="247"/>
      <c r="CD291" s="249" t="s">
        <v>2088</v>
      </c>
      <c r="CH291" s="249" t="s">
        <v>2078</v>
      </c>
      <c r="CL291" s="249" t="s">
        <v>2078</v>
      </c>
      <c r="CN291" s="252"/>
      <c r="CO291" s="252"/>
      <c r="CP291" s="249" t="s">
        <v>2078</v>
      </c>
      <c r="CQ291" s="247"/>
      <c r="CT291" s="249" t="s">
        <v>2088</v>
      </c>
      <c r="CX291" s="249" t="s">
        <v>2078</v>
      </c>
      <c r="DB291" s="249" t="s">
        <v>2078</v>
      </c>
    </row>
    <row r="292" spans="44:106" ht="15" customHeight="1" x14ac:dyDescent="0.2">
      <c r="AR292" s="252"/>
      <c r="AS292" s="252"/>
      <c r="AT292" s="249" t="s">
        <v>2078</v>
      </c>
      <c r="AU292" s="247"/>
      <c r="AX292" s="249" t="s">
        <v>2088</v>
      </c>
      <c r="BB292" s="249" t="s">
        <v>2078</v>
      </c>
      <c r="BF292" s="249" t="s">
        <v>2078</v>
      </c>
      <c r="BH292" s="252"/>
      <c r="BI292" s="252"/>
      <c r="BJ292" s="249" t="s">
        <v>2078</v>
      </c>
      <c r="BK292" s="247"/>
      <c r="BN292" s="249" t="s">
        <v>2088</v>
      </c>
      <c r="BR292" s="249" t="s">
        <v>2078</v>
      </c>
      <c r="BV292" s="249" t="s">
        <v>2078</v>
      </c>
      <c r="BX292" s="252"/>
      <c r="BY292" s="252"/>
      <c r="BZ292" s="249" t="s">
        <v>2078</v>
      </c>
      <c r="CA292" s="247"/>
      <c r="CD292" s="249" t="s">
        <v>2088</v>
      </c>
      <c r="CH292" s="249" t="s">
        <v>2078</v>
      </c>
      <c r="CL292" s="249" t="s">
        <v>2078</v>
      </c>
      <c r="CN292" s="252"/>
      <c r="CO292" s="252"/>
      <c r="CP292" s="249" t="s">
        <v>2078</v>
      </c>
      <c r="CQ292" s="247"/>
      <c r="CT292" s="249" t="s">
        <v>2088</v>
      </c>
      <c r="CX292" s="249" t="s">
        <v>2078</v>
      </c>
      <c r="DB292" s="249" t="s">
        <v>2078</v>
      </c>
    </row>
    <row r="293" spans="44:106" ht="15" customHeight="1" x14ac:dyDescent="0.2">
      <c r="AR293" s="252"/>
      <c r="AS293" s="252"/>
      <c r="AT293" s="249" t="s">
        <v>2078</v>
      </c>
      <c r="AU293" s="247"/>
      <c r="AX293" s="249" t="s">
        <v>2088</v>
      </c>
      <c r="BB293" s="249" t="s">
        <v>2078</v>
      </c>
      <c r="BF293" s="249" t="s">
        <v>2078</v>
      </c>
      <c r="BH293" s="252"/>
      <c r="BI293" s="252"/>
      <c r="BJ293" s="249" t="s">
        <v>2078</v>
      </c>
      <c r="BK293" s="247"/>
      <c r="BN293" s="249" t="s">
        <v>2088</v>
      </c>
      <c r="BR293" s="249" t="s">
        <v>2078</v>
      </c>
      <c r="BV293" s="249" t="s">
        <v>2078</v>
      </c>
      <c r="BX293" s="252"/>
      <c r="BY293" s="252"/>
      <c r="BZ293" s="249" t="s">
        <v>2078</v>
      </c>
      <c r="CA293" s="247"/>
      <c r="CD293" s="249" t="s">
        <v>2088</v>
      </c>
      <c r="CH293" s="249" t="s">
        <v>2078</v>
      </c>
      <c r="CL293" s="249" t="s">
        <v>2078</v>
      </c>
      <c r="CN293" s="252"/>
      <c r="CO293" s="252"/>
      <c r="CP293" s="249" t="s">
        <v>2078</v>
      </c>
      <c r="CQ293" s="247"/>
      <c r="CT293" s="249" t="s">
        <v>2088</v>
      </c>
      <c r="CX293" s="249" t="s">
        <v>2078</v>
      </c>
      <c r="DB293" s="249" t="s">
        <v>2078</v>
      </c>
    </row>
    <row r="294" spans="44:106" ht="15" customHeight="1" x14ac:dyDescent="0.2">
      <c r="AR294" s="252"/>
      <c r="AS294" s="252"/>
      <c r="AT294" s="249" t="s">
        <v>2078</v>
      </c>
      <c r="AU294" s="247"/>
      <c r="AX294" s="249" t="s">
        <v>2088</v>
      </c>
      <c r="BB294" s="249" t="s">
        <v>2078</v>
      </c>
      <c r="BF294" s="249" t="s">
        <v>2078</v>
      </c>
      <c r="BH294" s="252"/>
      <c r="BI294" s="252"/>
      <c r="BJ294" s="249" t="s">
        <v>2078</v>
      </c>
      <c r="BK294" s="247"/>
      <c r="BN294" s="249" t="s">
        <v>2088</v>
      </c>
      <c r="BR294" s="249" t="s">
        <v>2078</v>
      </c>
      <c r="BV294" s="249" t="s">
        <v>2078</v>
      </c>
      <c r="BX294" s="252"/>
      <c r="BY294" s="252"/>
      <c r="BZ294" s="249" t="s">
        <v>2078</v>
      </c>
      <c r="CA294" s="247"/>
      <c r="CD294" s="249" t="s">
        <v>2088</v>
      </c>
      <c r="CH294" s="249" t="s">
        <v>2078</v>
      </c>
      <c r="CL294" s="249" t="s">
        <v>2078</v>
      </c>
      <c r="CN294" s="252"/>
      <c r="CO294" s="252"/>
      <c r="CP294" s="249" t="s">
        <v>2078</v>
      </c>
      <c r="CQ294" s="247"/>
      <c r="CT294" s="249" t="s">
        <v>2088</v>
      </c>
      <c r="CX294" s="249" t="s">
        <v>2078</v>
      </c>
      <c r="DB294" s="249" t="s">
        <v>2078</v>
      </c>
    </row>
    <row r="295" spans="44:106" ht="15" customHeight="1" x14ac:dyDescent="0.2">
      <c r="AR295" s="252"/>
      <c r="AS295" s="252"/>
      <c r="AT295" s="249" t="s">
        <v>2078</v>
      </c>
      <c r="AU295" s="247"/>
      <c r="AX295" s="249" t="s">
        <v>2088</v>
      </c>
      <c r="BB295" s="249" t="s">
        <v>2078</v>
      </c>
      <c r="BF295" s="249" t="s">
        <v>2078</v>
      </c>
      <c r="BH295" s="252"/>
      <c r="BI295" s="252"/>
      <c r="BJ295" s="249" t="s">
        <v>2078</v>
      </c>
      <c r="BK295" s="247"/>
      <c r="BN295" s="249" t="s">
        <v>2088</v>
      </c>
      <c r="BR295" s="249" t="s">
        <v>2078</v>
      </c>
      <c r="BV295" s="249" t="s">
        <v>2078</v>
      </c>
      <c r="BX295" s="252"/>
      <c r="BY295" s="252"/>
      <c r="BZ295" s="249" t="s">
        <v>2078</v>
      </c>
      <c r="CA295" s="247"/>
      <c r="CD295" s="249" t="s">
        <v>2088</v>
      </c>
      <c r="CH295" s="249" t="s">
        <v>2078</v>
      </c>
      <c r="CL295" s="249" t="s">
        <v>2078</v>
      </c>
      <c r="CN295" s="252"/>
      <c r="CO295" s="252"/>
      <c r="CP295" s="249" t="s">
        <v>2078</v>
      </c>
      <c r="CQ295" s="247"/>
      <c r="CT295" s="249" t="s">
        <v>2088</v>
      </c>
      <c r="CX295" s="249" t="s">
        <v>2078</v>
      </c>
      <c r="DB295" s="249" t="s">
        <v>2078</v>
      </c>
    </row>
    <row r="296" spans="44:106" ht="15" customHeight="1" x14ac:dyDescent="0.2">
      <c r="AR296" s="252"/>
      <c r="AS296" s="252"/>
      <c r="AT296" s="249" t="s">
        <v>2078</v>
      </c>
      <c r="AU296" s="247"/>
      <c r="AX296" s="249" t="s">
        <v>2088</v>
      </c>
      <c r="BB296" s="249" t="s">
        <v>2078</v>
      </c>
      <c r="BF296" s="249" t="s">
        <v>2078</v>
      </c>
      <c r="BH296" s="252"/>
      <c r="BI296" s="252"/>
      <c r="BJ296" s="249" t="s">
        <v>2078</v>
      </c>
      <c r="BK296" s="247"/>
      <c r="BN296" s="249" t="s">
        <v>2088</v>
      </c>
      <c r="BR296" s="249" t="s">
        <v>2078</v>
      </c>
      <c r="BV296" s="249" t="s">
        <v>2078</v>
      </c>
      <c r="BX296" s="252"/>
      <c r="BY296" s="252"/>
      <c r="BZ296" s="249" t="s">
        <v>2078</v>
      </c>
      <c r="CA296" s="247"/>
      <c r="CD296" s="249" t="s">
        <v>2088</v>
      </c>
      <c r="CH296" s="249" t="s">
        <v>2078</v>
      </c>
      <c r="CL296" s="249" t="s">
        <v>2078</v>
      </c>
      <c r="CN296" s="252"/>
      <c r="CO296" s="252"/>
      <c r="CP296" s="249" t="s">
        <v>2078</v>
      </c>
      <c r="CQ296" s="247"/>
      <c r="CT296" s="249" t="s">
        <v>2088</v>
      </c>
      <c r="CX296" s="249" t="s">
        <v>2078</v>
      </c>
      <c r="DB296" s="249" t="s">
        <v>2078</v>
      </c>
    </row>
    <row r="297" spans="44:106" ht="15" customHeight="1" x14ac:dyDescent="0.2">
      <c r="AR297" s="252"/>
      <c r="AS297" s="252"/>
      <c r="AT297" s="249" t="s">
        <v>2078</v>
      </c>
      <c r="AU297" s="247"/>
      <c r="AX297" s="249" t="s">
        <v>2088</v>
      </c>
      <c r="BB297" s="249" t="s">
        <v>2078</v>
      </c>
      <c r="BF297" s="249" t="s">
        <v>2078</v>
      </c>
      <c r="BH297" s="252"/>
      <c r="BI297" s="252"/>
      <c r="BJ297" s="249" t="s">
        <v>2078</v>
      </c>
      <c r="BK297" s="247"/>
      <c r="BN297" s="249" t="s">
        <v>2088</v>
      </c>
      <c r="BR297" s="249" t="s">
        <v>2078</v>
      </c>
      <c r="BV297" s="249" t="s">
        <v>2078</v>
      </c>
      <c r="BX297" s="252"/>
      <c r="BY297" s="252"/>
      <c r="BZ297" s="249" t="s">
        <v>2078</v>
      </c>
      <c r="CA297" s="247"/>
      <c r="CD297" s="249" t="s">
        <v>2088</v>
      </c>
      <c r="CH297" s="249" t="s">
        <v>2078</v>
      </c>
      <c r="CL297" s="249" t="s">
        <v>2078</v>
      </c>
      <c r="CN297" s="252"/>
      <c r="CO297" s="252"/>
      <c r="CP297" s="249" t="s">
        <v>2078</v>
      </c>
      <c r="CQ297" s="247"/>
      <c r="CT297" s="249" t="s">
        <v>2088</v>
      </c>
      <c r="CX297" s="249" t="s">
        <v>2078</v>
      </c>
      <c r="DB297" s="249" t="s">
        <v>2078</v>
      </c>
    </row>
    <row r="298" spans="44:106" ht="15" customHeight="1" x14ac:dyDescent="0.2">
      <c r="AR298" s="252"/>
      <c r="AS298" s="252"/>
      <c r="AT298" s="249" t="s">
        <v>2078</v>
      </c>
      <c r="AU298" s="247"/>
      <c r="AX298" s="249" t="s">
        <v>2088</v>
      </c>
      <c r="BB298" s="249" t="s">
        <v>2078</v>
      </c>
      <c r="BF298" s="249" t="s">
        <v>2078</v>
      </c>
      <c r="BH298" s="252"/>
      <c r="BI298" s="252"/>
      <c r="BJ298" s="249" t="s">
        <v>2078</v>
      </c>
      <c r="BK298" s="247"/>
      <c r="BN298" s="249" t="s">
        <v>2088</v>
      </c>
      <c r="BR298" s="249" t="s">
        <v>2078</v>
      </c>
      <c r="BV298" s="249" t="s">
        <v>2078</v>
      </c>
      <c r="BX298" s="252"/>
      <c r="BY298" s="252"/>
      <c r="BZ298" s="249" t="s">
        <v>2078</v>
      </c>
      <c r="CA298" s="247"/>
      <c r="CD298" s="249" t="s">
        <v>2088</v>
      </c>
      <c r="CH298" s="249" t="s">
        <v>2078</v>
      </c>
      <c r="CL298" s="249" t="s">
        <v>2078</v>
      </c>
      <c r="CN298" s="252"/>
      <c r="CO298" s="252"/>
      <c r="CP298" s="249" t="s">
        <v>2078</v>
      </c>
      <c r="CQ298" s="247"/>
      <c r="CT298" s="249" t="s">
        <v>2088</v>
      </c>
      <c r="CX298" s="249" t="s">
        <v>2078</v>
      </c>
      <c r="DB298" s="249" t="s">
        <v>2078</v>
      </c>
    </row>
    <row r="299" spans="44:106" ht="15" customHeight="1" x14ac:dyDescent="0.2">
      <c r="AR299" s="252"/>
      <c r="AS299" s="252"/>
      <c r="AT299" s="249" t="s">
        <v>2078</v>
      </c>
      <c r="AU299" s="247"/>
      <c r="AX299" s="249" t="s">
        <v>2088</v>
      </c>
      <c r="BB299" s="249" t="s">
        <v>2078</v>
      </c>
      <c r="BF299" s="249" t="s">
        <v>2078</v>
      </c>
      <c r="BH299" s="252"/>
      <c r="BI299" s="252"/>
      <c r="BJ299" s="249" t="s">
        <v>2078</v>
      </c>
      <c r="BK299" s="247"/>
      <c r="BN299" s="249" t="s">
        <v>2088</v>
      </c>
      <c r="BR299" s="249" t="s">
        <v>2078</v>
      </c>
      <c r="BV299" s="249" t="s">
        <v>2078</v>
      </c>
      <c r="BX299" s="252"/>
      <c r="BY299" s="252"/>
      <c r="BZ299" s="249" t="s">
        <v>2078</v>
      </c>
      <c r="CA299" s="247"/>
      <c r="CD299" s="249" t="s">
        <v>2088</v>
      </c>
      <c r="CH299" s="249" t="s">
        <v>2078</v>
      </c>
      <c r="CL299" s="249" t="s">
        <v>2078</v>
      </c>
      <c r="CN299" s="252"/>
      <c r="CO299" s="252"/>
      <c r="CP299" s="249" t="s">
        <v>2078</v>
      </c>
      <c r="CQ299" s="247"/>
      <c r="CT299" s="249" t="s">
        <v>2088</v>
      </c>
      <c r="CX299" s="249" t="s">
        <v>2078</v>
      </c>
      <c r="DB299" s="249" t="s">
        <v>2078</v>
      </c>
    </row>
    <row r="300" spans="44:106" ht="15" customHeight="1" x14ac:dyDescent="0.2">
      <c r="AR300" s="252"/>
      <c r="AS300" s="252"/>
      <c r="AT300" s="249" t="s">
        <v>2078</v>
      </c>
      <c r="AU300" s="247"/>
      <c r="AX300" s="249" t="s">
        <v>2088</v>
      </c>
      <c r="BB300" s="249" t="s">
        <v>2078</v>
      </c>
      <c r="BF300" s="249" t="s">
        <v>2078</v>
      </c>
      <c r="BH300" s="252"/>
      <c r="BI300" s="252"/>
      <c r="BJ300" s="249" t="s">
        <v>2078</v>
      </c>
      <c r="BK300" s="247"/>
      <c r="BN300" s="249" t="s">
        <v>2088</v>
      </c>
      <c r="BR300" s="249" t="s">
        <v>2078</v>
      </c>
      <c r="BV300" s="249" t="s">
        <v>2078</v>
      </c>
      <c r="BX300" s="252"/>
      <c r="BY300" s="252"/>
      <c r="BZ300" s="249" t="s">
        <v>2078</v>
      </c>
      <c r="CA300" s="247"/>
      <c r="CD300" s="249" t="s">
        <v>2088</v>
      </c>
      <c r="CH300" s="249" t="s">
        <v>2078</v>
      </c>
      <c r="CL300" s="249" t="s">
        <v>2078</v>
      </c>
      <c r="CN300" s="252"/>
      <c r="CO300" s="252"/>
      <c r="CP300" s="249" t="s">
        <v>2078</v>
      </c>
      <c r="CQ300" s="247"/>
      <c r="CT300" s="249" t="s">
        <v>2088</v>
      </c>
      <c r="CX300" s="249" t="s">
        <v>2078</v>
      </c>
      <c r="DB300" s="249" t="s">
        <v>2078</v>
      </c>
    </row>
    <row r="301" spans="44:106" ht="15" customHeight="1" x14ac:dyDescent="0.2">
      <c r="AR301" s="252"/>
      <c r="AS301" s="252"/>
      <c r="AT301" s="249" t="s">
        <v>2078</v>
      </c>
      <c r="AU301" s="247"/>
      <c r="AX301" s="249" t="s">
        <v>2088</v>
      </c>
      <c r="BB301" s="249" t="s">
        <v>2078</v>
      </c>
      <c r="BF301" s="249" t="s">
        <v>2078</v>
      </c>
      <c r="BH301" s="252"/>
      <c r="BI301" s="252"/>
      <c r="BJ301" s="249" t="s">
        <v>2078</v>
      </c>
      <c r="BK301" s="247"/>
      <c r="BN301" s="249" t="s">
        <v>2088</v>
      </c>
      <c r="BR301" s="249" t="s">
        <v>2078</v>
      </c>
      <c r="BV301" s="249" t="s">
        <v>2078</v>
      </c>
      <c r="BX301" s="252"/>
      <c r="BY301" s="252"/>
      <c r="BZ301" s="249" t="s">
        <v>2078</v>
      </c>
      <c r="CA301" s="247"/>
      <c r="CD301" s="249" t="s">
        <v>2088</v>
      </c>
      <c r="CH301" s="249" t="s">
        <v>2078</v>
      </c>
      <c r="CL301" s="249" t="s">
        <v>2078</v>
      </c>
      <c r="CN301" s="252"/>
      <c r="CO301" s="252"/>
      <c r="CP301" s="249" t="s">
        <v>2078</v>
      </c>
      <c r="CQ301" s="247"/>
      <c r="CT301" s="249" t="s">
        <v>2088</v>
      </c>
      <c r="CX301" s="249" t="s">
        <v>2078</v>
      </c>
      <c r="DB301" s="249" t="s">
        <v>2078</v>
      </c>
    </row>
    <row r="302" spans="44:106" ht="15" customHeight="1" x14ac:dyDescent="0.2">
      <c r="AR302" s="252"/>
      <c r="AS302" s="252"/>
      <c r="AT302" s="249" t="s">
        <v>2078</v>
      </c>
      <c r="AU302" s="247"/>
      <c r="AX302" s="249" t="s">
        <v>2088</v>
      </c>
      <c r="BB302" s="249" t="s">
        <v>2078</v>
      </c>
      <c r="BF302" s="249" t="s">
        <v>2078</v>
      </c>
      <c r="BH302" s="252"/>
      <c r="BI302" s="252"/>
      <c r="BJ302" s="249" t="s">
        <v>2078</v>
      </c>
      <c r="BK302" s="247"/>
      <c r="BN302" s="249" t="s">
        <v>2088</v>
      </c>
      <c r="BR302" s="249" t="s">
        <v>2078</v>
      </c>
      <c r="BV302" s="249" t="s">
        <v>2078</v>
      </c>
      <c r="BX302" s="252"/>
      <c r="BY302" s="252"/>
      <c r="BZ302" s="249" t="s">
        <v>2078</v>
      </c>
      <c r="CA302" s="247"/>
      <c r="CD302" s="249" t="s">
        <v>2088</v>
      </c>
      <c r="CH302" s="249" t="s">
        <v>2078</v>
      </c>
      <c r="CL302" s="249" t="s">
        <v>2078</v>
      </c>
      <c r="CN302" s="252"/>
      <c r="CO302" s="252"/>
      <c r="CP302" s="249" t="s">
        <v>2078</v>
      </c>
      <c r="CQ302" s="247"/>
      <c r="CT302" s="249" t="s">
        <v>2088</v>
      </c>
      <c r="CX302" s="249" t="s">
        <v>2078</v>
      </c>
      <c r="DB302" s="249" t="s">
        <v>2078</v>
      </c>
    </row>
    <row r="303" spans="44:106" ht="15" customHeight="1" x14ac:dyDescent="0.2">
      <c r="AR303" s="252"/>
      <c r="AS303" s="252"/>
      <c r="AT303" s="249" t="s">
        <v>2078</v>
      </c>
      <c r="AU303" s="247"/>
      <c r="AX303" s="249" t="s">
        <v>2088</v>
      </c>
      <c r="BB303" s="249" t="s">
        <v>2078</v>
      </c>
      <c r="BF303" s="249" t="s">
        <v>2078</v>
      </c>
      <c r="BH303" s="252"/>
      <c r="BI303" s="252"/>
      <c r="BJ303" s="249" t="s">
        <v>2078</v>
      </c>
      <c r="BK303" s="247"/>
      <c r="BN303" s="249" t="s">
        <v>2088</v>
      </c>
      <c r="BR303" s="249" t="s">
        <v>2078</v>
      </c>
      <c r="BV303" s="249" t="s">
        <v>2078</v>
      </c>
      <c r="BX303" s="252"/>
      <c r="BY303" s="252"/>
      <c r="BZ303" s="249" t="s">
        <v>2078</v>
      </c>
      <c r="CA303" s="247"/>
      <c r="CD303" s="249" t="s">
        <v>2088</v>
      </c>
      <c r="CH303" s="249" t="s">
        <v>2078</v>
      </c>
      <c r="CL303" s="249" t="s">
        <v>2078</v>
      </c>
      <c r="CN303" s="252"/>
      <c r="CO303" s="252"/>
      <c r="CP303" s="249" t="s">
        <v>2078</v>
      </c>
      <c r="CQ303" s="247"/>
      <c r="CT303" s="249" t="s">
        <v>2088</v>
      </c>
      <c r="CX303" s="249" t="s">
        <v>2078</v>
      </c>
      <c r="DB303" s="249" t="s">
        <v>2078</v>
      </c>
    </row>
    <row r="304" spans="44:106" ht="15" customHeight="1" x14ac:dyDescent="0.2">
      <c r="AR304" s="252"/>
      <c r="AS304" s="252"/>
      <c r="AT304" s="249" t="s">
        <v>2078</v>
      </c>
      <c r="AU304" s="247"/>
      <c r="AX304" s="249" t="s">
        <v>2088</v>
      </c>
      <c r="BB304" s="249" t="s">
        <v>2078</v>
      </c>
      <c r="BF304" s="249" t="s">
        <v>2078</v>
      </c>
      <c r="BH304" s="252"/>
      <c r="BI304" s="252"/>
      <c r="BJ304" s="249" t="s">
        <v>2078</v>
      </c>
      <c r="BK304" s="247"/>
      <c r="BN304" s="249" t="s">
        <v>2088</v>
      </c>
      <c r="BR304" s="249" t="s">
        <v>2078</v>
      </c>
      <c r="BV304" s="249" t="s">
        <v>2078</v>
      </c>
      <c r="BX304" s="252"/>
      <c r="BY304" s="252"/>
      <c r="BZ304" s="249" t="s">
        <v>2078</v>
      </c>
      <c r="CA304" s="247"/>
      <c r="CD304" s="249" t="s">
        <v>2088</v>
      </c>
      <c r="CH304" s="249" t="s">
        <v>2078</v>
      </c>
      <c r="CL304" s="249" t="s">
        <v>2078</v>
      </c>
      <c r="CN304" s="252"/>
      <c r="CO304" s="252"/>
      <c r="CP304" s="249" t="s">
        <v>2078</v>
      </c>
      <c r="CQ304" s="247"/>
      <c r="CT304" s="249" t="s">
        <v>2088</v>
      </c>
      <c r="CX304" s="249" t="s">
        <v>2078</v>
      </c>
      <c r="DB304" s="249" t="s">
        <v>2078</v>
      </c>
    </row>
    <row r="305" spans="44:106" ht="15" customHeight="1" x14ac:dyDescent="0.2">
      <c r="AR305" s="252"/>
      <c r="AS305" s="252"/>
      <c r="AT305" s="249" t="s">
        <v>2078</v>
      </c>
      <c r="AU305" s="247"/>
      <c r="AX305" s="249" t="s">
        <v>2088</v>
      </c>
      <c r="BB305" s="249" t="s">
        <v>2078</v>
      </c>
      <c r="BF305" s="249" t="s">
        <v>2078</v>
      </c>
      <c r="BH305" s="252"/>
      <c r="BI305" s="252"/>
      <c r="BJ305" s="249" t="s">
        <v>2078</v>
      </c>
      <c r="BK305" s="247"/>
      <c r="BN305" s="249" t="s">
        <v>2088</v>
      </c>
      <c r="BR305" s="249" t="s">
        <v>2078</v>
      </c>
      <c r="BV305" s="249" t="s">
        <v>2078</v>
      </c>
      <c r="BX305" s="252"/>
      <c r="BY305" s="252"/>
      <c r="BZ305" s="249" t="s">
        <v>2078</v>
      </c>
      <c r="CA305" s="247"/>
      <c r="CD305" s="249" t="s">
        <v>2088</v>
      </c>
      <c r="CH305" s="249" t="s">
        <v>2078</v>
      </c>
      <c r="CL305" s="249" t="s">
        <v>2078</v>
      </c>
      <c r="CN305" s="252"/>
      <c r="CO305" s="252"/>
      <c r="CP305" s="249" t="s">
        <v>2078</v>
      </c>
      <c r="CQ305" s="247"/>
      <c r="CT305" s="249" t="s">
        <v>2088</v>
      </c>
      <c r="CX305" s="249" t="s">
        <v>2078</v>
      </c>
      <c r="DB305" s="249" t="s">
        <v>2078</v>
      </c>
    </row>
    <row r="306" spans="44:106" ht="15" customHeight="1" x14ac:dyDescent="0.2">
      <c r="AR306" s="252"/>
      <c r="AS306" s="252"/>
      <c r="AT306" s="249" t="s">
        <v>2078</v>
      </c>
      <c r="AU306" s="247"/>
      <c r="AX306" s="249" t="s">
        <v>2088</v>
      </c>
      <c r="BB306" s="249" t="s">
        <v>2078</v>
      </c>
      <c r="BF306" s="249" t="s">
        <v>2078</v>
      </c>
      <c r="BH306" s="252"/>
      <c r="BI306" s="252"/>
      <c r="BJ306" s="249" t="s">
        <v>2078</v>
      </c>
      <c r="BK306" s="247"/>
      <c r="BN306" s="249" t="s">
        <v>2088</v>
      </c>
      <c r="BR306" s="249" t="s">
        <v>2078</v>
      </c>
      <c r="BV306" s="249" t="s">
        <v>2078</v>
      </c>
      <c r="BX306" s="252"/>
      <c r="BY306" s="252"/>
      <c r="BZ306" s="249" t="s">
        <v>2078</v>
      </c>
      <c r="CA306" s="247"/>
      <c r="CD306" s="249" t="s">
        <v>2088</v>
      </c>
      <c r="CH306" s="249" t="s">
        <v>2078</v>
      </c>
      <c r="CL306" s="249" t="s">
        <v>2078</v>
      </c>
      <c r="CN306" s="252"/>
      <c r="CO306" s="252"/>
      <c r="CP306" s="249" t="s">
        <v>2078</v>
      </c>
      <c r="CQ306" s="247"/>
      <c r="CT306" s="249" t="s">
        <v>2088</v>
      </c>
      <c r="CX306" s="249" t="s">
        <v>2078</v>
      </c>
      <c r="DB306" s="249" t="s">
        <v>2078</v>
      </c>
    </row>
    <row r="307" spans="44:106" ht="15" customHeight="1" x14ac:dyDescent="0.2">
      <c r="AR307" s="252"/>
      <c r="AS307" s="252"/>
      <c r="AT307" s="249" t="s">
        <v>2078</v>
      </c>
      <c r="AU307" s="247"/>
      <c r="AX307" s="249" t="s">
        <v>2088</v>
      </c>
      <c r="BB307" s="249" t="s">
        <v>2078</v>
      </c>
      <c r="BF307" s="249" t="s">
        <v>2078</v>
      </c>
      <c r="BH307" s="252"/>
      <c r="BI307" s="252"/>
      <c r="BJ307" s="249" t="s">
        <v>2078</v>
      </c>
      <c r="BK307" s="247"/>
      <c r="BN307" s="249" t="s">
        <v>2088</v>
      </c>
      <c r="BR307" s="249" t="s">
        <v>2078</v>
      </c>
      <c r="BV307" s="249" t="s">
        <v>2078</v>
      </c>
      <c r="BX307" s="252"/>
      <c r="BY307" s="252"/>
      <c r="BZ307" s="249" t="s">
        <v>2078</v>
      </c>
      <c r="CA307" s="247"/>
      <c r="CD307" s="249" t="s">
        <v>2088</v>
      </c>
      <c r="CH307" s="249" t="s">
        <v>2078</v>
      </c>
      <c r="CL307" s="249" t="s">
        <v>2078</v>
      </c>
      <c r="CN307" s="252"/>
      <c r="CO307" s="252"/>
      <c r="CP307" s="249" t="s">
        <v>2078</v>
      </c>
      <c r="CQ307" s="247"/>
      <c r="CT307" s="249" t="s">
        <v>2088</v>
      </c>
      <c r="CX307" s="249" t="s">
        <v>2078</v>
      </c>
      <c r="DB307" s="249" t="s">
        <v>2078</v>
      </c>
    </row>
    <row r="308" spans="44:106" ht="15" customHeight="1" x14ac:dyDescent="0.2">
      <c r="AR308" s="252"/>
      <c r="AS308" s="252"/>
      <c r="AT308" s="249" t="s">
        <v>2078</v>
      </c>
      <c r="AU308" s="247"/>
      <c r="AX308" s="249" t="s">
        <v>2088</v>
      </c>
      <c r="BB308" s="249" t="s">
        <v>2078</v>
      </c>
      <c r="BF308" s="249" t="s">
        <v>2078</v>
      </c>
      <c r="BH308" s="252"/>
      <c r="BI308" s="252"/>
      <c r="BJ308" s="249" t="s">
        <v>2078</v>
      </c>
      <c r="BK308" s="247"/>
      <c r="BN308" s="249" t="s">
        <v>2088</v>
      </c>
      <c r="BR308" s="249" t="s">
        <v>2078</v>
      </c>
      <c r="BV308" s="249" t="s">
        <v>2078</v>
      </c>
      <c r="BX308" s="252"/>
      <c r="BY308" s="252"/>
      <c r="BZ308" s="249" t="s">
        <v>2078</v>
      </c>
      <c r="CA308" s="247"/>
      <c r="CD308" s="249" t="s">
        <v>2088</v>
      </c>
      <c r="CH308" s="249" t="s">
        <v>2078</v>
      </c>
      <c r="CL308" s="249" t="s">
        <v>2078</v>
      </c>
      <c r="CN308" s="252"/>
      <c r="CO308" s="252"/>
      <c r="CP308" s="249" t="s">
        <v>2078</v>
      </c>
      <c r="CQ308" s="247"/>
      <c r="CT308" s="249" t="s">
        <v>2088</v>
      </c>
      <c r="CX308" s="249" t="s">
        <v>2078</v>
      </c>
      <c r="DB308" s="249" t="s">
        <v>2078</v>
      </c>
    </row>
    <row r="309" spans="44:106" ht="15" customHeight="1" x14ac:dyDescent="0.2">
      <c r="AR309" s="252"/>
      <c r="AS309" s="252"/>
      <c r="AT309" s="249" t="s">
        <v>2078</v>
      </c>
      <c r="AU309" s="247"/>
      <c r="AX309" s="249" t="s">
        <v>2088</v>
      </c>
      <c r="BB309" s="249" t="s">
        <v>2078</v>
      </c>
      <c r="BF309" s="249" t="s">
        <v>2078</v>
      </c>
      <c r="BH309" s="252"/>
      <c r="BI309" s="252"/>
      <c r="BJ309" s="249" t="s">
        <v>2078</v>
      </c>
      <c r="BK309" s="247"/>
      <c r="BN309" s="249" t="s">
        <v>2088</v>
      </c>
      <c r="BR309" s="249" t="s">
        <v>2078</v>
      </c>
      <c r="BV309" s="249" t="s">
        <v>2078</v>
      </c>
      <c r="BX309" s="252"/>
      <c r="BY309" s="252"/>
      <c r="BZ309" s="249" t="s">
        <v>2078</v>
      </c>
      <c r="CA309" s="247"/>
      <c r="CD309" s="249" t="s">
        <v>2088</v>
      </c>
      <c r="CH309" s="249" t="s">
        <v>2078</v>
      </c>
      <c r="CL309" s="249" t="s">
        <v>2078</v>
      </c>
      <c r="CN309" s="252"/>
      <c r="CO309" s="252"/>
      <c r="CP309" s="249" t="s">
        <v>2078</v>
      </c>
      <c r="CQ309" s="247"/>
      <c r="CT309" s="249" t="s">
        <v>2088</v>
      </c>
      <c r="CX309" s="249" t="s">
        <v>2078</v>
      </c>
      <c r="DB309" s="249" t="s">
        <v>2078</v>
      </c>
    </row>
    <row r="310" spans="44:106" ht="15" customHeight="1" x14ac:dyDescent="0.2">
      <c r="AR310" s="252"/>
      <c r="AS310" s="252"/>
      <c r="AT310" s="249" t="s">
        <v>2078</v>
      </c>
      <c r="AU310" s="247"/>
      <c r="AX310" s="249" t="s">
        <v>2088</v>
      </c>
      <c r="BB310" s="249" t="s">
        <v>2078</v>
      </c>
      <c r="BF310" s="249" t="s">
        <v>2078</v>
      </c>
      <c r="BH310" s="252"/>
      <c r="BI310" s="252"/>
      <c r="BJ310" s="249" t="s">
        <v>2078</v>
      </c>
      <c r="BK310" s="247"/>
      <c r="BN310" s="249" t="s">
        <v>2088</v>
      </c>
      <c r="BR310" s="249" t="s">
        <v>2078</v>
      </c>
      <c r="BV310" s="249" t="s">
        <v>2078</v>
      </c>
      <c r="BX310" s="252"/>
      <c r="BY310" s="252"/>
      <c r="BZ310" s="249" t="s">
        <v>2078</v>
      </c>
      <c r="CA310" s="247"/>
      <c r="CD310" s="249" t="s">
        <v>2088</v>
      </c>
      <c r="CH310" s="249" t="s">
        <v>2078</v>
      </c>
      <c r="CL310" s="249" t="s">
        <v>2078</v>
      </c>
      <c r="CN310" s="252"/>
      <c r="CO310" s="252"/>
      <c r="CP310" s="249" t="s">
        <v>2078</v>
      </c>
      <c r="CQ310" s="247"/>
      <c r="CT310" s="249" t="s">
        <v>2088</v>
      </c>
      <c r="CX310" s="249" t="s">
        <v>2078</v>
      </c>
      <c r="DB310" s="249" t="s">
        <v>2078</v>
      </c>
    </row>
    <row r="311" spans="44:106" ht="15" customHeight="1" x14ac:dyDescent="0.2">
      <c r="AR311" s="252"/>
      <c r="AS311" s="252"/>
      <c r="AT311" s="249" t="s">
        <v>2078</v>
      </c>
      <c r="AU311" s="247"/>
      <c r="AX311" s="249" t="s">
        <v>2088</v>
      </c>
      <c r="BB311" s="249" t="s">
        <v>2078</v>
      </c>
      <c r="BF311" s="249" t="s">
        <v>2078</v>
      </c>
      <c r="BH311" s="252"/>
      <c r="BI311" s="252"/>
      <c r="BJ311" s="249" t="s">
        <v>2078</v>
      </c>
      <c r="BK311" s="247"/>
      <c r="BN311" s="249" t="s">
        <v>2088</v>
      </c>
      <c r="BR311" s="249" t="s">
        <v>2078</v>
      </c>
      <c r="BV311" s="249" t="s">
        <v>2078</v>
      </c>
      <c r="BX311" s="252"/>
      <c r="BY311" s="252"/>
      <c r="BZ311" s="249" t="s">
        <v>2078</v>
      </c>
      <c r="CA311" s="247"/>
      <c r="CD311" s="249" t="s">
        <v>2088</v>
      </c>
      <c r="CH311" s="249" t="s">
        <v>2078</v>
      </c>
      <c r="CL311" s="249" t="s">
        <v>2078</v>
      </c>
      <c r="CN311" s="252"/>
      <c r="CO311" s="252"/>
      <c r="CP311" s="249" t="s">
        <v>2078</v>
      </c>
      <c r="CQ311" s="247"/>
      <c r="CT311" s="249" t="s">
        <v>2088</v>
      </c>
      <c r="CX311" s="249" t="s">
        <v>2078</v>
      </c>
      <c r="DB311" s="249" t="s">
        <v>2078</v>
      </c>
    </row>
    <row r="312" spans="44:106" ht="15" customHeight="1" x14ac:dyDescent="0.2">
      <c r="AR312" s="252"/>
      <c r="AS312" s="252"/>
      <c r="AT312" s="249" t="s">
        <v>2078</v>
      </c>
      <c r="AU312" s="247"/>
      <c r="AX312" s="249" t="s">
        <v>2088</v>
      </c>
      <c r="BB312" s="249" t="s">
        <v>2078</v>
      </c>
      <c r="BF312" s="249" t="s">
        <v>2078</v>
      </c>
      <c r="BH312" s="252"/>
      <c r="BI312" s="252"/>
      <c r="BJ312" s="249" t="s">
        <v>2078</v>
      </c>
      <c r="BK312" s="247"/>
      <c r="BN312" s="249" t="s">
        <v>2088</v>
      </c>
      <c r="BR312" s="249" t="s">
        <v>2078</v>
      </c>
      <c r="BV312" s="249" t="s">
        <v>2078</v>
      </c>
      <c r="BX312" s="252"/>
      <c r="BY312" s="252"/>
      <c r="BZ312" s="249" t="s">
        <v>2078</v>
      </c>
      <c r="CA312" s="247"/>
      <c r="CD312" s="249" t="s">
        <v>2088</v>
      </c>
      <c r="CH312" s="249" t="s">
        <v>2078</v>
      </c>
      <c r="CL312" s="249" t="s">
        <v>2078</v>
      </c>
      <c r="CN312" s="252"/>
      <c r="CO312" s="252"/>
      <c r="CP312" s="249" t="s">
        <v>2078</v>
      </c>
      <c r="CQ312" s="247"/>
      <c r="CT312" s="249" t="s">
        <v>2088</v>
      </c>
      <c r="CX312" s="249" t="s">
        <v>2078</v>
      </c>
      <c r="DB312" s="249" t="s">
        <v>2078</v>
      </c>
    </row>
    <row r="313" spans="44:106" ht="15" customHeight="1" x14ac:dyDescent="0.2">
      <c r="AR313" s="252"/>
      <c r="AS313" s="252"/>
      <c r="AT313" s="249" t="s">
        <v>2078</v>
      </c>
      <c r="AU313" s="247"/>
      <c r="AX313" s="249" t="s">
        <v>2088</v>
      </c>
      <c r="BB313" s="249" t="s">
        <v>2078</v>
      </c>
      <c r="BF313" s="249" t="s">
        <v>2078</v>
      </c>
      <c r="BH313" s="252"/>
      <c r="BI313" s="252"/>
      <c r="BJ313" s="249" t="s">
        <v>2078</v>
      </c>
      <c r="BK313" s="247"/>
      <c r="BN313" s="249" t="s">
        <v>2088</v>
      </c>
      <c r="BR313" s="249" t="s">
        <v>2078</v>
      </c>
      <c r="BV313" s="249" t="s">
        <v>2078</v>
      </c>
      <c r="BX313" s="252"/>
      <c r="BY313" s="252"/>
      <c r="BZ313" s="249" t="s">
        <v>2078</v>
      </c>
      <c r="CA313" s="247"/>
      <c r="CD313" s="249" t="s">
        <v>2088</v>
      </c>
      <c r="CH313" s="249" t="s">
        <v>2078</v>
      </c>
      <c r="CL313" s="249" t="s">
        <v>2078</v>
      </c>
      <c r="CN313" s="252"/>
      <c r="CO313" s="252"/>
      <c r="CP313" s="249" t="s">
        <v>2078</v>
      </c>
      <c r="CQ313" s="247"/>
      <c r="CT313" s="249" t="s">
        <v>2088</v>
      </c>
      <c r="CX313" s="249" t="s">
        <v>2078</v>
      </c>
      <c r="DB313" s="249" t="s">
        <v>2078</v>
      </c>
    </row>
    <row r="314" spans="44:106" ht="15" customHeight="1" x14ac:dyDescent="0.2">
      <c r="AR314" s="252"/>
      <c r="AS314" s="252"/>
      <c r="AT314" s="249" t="s">
        <v>2078</v>
      </c>
      <c r="AU314" s="247"/>
      <c r="AX314" s="249" t="s">
        <v>2088</v>
      </c>
      <c r="BB314" s="249" t="s">
        <v>2078</v>
      </c>
      <c r="BF314" s="249" t="s">
        <v>2078</v>
      </c>
      <c r="BH314" s="252"/>
      <c r="BI314" s="252"/>
      <c r="BJ314" s="249" t="s">
        <v>2078</v>
      </c>
      <c r="BK314" s="247"/>
      <c r="BN314" s="249" t="s">
        <v>2088</v>
      </c>
      <c r="BR314" s="249" t="s">
        <v>2078</v>
      </c>
      <c r="BV314" s="249" t="s">
        <v>2078</v>
      </c>
      <c r="BX314" s="252"/>
      <c r="BY314" s="252"/>
      <c r="BZ314" s="249" t="s">
        <v>2078</v>
      </c>
      <c r="CA314" s="247"/>
      <c r="CD314" s="249" t="s">
        <v>2088</v>
      </c>
      <c r="CH314" s="249" t="s">
        <v>2078</v>
      </c>
      <c r="CL314" s="249" t="s">
        <v>2078</v>
      </c>
      <c r="CN314" s="252"/>
      <c r="CO314" s="252"/>
      <c r="CP314" s="249" t="s">
        <v>2078</v>
      </c>
      <c r="CQ314" s="247"/>
      <c r="CT314" s="249" t="s">
        <v>2088</v>
      </c>
      <c r="CX314" s="249" t="s">
        <v>2078</v>
      </c>
      <c r="DB314" s="249" t="s">
        <v>2078</v>
      </c>
    </row>
    <row r="315" spans="44:106" ht="15" customHeight="1" x14ac:dyDescent="0.2">
      <c r="AR315" s="252"/>
      <c r="AS315" s="252"/>
      <c r="AT315" s="249" t="s">
        <v>2078</v>
      </c>
      <c r="AU315" s="247"/>
      <c r="AX315" s="249" t="s">
        <v>2088</v>
      </c>
      <c r="BB315" s="249" t="s">
        <v>2078</v>
      </c>
      <c r="BF315" s="249" t="s">
        <v>2078</v>
      </c>
      <c r="BH315" s="252"/>
      <c r="BI315" s="252"/>
      <c r="BJ315" s="249" t="s">
        <v>2078</v>
      </c>
      <c r="BK315" s="247"/>
      <c r="BN315" s="249" t="s">
        <v>2088</v>
      </c>
      <c r="BR315" s="249" t="s">
        <v>2078</v>
      </c>
      <c r="BV315" s="249" t="s">
        <v>2078</v>
      </c>
      <c r="BX315" s="252"/>
      <c r="BY315" s="252"/>
      <c r="BZ315" s="249" t="s">
        <v>2078</v>
      </c>
      <c r="CA315" s="247"/>
      <c r="CD315" s="249" t="s">
        <v>2088</v>
      </c>
      <c r="CH315" s="249" t="s">
        <v>2078</v>
      </c>
      <c r="CL315" s="249" t="s">
        <v>2078</v>
      </c>
      <c r="CN315" s="252"/>
      <c r="CO315" s="252"/>
      <c r="CP315" s="249" t="s">
        <v>2078</v>
      </c>
      <c r="CQ315" s="247"/>
      <c r="CT315" s="249" t="s">
        <v>2088</v>
      </c>
      <c r="CX315" s="249" t="s">
        <v>2078</v>
      </c>
      <c r="DB315" s="249" t="s">
        <v>2078</v>
      </c>
    </row>
    <row r="316" spans="44:106" ht="15" customHeight="1" x14ac:dyDescent="0.2">
      <c r="AR316" s="252"/>
      <c r="AS316" s="252"/>
      <c r="AT316" s="249" t="s">
        <v>2078</v>
      </c>
      <c r="AU316" s="247"/>
      <c r="AX316" s="249" t="s">
        <v>2088</v>
      </c>
      <c r="BB316" s="249" t="s">
        <v>2078</v>
      </c>
      <c r="BF316" s="249" t="s">
        <v>2078</v>
      </c>
      <c r="BH316" s="252"/>
      <c r="BI316" s="252"/>
      <c r="BJ316" s="249" t="s">
        <v>2078</v>
      </c>
      <c r="BK316" s="247"/>
      <c r="BN316" s="249" t="s">
        <v>2088</v>
      </c>
      <c r="BR316" s="249" t="s">
        <v>2078</v>
      </c>
      <c r="BV316" s="249" t="s">
        <v>2078</v>
      </c>
      <c r="BX316" s="252"/>
      <c r="BY316" s="252"/>
      <c r="BZ316" s="249" t="s">
        <v>2078</v>
      </c>
      <c r="CA316" s="247"/>
      <c r="CD316" s="249" t="s">
        <v>2088</v>
      </c>
      <c r="CH316" s="249" t="s">
        <v>2078</v>
      </c>
      <c r="CL316" s="249" t="s">
        <v>2078</v>
      </c>
      <c r="CN316" s="252"/>
      <c r="CO316" s="252"/>
      <c r="CP316" s="249" t="s">
        <v>2078</v>
      </c>
      <c r="CQ316" s="247"/>
      <c r="CT316" s="249" t="s">
        <v>2088</v>
      </c>
      <c r="CX316" s="249" t="s">
        <v>2078</v>
      </c>
      <c r="DB316" s="249" t="s">
        <v>2078</v>
      </c>
    </row>
    <row r="317" spans="44:106" ht="15" customHeight="1" x14ac:dyDescent="0.2">
      <c r="AR317" s="252"/>
      <c r="AS317" s="252"/>
      <c r="AT317" s="249" t="s">
        <v>2078</v>
      </c>
      <c r="AU317" s="247"/>
      <c r="AX317" s="249" t="s">
        <v>2088</v>
      </c>
      <c r="BB317" s="249" t="s">
        <v>2078</v>
      </c>
      <c r="BF317" s="249" t="s">
        <v>2078</v>
      </c>
      <c r="BH317" s="252"/>
      <c r="BI317" s="252"/>
      <c r="BJ317" s="249" t="s">
        <v>2078</v>
      </c>
      <c r="BK317" s="247"/>
      <c r="BN317" s="249" t="s">
        <v>2088</v>
      </c>
      <c r="BR317" s="249" t="s">
        <v>2078</v>
      </c>
      <c r="BV317" s="249" t="s">
        <v>2078</v>
      </c>
      <c r="BX317" s="252"/>
      <c r="BY317" s="252"/>
      <c r="BZ317" s="249" t="s">
        <v>2078</v>
      </c>
      <c r="CA317" s="247"/>
      <c r="CD317" s="249" t="s">
        <v>2088</v>
      </c>
      <c r="CH317" s="249" t="s">
        <v>2078</v>
      </c>
      <c r="CL317" s="249" t="s">
        <v>2078</v>
      </c>
      <c r="CN317" s="252"/>
      <c r="CO317" s="252"/>
      <c r="CP317" s="249" t="s">
        <v>2078</v>
      </c>
      <c r="CQ317" s="247"/>
      <c r="CT317" s="249" t="s">
        <v>2088</v>
      </c>
      <c r="CX317" s="249" t="s">
        <v>2078</v>
      </c>
      <c r="DB317" s="249" t="s">
        <v>2078</v>
      </c>
    </row>
    <row r="318" spans="44:106" ht="15" customHeight="1" x14ac:dyDescent="0.2">
      <c r="AR318" s="252"/>
      <c r="AS318" s="252"/>
      <c r="AT318" s="249" t="s">
        <v>2078</v>
      </c>
      <c r="AU318" s="247"/>
      <c r="AX318" s="249" t="s">
        <v>2088</v>
      </c>
      <c r="BB318" s="249" t="s">
        <v>2078</v>
      </c>
      <c r="BF318" s="249" t="s">
        <v>2078</v>
      </c>
      <c r="BH318" s="252"/>
      <c r="BI318" s="252"/>
      <c r="BJ318" s="249" t="s">
        <v>2078</v>
      </c>
      <c r="BK318" s="247"/>
      <c r="BN318" s="249" t="s">
        <v>2088</v>
      </c>
      <c r="BR318" s="249" t="s">
        <v>2078</v>
      </c>
      <c r="BV318" s="249" t="s">
        <v>2078</v>
      </c>
      <c r="BX318" s="252"/>
      <c r="BY318" s="252"/>
      <c r="BZ318" s="249" t="s">
        <v>2078</v>
      </c>
      <c r="CA318" s="247"/>
      <c r="CD318" s="249" t="s">
        <v>2088</v>
      </c>
      <c r="CH318" s="249" t="s">
        <v>2078</v>
      </c>
      <c r="CL318" s="249" t="s">
        <v>2078</v>
      </c>
      <c r="CN318" s="252"/>
      <c r="CO318" s="252"/>
      <c r="CP318" s="249" t="s">
        <v>2078</v>
      </c>
      <c r="CQ318" s="247"/>
      <c r="CT318" s="249" t="s">
        <v>2088</v>
      </c>
      <c r="CX318" s="249" t="s">
        <v>2078</v>
      </c>
      <c r="DB318" s="249" t="s">
        <v>2078</v>
      </c>
    </row>
    <row r="319" spans="44:106" ht="15" customHeight="1" x14ac:dyDescent="0.2">
      <c r="AR319" s="252"/>
      <c r="AS319" s="252"/>
      <c r="AT319" s="249" t="s">
        <v>2078</v>
      </c>
      <c r="AU319" s="247"/>
      <c r="AX319" s="249" t="s">
        <v>2088</v>
      </c>
      <c r="BB319" s="249" t="s">
        <v>2078</v>
      </c>
      <c r="BF319" s="249" t="s">
        <v>2078</v>
      </c>
      <c r="BH319" s="252"/>
      <c r="BI319" s="252"/>
      <c r="BJ319" s="249" t="s">
        <v>2078</v>
      </c>
      <c r="BK319" s="247"/>
      <c r="BN319" s="249" t="s">
        <v>2088</v>
      </c>
      <c r="BR319" s="249" t="s">
        <v>2078</v>
      </c>
      <c r="BV319" s="249" t="s">
        <v>2078</v>
      </c>
      <c r="BX319" s="252"/>
      <c r="BY319" s="252"/>
      <c r="BZ319" s="249" t="s">
        <v>2078</v>
      </c>
      <c r="CA319" s="247"/>
      <c r="CD319" s="249" t="s">
        <v>2088</v>
      </c>
      <c r="CH319" s="249" t="s">
        <v>2078</v>
      </c>
      <c r="CL319" s="249" t="s">
        <v>2078</v>
      </c>
      <c r="CN319" s="252"/>
      <c r="CO319" s="252"/>
      <c r="CP319" s="249" t="s">
        <v>2078</v>
      </c>
      <c r="CQ319" s="247"/>
      <c r="CT319" s="249" t="s">
        <v>2088</v>
      </c>
      <c r="CX319" s="249" t="s">
        <v>2078</v>
      </c>
      <c r="DB319" s="249" t="s">
        <v>2078</v>
      </c>
    </row>
    <row r="320" spans="44:106" ht="15" customHeight="1" x14ac:dyDescent="0.2">
      <c r="AR320" s="252"/>
      <c r="AS320" s="252"/>
      <c r="AT320" s="249" t="s">
        <v>2078</v>
      </c>
      <c r="AU320" s="247"/>
      <c r="AX320" s="249" t="s">
        <v>2088</v>
      </c>
      <c r="BB320" s="249" t="s">
        <v>2078</v>
      </c>
      <c r="BF320" s="249" t="s">
        <v>2078</v>
      </c>
      <c r="BH320" s="252"/>
      <c r="BI320" s="252"/>
      <c r="BJ320" s="249" t="s">
        <v>2078</v>
      </c>
      <c r="BK320" s="247"/>
      <c r="BN320" s="249" t="s">
        <v>2088</v>
      </c>
      <c r="BR320" s="249" t="s">
        <v>2078</v>
      </c>
      <c r="BV320" s="249" t="s">
        <v>2078</v>
      </c>
      <c r="BX320" s="252"/>
      <c r="BY320" s="252"/>
      <c r="BZ320" s="249" t="s">
        <v>2078</v>
      </c>
      <c r="CA320" s="247"/>
      <c r="CD320" s="249" t="s">
        <v>2088</v>
      </c>
      <c r="CH320" s="249" t="s">
        <v>2078</v>
      </c>
      <c r="CL320" s="249" t="s">
        <v>2078</v>
      </c>
      <c r="CN320" s="252"/>
      <c r="CO320" s="252"/>
      <c r="CP320" s="249" t="s">
        <v>2078</v>
      </c>
      <c r="CQ320" s="247"/>
      <c r="CT320" s="249" t="s">
        <v>2088</v>
      </c>
      <c r="CX320" s="249" t="s">
        <v>2078</v>
      </c>
      <c r="DB320" s="249" t="s">
        <v>2078</v>
      </c>
    </row>
    <row r="321" spans="44:106" ht="15" customHeight="1" x14ac:dyDescent="0.2">
      <c r="AR321" s="252"/>
      <c r="AS321" s="252"/>
      <c r="AT321" s="249" t="s">
        <v>2078</v>
      </c>
      <c r="AU321" s="247"/>
      <c r="AX321" s="249" t="s">
        <v>2088</v>
      </c>
      <c r="BB321" s="249" t="s">
        <v>2078</v>
      </c>
      <c r="BF321" s="249" t="s">
        <v>2078</v>
      </c>
      <c r="BH321" s="252"/>
      <c r="BI321" s="252"/>
      <c r="BJ321" s="249" t="s">
        <v>2078</v>
      </c>
      <c r="BK321" s="247"/>
      <c r="BN321" s="249" t="s">
        <v>2088</v>
      </c>
      <c r="BR321" s="249" t="s">
        <v>2078</v>
      </c>
      <c r="BV321" s="249" t="s">
        <v>2078</v>
      </c>
      <c r="BX321" s="252"/>
      <c r="BY321" s="252"/>
      <c r="BZ321" s="249" t="s">
        <v>2078</v>
      </c>
      <c r="CA321" s="247"/>
      <c r="CD321" s="249" t="s">
        <v>2088</v>
      </c>
      <c r="CH321" s="249" t="s">
        <v>2078</v>
      </c>
      <c r="CL321" s="249" t="s">
        <v>2078</v>
      </c>
      <c r="CN321" s="252"/>
      <c r="CO321" s="252"/>
      <c r="CP321" s="249" t="s">
        <v>2078</v>
      </c>
      <c r="CQ321" s="247"/>
      <c r="CT321" s="249" t="s">
        <v>2088</v>
      </c>
      <c r="CX321" s="249" t="s">
        <v>2078</v>
      </c>
      <c r="DB321" s="249" t="s">
        <v>2078</v>
      </c>
    </row>
    <row r="322" spans="44:106" ht="15" customHeight="1" x14ac:dyDescent="0.2">
      <c r="AR322" s="252"/>
      <c r="AS322" s="252"/>
      <c r="AT322" s="249" t="s">
        <v>2078</v>
      </c>
      <c r="AU322" s="247"/>
      <c r="AX322" s="249" t="s">
        <v>2088</v>
      </c>
      <c r="BB322" s="249" t="s">
        <v>2078</v>
      </c>
      <c r="BF322" s="249" t="s">
        <v>2078</v>
      </c>
      <c r="BH322" s="252"/>
      <c r="BI322" s="252"/>
      <c r="BJ322" s="249" t="s">
        <v>2078</v>
      </c>
      <c r="BK322" s="247"/>
      <c r="BN322" s="249" t="s">
        <v>2088</v>
      </c>
      <c r="BR322" s="249" t="s">
        <v>2078</v>
      </c>
      <c r="BV322" s="249" t="s">
        <v>2078</v>
      </c>
      <c r="BX322" s="252"/>
      <c r="BY322" s="252"/>
      <c r="BZ322" s="249" t="s">
        <v>2078</v>
      </c>
      <c r="CA322" s="247"/>
      <c r="CD322" s="249" t="s">
        <v>2088</v>
      </c>
      <c r="CH322" s="249" t="s">
        <v>2078</v>
      </c>
      <c r="CL322" s="249" t="s">
        <v>2078</v>
      </c>
      <c r="CN322" s="252"/>
      <c r="CO322" s="252"/>
      <c r="CP322" s="249" t="s">
        <v>2078</v>
      </c>
      <c r="CQ322" s="247"/>
      <c r="CT322" s="249" t="s">
        <v>2088</v>
      </c>
      <c r="CX322" s="249" t="s">
        <v>2078</v>
      </c>
      <c r="DB322" s="249" t="s">
        <v>2078</v>
      </c>
    </row>
    <row r="323" spans="44:106" ht="15" customHeight="1" x14ac:dyDescent="0.2">
      <c r="AR323" s="252"/>
      <c r="AS323" s="252"/>
      <c r="AT323" s="249" t="s">
        <v>2078</v>
      </c>
      <c r="AU323" s="247"/>
      <c r="AX323" s="249" t="s">
        <v>2088</v>
      </c>
      <c r="BB323" s="249" t="s">
        <v>2078</v>
      </c>
      <c r="BF323" s="249" t="s">
        <v>2078</v>
      </c>
      <c r="BH323" s="252"/>
      <c r="BI323" s="252"/>
      <c r="BJ323" s="249" t="s">
        <v>2078</v>
      </c>
      <c r="BK323" s="247"/>
      <c r="BN323" s="249" t="s">
        <v>2088</v>
      </c>
      <c r="BR323" s="249" t="s">
        <v>2078</v>
      </c>
      <c r="BV323" s="249" t="s">
        <v>2078</v>
      </c>
      <c r="BX323" s="252"/>
      <c r="BY323" s="252"/>
      <c r="BZ323" s="249" t="s">
        <v>2078</v>
      </c>
      <c r="CA323" s="247"/>
      <c r="CD323" s="249" t="s">
        <v>2088</v>
      </c>
      <c r="CH323" s="249" t="s">
        <v>2078</v>
      </c>
      <c r="CL323" s="249" t="s">
        <v>2078</v>
      </c>
      <c r="CN323" s="252"/>
      <c r="CO323" s="252"/>
      <c r="CP323" s="249" t="s">
        <v>2078</v>
      </c>
      <c r="CQ323" s="247"/>
      <c r="CT323" s="249" t="s">
        <v>2088</v>
      </c>
      <c r="CX323" s="249" t="s">
        <v>2078</v>
      </c>
      <c r="DB323" s="249" t="s">
        <v>2078</v>
      </c>
    </row>
    <row r="324" spans="44:106" ht="15" customHeight="1" x14ac:dyDescent="0.2">
      <c r="AR324" s="252"/>
      <c r="AS324" s="252"/>
      <c r="AT324" s="249" t="s">
        <v>2078</v>
      </c>
      <c r="AU324" s="247"/>
      <c r="AX324" s="249" t="s">
        <v>2088</v>
      </c>
      <c r="BB324" s="249" t="s">
        <v>2078</v>
      </c>
      <c r="BF324" s="249" t="s">
        <v>2078</v>
      </c>
      <c r="BH324" s="252"/>
      <c r="BI324" s="252"/>
      <c r="BJ324" s="249" t="s">
        <v>2078</v>
      </c>
      <c r="BK324" s="247"/>
      <c r="BN324" s="249" t="s">
        <v>2088</v>
      </c>
      <c r="BR324" s="249" t="s">
        <v>2078</v>
      </c>
      <c r="BV324" s="249" t="s">
        <v>2078</v>
      </c>
      <c r="BX324" s="252"/>
      <c r="BY324" s="252"/>
      <c r="BZ324" s="249" t="s">
        <v>2078</v>
      </c>
      <c r="CA324" s="247"/>
      <c r="CD324" s="249" t="s">
        <v>2088</v>
      </c>
      <c r="CH324" s="249" t="s">
        <v>2078</v>
      </c>
      <c r="CL324" s="249" t="s">
        <v>2078</v>
      </c>
      <c r="CN324" s="252"/>
      <c r="CO324" s="252"/>
      <c r="CP324" s="249" t="s">
        <v>2078</v>
      </c>
      <c r="CQ324" s="247"/>
      <c r="CT324" s="249" t="s">
        <v>2088</v>
      </c>
      <c r="CX324" s="249" t="s">
        <v>2078</v>
      </c>
      <c r="DB324" s="249" t="s">
        <v>2078</v>
      </c>
    </row>
    <row r="325" spans="44:106" ht="15" customHeight="1" x14ac:dyDescent="0.2">
      <c r="AR325" s="252"/>
      <c r="AS325" s="252"/>
      <c r="AT325" s="249" t="s">
        <v>2078</v>
      </c>
      <c r="AU325" s="247"/>
      <c r="AX325" s="249" t="s">
        <v>2088</v>
      </c>
      <c r="BB325" s="249" t="s">
        <v>2078</v>
      </c>
      <c r="BF325" s="249" t="s">
        <v>2078</v>
      </c>
      <c r="BH325" s="252"/>
      <c r="BI325" s="252"/>
      <c r="BJ325" s="249" t="s">
        <v>2078</v>
      </c>
      <c r="BK325" s="247"/>
      <c r="BN325" s="249" t="s">
        <v>2088</v>
      </c>
      <c r="BR325" s="249" t="s">
        <v>2078</v>
      </c>
      <c r="BV325" s="249" t="s">
        <v>2078</v>
      </c>
      <c r="BX325" s="252"/>
      <c r="BY325" s="252"/>
      <c r="BZ325" s="249" t="s">
        <v>2078</v>
      </c>
      <c r="CA325" s="247"/>
      <c r="CD325" s="249" t="s">
        <v>2088</v>
      </c>
      <c r="CH325" s="249" t="s">
        <v>2078</v>
      </c>
      <c r="CL325" s="249" t="s">
        <v>2078</v>
      </c>
      <c r="CN325" s="252"/>
      <c r="CO325" s="252"/>
      <c r="CP325" s="249" t="s">
        <v>2078</v>
      </c>
      <c r="CQ325" s="247"/>
      <c r="CT325" s="249" t="s">
        <v>2088</v>
      </c>
      <c r="CX325" s="249" t="s">
        <v>2078</v>
      </c>
      <c r="DB325" s="249" t="s">
        <v>2078</v>
      </c>
    </row>
    <row r="326" spans="44:106" ht="15" customHeight="1" x14ac:dyDescent="0.2">
      <c r="AR326" s="252"/>
      <c r="AS326" s="252"/>
      <c r="AT326" s="249" t="s">
        <v>2078</v>
      </c>
      <c r="AU326" s="247"/>
      <c r="AX326" s="249" t="s">
        <v>2088</v>
      </c>
      <c r="BB326" s="249" t="s">
        <v>2078</v>
      </c>
      <c r="BF326" s="249" t="s">
        <v>2078</v>
      </c>
      <c r="BH326" s="252"/>
      <c r="BI326" s="252"/>
      <c r="BJ326" s="249" t="s">
        <v>2078</v>
      </c>
      <c r="BK326" s="247"/>
      <c r="BN326" s="249" t="s">
        <v>2088</v>
      </c>
      <c r="BR326" s="249" t="s">
        <v>2078</v>
      </c>
      <c r="BV326" s="249" t="s">
        <v>2078</v>
      </c>
      <c r="BX326" s="252"/>
      <c r="BY326" s="252"/>
      <c r="BZ326" s="249" t="s">
        <v>2078</v>
      </c>
      <c r="CA326" s="247"/>
      <c r="CD326" s="249" t="s">
        <v>2088</v>
      </c>
      <c r="CH326" s="249" t="s">
        <v>2078</v>
      </c>
      <c r="CL326" s="249" t="s">
        <v>2078</v>
      </c>
      <c r="CN326" s="252"/>
      <c r="CO326" s="252"/>
      <c r="CP326" s="249" t="s">
        <v>2078</v>
      </c>
      <c r="CQ326" s="247"/>
      <c r="CT326" s="249" t="s">
        <v>2088</v>
      </c>
      <c r="CX326" s="249" t="s">
        <v>2078</v>
      </c>
      <c r="DB326" s="249" t="s">
        <v>2078</v>
      </c>
    </row>
    <row r="327" spans="44:106" ht="15" customHeight="1" x14ac:dyDescent="0.2">
      <c r="AR327" s="252"/>
      <c r="AS327" s="252"/>
      <c r="AT327" s="249" t="s">
        <v>2078</v>
      </c>
      <c r="AU327" s="247"/>
      <c r="AX327" s="249" t="s">
        <v>2088</v>
      </c>
      <c r="BB327" s="249" t="s">
        <v>2078</v>
      </c>
      <c r="BF327" s="249" t="s">
        <v>2078</v>
      </c>
      <c r="BH327" s="252"/>
      <c r="BI327" s="252"/>
      <c r="BJ327" s="249" t="s">
        <v>2078</v>
      </c>
      <c r="BK327" s="247"/>
      <c r="BN327" s="249" t="s">
        <v>2088</v>
      </c>
      <c r="BR327" s="249" t="s">
        <v>2078</v>
      </c>
      <c r="BV327" s="249" t="s">
        <v>2078</v>
      </c>
      <c r="BX327" s="252"/>
      <c r="BY327" s="252"/>
      <c r="BZ327" s="249" t="s">
        <v>2078</v>
      </c>
      <c r="CA327" s="247"/>
      <c r="CD327" s="249" t="s">
        <v>2088</v>
      </c>
      <c r="CH327" s="249" t="s">
        <v>2078</v>
      </c>
      <c r="CL327" s="249" t="s">
        <v>2078</v>
      </c>
      <c r="CN327" s="252"/>
      <c r="CO327" s="252"/>
      <c r="CP327" s="249" t="s">
        <v>2078</v>
      </c>
      <c r="CQ327" s="247"/>
      <c r="CT327" s="249" t="s">
        <v>2088</v>
      </c>
      <c r="CX327" s="249" t="s">
        <v>2078</v>
      </c>
      <c r="DB327" s="249" t="s">
        <v>2078</v>
      </c>
    </row>
    <row r="328" spans="44:106" ht="15" customHeight="1" x14ac:dyDescent="0.2">
      <c r="AR328" s="252"/>
      <c r="AS328" s="252"/>
      <c r="AT328" s="249" t="s">
        <v>2078</v>
      </c>
      <c r="AU328" s="247"/>
      <c r="AX328" s="249" t="s">
        <v>2088</v>
      </c>
      <c r="BB328" s="249" t="s">
        <v>2078</v>
      </c>
      <c r="BF328" s="249" t="s">
        <v>2078</v>
      </c>
      <c r="BH328" s="252"/>
      <c r="BI328" s="252"/>
      <c r="BJ328" s="249" t="s">
        <v>2078</v>
      </c>
      <c r="BK328" s="247"/>
      <c r="BN328" s="249" t="s">
        <v>2088</v>
      </c>
      <c r="BR328" s="249" t="s">
        <v>2078</v>
      </c>
      <c r="BV328" s="249" t="s">
        <v>2078</v>
      </c>
      <c r="BX328" s="252"/>
      <c r="BY328" s="252"/>
      <c r="BZ328" s="249" t="s">
        <v>2078</v>
      </c>
      <c r="CA328" s="247"/>
      <c r="CD328" s="249" t="s">
        <v>2088</v>
      </c>
      <c r="CH328" s="249" t="s">
        <v>2078</v>
      </c>
      <c r="CL328" s="249" t="s">
        <v>2078</v>
      </c>
      <c r="CN328" s="252"/>
      <c r="CO328" s="252"/>
      <c r="CP328" s="249" t="s">
        <v>2078</v>
      </c>
      <c r="CQ328" s="247"/>
      <c r="CT328" s="249" t="s">
        <v>2088</v>
      </c>
      <c r="CX328" s="249" t="s">
        <v>2078</v>
      </c>
      <c r="DB328" s="249" t="s">
        <v>2078</v>
      </c>
    </row>
    <row r="329" spans="44:106" ht="15" customHeight="1" x14ac:dyDescent="0.2">
      <c r="AR329" s="252"/>
      <c r="AS329" s="252"/>
      <c r="AT329" s="249" t="s">
        <v>2078</v>
      </c>
      <c r="AU329" s="247"/>
      <c r="AX329" s="249" t="s">
        <v>2088</v>
      </c>
      <c r="BB329" s="249" t="s">
        <v>2078</v>
      </c>
      <c r="BF329" s="249" t="s">
        <v>2078</v>
      </c>
      <c r="BH329" s="252"/>
      <c r="BI329" s="252"/>
      <c r="BJ329" s="249" t="s">
        <v>2078</v>
      </c>
      <c r="BK329" s="247"/>
      <c r="BN329" s="249" t="s">
        <v>2088</v>
      </c>
      <c r="BR329" s="249" t="s">
        <v>2078</v>
      </c>
      <c r="BV329" s="249" t="s">
        <v>2078</v>
      </c>
      <c r="BX329" s="252"/>
      <c r="BY329" s="252"/>
      <c r="BZ329" s="249" t="s">
        <v>2078</v>
      </c>
      <c r="CA329" s="247"/>
      <c r="CD329" s="249" t="s">
        <v>2088</v>
      </c>
      <c r="CH329" s="249" t="s">
        <v>2078</v>
      </c>
      <c r="CL329" s="249" t="s">
        <v>2078</v>
      </c>
      <c r="CN329" s="252"/>
      <c r="CO329" s="252"/>
      <c r="CP329" s="249" t="s">
        <v>2078</v>
      </c>
      <c r="CQ329" s="247"/>
      <c r="CT329" s="249" t="s">
        <v>2088</v>
      </c>
      <c r="CX329" s="249" t="s">
        <v>2078</v>
      </c>
      <c r="DB329" s="249" t="s">
        <v>2078</v>
      </c>
    </row>
    <row r="330" spans="44:106" ht="15" customHeight="1" x14ac:dyDescent="0.2">
      <c r="AR330" s="252"/>
      <c r="AS330" s="252"/>
      <c r="AT330" s="249" t="s">
        <v>2078</v>
      </c>
      <c r="AU330" s="247"/>
      <c r="AX330" s="249" t="s">
        <v>2088</v>
      </c>
      <c r="BB330" s="249" t="s">
        <v>2078</v>
      </c>
      <c r="BF330" s="249" t="s">
        <v>2078</v>
      </c>
      <c r="BH330" s="252"/>
      <c r="BI330" s="252"/>
      <c r="BJ330" s="249" t="s">
        <v>2078</v>
      </c>
      <c r="BK330" s="247"/>
      <c r="BN330" s="249" t="s">
        <v>2088</v>
      </c>
      <c r="BR330" s="249" t="s">
        <v>2078</v>
      </c>
      <c r="BV330" s="249" t="s">
        <v>2078</v>
      </c>
      <c r="BX330" s="252"/>
      <c r="BY330" s="252"/>
      <c r="BZ330" s="249" t="s">
        <v>2078</v>
      </c>
      <c r="CA330" s="247"/>
      <c r="CD330" s="249" t="s">
        <v>2088</v>
      </c>
      <c r="CH330" s="249" t="s">
        <v>2078</v>
      </c>
      <c r="CL330" s="249" t="s">
        <v>2078</v>
      </c>
      <c r="CN330" s="252"/>
      <c r="CO330" s="252"/>
      <c r="CP330" s="249" t="s">
        <v>2078</v>
      </c>
      <c r="CQ330" s="247"/>
      <c r="CT330" s="249" t="s">
        <v>2088</v>
      </c>
      <c r="CX330" s="249" t="s">
        <v>2078</v>
      </c>
      <c r="DB330" s="249" t="s">
        <v>2078</v>
      </c>
    </row>
    <row r="331" spans="44:106" ht="15" customHeight="1" x14ac:dyDescent="0.2">
      <c r="AR331" s="252"/>
      <c r="AS331" s="252"/>
      <c r="AT331" s="249" t="s">
        <v>2078</v>
      </c>
      <c r="AU331" s="247"/>
      <c r="AX331" s="249" t="s">
        <v>2088</v>
      </c>
      <c r="BB331" s="249" t="s">
        <v>2078</v>
      </c>
      <c r="BF331" s="249" t="s">
        <v>2078</v>
      </c>
      <c r="BH331" s="252"/>
      <c r="BI331" s="252"/>
      <c r="BJ331" s="249" t="s">
        <v>2078</v>
      </c>
      <c r="BK331" s="247"/>
      <c r="BN331" s="249" t="s">
        <v>2088</v>
      </c>
      <c r="BR331" s="249" t="s">
        <v>2078</v>
      </c>
      <c r="BV331" s="249" t="s">
        <v>2078</v>
      </c>
      <c r="BX331" s="252"/>
      <c r="BY331" s="252"/>
      <c r="BZ331" s="249" t="s">
        <v>2078</v>
      </c>
      <c r="CA331" s="247"/>
      <c r="CD331" s="249" t="s">
        <v>2088</v>
      </c>
      <c r="CH331" s="249" t="s">
        <v>2078</v>
      </c>
      <c r="CL331" s="249" t="s">
        <v>2078</v>
      </c>
      <c r="CN331" s="252"/>
      <c r="CO331" s="252"/>
      <c r="CP331" s="249" t="s">
        <v>2078</v>
      </c>
      <c r="CQ331" s="247"/>
      <c r="CT331" s="249" t="s">
        <v>2088</v>
      </c>
      <c r="CX331" s="249" t="s">
        <v>2078</v>
      </c>
      <c r="DB331" s="249" t="s">
        <v>2078</v>
      </c>
    </row>
    <row r="332" spans="44:106" ht="15" customHeight="1" x14ac:dyDescent="0.2">
      <c r="AR332" s="252"/>
      <c r="AS332" s="252"/>
      <c r="AT332" s="249" t="s">
        <v>2078</v>
      </c>
      <c r="AU332" s="247"/>
      <c r="AX332" s="249" t="s">
        <v>2088</v>
      </c>
      <c r="BB332" s="249" t="s">
        <v>2078</v>
      </c>
      <c r="BF332" s="249" t="s">
        <v>2078</v>
      </c>
      <c r="BH332" s="252"/>
      <c r="BI332" s="252"/>
      <c r="BJ332" s="249" t="s">
        <v>2078</v>
      </c>
      <c r="BK332" s="247"/>
      <c r="BN332" s="249" t="s">
        <v>2088</v>
      </c>
      <c r="BR332" s="249" t="s">
        <v>2078</v>
      </c>
      <c r="BV332" s="249" t="s">
        <v>2078</v>
      </c>
      <c r="BX332" s="252"/>
      <c r="BY332" s="252"/>
      <c r="BZ332" s="249" t="s">
        <v>2078</v>
      </c>
      <c r="CA332" s="247"/>
      <c r="CD332" s="249" t="s">
        <v>2088</v>
      </c>
      <c r="CH332" s="249" t="s">
        <v>2078</v>
      </c>
      <c r="CL332" s="249" t="s">
        <v>2078</v>
      </c>
      <c r="CN332" s="252"/>
      <c r="CO332" s="252"/>
      <c r="CP332" s="249" t="s">
        <v>2078</v>
      </c>
      <c r="CQ332" s="247"/>
      <c r="CT332" s="249" t="s">
        <v>2088</v>
      </c>
      <c r="CX332" s="249" t="s">
        <v>2078</v>
      </c>
      <c r="DB332" s="249" t="s">
        <v>2078</v>
      </c>
    </row>
    <row r="333" spans="44:106" ht="15" customHeight="1" x14ac:dyDescent="0.2">
      <c r="AR333" s="252"/>
      <c r="AS333" s="252"/>
      <c r="AT333" s="249" t="s">
        <v>2078</v>
      </c>
      <c r="AU333" s="247"/>
      <c r="AX333" s="249" t="s">
        <v>2088</v>
      </c>
      <c r="BB333" s="249" t="s">
        <v>2078</v>
      </c>
      <c r="BF333" s="249" t="s">
        <v>2078</v>
      </c>
      <c r="BH333" s="252"/>
      <c r="BI333" s="252"/>
      <c r="BJ333" s="249" t="s">
        <v>2078</v>
      </c>
      <c r="BK333" s="247"/>
      <c r="BN333" s="249" t="s">
        <v>2088</v>
      </c>
      <c r="BR333" s="249" t="s">
        <v>2078</v>
      </c>
      <c r="BV333" s="249" t="s">
        <v>2078</v>
      </c>
      <c r="BX333" s="252"/>
      <c r="BY333" s="252"/>
      <c r="BZ333" s="249" t="s">
        <v>2078</v>
      </c>
      <c r="CA333" s="247"/>
      <c r="CD333" s="249" t="s">
        <v>2088</v>
      </c>
      <c r="CH333" s="249" t="s">
        <v>2078</v>
      </c>
      <c r="CL333" s="249" t="s">
        <v>2078</v>
      </c>
      <c r="CN333" s="252"/>
      <c r="CO333" s="252"/>
      <c r="CP333" s="249" t="s">
        <v>2078</v>
      </c>
      <c r="CQ333" s="247"/>
      <c r="CT333" s="249" t="s">
        <v>2088</v>
      </c>
      <c r="CX333" s="249" t="s">
        <v>2078</v>
      </c>
      <c r="DB333" s="249" t="s">
        <v>2078</v>
      </c>
    </row>
    <row r="334" spans="44:106" ht="15" customHeight="1" x14ac:dyDescent="0.2">
      <c r="AR334" s="252"/>
      <c r="AS334" s="252"/>
      <c r="AT334" s="249" t="s">
        <v>2078</v>
      </c>
      <c r="AU334" s="247"/>
      <c r="AX334" s="249" t="s">
        <v>2088</v>
      </c>
      <c r="BB334" s="249" t="s">
        <v>2078</v>
      </c>
      <c r="BF334" s="249" t="s">
        <v>2078</v>
      </c>
      <c r="BH334" s="252"/>
      <c r="BI334" s="252"/>
      <c r="BJ334" s="249" t="s">
        <v>2078</v>
      </c>
      <c r="BK334" s="247"/>
      <c r="BN334" s="249" t="s">
        <v>2088</v>
      </c>
      <c r="BR334" s="249" t="s">
        <v>2078</v>
      </c>
      <c r="BV334" s="249" t="s">
        <v>2078</v>
      </c>
      <c r="BX334" s="252"/>
      <c r="BY334" s="252"/>
      <c r="BZ334" s="249" t="s">
        <v>2078</v>
      </c>
      <c r="CA334" s="247"/>
      <c r="CD334" s="249" t="s">
        <v>2088</v>
      </c>
      <c r="CH334" s="249" t="s">
        <v>2078</v>
      </c>
      <c r="CL334" s="249" t="s">
        <v>2078</v>
      </c>
      <c r="CN334" s="252"/>
      <c r="CO334" s="252"/>
      <c r="CP334" s="249" t="s">
        <v>2078</v>
      </c>
      <c r="CQ334" s="247"/>
      <c r="CT334" s="249" t="s">
        <v>2088</v>
      </c>
      <c r="CX334" s="249" t="s">
        <v>2078</v>
      </c>
      <c r="DB334" s="249" t="s">
        <v>2078</v>
      </c>
    </row>
    <row r="335" spans="44:106" ht="15" customHeight="1" x14ac:dyDescent="0.2">
      <c r="AR335" s="252"/>
      <c r="AS335" s="252"/>
      <c r="AT335" s="249" t="s">
        <v>2078</v>
      </c>
      <c r="AU335" s="247"/>
      <c r="AX335" s="249" t="s">
        <v>2088</v>
      </c>
      <c r="BB335" s="249" t="s">
        <v>2078</v>
      </c>
      <c r="BF335" s="249" t="s">
        <v>2078</v>
      </c>
      <c r="BH335" s="252"/>
      <c r="BI335" s="252"/>
      <c r="BJ335" s="249" t="s">
        <v>2078</v>
      </c>
      <c r="BK335" s="247"/>
      <c r="BN335" s="249" t="s">
        <v>2088</v>
      </c>
      <c r="BR335" s="249" t="s">
        <v>2078</v>
      </c>
      <c r="BV335" s="249" t="s">
        <v>2078</v>
      </c>
      <c r="BX335" s="252"/>
      <c r="BY335" s="252"/>
      <c r="BZ335" s="249" t="s">
        <v>2078</v>
      </c>
      <c r="CA335" s="247"/>
      <c r="CD335" s="249" t="s">
        <v>2088</v>
      </c>
      <c r="CH335" s="249" t="s">
        <v>2078</v>
      </c>
      <c r="CL335" s="249" t="s">
        <v>2078</v>
      </c>
      <c r="CN335" s="252"/>
      <c r="CO335" s="252"/>
      <c r="CP335" s="249" t="s">
        <v>2078</v>
      </c>
      <c r="CQ335" s="247"/>
      <c r="CT335" s="249" t="s">
        <v>2088</v>
      </c>
      <c r="CX335" s="249" t="s">
        <v>2078</v>
      </c>
      <c r="DB335" s="249" t="s">
        <v>2078</v>
      </c>
    </row>
    <row r="336" spans="44:106" ht="15" customHeight="1" x14ac:dyDescent="0.2">
      <c r="AR336" s="252"/>
      <c r="AS336" s="252"/>
      <c r="AT336" s="249" t="s">
        <v>2078</v>
      </c>
      <c r="AU336" s="247"/>
      <c r="AX336" s="249" t="s">
        <v>2088</v>
      </c>
      <c r="BB336" s="249" t="s">
        <v>2078</v>
      </c>
      <c r="BF336" s="249" t="s">
        <v>2078</v>
      </c>
      <c r="BH336" s="252"/>
      <c r="BI336" s="252"/>
      <c r="BJ336" s="249" t="s">
        <v>2078</v>
      </c>
      <c r="BK336" s="247"/>
      <c r="BN336" s="249" t="s">
        <v>2088</v>
      </c>
      <c r="BR336" s="249" t="s">
        <v>2078</v>
      </c>
      <c r="BV336" s="249" t="s">
        <v>2078</v>
      </c>
      <c r="BX336" s="252"/>
      <c r="BY336" s="252"/>
      <c r="BZ336" s="249" t="s">
        <v>2078</v>
      </c>
      <c r="CA336" s="247"/>
      <c r="CD336" s="249" t="s">
        <v>2088</v>
      </c>
      <c r="CH336" s="249" t="s">
        <v>2078</v>
      </c>
      <c r="CL336" s="249" t="s">
        <v>2078</v>
      </c>
      <c r="CN336" s="252"/>
      <c r="CO336" s="252"/>
      <c r="CP336" s="249" t="s">
        <v>2078</v>
      </c>
      <c r="CQ336" s="247"/>
      <c r="CT336" s="249" t="s">
        <v>2088</v>
      </c>
      <c r="CX336" s="249" t="s">
        <v>2078</v>
      </c>
      <c r="DB336" s="249" t="s">
        <v>2078</v>
      </c>
    </row>
    <row r="337" spans="44:106" ht="15" customHeight="1" x14ac:dyDescent="0.2">
      <c r="AR337" s="252"/>
      <c r="AS337" s="252"/>
      <c r="AT337" s="249" t="s">
        <v>2078</v>
      </c>
      <c r="AU337" s="247"/>
      <c r="AX337" s="249" t="s">
        <v>2088</v>
      </c>
      <c r="BB337" s="249" t="s">
        <v>2078</v>
      </c>
      <c r="BF337" s="249" t="s">
        <v>2078</v>
      </c>
      <c r="BH337" s="252"/>
      <c r="BI337" s="252"/>
      <c r="BJ337" s="249" t="s">
        <v>2078</v>
      </c>
      <c r="BK337" s="247"/>
      <c r="BN337" s="249" t="s">
        <v>2088</v>
      </c>
      <c r="BR337" s="249" t="s">
        <v>2078</v>
      </c>
      <c r="BV337" s="249" t="s">
        <v>2078</v>
      </c>
      <c r="BX337" s="252"/>
      <c r="BY337" s="252"/>
      <c r="BZ337" s="249" t="s">
        <v>2078</v>
      </c>
      <c r="CA337" s="247"/>
      <c r="CD337" s="249" t="s">
        <v>2088</v>
      </c>
      <c r="CH337" s="249" t="s">
        <v>2078</v>
      </c>
      <c r="CL337" s="249" t="s">
        <v>2078</v>
      </c>
      <c r="CN337" s="252"/>
      <c r="CO337" s="252"/>
      <c r="CP337" s="249" t="s">
        <v>2078</v>
      </c>
      <c r="CQ337" s="247"/>
      <c r="CT337" s="249" t="s">
        <v>2088</v>
      </c>
      <c r="CX337" s="249" t="s">
        <v>2078</v>
      </c>
      <c r="DB337" s="249" t="s">
        <v>2078</v>
      </c>
    </row>
    <row r="338" spans="44:106" ht="15" customHeight="1" x14ac:dyDescent="0.2">
      <c r="AR338" s="252"/>
      <c r="AS338" s="252"/>
      <c r="AT338" s="249" t="s">
        <v>2078</v>
      </c>
      <c r="AU338" s="247"/>
      <c r="AX338" s="249" t="s">
        <v>2088</v>
      </c>
      <c r="BB338" s="249" t="s">
        <v>2078</v>
      </c>
      <c r="BF338" s="249" t="s">
        <v>2078</v>
      </c>
      <c r="BH338" s="252"/>
      <c r="BI338" s="252"/>
      <c r="BJ338" s="249" t="s">
        <v>2078</v>
      </c>
      <c r="BK338" s="247"/>
      <c r="BN338" s="249" t="s">
        <v>2088</v>
      </c>
      <c r="BR338" s="249" t="s">
        <v>2078</v>
      </c>
      <c r="BV338" s="249" t="s">
        <v>2078</v>
      </c>
      <c r="BX338" s="252"/>
      <c r="BY338" s="252"/>
      <c r="BZ338" s="249" t="s">
        <v>2078</v>
      </c>
      <c r="CA338" s="247"/>
      <c r="CD338" s="249" t="s">
        <v>2088</v>
      </c>
      <c r="CH338" s="249" t="s">
        <v>2078</v>
      </c>
      <c r="CL338" s="249" t="s">
        <v>2078</v>
      </c>
      <c r="CN338" s="252"/>
      <c r="CO338" s="252"/>
      <c r="CP338" s="249" t="s">
        <v>2078</v>
      </c>
      <c r="CQ338" s="247"/>
      <c r="CT338" s="249" t="s">
        <v>2088</v>
      </c>
      <c r="CX338" s="249" t="s">
        <v>2078</v>
      </c>
      <c r="DB338" s="249" t="s">
        <v>2078</v>
      </c>
    </row>
    <row r="339" spans="44:106" ht="15" customHeight="1" x14ac:dyDescent="0.2">
      <c r="AR339" s="252"/>
      <c r="AS339" s="252"/>
      <c r="AT339" s="249" t="s">
        <v>2078</v>
      </c>
      <c r="AU339" s="247"/>
      <c r="AX339" s="249" t="s">
        <v>2088</v>
      </c>
      <c r="BB339" s="249" t="s">
        <v>2078</v>
      </c>
      <c r="BF339" s="249" t="s">
        <v>2078</v>
      </c>
      <c r="BH339" s="252"/>
      <c r="BI339" s="252"/>
      <c r="BJ339" s="249" t="s">
        <v>2078</v>
      </c>
      <c r="BK339" s="247"/>
      <c r="BN339" s="249" t="s">
        <v>2088</v>
      </c>
      <c r="BR339" s="249" t="s">
        <v>2078</v>
      </c>
      <c r="BV339" s="249" t="s">
        <v>2078</v>
      </c>
      <c r="BX339" s="252"/>
      <c r="BY339" s="252"/>
      <c r="BZ339" s="249" t="s">
        <v>2078</v>
      </c>
      <c r="CA339" s="247"/>
      <c r="CD339" s="249" t="s">
        <v>2088</v>
      </c>
      <c r="CH339" s="249" t="s">
        <v>2078</v>
      </c>
      <c r="CL339" s="249" t="s">
        <v>2078</v>
      </c>
      <c r="CN339" s="252"/>
      <c r="CO339" s="252"/>
      <c r="CP339" s="249" t="s">
        <v>2078</v>
      </c>
      <c r="CQ339" s="247"/>
      <c r="CT339" s="249" t="s">
        <v>2088</v>
      </c>
      <c r="CX339" s="249" t="s">
        <v>2078</v>
      </c>
      <c r="DB339" s="249" t="s">
        <v>2078</v>
      </c>
    </row>
    <row r="340" spans="44:106" ht="15" customHeight="1" x14ac:dyDescent="0.2">
      <c r="AR340" s="252"/>
      <c r="AS340" s="252"/>
      <c r="AT340" s="249" t="s">
        <v>2078</v>
      </c>
      <c r="AU340" s="247"/>
      <c r="AX340" s="249" t="s">
        <v>2088</v>
      </c>
      <c r="BB340" s="249" t="s">
        <v>2078</v>
      </c>
      <c r="BF340" s="249" t="s">
        <v>2078</v>
      </c>
      <c r="BH340" s="252"/>
      <c r="BI340" s="252"/>
      <c r="BJ340" s="249" t="s">
        <v>2078</v>
      </c>
      <c r="BK340" s="247"/>
      <c r="BN340" s="249" t="s">
        <v>2088</v>
      </c>
      <c r="BR340" s="249" t="s">
        <v>2078</v>
      </c>
      <c r="BV340" s="249" t="s">
        <v>2078</v>
      </c>
      <c r="BX340" s="252"/>
      <c r="BY340" s="252"/>
      <c r="BZ340" s="249" t="s">
        <v>2078</v>
      </c>
      <c r="CA340" s="247"/>
      <c r="CD340" s="249" t="s">
        <v>2088</v>
      </c>
      <c r="CH340" s="249" t="s">
        <v>2078</v>
      </c>
      <c r="CL340" s="249" t="s">
        <v>2078</v>
      </c>
      <c r="CN340" s="252"/>
      <c r="CO340" s="252"/>
      <c r="CP340" s="249" t="s">
        <v>2078</v>
      </c>
      <c r="CQ340" s="247"/>
      <c r="CT340" s="249" t="s">
        <v>2088</v>
      </c>
      <c r="CX340" s="249" t="s">
        <v>2078</v>
      </c>
      <c r="DB340" s="249" t="s">
        <v>2078</v>
      </c>
    </row>
    <row r="341" spans="44:106" ht="15" customHeight="1" x14ac:dyDescent="0.2">
      <c r="AR341" s="252"/>
      <c r="AS341" s="252"/>
      <c r="AT341" s="249" t="s">
        <v>2078</v>
      </c>
      <c r="AU341" s="247"/>
      <c r="AX341" s="249" t="s">
        <v>2088</v>
      </c>
      <c r="BB341" s="249" t="s">
        <v>2078</v>
      </c>
      <c r="BF341" s="249" t="s">
        <v>2078</v>
      </c>
      <c r="BH341" s="252"/>
      <c r="BI341" s="252"/>
      <c r="BJ341" s="249" t="s">
        <v>2078</v>
      </c>
      <c r="BK341" s="247"/>
      <c r="BN341" s="249" t="s">
        <v>2088</v>
      </c>
      <c r="BR341" s="249" t="s">
        <v>2078</v>
      </c>
      <c r="BV341" s="249" t="s">
        <v>2078</v>
      </c>
      <c r="BX341" s="252"/>
      <c r="BY341" s="252"/>
      <c r="BZ341" s="249" t="s">
        <v>2078</v>
      </c>
      <c r="CA341" s="247"/>
      <c r="CD341" s="249" t="s">
        <v>2088</v>
      </c>
      <c r="CH341" s="249" t="s">
        <v>2078</v>
      </c>
      <c r="CL341" s="249" t="s">
        <v>2078</v>
      </c>
      <c r="CN341" s="252"/>
      <c r="CO341" s="252"/>
      <c r="CP341" s="249" t="s">
        <v>2078</v>
      </c>
      <c r="CQ341" s="247"/>
      <c r="CT341" s="249" t="s">
        <v>2088</v>
      </c>
      <c r="CX341" s="249" t="s">
        <v>2078</v>
      </c>
      <c r="DB341" s="249" t="s">
        <v>2078</v>
      </c>
    </row>
    <row r="342" spans="44:106" ht="15" customHeight="1" x14ac:dyDescent="0.2">
      <c r="AR342" s="252"/>
      <c r="AS342" s="252"/>
      <c r="AT342" s="249" t="s">
        <v>2078</v>
      </c>
      <c r="AU342" s="247"/>
      <c r="AX342" s="249" t="s">
        <v>2088</v>
      </c>
      <c r="BB342" s="249" t="s">
        <v>2078</v>
      </c>
      <c r="BF342" s="249" t="s">
        <v>2078</v>
      </c>
      <c r="BH342" s="252"/>
      <c r="BI342" s="252"/>
      <c r="BJ342" s="249" t="s">
        <v>2078</v>
      </c>
      <c r="BK342" s="247"/>
      <c r="BN342" s="249" t="s">
        <v>2088</v>
      </c>
      <c r="BR342" s="249" t="s">
        <v>2078</v>
      </c>
      <c r="BV342" s="249" t="s">
        <v>2078</v>
      </c>
      <c r="BX342" s="252"/>
      <c r="BY342" s="252"/>
      <c r="BZ342" s="249" t="s">
        <v>2078</v>
      </c>
      <c r="CA342" s="247"/>
      <c r="CD342" s="249" t="s">
        <v>2088</v>
      </c>
      <c r="CH342" s="249" t="s">
        <v>2078</v>
      </c>
      <c r="CL342" s="249" t="s">
        <v>2078</v>
      </c>
      <c r="CN342" s="252"/>
      <c r="CO342" s="252"/>
      <c r="CP342" s="249" t="s">
        <v>2078</v>
      </c>
      <c r="CQ342" s="247"/>
      <c r="CT342" s="249" t="s">
        <v>2088</v>
      </c>
      <c r="CX342" s="249" t="s">
        <v>2078</v>
      </c>
      <c r="DB342" s="249" t="s">
        <v>2078</v>
      </c>
    </row>
    <row r="343" spans="44:106" ht="15" customHeight="1" x14ac:dyDescent="0.2">
      <c r="AR343" s="252"/>
      <c r="AS343" s="252"/>
      <c r="AT343" s="249" t="s">
        <v>2078</v>
      </c>
      <c r="AU343" s="247"/>
      <c r="AX343" s="249" t="s">
        <v>2088</v>
      </c>
      <c r="BB343" s="249" t="s">
        <v>2078</v>
      </c>
      <c r="BF343" s="249" t="s">
        <v>2078</v>
      </c>
      <c r="BH343" s="252"/>
      <c r="BI343" s="252"/>
      <c r="BJ343" s="249" t="s">
        <v>2078</v>
      </c>
      <c r="BK343" s="247"/>
      <c r="BN343" s="249" t="s">
        <v>2088</v>
      </c>
      <c r="BR343" s="249" t="s">
        <v>2078</v>
      </c>
      <c r="BV343" s="249" t="s">
        <v>2078</v>
      </c>
      <c r="BX343" s="252"/>
      <c r="BY343" s="252"/>
      <c r="BZ343" s="249" t="s">
        <v>2078</v>
      </c>
      <c r="CA343" s="247"/>
      <c r="CD343" s="249" t="s">
        <v>2088</v>
      </c>
      <c r="CH343" s="249" t="s">
        <v>2078</v>
      </c>
      <c r="CL343" s="249" t="s">
        <v>2078</v>
      </c>
      <c r="CN343" s="252"/>
      <c r="CO343" s="252"/>
      <c r="CP343" s="249" t="s">
        <v>2078</v>
      </c>
      <c r="CQ343" s="247"/>
      <c r="CT343" s="249" t="s">
        <v>2088</v>
      </c>
      <c r="CX343" s="249" t="s">
        <v>2078</v>
      </c>
      <c r="DB343" s="249" t="s">
        <v>2078</v>
      </c>
    </row>
    <row r="344" spans="44:106" ht="15" customHeight="1" x14ac:dyDescent="0.2">
      <c r="AR344" s="252"/>
      <c r="AS344" s="252"/>
      <c r="AT344" s="249" t="s">
        <v>2078</v>
      </c>
      <c r="AU344" s="247"/>
      <c r="AX344" s="249" t="s">
        <v>2088</v>
      </c>
      <c r="BB344" s="249" t="s">
        <v>2078</v>
      </c>
      <c r="BF344" s="249" t="s">
        <v>2078</v>
      </c>
      <c r="BH344" s="252"/>
      <c r="BI344" s="252"/>
      <c r="BJ344" s="249" t="s">
        <v>2078</v>
      </c>
      <c r="BK344" s="247"/>
      <c r="BN344" s="249" t="s">
        <v>2088</v>
      </c>
      <c r="BR344" s="249" t="s">
        <v>2078</v>
      </c>
      <c r="BV344" s="249" t="s">
        <v>2078</v>
      </c>
      <c r="BX344" s="252"/>
      <c r="BY344" s="252"/>
      <c r="BZ344" s="249" t="s">
        <v>2078</v>
      </c>
      <c r="CA344" s="247"/>
      <c r="CD344" s="249" t="s">
        <v>2088</v>
      </c>
      <c r="CH344" s="249" t="s">
        <v>2078</v>
      </c>
      <c r="CL344" s="249" t="s">
        <v>2078</v>
      </c>
      <c r="CN344" s="252"/>
      <c r="CO344" s="252"/>
      <c r="CP344" s="249" t="s">
        <v>2078</v>
      </c>
      <c r="CQ344" s="247"/>
      <c r="CT344" s="249" t="s">
        <v>2088</v>
      </c>
      <c r="CX344" s="249" t="s">
        <v>2078</v>
      </c>
      <c r="DB344" s="249" t="s">
        <v>2078</v>
      </c>
    </row>
    <row r="345" spans="44:106" ht="15" customHeight="1" x14ac:dyDescent="0.2">
      <c r="AR345" s="252"/>
      <c r="AS345" s="252"/>
      <c r="AT345" s="249" t="s">
        <v>2078</v>
      </c>
      <c r="AU345" s="247"/>
      <c r="AX345" s="249" t="s">
        <v>2088</v>
      </c>
      <c r="BB345" s="249" t="s">
        <v>2078</v>
      </c>
      <c r="BF345" s="249" t="s">
        <v>2078</v>
      </c>
      <c r="BH345" s="252"/>
      <c r="BI345" s="252"/>
      <c r="BJ345" s="249" t="s">
        <v>2078</v>
      </c>
      <c r="BK345" s="247"/>
      <c r="BN345" s="249" t="s">
        <v>2088</v>
      </c>
      <c r="BR345" s="249" t="s">
        <v>2078</v>
      </c>
      <c r="BV345" s="249" t="s">
        <v>2078</v>
      </c>
      <c r="BX345" s="252"/>
      <c r="BY345" s="252"/>
      <c r="BZ345" s="249" t="s">
        <v>2078</v>
      </c>
      <c r="CA345" s="247"/>
      <c r="CD345" s="249" t="s">
        <v>2088</v>
      </c>
      <c r="CH345" s="249" t="s">
        <v>2078</v>
      </c>
      <c r="CL345" s="249" t="s">
        <v>2078</v>
      </c>
      <c r="CN345" s="252"/>
      <c r="CO345" s="252"/>
      <c r="CP345" s="249" t="s">
        <v>2078</v>
      </c>
      <c r="CQ345" s="247"/>
      <c r="CT345" s="249" t="s">
        <v>2088</v>
      </c>
      <c r="CX345" s="249" t="s">
        <v>2078</v>
      </c>
      <c r="DB345" s="249" t="s">
        <v>2078</v>
      </c>
    </row>
    <row r="346" spans="44:106" ht="15" customHeight="1" x14ac:dyDescent="0.2">
      <c r="AR346" s="252"/>
      <c r="AS346" s="252"/>
      <c r="AT346" s="249" t="s">
        <v>2078</v>
      </c>
      <c r="AU346" s="247"/>
      <c r="AX346" s="249" t="s">
        <v>2088</v>
      </c>
      <c r="BB346" s="249" t="s">
        <v>2078</v>
      </c>
      <c r="BF346" s="249" t="s">
        <v>2078</v>
      </c>
      <c r="BH346" s="252"/>
      <c r="BI346" s="252"/>
      <c r="BJ346" s="249" t="s">
        <v>2078</v>
      </c>
      <c r="BK346" s="247"/>
      <c r="BN346" s="249" t="s">
        <v>2088</v>
      </c>
      <c r="BR346" s="249" t="s">
        <v>2078</v>
      </c>
      <c r="BV346" s="249" t="s">
        <v>2078</v>
      </c>
      <c r="BX346" s="252"/>
      <c r="BY346" s="252"/>
      <c r="BZ346" s="249" t="s">
        <v>2078</v>
      </c>
      <c r="CA346" s="247"/>
      <c r="CD346" s="249" t="s">
        <v>2088</v>
      </c>
      <c r="CH346" s="249" t="s">
        <v>2078</v>
      </c>
      <c r="CL346" s="249" t="s">
        <v>2078</v>
      </c>
      <c r="CN346" s="252"/>
      <c r="CO346" s="252"/>
      <c r="CP346" s="249" t="s">
        <v>2078</v>
      </c>
      <c r="CQ346" s="247"/>
      <c r="CT346" s="249" t="s">
        <v>2088</v>
      </c>
      <c r="CX346" s="249" t="s">
        <v>2078</v>
      </c>
      <c r="DB346" s="249" t="s">
        <v>2078</v>
      </c>
    </row>
    <row r="347" spans="44:106" ht="15" customHeight="1" x14ac:dyDescent="0.2">
      <c r="AR347" s="252"/>
      <c r="AS347" s="252"/>
      <c r="AT347" s="249" t="s">
        <v>2078</v>
      </c>
      <c r="AU347" s="247"/>
      <c r="AX347" s="249" t="s">
        <v>2088</v>
      </c>
      <c r="BB347" s="249" t="s">
        <v>2078</v>
      </c>
      <c r="BF347" s="249" t="s">
        <v>2078</v>
      </c>
      <c r="BH347" s="252"/>
      <c r="BI347" s="252"/>
      <c r="BJ347" s="249" t="s">
        <v>2078</v>
      </c>
      <c r="BK347" s="247"/>
      <c r="BN347" s="249" t="s">
        <v>2088</v>
      </c>
      <c r="BR347" s="249" t="s">
        <v>2078</v>
      </c>
      <c r="BV347" s="249" t="s">
        <v>2078</v>
      </c>
      <c r="BX347" s="252"/>
      <c r="BY347" s="252"/>
      <c r="BZ347" s="249" t="s">
        <v>2078</v>
      </c>
      <c r="CA347" s="247"/>
      <c r="CD347" s="249" t="s">
        <v>2088</v>
      </c>
      <c r="CH347" s="249" t="s">
        <v>2078</v>
      </c>
      <c r="CL347" s="249" t="s">
        <v>2078</v>
      </c>
      <c r="CN347" s="252"/>
      <c r="CO347" s="252"/>
      <c r="CP347" s="249" t="s">
        <v>2078</v>
      </c>
      <c r="CQ347" s="247"/>
      <c r="CT347" s="249" t="s">
        <v>2088</v>
      </c>
      <c r="CX347" s="249" t="s">
        <v>2078</v>
      </c>
      <c r="DB347" s="249" t="s">
        <v>2078</v>
      </c>
    </row>
    <row r="348" spans="44:106" ht="15" customHeight="1" x14ac:dyDescent="0.2">
      <c r="AR348" s="252"/>
      <c r="AS348" s="252"/>
      <c r="AT348" s="249" t="s">
        <v>2078</v>
      </c>
      <c r="AU348" s="247"/>
      <c r="AX348" s="249" t="s">
        <v>2088</v>
      </c>
      <c r="BB348" s="249" t="s">
        <v>2078</v>
      </c>
      <c r="BF348" s="249" t="s">
        <v>2078</v>
      </c>
      <c r="BH348" s="252"/>
      <c r="BI348" s="252"/>
      <c r="BJ348" s="249" t="s">
        <v>2078</v>
      </c>
      <c r="BK348" s="247"/>
      <c r="BN348" s="249" t="s">
        <v>2088</v>
      </c>
      <c r="BR348" s="249" t="s">
        <v>2078</v>
      </c>
      <c r="BV348" s="249" t="s">
        <v>2078</v>
      </c>
      <c r="BX348" s="252"/>
      <c r="BY348" s="252"/>
      <c r="BZ348" s="249" t="s">
        <v>2078</v>
      </c>
      <c r="CA348" s="247"/>
      <c r="CD348" s="249" t="s">
        <v>2088</v>
      </c>
      <c r="CH348" s="249" t="s">
        <v>2078</v>
      </c>
      <c r="CL348" s="249" t="s">
        <v>2078</v>
      </c>
      <c r="CN348" s="252"/>
      <c r="CO348" s="252"/>
      <c r="CP348" s="249" t="s">
        <v>2078</v>
      </c>
      <c r="CQ348" s="247"/>
      <c r="CT348" s="249" t="s">
        <v>2088</v>
      </c>
      <c r="CX348" s="249" t="s">
        <v>2078</v>
      </c>
      <c r="DB348" s="249" t="s">
        <v>2078</v>
      </c>
    </row>
    <row r="349" spans="44:106" ht="15" customHeight="1" x14ac:dyDescent="0.2">
      <c r="AR349" s="252"/>
      <c r="AS349" s="252"/>
      <c r="AT349" s="249" t="s">
        <v>2078</v>
      </c>
      <c r="AU349" s="247"/>
      <c r="AX349" s="249" t="s">
        <v>2088</v>
      </c>
      <c r="BB349" s="249" t="s">
        <v>2078</v>
      </c>
      <c r="BF349" s="249" t="s">
        <v>2078</v>
      </c>
      <c r="BH349" s="252"/>
      <c r="BI349" s="252"/>
      <c r="BJ349" s="249" t="s">
        <v>2078</v>
      </c>
      <c r="BK349" s="247"/>
      <c r="BN349" s="249" t="s">
        <v>2088</v>
      </c>
      <c r="BR349" s="249" t="s">
        <v>2078</v>
      </c>
      <c r="BV349" s="249" t="s">
        <v>2078</v>
      </c>
      <c r="BX349" s="252"/>
      <c r="BY349" s="252"/>
      <c r="BZ349" s="249" t="s">
        <v>2078</v>
      </c>
      <c r="CA349" s="247"/>
      <c r="CD349" s="249" t="s">
        <v>2088</v>
      </c>
      <c r="CH349" s="249" t="s">
        <v>2078</v>
      </c>
      <c r="CL349" s="249" t="s">
        <v>2078</v>
      </c>
      <c r="CN349" s="252"/>
      <c r="CO349" s="252"/>
      <c r="CP349" s="249" t="s">
        <v>2078</v>
      </c>
      <c r="CQ349" s="247"/>
      <c r="CT349" s="249" t="s">
        <v>2088</v>
      </c>
      <c r="CX349" s="249" t="s">
        <v>2078</v>
      </c>
      <c r="DB349" s="249" t="s">
        <v>2078</v>
      </c>
    </row>
    <row r="350" spans="44:106" ht="15" customHeight="1" x14ac:dyDescent="0.2">
      <c r="AR350" s="252"/>
      <c r="AS350" s="252"/>
      <c r="AT350" s="249" t="s">
        <v>2078</v>
      </c>
      <c r="AU350" s="247"/>
      <c r="AX350" s="249" t="s">
        <v>2088</v>
      </c>
      <c r="BB350" s="249" t="s">
        <v>2078</v>
      </c>
      <c r="BF350" s="249" t="s">
        <v>2078</v>
      </c>
      <c r="BH350" s="252"/>
      <c r="BI350" s="252"/>
      <c r="BJ350" s="249" t="s">
        <v>2078</v>
      </c>
      <c r="BK350" s="247"/>
      <c r="BN350" s="249" t="s">
        <v>2088</v>
      </c>
      <c r="BR350" s="249" t="s">
        <v>2078</v>
      </c>
      <c r="BV350" s="249" t="s">
        <v>2078</v>
      </c>
      <c r="BX350" s="252"/>
      <c r="BY350" s="252"/>
      <c r="BZ350" s="249" t="s">
        <v>2078</v>
      </c>
      <c r="CA350" s="247"/>
      <c r="CD350" s="249" t="s">
        <v>2088</v>
      </c>
      <c r="CH350" s="249" t="s">
        <v>2078</v>
      </c>
      <c r="CL350" s="249" t="s">
        <v>2078</v>
      </c>
      <c r="CN350" s="252"/>
      <c r="CO350" s="252"/>
      <c r="CP350" s="249" t="s">
        <v>2078</v>
      </c>
      <c r="CQ350" s="247"/>
      <c r="CT350" s="249" t="s">
        <v>2088</v>
      </c>
      <c r="CX350" s="249" t="s">
        <v>2078</v>
      </c>
      <c r="DB350" s="249" t="s">
        <v>2078</v>
      </c>
    </row>
    <row r="351" spans="44:106" ht="15" customHeight="1" x14ac:dyDescent="0.2">
      <c r="AR351" s="252"/>
      <c r="AS351" s="252"/>
      <c r="AT351" s="249" t="s">
        <v>2078</v>
      </c>
      <c r="AU351" s="247"/>
      <c r="AX351" s="249" t="s">
        <v>2088</v>
      </c>
      <c r="BB351" s="249" t="s">
        <v>2078</v>
      </c>
      <c r="BF351" s="249" t="s">
        <v>2078</v>
      </c>
      <c r="BH351" s="252"/>
      <c r="BI351" s="252"/>
      <c r="BJ351" s="249" t="s">
        <v>2078</v>
      </c>
      <c r="BK351" s="247"/>
      <c r="BN351" s="249" t="s">
        <v>2088</v>
      </c>
      <c r="BR351" s="249" t="s">
        <v>2078</v>
      </c>
      <c r="BV351" s="249" t="s">
        <v>2078</v>
      </c>
      <c r="BX351" s="252"/>
      <c r="BY351" s="252"/>
      <c r="BZ351" s="249" t="s">
        <v>2078</v>
      </c>
      <c r="CA351" s="247"/>
      <c r="CD351" s="249" t="s">
        <v>2088</v>
      </c>
      <c r="CH351" s="249" t="s">
        <v>2078</v>
      </c>
      <c r="CL351" s="249" t="s">
        <v>2078</v>
      </c>
      <c r="CN351" s="252"/>
      <c r="CO351" s="252"/>
      <c r="CP351" s="249" t="s">
        <v>2078</v>
      </c>
      <c r="CQ351" s="247"/>
      <c r="CT351" s="249" t="s">
        <v>2088</v>
      </c>
      <c r="CX351" s="249" t="s">
        <v>2078</v>
      </c>
      <c r="DB351" s="249" t="s">
        <v>2078</v>
      </c>
    </row>
    <row r="352" spans="44:106" ht="15" customHeight="1" x14ac:dyDescent="0.2">
      <c r="AR352" s="252"/>
      <c r="AS352" s="252"/>
      <c r="AT352" s="249" t="s">
        <v>2078</v>
      </c>
      <c r="AU352" s="247"/>
      <c r="AX352" s="249" t="s">
        <v>2088</v>
      </c>
      <c r="BB352" s="249" t="s">
        <v>2078</v>
      </c>
      <c r="BF352" s="249" t="s">
        <v>2078</v>
      </c>
      <c r="BH352" s="252"/>
      <c r="BI352" s="252"/>
      <c r="BJ352" s="249" t="s">
        <v>2078</v>
      </c>
      <c r="BK352" s="247"/>
      <c r="BN352" s="249" t="s">
        <v>2088</v>
      </c>
      <c r="BR352" s="249" t="s">
        <v>2078</v>
      </c>
      <c r="BV352" s="249" t="s">
        <v>2078</v>
      </c>
      <c r="BX352" s="252"/>
      <c r="BY352" s="252"/>
      <c r="BZ352" s="249" t="s">
        <v>2078</v>
      </c>
      <c r="CA352" s="247"/>
      <c r="CD352" s="249" t="s">
        <v>2088</v>
      </c>
      <c r="CH352" s="249" t="s">
        <v>2078</v>
      </c>
      <c r="CL352" s="249" t="s">
        <v>2078</v>
      </c>
      <c r="CN352" s="252"/>
      <c r="CO352" s="252"/>
      <c r="CP352" s="249" t="s">
        <v>2078</v>
      </c>
      <c r="CQ352" s="247"/>
      <c r="CT352" s="249" t="s">
        <v>2088</v>
      </c>
      <c r="CX352" s="249" t="s">
        <v>2078</v>
      </c>
      <c r="DB352" s="249" t="s">
        <v>2078</v>
      </c>
    </row>
    <row r="353" spans="44:106" ht="15" customHeight="1" x14ac:dyDescent="0.2">
      <c r="AR353" s="252"/>
      <c r="AS353" s="252"/>
      <c r="AT353" s="249" t="s">
        <v>2078</v>
      </c>
      <c r="AU353" s="247"/>
      <c r="AX353" s="249" t="s">
        <v>2088</v>
      </c>
      <c r="BB353" s="249" t="s">
        <v>2078</v>
      </c>
      <c r="BF353" s="249" t="s">
        <v>2078</v>
      </c>
      <c r="BH353" s="252"/>
      <c r="BI353" s="252"/>
      <c r="BJ353" s="249" t="s">
        <v>2078</v>
      </c>
      <c r="BK353" s="247"/>
      <c r="BN353" s="249" t="s">
        <v>2088</v>
      </c>
      <c r="BR353" s="249" t="s">
        <v>2078</v>
      </c>
      <c r="BV353" s="249" t="s">
        <v>2078</v>
      </c>
      <c r="BX353" s="252"/>
      <c r="BY353" s="252"/>
      <c r="BZ353" s="249" t="s">
        <v>2078</v>
      </c>
      <c r="CA353" s="247"/>
      <c r="CD353" s="249" t="s">
        <v>2088</v>
      </c>
      <c r="CH353" s="249" t="s">
        <v>2078</v>
      </c>
      <c r="CL353" s="249" t="s">
        <v>2078</v>
      </c>
      <c r="CN353" s="252"/>
      <c r="CO353" s="252"/>
      <c r="CP353" s="249" t="s">
        <v>2078</v>
      </c>
      <c r="CQ353" s="247"/>
      <c r="CT353" s="249" t="s">
        <v>2088</v>
      </c>
      <c r="CX353" s="249" t="s">
        <v>2078</v>
      </c>
      <c r="DB353" s="249" t="s">
        <v>2078</v>
      </c>
    </row>
    <row r="354" spans="44:106" ht="15" customHeight="1" x14ac:dyDescent="0.2">
      <c r="AR354" s="252"/>
      <c r="AS354" s="252"/>
      <c r="AT354" s="249" t="s">
        <v>2078</v>
      </c>
      <c r="AU354" s="247"/>
      <c r="AX354" s="249" t="s">
        <v>2088</v>
      </c>
      <c r="BB354" s="249" t="s">
        <v>2078</v>
      </c>
      <c r="BF354" s="249" t="s">
        <v>2078</v>
      </c>
      <c r="BH354" s="252"/>
      <c r="BI354" s="252"/>
      <c r="BJ354" s="249" t="s">
        <v>2078</v>
      </c>
      <c r="BK354" s="247"/>
      <c r="BN354" s="249" t="s">
        <v>2088</v>
      </c>
      <c r="BR354" s="249" t="s">
        <v>2078</v>
      </c>
      <c r="BV354" s="249" t="s">
        <v>2078</v>
      </c>
      <c r="BX354" s="252"/>
      <c r="BY354" s="252"/>
      <c r="BZ354" s="249" t="s">
        <v>2078</v>
      </c>
      <c r="CA354" s="247"/>
      <c r="CD354" s="249" t="s">
        <v>2088</v>
      </c>
      <c r="CH354" s="249" t="s">
        <v>2078</v>
      </c>
      <c r="CL354" s="249" t="s">
        <v>2078</v>
      </c>
      <c r="CN354" s="252"/>
      <c r="CO354" s="252"/>
      <c r="CP354" s="249" t="s">
        <v>2078</v>
      </c>
      <c r="CQ354" s="247"/>
      <c r="CT354" s="249" t="s">
        <v>2088</v>
      </c>
      <c r="CX354" s="249" t="s">
        <v>2078</v>
      </c>
      <c r="DB354" s="249" t="s">
        <v>2078</v>
      </c>
    </row>
    <row r="355" spans="44:106" ht="15" customHeight="1" x14ac:dyDescent="0.2">
      <c r="AR355" s="252"/>
      <c r="AS355" s="252"/>
      <c r="AT355" s="249" t="s">
        <v>2078</v>
      </c>
      <c r="AU355" s="247"/>
      <c r="AX355" s="249" t="s">
        <v>2088</v>
      </c>
      <c r="BB355" s="249" t="s">
        <v>2078</v>
      </c>
      <c r="BF355" s="249" t="s">
        <v>2078</v>
      </c>
      <c r="BH355" s="252"/>
      <c r="BI355" s="252"/>
      <c r="BJ355" s="249" t="s">
        <v>2078</v>
      </c>
      <c r="BK355" s="247"/>
      <c r="BN355" s="249" t="s">
        <v>2088</v>
      </c>
      <c r="BR355" s="249" t="s">
        <v>2078</v>
      </c>
      <c r="BV355" s="249" t="s">
        <v>2078</v>
      </c>
      <c r="BX355" s="252"/>
      <c r="BY355" s="252"/>
      <c r="BZ355" s="249" t="s">
        <v>2078</v>
      </c>
      <c r="CA355" s="247"/>
      <c r="CD355" s="249" t="s">
        <v>2088</v>
      </c>
      <c r="CH355" s="249" t="s">
        <v>2078</v>
      </c>
      <c r="CL355" s="249" t="s">
        <v>2078</v>
      </c>
      <c r="CN355" s="252"/>
      <c r="CO355" s="252"/>
      <c r="CP355" s="249" t="s">
        <v>2078</v>
      </c>
      <c r="CQ355" s="247"/>
      <c r="CT355" s="249" t="s">
        <v>2088</v>
      </c>
      <c r="CX355" s="249" t="s">
        <v>2078</v>
      </c>
      <c r="DB355" s="249" t="s">
        <v>2078</v>
      </c>
    </row>
    <row r="356" spans="44:106" ht="15" customHeight="1" x14ac:dyDescent="0.2">
      <c r="AR356" s="252"/>
      <c r="AS356" s="252"/>
      <c r="AT356" s="249" t="s">
        <v>2078</v>
      </c>
      <c r="AU356" s="247"/>
      <c r="AX356" s="249" t="s">
        <v>2088</v>
      </c>
      <c r="BB356" s="249" t="s">
        <v>2078</v>
      </c>
      <c r="BF356" s="249" t="s">
        <v>2078</v>
      </c>
      <c r="BH356" s="252"/>
      <c r="BI356" s="252"/>
      <c r="BJ356" s="249" t="s">
        <v>2078</v>
      </c>
      <c r="BK356" s="247"/>
      <c r="BN356" s="249" t="s">
        <v>2088</v>
      </c>
      <c r="BR356" s="249" t="s">
        <v>2078</v>
      </c>
      <c r="BV356" s="249" t="s">
        <v>2078</v>
      </c>
      <c r="BX356" s="252"/>
      <c r="BY356" s="252"/>
      <c r="BZ356" s="249" t="s">
        <v>2078</v>
      </c>
      <c r="CA356" s="247"/>
      <c r="CD356" s="249" t="s">
        <v>2088</v>
      </c>
      <c r="CH356" s="249" t="s">
        <v>2078</v>
      </c>
      <c r="CL356" s="249" t="s">
        <v>2078</v>
      </c>
      <c r="CN356" s="252"/>
      <c r="CO356" s="252"/>
      <c r="CP356" s="249" t="s">
        <v>2078</v>
      </c>
      <c r="CQ356" s="247"/>
      <c r="CT356" s="249" t="s">
        <v>2088</v>
      </c>
      <c r="CX356" s="249" t="s">
        <v>2078</v>
      </c>
      <c r="DB356" s="249" t="s">
        <v>2078</v>
      </c>
    </row>
    <row r="357" spans="44:106" ht="15" customHeight="1" x14ac:dyDescent="0.2">
      <c r="AR357" s="252"/>
      <c r="AS357" s="252"/>
      <c r="AT357" s="249" t="s">
        <v>2078</v>
      </c>
      <c r="AU357" s="247"/>
      <c r="AX357" s="249" t="s">
        <v>2088</v>
      </c>
      <c r="BB357" s="249" t="s">
        <v>2078</v>
      </c>
      <c r="BF357" s="249" t="s">
        <v>2078</v>
      </c>
      <c r="BH357" s="252"/>
      <c r="BI357" s="252"/>
      <c r="BJ357" s="249" t="s">
        <v>2078</v>
      </c>
      <c r="BK357" s="247"/>
      <c r="BN357" s="249" t="s">
        <v>2088</v>
      </c>
      <c r="BR357" s="249" t="s">
        <v>2078</v>
      </c>
      <c r="BV357" s="249" t="s">
        <v>2078</v>
      </c>
      <c r="BX357" s="252"/>
      <c r="BY357" s="252"/>
      <c r="BZ357" s="249" t="s">
        <v>2078</v>
      </c>
      <c r="CA357" s="247"/>
      <c r="CD357" s="249" t="s">
        <v>2088</v>
      </c>
      <c r="CH357" s="249" t="s">
        <v>2078</v>
      </c>
      <c r="CL357" s="249" t="s">
        <v>2078</v>
      </c>
      <c r="CN357" s="252"/>
      <c r="CO357" s="252"/>
      <c r="CP357" s="249" t="s">
        <v>2078</v>
      </c>
      <c r="CQ357" s="247"/>
      <c r="CT357" s="249" t="s">
        <v>2088</v>
      </c>
      <c r="CX357" s="249" t="s">
        <v>2078</v>
      </c>
      <c r="DB357" s="249" t="s">
        <v>2078</v>
      </c>
    </row>
    <row r="358" spans="44:106" ht="15" customHeight="1" x14ac:dyDescent="0.2">
      <c r="AR358" s="252"/>
      <c r="AS358" s="252"/>
      <c r="AT358" s="249" t="s">
        <v>2078</v>
      </c>
      <c r="AU358" s="247"/>
      <c r="AX358" s="249" t="s">
        <v>2088</v>
      </c>
      <c r="BB358" s="249" t="s">
        <v>2078</v>
      </c>
      <c r="BF358" s="249" t="s">
        <v>2078</v>
      </c>
      <c r="BH358" s="252"/>
      <c r="BI358" s="252"/>
      <c r="BJ358" s="249" t="s">
        <v>2078</v>
      </c>
      <c r="BK358" s="247"/>
      <c r="BN358" s="249" t="s">
        <v>2088</v>
      </c>
      <c r="BR358" s="249" t="s">
        <v>2078</v>
      </c>
      <c r="BV358" s="249" t="s">
        <v>2078</v>
      </c>
      <c r="BX358" s="252"/>
      <c r="BY358" s="252"/>
      <c r="BZ358" s="249" t="s">
        <v>2078</v>
      </c>
      <c r="CA358" s="247"/>
      <c r="CD358" s="249" t="s">
        <v>2088</v>
      </c>
      <c r="CH358" s="249" t="s">
        <v>2078</v>
      </c>
      <c r="CL358" s="249" t="s">
        <v>2078</v>
      </c>
      <c r="CN358" s="252"/>
      <c r="CO358" s="252"/>
      <c r="CP358" s="249" t="s">
        <v>2078</v>
      </c>
      <c r="CQ358" s="247"/>
      <c r="CT358" s="249" t="s">
        <v>2088</v>
      </c>
      <c r="CX358" s="249" t="s">
        <v>2078</v>
      </c>
      <c r="DB358" s="249" t="s">
        <v>2078</v>
      </c>
    </row>
    <row r="359" spans="44:106" ht="15" customHeight="1" x14ac:dyDescent="0.2">
      <c r="AR359" s="252"/>
      <c r="AS359" s="252"/>
      <c r="AT359" s="249" t="s">
        <v>2078</v>
      </c>
      <c r="AU359" s="247"/>
      <c r="AX359" s="249" t="s">
        <v>2088</v>
      </c>
      <c r="BB359" s="249" t="s">
        <v>2078</v>
      </c>
      <c r="BF359" s="249" t="s">
        <v>2078</v>
      </c>
      <c r="BH359" s="252"/>
      <c r="BI359" s="252"/>
      <c r="BJ359" s="249" t="s">
        <v>2078</v>
      </c>
      <c r="BK359" s="247"/>
      <c r="BN359" s="249" t="s">
        <v>2088</v>
      </c>
      <c r="BR359" s="249" t="s">
        <v>2078</v>
      </c>
      <c r="BV359" s="249" t="s">
        <v>2078</v>
      </c>
      <c r="BX359" s="252"/>
      <c r="BY359" s="252"/>
      <c r="BZ359" s="249" t="s">
        <v>2078</v>
      </c>
      <c r="CA359" s="247"/>
      <c r="CD359" s="249" t="s">
        <v>2088</v>
      </c>
      <c r="CH359" s="249" t="s">
        <v>2078</v>
      </c>
      <c r="CL359" s="249" t="s">
        <v>2078</v>
      </c>
      <c r="CN359" s="252"/>
      <c r="CO359" s="252"/>
      <c r="CP359" s="249" t="s">
        <v>2078</v>
      </c>
      <c r="CQ359" s="247"/>
      <c r="CT359" s="249" t="s">
        <v>2088</v>
      </c>
      <c r="CX359" s="249" t="s">
        <v>2078</v>
      </c>
      <c r="DB359" s="249" t="s">
        <v>2078</v>
      </c>
    </row>
    <row r="360" spans="44:106" ht="15" customHeight="1" x14ac:dyDescent="0.2">
      <c r="AR360" s="252"/>
      <c r="AS360" s="252"/>
      <c r="AT360" s="249" t="s">
        <v>2078</v>
      </c>
      <c r="AU360" s="247"/>
      <c r="AX360" s="249" t="s">
        <v>2088</v>
      </c>
      <c r="BB360" s="249" t="s">
        <v>2078</v>
      </c>
      <c r="BF360" s="249" t="s">
        <v>2078</v>
      </c>
      <c r="BH360" s="252"/>
      <c r="BI360" s="252"/>
      <c r="BJ360" s="249" t="s">
        <v>2078</v>
      </c>
      <c r="BK360" s="247"/>
      <c r="BN360" s="249" t="s">
        <v>2088</v>
      </c>
      <c r="BR360" s="249" t="s">
        <v>2078</v>
      </c>
      <c r="BV360" s="249" t="s">
        <v>2078</v>
      </c>
      <c r="BX360" s="252"/>
      <c r="BY360" s="252"/>
      <c r="BZ360" s="249" t="s">
        <v>2078</v>
      </c>
      <c r="CA360" s="247"/>
      <c r="CD360" s="249" t="s">
        <v>2088</v>
      </c>
      <c r="CH360" s="249" t="s">
        <v>2078</v>
      </c>
      <c r="CL360" s="249" t="s">
        <v>2078</v>
      </c>
      <c r="CN360" s="252"/>
      <c r="CO360" s="252"/>
      <c r="CP360" s="249" t="s">
        <v>2078</v>
      </c>
      <c r="CQ360" s="247"/>
      <c r="CT360" s="249" t="s">
        <v>2088</v>
      </c>
      <c r="CX360" s="249" t="s">
        <v>2078</v>
      </c>
      <c r="DB360" s="249" t="s">
        <v>2078</v>
      </c>
    </row>
    <row r="361" spans="44:106" ht="15" customHeight="1" x14ac:dyDescent="0.2">
      <c r="AR361" s="252"/>
      <c r="AS361" s="252"/>
      <c r="AT361" s="249" t="s">
        <v>2078</v>
      </c>
      <c r="AU361" s="247"/>
      <c r="AX361" s="249" t="s">
        <v>2088</v>
      </c>
      <c r="BB361" s="249" t="s">
        <v>2078</v>
      </c>
      <c r="BF361" s="249" t="s">
        <v>2078</v>
      </c>
      <c r="BH361" s="252"/>
      <c r="BI361" s="252"/>
      <c r="BJ361" s="249" t="s">
        <v>2078</v>
      </c>
      <c r="BK361" s="247"/>
      <c r="BN361" s="249" t="s">
        <v>2088</v>
      </c>
      <c r="BR361" s="249" t="s">
        <v>2078</v>
      </c>
      <c r="BV361" s="249" t="s">
        <v>2078</v>
      </c>
      <c r="BX361" s="252"/>
      <c r="BY361" s="252"/>
      <c r="BZ361" s="249" t="s">
        <v>2078</v>
      </c>
      <c r="CA361" s="247"/>
      <c r="CD361" s="249" t="s">
        <v>2088</v>
      </c>
      <c r="CH361" s="249" t="s">
        <v>2078</v>
      </c>
      <c r="CL361" s="249" t="s">
        <v>2078</v>
      </c>
      <c r="CN361" s="252"/>
      <c r="CO361" s="252"/>
      <c r="CP361" s="249" t="s">
        <v>2078</v>
      </c>
      <c r="CQ361" s="247"/>
      <c r="CT361" s="249" t="s">
        <v>2088</v>
      </c>
      <c r="CX361" s="249" t="s">
        <v>2078</v>
      </c>
      <c r="DB361" s="249" t="s">
        <v>2078</v>
      </c>
    </row>
    <row r="362" spans="44:106" ht="15" customHeight="1" x14ac:dyDescent="0.2">
      <c r="AR362" s="252"/>
      <c r="AS362" s="252"/>
      <c r="AT362" s="249" t="s">
        <v>2078</v>
      </c>
      <c r="AU362" s="247"/>
      <c r="AX362" s="249" t="s">
        <v>2088</v>
      </c>
      <c r="BB362" s="249" t="s">
        <v>2078</v>
      </c>
      <c r="BF362" s="249" t="s">
        <v>2078</v>
      </c>
      <c r="BH362" s="252"/>
      <c r="BI362" s="252"/>
      <c r="BJ362" s="249" t="s">
        <v>2078</v>
      </c>
      <c r="BK362" s="247"/>
      <c r="BN362" s="249" t="s">
        <v>2088</v>
      </c>
      <c r="BR362" s="249" t="s">
        <v>2078</v>
      </c>
      <c r="BV362" s="249" t="s">
        <v>2078</v>
      </c>
      <c r="BX362" s="252"/>
      <c r="BY362" s="252"/>
      <c r="BZ362" s="249" t="s">
        <v>2078</v>
      </c>
      <c r="CA362" s="247"/>
      <c r="CD362" s="249" t="s">
        <v>2088</v>
      </c>
      <c r="CH362" s="249" t="s">
        <v>2078</v>
      </c>
      <c r="CL362" s="249" t="s">
        <v>2078</v>
      </c>
      <c r="CN362" s="252"/>
      <c r="CO362" s="252"/>
      <c r="CP362" s="249" t="s">
        <v>2078</v>
      </c>
      <c r="CQ362" s="247"/>
      <c r="CT362" s="249" t="s">
        <v>2088</v>
      </c>
      <c r="CX362" s="249" t="s">
        <v>2078</v>
      </c>
      <c r="DB362" s="249" t="s">
        <v>2078</v>
      </c>
    </row>
    <row r="363" spans="44:106" ht="15" customHeight="1" x14ac:dyDescent="0.2">
      <c r="AR363" s="252"/>
      <c r="AS363" s="252"/>
      <c r="AT363" s="249" t="s">
        <v>2078</v>
      </c>
      <c r="AU363" s="247"/>
      <c r="AX363" s="249" t="s">
        <v>2088</v>
      </c>
      <c r="BB363" s="249" t="s">
        <v>2078</v>
      </c>
      <c r="BF363" s="249" t="s">
        <v>2078</v>
      </c>
      <c r="BH363" s="252"/>
      <c r="BI363" s="252"/>
      <c r="BJ363" s="249" t="s">
        <v>2078</v>
      </c>
      <c r="BK363" s="247"/>
      <c r="BN363" s="249" t="s">
        <v>2088</v>
      </c>
      <c r="BR363" s="249" t="s">
        <v>2078</v>
      </c>
      <c r="BV363" s="249" t="s">
        <v>2078</v>
      </c>
      <c r="BX363" s="252"/>
      <c r="BY363" s="252"/>
      <c r="BZ363" s="249" t="s">
        <v>2078</v>
      </c>
      <c r="CA363" s="247"/>
      <c r="CD363" s="249" t="s">
        <v>2088</v>
      </c>
      <c r="CH363" s="249" t="s">
        <v>2078</v>
      </c>
      <c r="CL363" s="249" t="s">
        <v>2078</v>
      </c>
      <c r="CN363" s="252"/>
      <c r="CO363" s="252"/>
      <c r="CP363" s="249" t="s">
        <v>2078</v>
      </c>
      <c r="CQ363" s="247"/>
      <c r="CT363" s="249" t="s">
        <v>2088</v>
      </c>
      <c r="CX363" s="249" t="s">
        <v>2078</v>
      </c>
      <c r="DB363" s="249" t="s">
        <v>2078</v>
      </c>
    </row>
    <row r="364" spans="44:106" ht="15" customHeight="1" x14ac:dyDescent="0.2">
      <c r="AR364" s="252"/>
      <c r="AS364" s="252"/>
      <c r="AT364" s="249" t="s">
        <v>2078</v>
      </c>
      <c r="AU364" s="247"/>
      <c r="AX364" s="249" t="s">
        <v>2088</v>
      </c>
      <c r="BB364" s="249" t="s">
        <v>2078</v>
      </c>
      <c r="BF364" s="249" t="s">
        <v>2078</v>
      </c>
      <c r="BH364" s="252"/>
      <c r="BI364" s="252"/>
      <c r="BJ364" s="249" t="s">
        <v>2078</v>
      </c>
      <c r="BK364" s="247"/>
      <c r="BN364" s="249" t="s">
        <v>2088</v>
      </c>
      <c r="BR364" s="249" t="s">
        <v>2078</v>
      </c>
      <c r="BV364" s="249" t="s">
        <v>2078</v>
      </c>
      <c r="BX364" s="252"/>
      <c r="BY364" s="252"/>
      <c r="BZ364" s="249" t="s">
        <v>2078</v>
      </c>
      <c r="CA364" s="247"/>
      <c r="CD364" s="249" t="s">
        <v>2088</v>
      </c>
      <c r="CH364" s="249" t="s">
        <v>2078</v>
      </c>
      <c r="CL364" s="249" t="s">
        <v>2078</v>
      </c>
      <c r="CN364" s="252"/>
      <c r="CO364" s="252"/>
      <c r="CP364" s="249" t="s">
        <v>2078</v>
      </c>
      <c r="CQ364" s="247"/>
      <c r="CT364" s="249" t="s">
        <v>2088</v>
      </c>
      <c r="CX364" s="249" t="s">
        <v>2078</v>
      </c>
      <c r="DB364" s="249" t="s">
        <v>2078</v>
      </c>
    </row>
    <row r="365" spans="44:106" ht="15" customHeight="1" x14ac:dyDescent="0.2">
      <c r="AR365" s="252"/>
      <c r="AS365" s="252"/>
      <c r="AT365" s="249" t="s">
        <v>2078</v>
      </c>
      <c r="AU365" s="247"/>
      <c r="AX365" s="249" t="s">
        <v>2088</v>
      </c>
      <c r="BB365" s="249" t="s">
        <v>2078</v>
      </c>
      <c r="BF365" s="249" t="s">
        <v>2078</v>
      </c>
      <c r="BH365" s="252"/>
      <c r="BI365" s="252"/>
      <c r="BJ365" s="249" t="s">
        <v>2078</v>
      </c>
      <c r="BK365" s="247"/>
      <c r="BN365" s="249" t="s">
        <v>2088</v>
      </c>
      <c r="BR365" s="249" t="s">
        <v>2078</v>
      </c>
      <c r="BV365" s="249" t="s">
        <v>2078</v>
      </c>
      <c r="BX365" s="252"/>
      <c r="BY365" s="252"/>
      <c r="BZ365" s="249" t="s">
        <v>2078</v>
      </c>
      <c r="CA365" s="247"/>
      <c r="CD365" s="249" t="s">
        <v>2088</v>
      </c>
      <c r="CH365" s="249" t="s">
        <v>2078</v>
      </c>
      <c r="CL365" s="249" t="s">
        <v>2078</v>
      </c>
      <c r="CN365" s="252"/>
      <c r="CO365" s="252"/>
      <c r="CP365" s="249" t="s">
        <v>2078</v>
      </c>
      <c r="CQ365" s="247"/>
      <c r="CT365" s="249" t="s">
        <v>2088</v>
      </c>
      <c r="CX365" s="249" t="s">
        <v>2078</v>
      </c>
      <c r="DB365" s="249" t="s">
        <v>2078</v>
      </c>
    </row>
    <row r="366" spans="44:106" ht="15" customHeight="1" x14ac:dyDescent="0.2">
      <c r="AR366" s="252"/>
      <c r="AS366" s="252"/>
      <c r="AT366" s="249" t="s">
        <v>2078</v>
      </c>
      <c r="AU366" s="247"/>
      <c r="AX366" s="249" t="s">
        <v>2088</v>
      </c>
      <c r="BB366" s="249" t="s">
        <v>2078</v>
      </c>
      <c r="BF366" s="249" t="s">
        <v>2078</v>
      </c>
      <c r="BH366" s="252"/>
      <c r="BI366" s="252"/>
      <c r="BJ366" s="249" t="s">
        <v>2078</v>
      </c>
      <c r="BK366" s="247"/>
      <c r="BN366" s="249" t="s">
        <v>2088</v>
      </c>
      <c r="BR366" s="249" t="s">
        <v>2078</v>
      </c>
      <c r="BV366" s="249" t="s">
        <v>2078</v>
      </c>
      <c r="BX366" s="252"/>
      <c r="BY366" s="252"/>
      <c r="BZ366" s="249" t="s">
        <v>2078</v>
      </c>
      <c r="CA366" s="247"/>
      <c r="CD366" s="249" t="s">
        <v>2088</v>
      </c>
      <c r="CH366" s="249" t="s">
        <v>2078</v>
      </c>
      <c r="CL366" s="249" t="s">
        <v>2078</v>
      </c>
      <c r="CN366" s="252"/>
      <c r="CO366" s="252"/>
      <c r="CP366" s="249" t="s">
        <v>2078</v>
      </c>
      <c r="CQ366" s="247"/>
      <c r="CT366" s="249" t="s">
        <v>2088</v>
      </c>
      <c r="CX366" s="249" t="s">
        <v>2078</v>
      </c>
      <c r="DB366" s="249" t="s">
        <v>2078</v>
      </c>
    </row>
    <row r="367" spans="44:106" ht="15" customHeight="1" x14ac:dyDescent="0.2">
      <c r="AR367" s="252"/>
      <c r="AS367" s="252"/>
      <c r="AT367" s="249" t="s">
        <v>2078</v>
      </c>
      <c r="AU367" s="247"/>
      <c r="AX367" s="249" t="s">
        <v>2088</v>
      </c>
      <c r="BB367" s="249" t="s">
        <v>2078</v>
      </c>
      <c r="BF367" s="249" t="s">
        <v>2078</v>
      </c>
      <c r="BH367" s="252"/>
      <c r="BI367" s="252"/>
      <c r="BJ367" s="249" t="s">
        <v>2078</v>
      </c>
      <c r="BK367" s="247"/>
      <c r="BN367" s="249" t="s">
        <v>2088</v>
      </c>
      <c r="BR367" s="249" t="s">
        <v>2078</v>
      </c>
      <c r="BV367" s="249" t="s">
        <v>2078</v>
      </c>
      <c r="BX367" s="252"/>
      <c r="BY367" s="252"/>
      <c r="BZ367" s="249" t="s">
        <v>2078</v>
      </c>
      <c r="CA367" s="247"/>
      <c r="CD367" s="249" t="s">
        <v>2088</v>
      </c>
      <c r="CH367" s="249" t="s">
        <v>2078</v>
      </c>
      <c r="CL367" s="249" t="s">
        <v>2078</v>
      </c>
      <c r="CN367" s="252"/>
      <c r="CO367" s="252"/>
      <c r="CP367" s="249" t="s">
        <v>2078</v>
      </c>
      <c r="CQ367" s="247"/>
      <c r="CT367" s="249" t="s">
        <v>2088</v>
      </c>
      <c r="CX367" s="249" t="s">
        <v>2078</v>
      </c>
      <c r="DB367" s="249" t="s">
        <v>2078</v>
      </c>
    </row>
    <row r="368" spans="44:106" ht="15" customHeight="1" x14ac:dyDescent="0.2">
      <c r="AR368" s="252"/>
      <c r="AS368" s="252"/>
      <c r="AT368" s="249" t="s">
        <v>2078</v>
      </c>
      <c r="AU368" s="247"/>
      <c r="AX368" s="249" t="s">
        <v>2088</v>
      </c>
      <c r="BB368" s="249" t="s">
        <v>2078</v>
      </c>
      <c r="BF368" s="249" t="s">
        <v>2078</v>
      </c>
      <c r="BH368" s="252"/>
      <c r="BI368" s="252"/>
      <c r="BJ368" s="249" t="s">
        <v>2078</v>
      </c>
      <c r="BK368" s="247"/>
      <c r="BN368" s="249" t="s">
        <v>2088</v>
      </c>
      <c r="BR368" s="249" t="s">
        <v>2078</v>
      </c>
      <c r="BV368" s="249" t="s">
        <v>2078</v>
      </c>
      <c r="BX368" s="252"/>
      <c r="BY368" s="252"/>
      <c r="BZ368" s="249" t="s">
        <v>2078</v>
      </c>
      <c r="CA368" s="247"/>
      <c r="CD368" s="249" t="s">
        <v>2088</v>
      </c>
      <c r="CH368" s="249" t="s">
        <v>2078</v>
      </c>
      <c r="CL368" s="249" t="s">
        <v>2078</v>
      </c>
      <c r="CN368" s="252"/>
      <c r="CO368" s="252"/>
      <c r="CP368" s="249" t="s">
        <v>2078</v>
      </c>
      <c r="CQ368" s="247"/>
      <c r="CT368" s="249" t="s">
        <v>2088</v>
      </c>
      <c r="CX368" s="249" t="s">
        <v>2078</v>
      </c>
      <c r="DB368" s="249" t="s">
        <v>2078</v>
      </c>
    </row>
    <row r="369" spans="44:106" ht="15" customHeight="1" x14ac:dyDescent="0.2">
      <c r="AR369" s="252"/>
      <c r="AS369" s="252"/>
      <c r="AT369" s="249" t="s">
        <v>2078</v>
      </c>
      <c r="AU369" s="247"/>
      <c r="AX369" s="249" t="s">
        <v>2088</v>
      </c>
      <c r="BB369" s="249" t="s">
        <v>2078</v>
      </c>
      <c r="BF369" s="249" t="s">
        <v>2078</v>
      </c>
      <c r="BH369" s="252"/>
      <c r="BI369" s="252"/>
      <c r="BJ369" s="249" t="s">
        <v>2078</v>
      </c>
      <c r="BK369" s="247"/>
      <c r="BN369" s="249" t="s">
        <v>2088</v>
      </c>
      <c r="BR369" s="249" t="s">
        <v>2078</v>
      </c>
      <c r="BV369" s="249" t="s">
        <v>2078</v>
      </c>
      <c r="BX369" s="252"/>
      <c r="BY369" s="252"/>
      <c r="BZ369" s="249" t="s">
        <v>2078</v>
      </c>
      <c r="CA369" s="247"/>
      <c r="CD369" s="249" t="s">
        <v>2088</v>
      </c>
      <c r="CH369" s="249" t="s">
        <v>2078</v>
      </c>
      <c r="CL369" s="249" t="s">
        <v>2078</v>
      </c>
      <c r="CN369" s="252"/>
      <c r="CO369" s="252"/>
      <c r="CP369" s="249" t="s">
        <v>2078</v>
      </c>
      <c r="CQ369" s="247"/>
      <c r="CT369" s="249" t="s">
        <v>2088</v>
      </c>
      <c r="CX369" s="249" t="s">
        <v>2078</v>
      </c>
      <c r="DB369" s="249" t="s">
        <v>2078</v>
      </c>
    </row>
    <row r="370" spans="44:106" ht="15" customHeight="1" x14ac:dyDescent="0.2">
      <c r="AR370" s="252"/>
      <c r="AS370" s="252"/>
      <c r="AT370" s="249" t="s">
        <v>2078</v>
      </c>
      <c r="AU370" s="247"/>
      <c r="AX370" s="249" t="s">
        <v>2088</v>
      </c>
      <c r="BB370" s="249" t="s">
        <v>2078</v>
      </c>
      <c r="BF370" s="249" t="s">
        <v>2078</v>
      </c>
      <c r="BH370" s="252"/>
      <c r="BI370" s="252"/>
      <c r="BJ370" s="249" t="s">
        <v>2078</v>
      </c>
      <c r="BK370" s="247"/>
      <c r="BN370" s="249" t="s">
        <v>2088</v>
      </c>
      <c r="BR370" s="249" t="s">
        <v>2078</v>
      </c>
      <c r="BV370" s="249" t="s">
        <v>2078</v>
      </c>
      <c r="BX370" s="252"/>
      <c r="BY370" s="252"/>
      <c r="BZ370" s="249" t="s">
        <v>2078</v>
      </c>
      <c r="CA370" s="247"/>
      <c r="CD370" s="249" t="s">
        <v>2088</v>
      </c>
      <c r="CH370" s="249" t="s">
        <v>2078</v>
      </c>
      <c r="CL370" s="249" t="s">
        <v>2078</v>
      </c>
      <c r="CN370" s="252"/>
      <c r="CO370" s="252"/>
      <c r="CP370" s="249" t="s">
        <v>2078</v>
      </c>
      <c r="CQ370" s="247"/>
      <c r="CT370" s="249" t="s">
        <v>2088</v>
      </c>
      <c r="CX370" s="249" t="s">
        <v>2078</v>
      </c>
      <c r="DB370" s="249" t="s">
        <v>2078</v>
      </c>
    </row>
    <row r="371" spans="44:106" ht="15" customHeight="1" x14ac:dyDescent="0.2">
      <c r="AR371" s="252"/>
      <c r="AS371" s="252"/>
      <c r="AT371" s="249" t="s">
        <v>2078</v>
      </c>
      <c r="AU371" s="247"/>
      <c r="AX371" s="249" t="s">
        <v>2088</v>
      </c>
      <c r="BB371" s="249" t="s">
        <v>2078</v>
      </c>
      <c r="BF371" s="249" t="s">
        <v>2078</v>
      </c>
      <c r="BH371" s="252"/>
      <c r="BI371" s="252"/>
      <c r="BJ371" s="249" t="s">
        <v>2078</v>
      </c>
      <c r="BK371" s="247"/>
      <c r="BN371" s="249" t="s">
        <v>2088</v>
      </c>
      <c r="BR371" s="249" t="s">
        <v>2078</v>
      </c>
      <c r="BV371" s="249" t="s">
        <v>2078</v>
      </c>
      <c r="BX371" s="252"/>
      <c r="BY371" s="252"/>
      <c r="BZ371" s="249" t="s">
        <v>2078</v>
      </c>
      <c r="CA371" s="247"/>
      <c r="CD371" s="249" t="s">
        <v>2088</v>
      </c>
      <c r="CH371" s="249" t="s">
        <v>2078</v>
      </c>
      <c r="CL371" s="249" t="s">
        <v>2078</v>
      </c>
      <c r="CN371" s="252"/>
      <c r="CO371" s="252"/>
      <c r="CP371" s="249" t="s">
        <v>2078</v>
      </c>
      <c r="CQ371" s="247"/>
      <c r="CT371" s="249" t="s">
        <v>2088</v>
      </c>
      <c r="CX371" s="249" t="s">
        <v>2078</v>
      </c>
      <c r="DB371" s="249" t="s">
        <v>2078</v>
      </c>
    </row>
    <row r="372" spans="44:106" ht="15" customHeight="1" x14ac:dyDescent="0.2">
      <c r="AR372" s="252"/>
      <c r="AS372" s="252"/>
      <c r="AT372" s="249" t="s">
        <v>2078</v>
      </c>
      <c r="AU372" s="247"/>
      <c r="AX372" s="249" t="s">
        <v>2088</v>
      </c>
      <c r="BB372" s="249" t="s">
        <v>2078</v>
      </c>
      <c r="BF372" s="249" t="s">
        <v>2078</v>
      </c>
      <c r="BH372" s="252"/>
      <c r="BI372" s="252"/>
      <c r="BJ372" s="249" t="s">
        <v>2078</v>
      </c>
      <c r="BK372" s="247"/>
      <c r="BN372" s="249" t="s">
        <v>2088</v>
      </c>
      <c r="BR372" s="249" t="s">
        <v>2078</v>
      </c>
      <c r="BV372" s="249" t="s">
        <v>2078</v>
      </c>
      <c r="BX372" s="252"/>
      <c r="BY372" s="252"/>
      <c r="BZ372" s="249" t="s">
        <v>2078</v>
      </c>
      <c r="CA372" s="247"/>
      <c r="CD372" s="249" t="s">
        <v>2088</v>
      </c>
      <c r="CH372" s="249" t="s">
        <v>2078</v>
      </c>
      <c r="CL372" s="249" t="s">
        <v>2078</v>
      </c>
      <c r="CN372" s="252"/>
      <c r="CO372" s="252"/>
      <c r="CP372" s="249" t="s">
        <v>2078</v>
      </c>
      <c r="CQ372" s="247"/>
      <c r="CT372" s="249" t="s">
        <v>2088</v>
      </c>
      <c r="CX372" s="249" t="s">
        <v>2078</v>
      </c>
      <c r="DB372" s="249" t="s">
        <v>2078</v>
      </c>
    </row>
    <row r="373" spans="44:106" ht="15" customHeight="1" x14ac:dyDescent="0.2">
      <c r="AR373" s="252"/>
      <c r="AS373" s="252"/>
      <c r="AT373" s="249" t="s">
        <v>2078</v>
      </c>
      <c r="AU373" s="247"/>
      <c r="AX373" s="249" t="s">
        <v>2088</v>
      </c>
      <c r="BB373" s="249" t="s">
        <v>2078</v>
      </c>
      <c r="BF373" s="249" t="s">
        <v>2078</v>
      </c>
      <c r="BH373" s="252"/>
      <c r="BI373" s="252"/>
      <c r="BJ373" s="249" t="s">
        <v>2078</v>
      </c>
      <c r="BK373" s="247"/>
      <c r="BN373" s="249" t="s">
        <v>2088</v>
      </c>
      <c r="BR373" s="249" t="s">
        <v>2078</v>
      </c>
      <c r="BV373" s="249" t="s">
        <v>2078</v>
      </c>
      <c r="BX373" s="252"/>
      <c r="BY373" s="252"/>
      <c r="BZ373" s="249" t="s">
        <v>2078</v>
      </c>
      <c r="CA373" s="247"/>
      <c r="CD373" s="249" t="s">
        <v>2088</v>
      </c>
      <c r="CH373" s="249" t="s">
        <v>2078</v>
      </c>
      <c r="CL373" s="249" t="s">
        <v>2078</v>
      </c>
      <c r="CN373" s="252"/>
      <c r="CO373" s="252"/>
      <c r="CP373" s="249" t="s">
        <v>2078</v>
      </c>
      <c r="CQ373" s="247"/>
      <c r="CT373" s="249" t="s">
        <v>2088</v>
      </c>
      <c r="CX373" s="249" t="s">
        <v>2078</v>
      </c>
      <c r="DB373" s="249" t="s">
        <v>2078</v>
      </c>
    </row>
    <row r="374" spans="44:106" ht="15" customHeight="1" x14ac:dyDescent="0.2">
      <c r="AR374" s="252"/>
      <c r="AS374" s="252"/>
      <c r="AT374" s="249" t="s">
        <v>2078</v>
      </c>
      <c r="AU374" s="247"/>
      <c r="AX374" s="249" t="s">
        <v>2088</v>
      </c>
      <c r="BB374" s="249" t="s">
        <v>2078</v>
      </c>
      <c r="BF374" s="249" t="s">
        <v>2078</v>
      </c>
      <c r="BH374" s="252"/>
      <c r="BI374" s="252"/>
      <c r="BJ374" s="249" t="s">
        <v>2078</v>
      </c>
      <c r="BK374" s="247"/>
      <c r="BN374" s="249" t="s">
        <v>2088</v>
      </c>
      <c r="BR374" s="249" t="s">
        <v>2078</v>
      </c>
      <c r="BV374" s="249" t="s">
        <v>2078</v>
      </c>
      <c r="BX374" s="252"/>
      <c r="BY374" s="252"/>
      <c r="BZ374" s="249" t="s">
        <v>2078</v>
      </c>
      <c r="CA374" s="247"/>
      <c r="CD374" s="249" t="s">
        <v>2088</v>
      </c>
      <c r="CH374" s="249" t="s">
        <v>2078</v>
      </c>
      <c r="CL374" s="249" t="s">
        <v>2078</v>
      </c>
      <c r="CN374" s="252"/>
      <c r="CO374" s="252"/>
      <c r="CP374" s="249" t="s">
        <v>2078</v>
      </c>
      <c r="CQ374" s="247"/>
      <c r="CT374" s="249" t="s">
        <v>2088</v>
      </c>
      <c r="CX374" s="249" t="s">
        <v>2078</v>
      </c>
      <c r="DB374" s="249" t="s">
        <v>2078</v>
      </c>
    </row>
    <row r="375" spans="44:106" ht="15" customHeight="1" x14ac:dyDescent="0.2">
      <c r="AR375" s="252"/>
      <c r="AS375" s="252"/>
      <c r="AT375" s="249" t="s">
        <v>2078</v>
      </c>
      <c r="AU375" s="247"/>
      <c r="AX375" s="249" t="s">
        <v>2088</v>
      </c>
      <c r="BB375" s="249" t="s">
        <v>2078</v>
      </c>
      <c r="BF375" s="249" t="s">
        <v>2078</v>
      </c>
      <c r="BH375" s="252"/>
      <c r="BI375" s="252"/>
      <c r="BJ375" s="249" t="s">
        <v>2078</v>
      </c>
      <c r="BK375" s="247"/>
      <c r="BN375" s="249" t="s">
        <v>2088</v>
      </c>
      <c r="BR375" s="249" t="s">
        <v>2078</v>
      </c>
      <c r="BV375" s="249" t="s">
        <v>2078</v>
      </c>
      <c r="BX375" s="252"/>
      <c r="BY375" s="252"/>
      <c r="BZ375" s="249" t="s">
        <v>2078</v>
      </c>
      <c r="CA375" s="247"/>
      <c r="CD375" s="249" t="s">
        <v>2088</v>
      </c>
      <c r="CH375" s="249" t="s">
        <v>2078</v>
      </c>
      <c r="CL375" s="249" t="s">
        <v>2078</v>
      </c>
      <c r="CN375" s="252"/>
      <c r="CO375" s="252"/>
      <c r="CP375" s="249" t="s">
        <v>2078</v>
      </c>
      <c r="CQ375" s="247"/>
      <c r="CT375" s="249" t="s">
        <v>2088</v>
      </c>
      <c r="CX375" s="249" t="s">
        <v>2078</v>
      </c>
      <c r="DB375" s="249" t="s">
        <v>2078</v>
      </c>
    </row>
    <row r="376" spans="44:106" ht="15" customHeight="1" x14ac:dyDescent="0.2">
      <c r="AR376" s="252"/>
      <c r="AS376" s="252"/>
      <c r="AT376" s="249" t="s">
        <v>2078</v>
      </c>
      <c r="AU376" s="247"/>
      <c r="AX376" s="249" t="s">
        <v>2088</v>
      </c>
      <c r="BB376" s="249" t="s">
        <v>2078</v>
      </c>
      <c r="BF376" s="249" t="s">
        <v>2078</v>
      </c>
      <c r="BH376" s="252"/>
      <c r="BI376" s="252"/>
      <c r="BJ376" s="249" t="s">
        <v>2078</v>
      </c>
      <c r="BK376" s="247"/>
      <c r="BN376" s="249" t="s">
        <v>2088</v>
      </c>
      <c r="BR376" s="249" t="s">
        <v>2078</v>
      </c>
      <c r="BV376" s="249" t="s">
        <v>2078</v>
      </c>
      <c r="BX376" s="252"/>
      <c r="BY376" s="252"/>
      <c r="BZ376" s="249" t="s">
        <v>2078</v>
      </c>
      <c r="CA376" s="247"/>
      <c r="CD376" s="249" t="s">
        <v>2088</v>
      </c>
      <c r="CH376" s="249" t="s">
        <v>2078</v>
      </c>
      <c r="CL376" s="249" t="s">
        <v>2078</v>
      </c>
      <c r="CN376" s="252"/>
      <c r="CO376" s="252"/>
      <c r="CP376" s="249" t="s">
        <v>2078</v>
      </c>
      <c r="CQ376" s="247"/>
      <c r="CT376" s="249" t="s">
        <v>2088</v>
      </c>
      <c r="CX376" s="249" t="s">
        <v>2078</v>
      </c>
      <c r="DB376" s="249" t="s">
        <v>2078</v>
      </c>
    </row>
    <row r="377" spans="44:106" ht="15" customHeight="1" x14ac:dyDescent="0.2">
      <c r="AR377" s="252"/>
      <c r="AS377" s="252"/>
      <c r="AT377" s="249" t="s">
        <v>2078</v>
      </c>
      <c r="AU377" s="247"/>
      <c r="AX377" s="249" t="s">
        <v>2088</v>
      </c>
      <c r="BB377" s="249" t="s">
        <v>2078</v>
      </c>
      <c r="BF377" s="249" t="s">
        <v>2078</v>
      </c>
      <c r="BH377" s="252"/>
      <c r="BI377" s="252"/>
      <c r="BJ377" s="249" t="s">
        <v>2078</v>
      </c>
      <c r="BK377" s="247"/>
      <c r="BN377" s="249" t="s">
        <v>2088</v>
      </c>
      <c r="BR377" s="249" t="s">
        <v>2078</v>
      </c>
      <c r="BV377" s="249" t="s">
        <v>2078</v>
      </c>
      <c r="BX377" s="252"/>
      <c r="BY377" s="252"/>
      <c r="BZ377" s="249" t="s">
        <v>2078</v>
      </c>
      <c r="CA377" s="247"/>
      <c r="CD377" s="249" t="s">
        <v>2088</v>
      </c>
      <c r="CH377" s="249" t="s">
        <v>2078</v>
      </c>
      <c r="CL377" s="249" t="s">
        <v>2078</v>
      </c>
      <c r="CN377" s="252"/>
      <c r="CO377" s="252"/>
      <c r="CP377" s="249" t="s">
        <v>2078</v>
      </c>
      <c r="CQ377" s="247"/>
      <c r="CT377" s="249" t="s">
        <v>2088</v>
      </c>
      <c r="CX377" s="249" t="s">
        <v>2078</v>
      </c>
      <c r="DB377" s="249" t="s">
        <v>2078</v>
      </c>
    </row>
    <row r="378" spans="44:106" ht="15" customHeight="1" x14ac:dyDescent="0.2">
      <c r="AR378" s="252"/>
      <c r="AS378" s="252"/>
      <c r="AT378" s="249" t="s">
        <v>2078</v>
      </c>
      <c r="AU378" s="247"/>
      <c r="AX378" s="249" t="s">
        <v>2088</v>
      </c>
      <c r="BB378" s="249" t="s">
        <v>2078</v>
      </c>
      <c r="BF378" s="249" t="s">
        <v>2078</v>
      </c>
      <c r="BH378" s="252"/>
      <c r="BI378" s="252"/>
      <c r="BJ378" s="249" t="s">
        <v>2078</v>
      </c>
      <c r="BK378" s="247"/>
      <c r="BN378" s="249" t="s">
        <v>2088</v>
      </c>
      <c r="BR378" s="249" t="s">
        <v>2078</v>
      </c>
      <c r="BV378" s="249" t="s">
        <v>2078</v>
      </c>
      <c r="BX378" s="252"/>
      <c r="BY378" s="252"/>
      <c r="BZ378" s="249" t="s">
        <v>2078</v>
      </c>
      <c r="CA378" s="247"/>
      <c r="CD378" s="249" t="s">
        <v>2088</v>
      </c>
      <c r="CH378" s="249" t="s">
        <v>2078</v>
      </c>
      <c r="CL378" s="249" t="s">
        <v>2078</v>
      </c>
      <c r="CN378" s="252"/>
      <c r="CO378" s="252"/>
      <c r="CP378" s="249" t="s">
        <v>2078</v>
      </c>
      <c r="CQ378" s="247"/>
      <c r="CT378" s="249" t="s">
        <v>2088</v>
      </c>
      <c r="CX378" s="249" t="s">
        <v>2078</v>
      </c>
      <c r="DB378" s="249" t="s">
        <v>2078</v>
      </c>
    </row>
    <row r="379" spans="44:106" ht="15" customHeight="1" x14ac:dyDescent="0.2">
      <c r="AR379" s="252"/>
      <c r="AS379" s="252"/>
      <c r="AT379" s="249" t="s">
        <v>2078</v>
      </c>
      <c r="AU379" s="247"/>
      <c r="AX379" s="249" t="s">
        <v>2088</v>
      </c>
      <c r="BB379" s="249" t="s">
        <v>2078</v>
      </c>
      <c r="BF379" s="249" t="s">
        <v>2078</v>
      </c>
      <c r="BH379" s="252"/>
      <c r="BI379" s="252"/>
      <c r="BJ379" s="249" t="s">
        <v>2078</v>
      </c>
      <c r="BK379" s="247"/>
      <c r="BN379" s="249" t="s">
        <v>2088</v>
      </c>
      <c r="BR379" s="249" t="s">
        <v>2078</v>
      </c>
      <c r="BV379" s="249" t="s">
        <v>2078</v>
      </c>
      <c r="BX379" s="252"/>
      <c r="BY379" s="252"/>
      <c r="BZ379" s="249" t="s">
        <v>2078</v>
      </c>
      <c r="CA379" s="247"/>
      <c r="CD379" s="249" t="s">
        <v>2088</v>
      </c>
      <c r="CH379" s="249" t="s">
        <v>2078</v>
      </c>
      <c r="CL379" s="249" t="s">
        <v>2078</v>
      </c>
      <c r="CN379" s="252"/>
      <c r="CO379" s="252"/>
      <c r="CP379" s="249" t="s">
        <v>2078</v>
      </c>
      <c r="CQ379" s="247"/>
      <c r="CT379" s="249" t="s">
        <v>2088</v>
      </c>
      <c r="CX379" s="249" t="s">
        <v>2078</v>
      </c>
      <c r="DB379" s="249" t="s">
        <v>2078</v>
      </c>
    </row>
    <row r="380" spans="44:106" ht="15" customHeight="1" x14ac:dyDescent="0.2">
      <c r="AR380" s="252"/>
      <c r="AS380" s="252"/>
      <c r="AT380" s="249" t="s">
        <v>2078</v>
      </c>
      <c r="AU380" s="247"/>
      <c r="AX380" s="249" t="s">
        <v>2088</v>
      </c>
      <c r="BB380" s="249" t="s">
        <v>2078</v>
      </c>
      <c r="BF380" s="249" t="s">
        <v>2078</v>
      </c>
      <c r="BH380" s="252"/>
      <c r="BI380" s="252"/>
      <c r="BJ380" s="249" t="s">
        <v>2078</v>
      </c>
      <c r="BK380" s="247"/>
      <c r="BN380" s="249" t="s">
        <v>2088</v>
      </c>
      <c r="BR380" s="249" t="s">
        <v>2078</v>
      </c>
      <c r="BV380" s="249" t="s">
        <v>2078</v>
      </c>
      <c r="BX380" s="252"/>
      <c r="BY380" s="252"/>
      <c r="BZ380" s="249" t="s">
        <v>2078</v>
      </c>
      <c r="CA380" s="247"/>
      <c r="CD380" s="249" t="s">
        <v>2088</v>
      </c>
      <c r="CH380" s="249" t="s">
        <v>2078</v>
      </c>
      <c r="CL380" s="249" t="s">
        <v>2078</v>
      </c>
      <c r="CN380" s="252"/>
      <c r="CO380" s="252"/>
      <c r="CP380" s="249" t="s">
        <v>2078</v>
      </c>
      <c r="CQ380" s="247"/>
      <c r="CT380" s="249" t="s">
        <v>2088</v>
      </c>
      <c r="CX380" s="249" t="s">
        <v>2078</v>
      </c>
      <c r="DB380" s="249" t="s">
        <v>2078</v>
      </c>
    </row>
    <row r="381" spans="44:106" ht="15" customHeight="1" x14ac:dyDescent="0.2">
      <c r="AR381" s="252"/>
      <c r="AS381" s="252"/>
      <c r="AT381" s="249" t="s">
        <v>2078</v>
      </c>
      <c r="AU381" s="247"/>
      <c r="AX381" s="249" t="s">
        <v>2088</v>
      </c>
      <c r="BB381" s="249" t="s">
        <v>2078</v>
      </c>
      <c r="BF381" s="249" t="s">
        <v>2078</v>
      </c>
      <c r="BH381" s="252"/>
      <c r="BI381" s="252"/>
      <c r="BJ381" s="249" t="s">
        <v>2078</v>
      </c>
      <c r="BK381" s="247"/>
      <c r="BN381" s="249" t="s">
        <v>2088</v>
      </c>
      <c r="BR381" s="249" t="s">
        <v>2078</v>
      </c>
      <c r="BV381" s="249" t="s">
        <v>2078</v>
      </c>
      <c r="BX381" s="252"/>
      <c r="BY381" s="252"/>
      <c r="BZ381" s="249" t="s">
        <v>2078</v>
      </c>
      <c r="CA381" s="247"/>
      <c r="CD381" s="249" t="s">
        <v>2088</v>
      </c>
      <c r="CH381" s="249" t="s">
        <v>2078</v>
      </c>
      <c r="CL381" s="249" t="s">
        <v>2078</v>
      </c>
      <c r="CN381" s="252"/>
      <c r="CO381" s="252"/>
      <c r="CP381" s="249" t="s">
        <v>2078</v>
      </c>
      <c r="CQ381" s="247"/>
      <c r="CT381" s="249" t="s">
        <v>2088</v>
      </c>
      <c r="CX381" s="249" t="s">
        <v>2078</v>
      </c>
      <c r="DB381" s="249" t="s">
        <v>2078</v>
      </c>
    </row>
    <row r="382" spans="44:106" ht="15" customHeight="1" x14ac:dyDescent="0.2">
      <c r="AR382" s="252"/>
      <c r="AS382" s="252"/>
      <c r="AT382" s="249" t="s">
        <v>2078</v>
      </c>
      <c r="AU382" s="247"/>
      <c r="AX382" s="249" t="s">
        <v>2088</v>
      </c>
      <c r="BB382" s="249" t="s">
        <v>2078</v>
      </c>
      <c r="BF382" s="249" t="s">
        <v>2078</v>
      </c>
      <c r="BH382" s="252"/>
      <c r="BI382" s="252"/>
      <c r="BJ382" s="249" t="s">
        <v>2078</v>
      </c>
      <c r="BK382" s="247"/>
      <c r="BN382" s="249" t="s">
        <v>2088</v>
      </c>
      <c r="BR382" s="249" t="s">
        <v>2078</v>
      </c>
      <c r="BV382" s="249" t="s">
        <v>2078</v>
      </c>
      <c r="BX382" s="252"/>
      <c r="BY382" s="252"/>
      <c r="BZ382" s="249" t="s">
        <v>2078</v>
      </c>
      <c r="CA382" s="247"/>
      <c r="CD382" s="249" t="s">
        <v>2088</v>
      </c>
      <c r="CH382" s="249" t="s">
        <v>2078</v>
      </c>
      <c r="CL382" s="249" t="s">
        <v>2078</v>
      </c>
      <c r="CN382" s="252"/>
      <c r="CO382" s="252"/>
      <c r="CP382" s="249" t="s">
        <v>2078</v>
      </c>
      <c r="CQ382" s="247"/>
      <c r="CT382" s="249" t="s">
        <v>2088</v>
      </c>
      <c r="CX382" s="249" t="s">
        <v>2078</v>
      </c>
      <c r="DB382" s="249" t="s">
        <v>2078</v>
      </c>
    </row>
    <row r="383" spans="44:106" ht="15" customHeight="1" x14ac:dyDescent="0.2">
      <c r="AR383" s="252"/>
      <c r="AS383" s="252"/>
      <c r="AT383" s="249" t="s">
        <v>2078</v>
      </c>
      <c r="AU383" s="247"/>
      <c r="AX383" s="249" t="s">
        <v>2088</v>
      </c>
      <c r="BB383" s="249" t="s">
        <v>2078</v>
      </c>
      <c r="BF383" s="249" t="s">
        <v>2078</v>
      </c>
      <c r="BH383" s="252"/>
      <c r="BI383" s="252"/>
      <c r="BJ383" s="249" t="s">
        <v>2078</v>
      </c>
      <c r="BK383" s="247"/>
      <c r="BN383" s="249" t="s">
        <v>2088</v>
      </c>
      <c r="BR383" s="249" t="s">
        <v>2078</v>
      </c>
      <c r="BV383" s="249" t="s">
        <v>2078</v>
      </c>
      <c r="BX383" s="252"/>
      <c r="BY383" s="252"/>
      <c r="BZ383" s="249" t="s">
        <v>2078</v>
      </c>
      <c r="CA383" s="247"/>
      <c r="CD383" s="249" t="s">
        <v>2088</v>
      </c>
      <c r="CH383" s="249" t="s">
        <v>2078</v>
      </c>
      <c r="CL383" s="249" t="s">
        <v>2078</v>
      </c>
      <c r="CN383" s="252"/>
      <c r="CO383" s="252"/>
      <c r="CP383" s="249" t="s">
        <v>2078</v>
      </c>
      <c r="CQ383" s="247"/>
      <c r="CT383" s="249" t="s">
        <v>2088</v>
      </c>
      <c r="CX383" s="249" t="s">
        <v>2078</v>
      </c>
      <c r="DB383" s="249" t="s">
        <v>2078</v>
      </c>
    </row>
    <row r="384" spans="44:106" ht="15" customHeight="1" x14ac:dyDescent="0.2">
      <c r="AR384" s="252"/>
      <c r="AS384" s="252"/>
      <c r="AT384" s="249" t="s">
        <v>2078</v>
      </c>
      <c r="AU384" s="247"/>
      <c r="AX384" s="249" t="s">
        <v>2088</v>
      </c>
      <c r="BB384" s="249" t="s">
        <v>2078</v>
      </c>
      <c r="BF384" s="249" t="s">
        <v>2078</v>
      </c>
      <c r="BH384" s="252"/>
      <c r="BI384" s="252"/>
      <c r="BJ384" s="249" t="s">
        <v>2078</v>
      </c>
      <c r="BK384" s="247"/>
      <c r="BN384" s="249" t="s">
        <v>2088</v>
      </c>
      <c r="BR384" s="249" t="s">
        <v>2078</v>
      </c>
      <c r="BV384" s="249" t="s">
        <v>2078</v>
      </c>
      <c r="BX384" s="252"/>
      <c r="BY384" s="252"/>
      <c r="BZ384" s="249" t="s">
        <v>2078</v>
      </c>
      <c r="CA384" s="247"/>
      <c r="CD384" s="249" t="s">
        <v>2088</v>
      </c>
      <c r="CH384" s="249" t="s">
        <v>2078</v>
      </c>
      <c r="CL384" s="249" t="s">
        <v>2078</v>
      </c>
      <c r="CN384" s="252"/>
      <c r="CO384" s="252"/>
      <c r="CP384" s="249" t="s">
        <v>2078</v>
      </c>
      <c r="CQ384" s="247"/>
      <c r="CT384" s="249" t="s">
        <v>2088</v>
      </c>
      <c r="CX384" s="249" t="s">
        <v>2078</v>
      </c>
      <c r="DB384" s="249" t="s">
        <v>2078</v>
      </c>
    </row>
    <row r="385" spans="44:106" ht="15" customHeight="1" x14ac:dyDescent="0.2">
      <c r="AR385" s="252"/>
      <c r="AS385" s="252"/>
      <c r="AT385" s="249" t="s">
        <v>2078</v>
      </c>
      <c r="AU385" s="247"/>
      <c r="AX385" s="249" t="s">
        <v>2088</v>
      </c>
      <c r="BB385" s="249" t="s">
        <v>2078</v>
      </c>
      <c r="BF385" s="249" t="s">
        <v>2078</v>
      </c>
      <c r="BH385" s="252"/>
      <c r="BI385" s="252"/>
      <c r="BJ385" s="249" t="s">
        <v>2078</v>
      </c>
      <c r="BK385" s="247"/>
      <c r="BN385" s="249" t="s">
        <v>2088</v>
      </c>
      <c r="BR385" s="249" t="s">
        <v>2078</v>
      </c>
      <c r="BV385" s="249" t="s">
        <v>2078</v>
      </c>
      <c r="BX385" s="252"/>
      <c r="BY385" s="252"/>
      <c r="BZ385" s="249" t="s">
        <v>2078</v>
      </c>
      <c r="CA385" s="247"/>
      <c r="CD385" s="249" t="s">
        <v>2088</v>
      </c>
      <c r="CH385" s="249" t="s">
        <v>2078</v>
      </c>
      <c r="CL385" s="249" t="s">
        <v>2078</v>
      </c>
      <c r="CN385" s="252"/>
      <c r="CO385" s="252"/>
      <c r="CP385" s="249" t="s">
        <v>2078</v>
      </c>
      <c r="CQ385" s="247"/>
      <c r="CT385" s="249" t="s">
        <v>2088</v>
      </c>
      <c r="CX385" s="249" t="s">
        <v>2078</v>
      </c>
      <c r="DB385" s="249" t="s">
        <v>2078</v>
      </c>
    </row>
    <row r="386" spans="44:106" ht="15" customHeight="1" x14ac:dyDescent="0.2">
      <c r="AR386" s="252"/>
      <c r="AS386" s="252"/>
      <c r="AT386" s="249" t="s">
        <v>2078</v>
      </c>
      <c r="AU386" s="247"/>
      <c r="AX386" s="249" t="s">
        <v>2088</v>
      </c>
      <c r="BB386" s="249" t="s">
        <v>2078</v>
      </c>
      <c r="BF386" s="249" t="s">
        <v>2078</v>
      </c>
      <c r="BH386" s="252"/>
      <c r="BI386" s="252"/>
      <c r="BJ386" s="249" t="s">
        <v>2078</v>
      </c>
      <c r="BK386" s="247"/>
      <c r="BN386" s="249" t="s">
        <v>2088</v>
      </c>
      <c r="BR386" s="249" t="s">
        <v>2078</v>
      </c>
      <c r="BV386" s="249" t="s">
        <v>2078</v>
      </c>
      <c r="BX386" s="252"/>
      <c r="BY386" s="252"/>
      <c r="BZ386" s="249" t="s">
        <v>2078</v>
      </c>
      <c r="CA386" s="247"/>
      <c r="CD386" s="249" t="s">
        <v>2088</v>
      </c>
      <c r="CH386" s="249" t="s">
        <v>2078</v>
      </c>
      <c r="CL386" s="249" t="s">
        <v>2078</v>
      </c>
      <c r="CN386" s="252"/>
      <c r="CO386" s="252"/>
      <c r="CP386" s="249" t="s">
        <v>2078</v>
      </c>
      <c r="CQ386" s="247"/>
      <c r="CT386" s="249" t="s">
        <v>2088</v>
      </c>
      <c r="CX386" s="249" t="s">
        <v>2078</v>
      </c>
      <c r="DB386" s="249" t="s">
        <v>2078</v>
      </c>
    </row>
    <row r="387" spans="44:106" ht="15" customHeight="1" x14ac:dyDescent="0.2">
      <c r="AR387" s="252"/>
      <c r="AS387" s="252"/>
      <c r="AT387" s="249" t="s">
        <v>2078</v>
      </c>
      <c r="AU387" s="247"/>
      <c r="AX387" s="249" t="s">
        <v>2088</v>
      </c>
      <c r="BB387" s="249" t="s">
        <v>2078</v>
      </c>
      <c r="BF387" s="249" t="s">
        <v>2078</v>
      </c>
      <c r="BH387" s="252"/>
      <c r="BI387" s="252"/>
      <c r="BJ387" s="249" t="s">
        <v>2078</v>
      </c>
      <c r="BK387" s="247"/>
      <c r="BN387" s="249" t="s">
        <v>2088</v>
      </c>
      <c r="BR387" s="249" t="s">
        <v>2078</v>
      </c>
      <c r="BV387" s="249" t="s">
        <v>2078</v>
      </c>
      <c r="BX387" s="252"/>
      <c r="BY387" s="252"/>
      <c r="BZ387" s="249" t="s">
        <v>2078</v>
      </c>
      <c r="CA387" s="247"/>
      <c r="CD387" s="249" t="s">
        <v>2088</v>
      </c>
      <c r="CH387" s="249" t="s">
        <v>2078</v>
      </c>
      <c r="CL387" s="249" t="s">
        <v>2078</v>
      </c>
      <c r="CN387" s="252"/>
      <c r="CO387" s="252"/>
      <c r="CP387" s="249" t="s">
        <v>2078</v>
      </c>
      <c r="CQ387" s="247"/>
      <c r="CT387" s="249" t="s">
        <v>2088</v>
      </c>
      <c r="CX387" s="249" t="s">
        <v>2078</v>
      </c>
      <c r="DB387" s="249" t="s">
        <v>2078</v>
      </c>
    </row>
    <row r="388" spans="44:106" ht="15" customHeight="1" x14ac:dyDescent="0.2">
      <c r="AR388" s="252"/>
      <c r="AS388" s="252"/>
      <c r="AT388" s="249" t="s">
        <v>2078</v>
      </c>
      <c r="AU388" s="247"/>
      <c r="AX388" s="249" t="s">
        <v>2088</v>
      </c>
      <c r="BB388" s="249" t="s">
        <v>2078</v>
      </c>
      <c r="BF388" s="249" t="s">
        <v>2078</v>
      </c>
      <c r="BH388" s="252"/>
      <c r="BI388" s="252"/>
      <c r="BJ388" s="249" t="s">
        <v>2078</v>
      </c>
      <c r="BK388" s="247"/>
      <c r="BN388" s="249" t="s">
        <v>2088</v>
      </c>
      <c r="BR388" s="249" t="s">
        <v>2078</v>
      </c>
      <c r="BV388" s="249" t="s">
        <v>2078</v>
      </c>
      <c r="BX388" s="252"/>
      <c r="BY388" s="252"/>
      <c r="BZ388" s="249" t="s">
        <v>2078</v>
      </c>
      <c r="CA388" s="247"/>
      <c r="CD388" s="249" t="s">
        <v>2088</v>
      </c>
      <c r="CH388" s="249" t="s">
        <v>2078</v>
      </c>
      <c r="CL388" s="249" t="s">
        <v>2078</v>
      </c>
      <c r="CN388" s="252"/>
      <c r="CO388" s="252"/>
      <c r="CP388" s="249" t="s">
        <v>2078</v>
      </c>
      <c r="CQ388" s="247"/>
      <c r="CT388" s="249" t="s">
        <v>2088</v>
      </c>
      <c r="CX388" s="249" t="s">
        <v>2078</v>
      </c>
      <c r="DB388" s="249" t="s">
        <v>2078</v>
      </c>
    </row>
    <row r="389" spans="44:106" ht="15" customHeight="1" x14ac:dyDescent="0.2">
      <c r="AR389" s="252"/>
      <c r="AS389" s="252"/>
      <c r="AT389" s="249" t="s">
        <v>2078</v>
      </c>
      <c r="AU389" s="247"/>
      <c r="AX389" s="249" t="s">
        <v>2088</v>
      </c>
      <c r="BB389" s="249" t="s">
        <v>2078</v>
      </c>
      <c r="BF389" s="249" t="s">
        <v>2078</v>
      </c>
      <c r="BH389" s="252"/>
      <c r="BI389" s="252"/>
      <c r="BJ389" s="249" t="s">
        <v>2078</v>
      </c>
      <c r="BK389" s="247"/>
      <c r="BN389" s="249" t="s">
        <v>2088</v>
      </c>
      <c r="BR389" s="249" t="s">
        <v>2078</v>
      </c>
      <c r="BV389" s="249" t="s">
        <v>2078</v>
      </c>
      <c r="BX389" s="252"/>
      <c r="BY389" s="252"/>
      <c r="BZ389" s="249" t="s">
        <v>2078</v>
      </c>
      <c r="CA389" s="247"/>
      <c r="CD389" s="249" t="s">
        <v>2088</v>
      </c>
      <c r="CH389" s="249" t="s">
        <v>2078</v>
      </c>
      <c r="CL389" s="249" t="s">
        <v>2078</v>
      </c>
      <c r="CN389" s="252"/>
      <c r="CO389" s="252"/>
      <c r="CP389" s="249" t="s">
        <v>2078</v>
      </c>
      <c r="CQ389" s="247"/>
      <c r="CT389" s="249" t="s">
        <v>2088</v>
      </c>
      <c r="CX389" s="249" t="s">
        <v>2078</v>
      </c>
      <c r="DB389" s="249" t="s">
        <v>2078</v>
      </c>
    </row>
    <row r="390" spans="44:106" ht="15" customHeight="1" x14ac:dyDescent="0.2">
      <c r="AR390" s="252"/>
      <c r="AS390" s="252"/>
      <c r="AT390" s="249" t="s">
        <v>2078</v>
      </c>
      <c r="AU390" s="247"/>
      <c r="AX390" s="249" t="s">
        <v>2088</v>
      </c>
      <c r="BB390" s="249" t="s">
        <v>2078</v>
      </c>
      <c r="BF390" s="249" t="s">
        <v>2078</v>
      </c>
      <c r="BH390" s="252"/>
      <c r="BI390" s="252"/>
      <c r="BJ390" s="249" t="s">
        <v>2078</v>
      </c>
      <c r="BK390" s="247"/>
      <c r="BN390" s="249" t="s">
        <v>2088</v>
      </c>
      <c r="BR390" s="249" t="s">
        <v>2078</v>
      </c>
      <c r="BV390" s="249" t="s">
        <v>2078</v>
      </c>
      <c r="BX390" s="252"/>
      <c r="BY390" s="252"/>
      <c r="BZ390" s="249" t="s">
        <v>2078</v>
      </c>
      <c r="CA390" s="247"/>
      <c r="CD390" s="249" t="s">
        <v>2088</v>
      </c>
      <c r="CH390" s="249" t="s">
        <v>2078</v>
      </c>
      <c r="CL390" s="249" t="s">
        <v>2078</v>
      </c>
      <c r="CN390" s="252"/>
      <c r="CO390" s="252"/>
      <c r="CP390" s="249" t="s">
        <v>2078</v>
      </c>
      <c r="CQ390" s="247"/>
      <c r="CT390" s="249" t="s">
        <v>2088</v>
      </c>
      <c r="CX390" s="249" t="s">
        <v>2078</v>
      </c>
      <c r="DB390" s="249" t="s">
        <v>2078</v>
      </c>
    </row>
    <row r="391" spans="44:106" ht="15" customHeight="1" x14ac:dyDescent="0.2">
      <c r="AR391" s="252"/>
      <c r="AS391" s="252"/>
      <c r="AT391" s="249" t="s">
        <v>2078</v>
      </c>
      <c r="AU391" s="247"/>
      <c r="AX391" s="249" t="s">
        <v>2088</v>
      </c>
      <c r="BB391" s="249" t="s">
        <v>2078</v>
      </c>
      <c r="BF391" s="249" t="s">
        <v>2078</v>
      </c>
      <c r="BH391" s="252"/>
      <c r="BI391" s="252"/>
      <c r="BJ391" s="249" t="s">
        <v>2078</v>
      </c>
      <c r="BK391" s="247"/>
      <c r="BN391" s="249" t="s">
        <v>2088</v>
      </c>
      <c r="BR391" s="249" t="s">
        <v>2078</v>
      </c>
      <c r="BV391" s="249" t="s">
        <v>2078</v>
      </c>
      <c r="BX391" s="252"/>
      <c r="BY391" s="252"/>
      <c r="BZ391" s="249" t="s">
        <v>2078</v>
      </c>
      <c r="CA391" s="247"/>
      <c r="CD391" s="249" t="s">
        <v>2088</v>
      </c>
      <c r="CH391" s="249" t="s">
        <v>2078</v>
      </c>
      <c r="CL391" s="249" t="s">
        <v>2078</v>
      </c>
      <c r="CN391" s="252"/>
      <c r="CO391" s="252"/>
      <c r="CP391" s="249" t="s">
        <v>2078</v>
      </c>
      <c r="CQ391" s="247"/>
      <c r="CT391" s="249" t="s">
        <v>2088</v>
      </c>
      <c r="CX391" s="249" t="s">
        <v>2078</v>
      </c>
      <c r="DB391" s="249" t="s">
        <v>2078</v>
      </c>
    </row>
    <row r="392" spans="44:106" ht="15" customHeight="1" x14ac:dyDescent="0.2">
      <c r="AR392" s="252"/>
      <c r="AS392" s="252"/>
      <c r="AT392" s="249" t="s">
        <v>2078</v>
      </c>
      <c r="AU392" s="247"/>
      <c r="AX392" s="249" t="s">
        <v>2088</v>
      </c>
      <c r="BB392" s="249" t="s">
        <v>2078</v>
      </c>
      <c r="BF392" s="249" t="s">
        <v>2078</v>
      </c>
      <c r="BH392" s="252"/>
      <c r="BI392" s="252"/>
      <c r="BJ392" s="249" t="s">
        <v>2078</v>
      </c>
      <c r="BK392" s="247"/>
      <c r="BN392" s="249" t="s">
        <v>2088</v>
      </c>
      <c r="BR392" s="249" t="s">
        <v>2078</v>
      </c>
      <c r="BV392" s="249" t="s">
        <v>2078</v>
      </c>
      <c r="BX392" s="252"/>
      <c r="BY392" s="252"/>
      <c r="BZ392" s="249" t="s">
        <v>2078</v>
      </c>
      <c r="CA392" s="247"/>
      <c r="CD392" s="249" t="s">
        <v>2088</v>
      </c>
      <c r="CH392" s="249" t="s">
        <v>2078</v>
      </c>
      <c r="CL392" s="249" t="s">
        <v>2078</v>
      </c>
      <c r="CN392" s="252"/>
      <c r="CO392" s="252"/>
      <c r="CP392" s="249" t="s">
        <v>2078</v>
      </c>
      <c r="CQ392" s="247"/>
      <c r="CT392" s="249" t="s">
        <v>2088</v>
      </c>
      <c r="CX392" s="249" t="s">
        <v>2078</v>
      </c>
      <c r="DB392" s="249" t="s">
        <v>2078</v>
      </c>
    </row>
    <row r="393" spans="44:106" ht="15" customHeight="1" x14ac:dyDescent="0.2">
      <c r="AR393" s="252"/>
      <c r="AS393" s="252"/>
      <c r="AT393" s="249" t="s">
        <v>2078</v>
      </c>
      <c r="AU393" s="247"/>
      <c r="AX393" s="249" t="s">
        <v>2088</v>
      </c>
      <c r="BB393" s="249" t="s">
        <v>2078</v>
      </c>
      <c r="BF393" s="249" t="s">
        <v>2078</v>
      </c>
      <c r="BH393" s="252"/>
      <c r="BI393" s="252"/>
      <c r="BJ393" s="249" t="s">
        <v>2078</v>
      </c>
      <c r="BK393" s="247"/>
      <c r="BN393" s="249" t="s">
        <v>2088</v>
      </c>
      <c r="BR393" s="249" t="s">
        <v>2078</v>
      </c>
      <c r="BV393" s="249" t="s">
        <v>2078</v>
      </c>
      <c r="BX393" s="252"/>
      <c r="BY393" s="252"/>
      <c r="BZ393" s="249" t="s">
        <v>2078</v>
      </c>
      <c r="CA393" s="247"/>
      <c r="CD393" s="249" t="s">
        <v>2088</v>
      </c>
      <c r="CH393" s="249" t="s">
        <v>2078</v>
      </c>
      <c r="CL393" s="249" t="s">
        <v>2078</v>
      </c>
      <c r="CN393" s="252"/>
      <c r="CO393" s="252"/>
      <c r="CP393" s="249" t="s">
        <v>2078</v>
      </c>
      <c r="CQ393" s="247"/>
      <c r="CT393" s="249" t="s">
        <v>2088</v>
      </c>
      <c r="CX393" s="249" t="s">
        <v>2078</v>
      </c>
      <c r="DB393" s="249" t="s">
        <v>2078</v>
      </c>
    </row>
    <row r="394" spans="44:106" ht="15" customHeight="1" x14ac:dyDescent="0.2">
      <c r="AR394" s="252"/>
      <c r="AS394" s="252"/>
      <c r="AT394" s="249" t="s">
        <v>2078</v>
      </c>
      <c r="AU394" s="247"/>
      <c r="AX394" s="249" t="s">
        <v>2088</v>
      </c>
      <c r="BB394" s="249" t="s">
        <v>2078</v>
      </c>
      <c r="BF394" s="249" t="s">
        <v>2078</v>
      </c>
      <c r="BH394" s="252"/>
      <c r="BI394" s="252"/>
      <c r="BJ394" s="249" t="s">
        <v>2078</v>
      </c>
      <c r="BK394" s="247"/>
      <c r="BN394" s="249" t="s">
        <v>2088</v>
      </c>
      <c r="BR394" s="249" t="s">
        <v>2078</v>
      </c>
      <c r="BV394" s="249" t="s">
        <v>2078</v>
      </c>
      <c r="BX394" s="252"/>
      <c r="BY394" s="252"/>
      <c r="BZ394" s="249" t="s">
        <v>2078</v>
      </c>
      <c r="CA394" s="247"/>
      <c r="CD394" s="249" t="s">
        <v>2088</v>
      </c>
      <c r="CH394" s="249" t="s">
        <v>2078</v>
      </c>
      <c r="CL394" s="249" t="s">
        <v>2078</v>
      </c>
      <c r="CN394" s="252"/>
      <c r="CO394" s="252"/>
      <c r="CP394" s="249" t="s">
        <v>2078</v>
      </c>
      <c r="CQ394" s="247"/>
      <c r="CT394" s="249" t="s">
        <v>2088</v>
      </c>
      <c r="CX394" s="249" t="s">
        <v>2078</v>
      </c>
      <c r="DB394" s="249" t="s">
        <v>2078</v>
      </c>
    </row>
    <row r="395" spans="44:106" ht="15" customHeight="1" x14ac:dyDescent="0.2">
      <c r="AR395" s="252"/>
      <c r="AS395" s="252"/>
      <c r="AT395" s="249" t="s">
        <v>2078</v>
      </c>
      <c r="AU395" s="247"/>
      <c r="AX395" s="249" t="s">
        <v>2088</v>
      </c>
      <c r="BB395" s="249" t="s">
        <v>2078</v>
      </c>
      <c r="BF395" s="249" t="s">
        <v>2078</v>
      </c>
      <c r="BH395" s="252"/>
      <c r="BI395" s="252"/>
      <c r="BJ395" s="249" t="s">
        <v>2078</v>
      </c>
      <c r="BK395" s="247"/>
      <c r="BN395" s="249" t="s">
        <v>2088</v>
      </c>
      <c r="BR395" s="249" t="s">
        <v>2078</v>
      </c>
      <c r="BV395" s="249" t="s">
        <v>2078</v>
      </c>
      <c r="BX395" s="252"/>
      <c r="BY395" s="252"/>
      <c r="BZ395" s="249" t="s">
        <v>2078</v>
      </c>
      <c r="CA395" s="247"/>
      <c r="CD395" s="249" t="s">
        <v>2088</v>
      </c>
      <c r="CH395" s="249" t="s">
        <v>2078</v>
      </c>
      <c r="CL395" s="249" t="s">
        <v>2078</v>
      </c>
      <c r="CN395" s="252"/>
      <c r="CO395" s="252"/>
      <c r="CP395" s="249" t="s">
        <v>2078</v>
      </c>
      <c r="CQ395" s="247"/>
      <c r="CT395" s="249" t="s">
        <v>2088</v>
      </c>
      <c r="CX395" s="249" t="s">
        <v>2078</v>
      </c>
      <c r="DB395" s="249" t="s">
        <v>2078</v>
      </c>
    </row>
    <row r="396" spans="44:106" ht="15" customHeight="1" x14ac:dyDescent="0.2">
      <c r="AR396" s="252"/>
      <c r="AS396" s="252"/>
      <c r="AT396" s="249" t="s">
        <v>2078</v>
      </c>
      <c r="AU396" s="247"/>
      <c r="AX396" s="249" t="s">
        <v>2088</v>
      </c>
      <c r="BB396" s="249" t="s">
        <v>2078</v>
      </c>
      <c r="BF396" s="249" t="s">
        <v>2078</v>
      </c>
      <c r="BH396" s="252"/>
      <c r="BI396" s="252"/>
      <c r="BJ396" s="249" t="s">
        <v>2078</v>
      </c>
      <c r="BK396" s="247"/>
      <c r="BN396" s="249" t="s">
        <v>2088</v>
      </c>
      <c r="BR396" s="249" t="s">
        <v>2078</v>
      </c>
      <c r="BV396" s="249" t="s">
        <v>2078</v>
      </c>
      <c r="BX396" s="252"/>
      <c r="BY396" s="252"/>
      <c r="BZ396" s="249" t="s">
        <v>2078</v>
      </c>
      <c r="CA396" s="247"/>
      <c r="CD396" s="249" t="s">
        <v>2088</v>
      </c>
      <c r="CH396" s="249" t="s">
        <v>2078</v>
      </c>
      <c r="CL396" s="249" t="s">
        <v>2078</v>
      </c>
      <c r="CN396" s="252"/>
      <c r="CO396" s="252"/>
      <c r="CP396" s="249" t="s">
        <v>2078</v>
      </c>
      <c r="CQ396" s="247"/>
      <c r="CT396" s="249" t="s">
        <v>2088</v>
      </c>
      <c r="CX396" s="249" t="s">
        <v>2078</v>
      </c>
      <c r="DB396" s="249" t="s">
        <v>2078</v>
      </c>
    </row>
    <row r="397" spans="44:106" ht="15" customHeight="1" x14ac:dyDescent="0.2">
      <c r="AR397" s="252"/>
      <c r="AS397" s="252"/>
      <c r="AT397" s="249" t="s">
        <v>2078</v>
      </c>
      <c r="AU397" s="247"/>
      <c r="AX397" s="249" t="s">
        <v>2088</v>
      </c>
      <c r="BB397" s="249" t="s">
        <v>2078</v>
      </c>
      <c r="BF397" s="249" t="s">
        <v>2078</v>
      </c>
      <c r="BH397" s="252"/>
      <c r="BI397" s="252"/>
      <c r="BJ397" s="249" t="s">
        <v>2078</v>
      </c>
      <c r="BK397" s="247"/>
      <c r="BN397" s="249" t="s">
        <v>2088</v>
      </c>
      <c r="BR397" s="249" t="s">
        <v>2078</v>
      </c>
      <c r="BV397" s="249" t="s">
        <v>2078</v>
      </c>
      <c r="BX397" s="252"/>
      <c r="BY397" s="252"/>
      <c r="BZ397" s="249" t="s">
        <v>2078</v>
      </c>
      <c r="CA397" s="247"/>
      <c r="CD397" s="249" t="s">
        <v>2088</v>
      </c>
      <c r="CH397" s="249" t="s">
        <v>2078</v>
      </c>
      <c r="CL397" s="249" t="s">
        <v>2078</v>
      </c>
      <c r="CN397" s="252"/>
      <c r="CO397" s="252"/>
      <c r="CP397" s="249" t="s">
        <v>2078</v>
      </c>
      <c r="CQ397" s="247"/>
      <c r="CT397" s="249" t="s">
        <v>2088</v>
      </c>
      <c r="CX397" s="249" t="s">
        <v>2078</v>
      </c>
      <c r="DB397" s="249" t="s">
        <v>2078</v>
      </c>
    </row>
    <row r="398" spans="44:106" ht="15" customHeight="1" x14ac:dyDescent="0.2">
      <c r="AR398" s="252"/>
      <c r="AS398" s="252"/>
      <c r="AT398" s="249" t="s">
        <v>2078</v>
      </c>
      <c r="AU398" s="247"/>
      <c r="AX398" s="249" t="s">
        <v>2088</v>
      </c>
      <c r="BB398" s="249" t="s">
        <v>2078</v>
      </c>
      <c r="BF398" s="249" t="s">
        <v>2078</v>
      </c>
      <c r="BH398" s="252"/>
      <c r="BI398" s="252"/>
      <c r="BJ398" s="249" t="s">
        <v>2078</v>
      </c>
      <c r="BK398" s="247"/>
      <c r="BN398" s="249" t="s">
        <v>2088</v>
      </c>
      <c r="BR398" s="249" t="s">
        <v>2078</v>
      </c>
      <c r="BV398" s="249" t="s">
        <v>2078</v>
      </c>
      <c r="BX398" s="252"/>
      <c r="BY398" s="252"/>
      <c r="BZ398" s="249" t="s">
        <v>2078</v>
      </c>
      <c r="CA398" s="247"/>
      <c r="CD398" s="249" t="s">
        <v>2088</v>
      </c>
      <c r="CH398" s="249" t="s">
        <v>2078</v>
      </c>
      <c r="CL398" s="249" t="s">
        <v>2078</v>
      </c>
      <c r="CN398" s="252"/>
      <c r="CO398" s="252"/>
      <c r="CP398" s="249" t="s">
        <v>2078</v>
      </c>
      <c r="CQ398" s="247"/>
      <c r="CT398" s="249" t="s">
        <v>2088</v>
      </c>
      <c r="CX398" s="249" t="s">
        <v>2078</v>
      </c>
      <c r="DB398" s="249" t="s">
        <v>2078</v>
      </c>
    </row>
    <row r="399" spans="44:106" ht="15" customHeight="1" x14ac:dyDescent="0.2">
      <c r="AR399" s="252"/>
      <c r="AS399" s="252"/>
      <c r="AT399" s="249" t="s">
        <v>2078</v>
      </c>
      <c r="AU399" s="247"/>
      <c r="AX399" s="249" t="s">
        <v>2088</v>
      </c>
      <c r="BB399" s="249" t="s">
        <v>2078</v>
      </c>
      <c r="BF399" s="249" t="s">
        <v>2078</v>
      </c>
      <c r="BH399" s="252"/>
      <c r="BI399" s="252"/>
      <c r="BJ399" s="249" t="s">
        <v>2078</v>
      </c>
      <c r="BK399" s="247"/>
      <c r="BN399" s="249" t="s">
        <v>2088</v>
      </c>
      <c r="BR399" s="249" t="s">
        <v>2078</v>
      </c>
      <c r="BV399" s="249" t="s">
        <v>2078</v>
      </c>
      <c r="BX399" s="252"/>
      <c r="BY399" s="252"/>
      <c r="BZ399" s="249" t="s">
        <v>2078</v>
      </c>
      <c r="CA399" s="247"/>
      <c r="CD399" s="249" t="s">
        <v>2088</v>
      </c>
      <c r="CH399" s="249" t="s">
        <v>2078</v>
      </c>
      <c r="CL399" s="249" t="s">
        <v>2078</v>
      </c>
      <c r="CN399" s="252"/>
      <c r="CO399" s="252"/>
      <c r="CP399" s="249" t="s">
        <v>2078</v>
      </c>
      <c r="CQ399" s="247"/>
      <c r="CT399" s="249" t="s">
        <v>2088</v>
      </c>
      <c r="CX399" s="249" t="s">
        <v>2078</v>
      </c>
      <c r="DB399" s="249" t="s">
        <v>2078</v>
      </c>
    </row>
    <row r="400" spans="44:106" ht="15" customHeight="1" x14ac:dyDescent="0.2">
      <c r="AR400" s="252"/>
      <c r="AS400" s="252"/>
      <c r="AT400" s="249" t="s">
        <v>2078</v>
      </c>
      <c r="AU400" s="247"/>
      <c r="AX400" s="249" t="s">
        <v>2088</v>
      </c>
      <c r="BB400" s="249" t="s">
        <v>2078</v>
      </c>
      <c r="BF400" s="249" t="s">
        <v>2078</v>
      </c>
      <c r="BH400" s="252"/>
      <c r="BI400" s="252"/>
      <c r="BJ400" s="249" t="s">
        <v>2078</v>
      </c>
      <c r="BK400" s="247"/>
      <c r="BN400" s="249" t="s">
        <v>2088</v>
      </c>
      <c r="BR400" s="249" t="s">
        <v>2078</v>
      </c>
      <c r="BV400" s="249" t="s">
        <v>2078</v>
      </c>
      <c r="BX400" s="252"/>
      <c r="BY400" s="252"/>
      <c r="BZ400" s="249" t="s">
        <v>2078</v>
      </c>
      <c r="CA400" s="247"/>
      <c r="CD400" s="249" t="s">
        <v>2088</v>
      </c>
      <c r="CH400" s="249" t="s">
        <v>2078</v>
      </c>
      <c r="CL400" s="249" t="s">
        <v>2078</v>
      </c>
      <c r="CN400" s="252"/>
      <c r="CO400" s="252"/>
      <c r="CP400" s="249" t="s">
        <v>2078</v>
      </c>
      <c r="CQ400" s="247"/>
      <c r="CT400" s="249" t="s">
        <v>2088</v>
      </c>
      <c r="CX400" s="249" t="s">
        <v>2078</v>
      </c>
      <c r="DB400" s="249" t="s">
        <v>2078</v>
      </c>
    </row>
    <row r="401" spans="44:106" ht="15" customHeight="1" x14ac:dyDescent="0.2">
      <c r="AR401" s="252"/>
      <c r="AS401" s="252"/>
      <c r="AT401" s="249" t="s">
        <v>2078</v>
      </c>
      <c r="AU401" s="247"/>
      <c r="AX401" s="249" t="s">
        <v>2088</v>
      </c>
      <c r="BB401" s="249" t="s">
        <v>2078</v>
      </c>
      <c r="BF401" s="249" t="s">
        <v>2078</v>
      </c>
      <c r="BH401" s="252"/>
      <c r="BI401" s="252"/>
      <c r="BJ401" s="249" t="s">
        <v>2078</v>
      </c>
      <c r="BK401" s="247"/>
      <c r="BN401" s="249" t="s">
        <v>2088</v>
      </c>
      <c r="BR401" s="249" t="s">
        <v>2078</v>
      </c>
      <c r="BV401" s="249" t="s">
        <v>2078</v>
      </c>
      <c r="BX401" s="252"/>
      <c r="BY401" s="252"/>
      <c r="BZ401" s="249" t="s">
        <v>2078</v>
      </c>
      <c r="CA401" s="247"/>
      <c r="CD401" s="249" t="s">
        <v>2088</v>
      </c>
      <c r="CH401" s="249" t="s">
        <v>2078</v>
      </c>
      <c r="CL401" s="249" t="s">
        <v>2078</v>
      </c>
      <c r="CN401" s="252"/>
      <c r="CO401" s="252"/>
      <c r="CP401" s="249" t="s">
        <v>2078</v>
      </c>
      <c r="CQ401" s="247"/>
      <c r="CT401" s="249" t="s">
        <v>2088</v>
      </c>
      <c r="CX401" s="249" t="s">
        <v>2078</v>
      </c>
      <c r="DB401" s="249" t="s">
        <v>2078</v>
      </c>
    </row>
    <row r="402" spans="44:106" ht="15" customHeight="1" x14ac:dyDescent="0.2">
      <c r="AR402" s="252"/>
      <c r="AS402" s="252"/>
      <c r="AT402" s="249" t="s">
        <v>2078</v>
      </c>
      <c r="AU402" s="247"/>
      <c r="AX402" s="249" t="s">
        <v>2088</v>
      </c>
      <c r="BB402" s="249" t="s">
        <v>2078</v>
      </c>
      <c r="BF402" s="249" t="s">
        <v>2078</v>
      </c>
      <c r="BH402" s="252"/>
      <c r="BI402" s="252"/>
      <c r="BJ402" s="249" t="s">
        <v>2078</v>
      </c>
      <c r="BK402" s="247"/>
      <c r="BN402" s="249" t="s">
        <v>2088</v>
      </c>
      <c r="BR402" s="249" t="s">
        <v>2078</v>
      </c>
      <c r="BV402" s="249" t="s">
        <v>2078</v>
      </c>
      <c r="BX402" s="252"/>
      <c r="BY402" s="252"/>
      <c r="BZ402" s="249" t="s">
        <v>2078</v>
      </c>
      <c r="CA402" s="247"/>
      <c r="CD402" s="249" t="s">
        <v>2088</v>
      </c>
      <c r="CH402" s="249" t="s">
        <v>2078</v>
      </c>
      <c r="CL402" s="249" t="s">
        <v>2078</v>
      </c>
      <c r="CN402" s="252"/>
      <c r="CO402" s="252"/>
      <c r="CP402" s="249" t="s">
        <v>2078</v>
      </c>
      <c r="CQ402" s="247"/>
      <c r="CT402" s="249" t="s">
        <v>2088</v>
      </c>
      <c r="CX402" s="249" t="s">
        <v>2078</v>
      </c>
      <c r="DB402" s="249" t="s">
        <v>2078</v>
      </c>
    </row>
    <row r="403" spans="44:106" ht="15" customHeight="1" x14ac:dyDescent="0.2">
      <c r="AR403" s="252"/>
      <c r="AS403" s="252"/>
      <c r="AT403" s="249" t="s">
        <v>2078</v>
      </c>
      <c r="AU403" s="247"/>
      <c r="AX403" s="249" t="s">
        <v>2088</v>
      </c>
      <c r="BB403" s="249" t="s">
        <v>2078</v>
      </c>
      <c r="BF403" s="249" t="s">
        <v>2078</v>
      </c>
      <c r="BH403" s="252"/>
      <c r="BI403" s="252"/>
      <c r="BJ403" s="249" t="s">
        <v>2078</v>
      </c>
      <c r="BK403" s="247"/>
      <c r="BN403" s="249" t="s">
        <v>2088</v>
      </c>
      <c r="BR403" s="249" t="s">
        <v>2078</v>
      </c>
      <c r="BV403" s="249" t="s">
        <v>2078</v>
      </c>
      <c r="BX403" s="252"/>
      <c r="BY403" s="252"/>
      <c r="BZ403" s="249" t="s">
        <v>2078</v>
      </c>
      <c r="CA403" s="247"/>
      <c r="CD403" s="249" t="s">
        <v>2088</v>
      </c>
      <c r="CH403" s="249" t="s">
        <v>2078</v>
      </c>
      <c r="CL403" s="249" t="s">
        <v>2078</v>
      </c>
      <c r="CN403" s="252"/>
      <c r="CO403" s="252"/>
      <c r="CP403" s="249" t="s">
        <v>2078</v>
      </c>
      <c r="CQ403" s="247"/>
      <c r="CT403" s="249" t="s">
        <v>2088</v>
      </c>
      <c r="CX403" s="249" t="s">
        <v>2078</v>
      </c>
      <c r="DB403" s="249" t="s">
        <v>2078</v>
      </c>
    </row>
    <row r="404" spans="44:106" ht="15" customHeight="1" x14ac:dyDescent="0.2">
      <c r="AR404" s="252"/>
      <c r="AS404" s="252"/>
      <c r="AT404" s="249" t="s">
        <v>2078</v>
      </c>
      <c r="AU404" s="247"/>
      <c r="AX404" s="249" t="s">
        <v>2088</v>
      </c>
      <c r="BB404" s="249" t="s">
        <v>2078</v>
      </c>
      <c r="BF404" s="249" t="s">
        <v>2078</v>
      </c>
      <c r="BH404" s="252"/>
      <c r="BI404" s="252"/>
      <c r="BJ404" s="249" t="s">
        <v>2078</v>
      </c>
      <c r="BK404" s="247"/>
      <c r="BN404" s="249" t="s">
        <v>2088</v>
      </c>
      <c r="BR404" s="249" t="s">
        <v>2078</v>
      </c>
      <c r="BV404" s="249" t="s">
        <v>2078</v>
      </c>
      <c r="BX404" s="252"/>
      <c r="BY404" s="252"/>
      <c r="BZ404" s="249" t="s">
        <v>2078</v>
      </c>
      <c r="CA404" s="247"/>
      <c r="CD404" s="249" t="s">
        <v>2088</v>
      </c>
      <c r="CH404" s="249" t="s">
        <v>2078</v>
      </c>
      <c r="CL404" s="249" t="s">
        <v>2078</v>
      </c>
      <c r="CN404" s="252"/>
      <c r="CO404" s="252"/>
      <c r="CP404" s="249" t="s">
        <v>2078</v>
      </c>
      <c r="CQ404" s="247"/>
      <c r="CT404" s="249" t="s">
        <v>2088</v>
      </c>
      <c r="CX404" s="249" t="s">
        <v>2078</v>
      </c>
      <c r="DB404" s="249" t="s">
        <v>2078</v>
      </c>
    </row>
    <row r="405" spans="44:106" ht="15" customHeight="1" x14ac:dyDescent="0.2">
      <c r="AR405" s="252"/>
      <c r="AS405" s="252"/>
      <c r="AT405" s="249" t="s">
        <v>2078</v>
      </c>
      <c r="AU405" s="247"/>
      <c r="AX405" s="249" t="s">
        <v>2088</v>
      </c>
      <c r="BB405" s="249" t="s">
        <v>2078</v>
      </c>
      <c r="BF405" s="249" t="s">
        <v>2078</v>
      </c>
      <c r="BH405" s="252"/>
      <c r="BI405" s="252"/>
      <c r="BJ405" s="249" t="s">
        <v>2078</v>
      </c>
      <c r="BK405" s="247"/>
      <c r="BN405" s="249" t="s">
        <v>2088</v>
      </c>
      <c r="BR405" s="249" t="s">
        <v>2078</v>
      </c>
      <c r="BV405" s="249" t="s">
        <v>2078</v>
      </c>
      <c r="BX405" s="252"/>
      <c r="BY405" s="252"/>
      <c r="BZ405" s="249" t="s">
        <v>2078</v>
      </c>
      <c r="CA405" s="247"/>
      <c r="CD405" s="249" t="s">
        <v>2088</v>
      </c>
      <c r="CH405" s="249" t="s">
        <v>2078</v>
      </c>
      <c r="CL405" s="249" t="s">
        <v>2078</v>
      </c>
      <c r="CN405" s="252"/>
      <c r="CO405" s="252"/>
      <c r="CP405" s="249" t="s">
        <v>2078</v>
      </c>
      <c r="CQ405" s="247"/>
      <c r="CT405" s="249" t="s">
        <v>2088</v>
      </c>
      <c r="CX405" s="249" t="s">
        <v>2078</v>
      </c>
      <c r="DB405" s="249" t="s">
        <v>2078</v>
      </c>
    </row>
    <row r="406" spans="44:106" ht="15" customHeight="1" x14ac:dyDescent="0.2">
      <c r="AR406" s="252"/>
      <c r="AS406" s="252"/>
      <c r="AT406" s="249" t="s">
        <v>2078</v>
      </c>
      <c r="AU406" s="247"/>
      <c r="AX406" s="249" t="s">
        <v>2088</v>
      </c>
      <c r="BB406" s="249" t="s">
        <v>2078</v>
      </c>
      <c r="BF406" s="249" t="s">
        <v>2078</v>
      </c>
      <c r="BH406" s="252"/>
      <c r="BI406" s="252"/>
      <c r="BJ406" s="249" t="s">
        <v>2078</v>
      </c>
      <c r="BK406" s="247"/>
      <c r="BN406" s="249" t="s">
        <v>2088</v>
      </c>
      <c r="BR406" s="249" t="s">
        <v>2078</v>
      </c>
      <c r="BV406" s="249" t="s">
        <v>2078</v>
      </c>
      <c r="BX406" s="252"/>
      <c r="BY406" s="252"/>
      <c r="BZ406" s="249" t="s">
        <v>2078</v>
      </c>
      <c r="CA406" s="247"/>
      <c r="CD406" s="249" t="s">
        <v>2088</v>
      </c>
      <c r="CH406" s="249" t="s">
        <v>2078</v>
      </c>
      <c r="CL406" s="249" t="s">
        <v>2078</v>
      </c>
      <c r="CN406" s="252"/>
      <c r="CO406" s="252"/>
      <c r="CP406" s="249" t="s">
        <v>2078</v>
      </c>
      <c r="CQ406" s="247"/>
      <c r="CT406" s="249" t="s">
        <v>2088</v>
      </c>
      <c r="CX406" s="249" t="s">
        <v>2078</v>
      </c>
      <c r="DB406" s="249" t="s">
        <v>2078</v>
      </c>
    </row>
    <row r="407" spans="44:106" ht="15" customHeight="1" x14ac:dyDescent="0.2">
      <c r="AR407" s="252"/>
      <c r="AS407" s="252"/>
      <c r="AT407" s="249" t="s">
        <v>2078</v>
      </c>
      <c r="AU407" s="247"/>
      <c r="AX407" s="249" t="s">
        <v>2088</v>
      </c>
      <c r="BB407" s="249" t="s">
        <v>2078</v>
      </c>
      <c r="BF407" s="249" t="s">
        <v>2078</v>
      </c>
      <c r="BH407" s="252"/>
      <c r="BI407" s="252"/>
      <c r="BJ407" s="249" t="s">
        <v>2078</v>
      </c>
      <c r="BK407" s="247"/>
      <c r="BN407" s="249" t="s">
        <v>2088</v>
      </c>
      <c r="BR407" s="249" t="s">
        <v>2078</v>
      </c>
      <c r="BV407" s="249" t="s">
        <v>2078</v>
      </c>
      <c r="BX407" s="252"/>
      <c r="BY407" s="252"/>
      <c r="BZ407" s="249" t="s">
        <v>2078</v>
      </c>
      <c r="CA407" s="247"/>
      <c r="CD407" s="249" t="s">
        <v>2088</v>
      </c>
      <c r="CH407" s="249" t="s">
        <v>2078</v>
      </c>
      <c r="CL407" s="249" t="s">
        <v>2078</v>
      </c>
      <c r="CN407" s="252"/>
      <c r="CO407" s="252"/>
      <c r="CP407" s="249" t="s">
        <v>2078</v>
      </c>
      <c r="CQ407" s="247"/>
      <c r="CT407" s="249" t="s">
        <v>2088</v>
      </c>
      <c r="CX407" s="249" t="s">
        <v>2078</v>
      </c>
      <c r="DB407" s="249" t="s">
        <v>2078</v>
      </c>
    </row>
    <row r="408" spans="44:106" ht="15" customHeight="1" x14ac:dyDescent="0.2">
      <c r="AR408" s="252"/>
      <c r="AS408" s="252"/>
      <c r="AT408" s="249" t="s">
        <v>2078</v>
      </c>
      <c r="AU408" s="247"/>
      <c r="AX408" s="249" t="s">
        <v>2088</v>
      </c>
      <c r="BB408" s="249" t="s">
        <v>2078</v>
      </c>
      <c r="BF408" s="249" t="s">
        <v>2078</v>
      </c>
      <c r="BH408" s="252"/>
      <c r="BI408" s="252"/>
      <c r="BJ408" s="249" t="s">
        <v>2078</v>
      </c>
      <c r="BK408" s="247"/>
      <c r="BN408" s="249" t="s">
        <v>2088</v>
      </c>
      <c r="BR408" s="249" t="s">
        <v>2078</v>
      </c>
      <c r="BV408" s="249" t="s">
        <v>2078</v>
      </c>
      <c r="BX408" s="252"/>
      <c r="BY408" s="252"/>
      <c r="BZ408" s="249" t="s">
        <v>2078</v>
      </c>
      <c r="CA408" s="247"/>
      <c r="CD408" s="249" t="s">
        <v>2088</v>
      </c>
      <c r="CH408" s="249" t="s">
        <v>2078</v>
      </c>
      <c r="CL408" s="249" t="s">
        <v>2078</v>
      </c>
      <c r="CN408" s="252"/>
      <c r="CO408" s="252"/>
      <c r="CP408" s="249" t="s">
        <v>2078</v>
      </c>
      <c r="CQ408" s="247"/>
      <c r="CT408" s="249" t="s">
        <v>2088</v>
      </c>
      <c r="CX408" s="249" t="s">
        <v>2078</v>
      </c>
      <c r="DB408" s="249" t="s">
        <v>2078</v>
      </c>
    </row>
    <row r="409" spans="44:106" ht="15" customHeight="1" x14ac:dyDescent="0.2">
      <c r="AR409" s="252"/>
      <c r="AS409" s="252"/>
      <c r="AT409" s="249" t="s">
        <v>2078</v>
      </c>
      <c r="AU409" s="247"/>
      <c r="AX409" s="249" t="s">
        <v>2088</v>
      </c>
      <c r="BB409" s="249" t="s">
        <v>2078</v>
      </c>
      <c r="BF409" s="249" t="s">
        <v>2078</v>
      </c>
      <c r="BH409" s="252"/>
      <c r="BI409" s="252"/>
      <c r="BJ409" s="249" t="s">
        <v>2078</v>
      </c>
      <c r="BK409" s="247"/>
      <c r="BN409" s="249" t="s">
        <v>2088</v>
      </c>
      <c r="BR409" s="249" t="s">
        <v>2078</v>
      </c>
      <c r="BV409" s="249" t="s">
        <v>2078</v>
      </c>
      <c r="BX409" s="252"/>
      <c r="BY409" s="252"/>
      <c r="BZ409" s="249" t="s">
        <v>2078</v>
      </c>
      <c r="CA409" s="247"/>
      <c r="CD409" s="249" t="s">
        <v>2088</v>
      </c>
      <c r="CH409" s="249" t="s">
        <v>2078</v>
      </c>
      <c r="CL409" s="249" t="s">
        <v>2078</v>
      </c>
      <c r="CN409" s="252"/>
      <c r="CO409" s="252"/>
      <c r="CP409" s="249" t="s">
        <v>2078</v>
      </c>
      <c r="CQ409" s="247"/>
      <c r="CT409" s="249" t="s">
        <v>2088</v>
      </c>
      <c r="CX409" s="249" t="s">
        <v>2078</v>
      </c>
      <c r="DB409" s="249" t="s">
        <v>2078</v>
      </c>
    </row>
    <row r="410" spans="44:106" ht="15" customHeight="1" x14ac:dyDescent="0.2">
      <c r="AR410" s="252"/>
      <c r="AS410" s="252"/>
      <c r="AT410" s="249" t="s">
        <v>2078</v>
      </c>
      <c r="AU410" s="247"/>
      <c r="AX410" s="249" t="s">
        <v>2088</v>
      </c>
      <c r="BB410" s="249" t="s">
        <v>2078</v>
      </c>
      <c r="BF410" s="249" t="s">
        <v>2078</v>
      </c>
      <c r="BH410" s="252"/>
      <c r="BI410" s="252"/>
      <c r="BJ410" s="249" t="s">
        <v>2078</v>
      </c>
      <c r="BK410" s="247"/>
      <c r="BN410" s="249" t="s">
        <v>2088</v>
      </c>
      <c r="BR410" s="249" t="s">
        <v>2078</v>
      </c>
      <c r="BV410" s="249" t="s">
        <v>2078</v>
      </c>
      <c r="BX410" s="252"/>
      <c r="BY410" s="252"/>
      <c r="BZ410" s="249" t="s">
        <v>2078</v>
      </c>
      <c r="CA410" s="247"/>
      <c r="CD410" s="249" t="s">
        <v>2088</v>
      </c>
      <c r="CH410" s="249" t="s">
        <v>2078</v>
      </c>
      <c r="CL410" s="249" t="s">
        <v>2078</v>
      </c>
      <c r="CN410" s="252"/>
      <c r="CO410" s="252"/>
      <c r="CP410" s="249" t="s">
        <v>2078</v>
      </c>
      <c r="CQ410" s="247"/>
      <c r="CT410" s="249" t="s">
        <v>2088</v>
      </c>
      <c r="CX410" s="249" t="s">
        <v>2078</v>
      </c>
      <c r="DB410" s="249" t="s">
        <v>2078</v>
      </c>
    </row>
    <row r="411" spans="44:106" ht="15" customHeight="1" x14ac:dyDescent="0.2">
      <c r="AR411" s="252"/>
      <c r="AS411" s="252"/>
      <c r="AT411" s="249" t="s">
        <v>2078</v>
      </c>
      <c r="AU411" s="247"/>
      <c r="AX411" s="249" t="s">
        <v>2088</v>
      </c>
      <c r="BB411" s="249" t="s">
        <v>2078</v>
      </c>
      <c r="BF411" s="249" t="s">
        <v>2078</v>
      </c>
      <c r="BH411" s="252"/>
      <c r="BI411" s="252"/>
      <c r="BJ411" s="249" t="s">
        <v>2078</v>
      </c>
      <c r="BK411" s="247"/>
      <c r="BN411" s="249" t="s">
        <v>2088</v>
      </c>
      <c r="BR411" s="249" t="s">
        <v>2078</v>
      </c>
      <c r="BV411" s="249" t="s">
        <v>2078</v>
      </c>
      <c r="BX411" s="252"/>
      <c r="BY411" s="252"/>
      <c r="BZ411" s="249" t="s">
        <v>2078</v>
      </c>
      <c r="CA411" s="247"/>
      <c r="CD411" s="249" t="s">
        <v>2088</v>
      </c>
      <c r="CH411" s="249" t="s">
        <v>2078</v>
      </c>
      <c r="CL411" s="249" t="s">
        <v>2078</v>
      </c>
      <c r="CN411" s="252"/>
      <c r="CO411" s="252"/>
      <c r="CP411" s="249" t="s">
        <v>2078</v>
      </c>
      <c r="CQ411" s="247"/>
      <c r="CT411" s="249" t="s">
        <v>2088</v>
      </c>
      <c r="CX411" s="249" t="s">
        <v>2078</v>
      </c>
      <c r="DB411" s="249" t="s">
        <v>2078</v>
      </c>
    </row>
    <row r="412" spans="44:106" ht="15" customHeight="1" x14ac:dyDescent="0.2">
      <c r="AR412" s="252"/>
      <c r="AS412" s="252"/>
      <c r="AT412" s="249" t="s">
        <v>2078</v>
      </c>
      <c r="AU412" s="247"/>
      <c r="AX412" s="249" t="s">
        <v>2088</v>
      </c>
      <c r="BB412" s="249" t="s">
        <v>2078</v>
      </c>
      <c r="BF412" s="249" t="s">
        <v>2078</v>
      </c>
      <c r="BH412" s="252"/>
      <c r="BI412" s="252"/>
      <c r="BJ412" s="249" t="s">
        <v>2078</v>
      </c>
      <c r="BK412" s="247"/>
      <c r="BN412" s="249" t="s">
        <v>2088</v>
      </c>
      <c r="BR412" s="249" t="s">
        <v>2078</v>
      </c>
      <c r="BV412" s="249" t="s">
        <v>2078</v>
      </c>
      <c r="BX412" s="252"/>
      <c r="BY412" s="252"/>
      <c r="BZ412" s="249" t="s">
        <v>2078</v>
      </c>
      <c r="CA412" s="247"/>
      <c r="CD412" s="249" t="s">
        <v>2088</v>
      </c>
      <c r="CH412" s="249" t="s">
        <v>2078</v>
      </c>
      <c r="CL412" s="249" t="s">
        <v>2078</v>
      </c>
      <c r="CN412" s="252"/>
      <c r="CO412" s="252"/>
      <c r="CP412" s="249" t="s">
        <v>2078</v>
      </c>
      <c r="CQ412" s="247"/>
      <c r="CT412" s="249" t="s">
        <v>2088</v>
      </c>
      <c r="CX412" s="249" t="s">
        <v>2078</v>
      </c>
      <c r="DB412" s="249" t="s">
        <v>2078</v>
      </c>
    </row>
    <row r="413" spans="44:106" ht="15" customHeight="1" x14ac:dyDescent="0.2">
      <c r="AR413" s="252"/>
      <c r="AS413" s="252"/>
      <c r="AT413" s="249" t="s">
        <v>2078</v>
      </c>
      <c r="AU413" s="247"/>
      <c r="AX413" s="249" t="s">
        <v>2088</v>
      </c>
      <c r="BB413" s="249" t="s">
        <v>2078</v>
      </c>
      <c r="BF413" s="249" t="s">
        <v>2078</v>
      </c>
      <c r="BH413" s="252"/>
      <c r="BI413" s="252"/>
      <c r="BJ413" s="249" t="s">
        <v>2078</v>
      </c>
      <c r="BK413" s="247"/>
      <c r="BN413" s="249" t="s">
        <v>2088</v>
      </c>
      <c r="BR413" s="249" t="s">
        <v>2078</v>
      </c>
      <c r="BV413" s="249" t="s">
        <v>2078</v>
      </c>
      <c r="BX413" s="252"/>
      <c r="BY413" s="252"/>
      <c r="BZ413" s="249" t="s">
        <v>2078</v>
      </c>
      <c r="CA413" s="247"/>
      <c r="CD413" s="249" t="s">
        <v>2088</v>
      </c>
      <c r="CH413" s="249" t="s">
        <v>2078</v>
      </c>
      <c r="CL413" s="249" t="s">
        <v>2078</v>
      </c>
      <c r="CN413" s="252"/>
      <c r="CO413" s="252"/>
      <c r="CP413" s="249" t="s">
        <v>2078</v>
      </c>
      <c r="CQ413" s="247"/>
      <c r="CT413" s="249" t="s">
        <v>2088</v>
      </c>
      <c r="CX413" s="249" t="s">
        <v>2078</v>
      </c>
      <c r="DB413" s="249" t="s">
        <v>2078</v>
      </c>
    </row>
    <row r="414" spans="44:106" ht="15" customHeight="1" x14ac:dyDescent="0.2">
      <c r="AR414" s="252"/>
      <c r="AS414" s="252"/>
      <c r="AT414" s="249" t="s">
        <v>2078</v>
      </c>
      <c r="AU414" s="247"/>
      <c r="AX414" s="249" t="s">
        <v>2088</v>
      </c>
      <c r="BB414" s="249" t="s">
        <v>2078</v>
      </c>
      <c r="BF414" s="249" t="s">
        <v>2078</v>
      </c>
      <c r="BH414" s="252"/>
      <c r="BI414" s="252"/>
      <c r="BJ414" s="249" t="s">
        <v>2078</v>
      </c>
      <c r="BK414" s="247"/>
      <c r="BN414" s="249" t="s">
        <v>2088</v>
      </c>
      <c r="BR414" s="249" t="s">
        <v>2078</v>
      </c>
      <c r="BV414" s="249" t="s">
        <v>2078</v>
      </c>
      <c r="BX414" s="252"/>
      <c r="BY414" s="252"/>
      <c r="BZ414" s="249" t="s">
        <v>2078</v>
      </c>
      <c r="CA414" s="247"/>
      <c r="CD414" s="249" t="s">
        <v>2088</v>
      </c>
      <c r="CH414" s="249" t="s">
        <v>2078</v>
      </c>
      <c r="CL414" s="249" t="s">
        <v>2078</v>
      </c>
      <c r="CN414" s="252"/>
      <c r="CO414" s="252"/>
      <c r="CP414" s="249" t="s">
        <v>2078</v>
      </c>
      <c r="CQ414" s="247"/>
      <c r="CT414" s="249" t="s">
        <v>2088</v>
      </c>
      <c r="CX414" s="249" t="s">
        <v>2078</v>
      </c>
      <c r="DB414" s="249" t="s">
        <v>2078</v>
      </c>
    </row>
    <row r="415" spans="44:106" ht="15" customHeight="1" x14ac:dyDescent="0.2">
      <c r="AR415" s="252"/>
      <c r="AS415" s="252"/>
      <c r="AT415" s="249" t="s">
        <v>2078</v>
      </c>
      <c r="AU415" s="247"/>
      <c r="AX415" s="249" t="s">
        <v>2088</v>
      </c>
      <c r="BB415" s="249" t="s">
        <v>2078</v>
      </c>
      <c r="BF415" s="249" t="s">
        <v>2078</v>
      </c>
      <c r="BH415" s="252"/>
      <c r="BI415" s="252"/>
      <c r="BJ415" s="249" t="s">
        <v>2078</v>
      </c>
      <c r="BK415" s="247"/>
      <c r="BN415" s="249" t="s">
        <v>2088</v>
      </c>
      <c r="BR415" s="249" t="s">
        <v>2078</v>
      </c>
      <c r="BV415" s="249" t="s">
        <v>2078</v>
      </c>
      <c r="BX415" s="252"/>
      <c r="BY415" s="252"/>
      <c r="BZ415" s="249" t="s">
        <v>2078</v>
      </c>
      <c r="CA415" s="247"/>
      <c r="CD415" s="249" t="s">
        <v>2088</v>
      </c>
      <c r="CH415" s="249" t="s">
        <v>2078</v>
      </c>
      <c r="CL415" s="249" t="s">
        <v>2078</v>
      </c>
      <c r="CN415" s="252"/>
      <c r="CO415" s="252"/>
      <c r="CP415" s="249" t="s">
        <v>2078</v>
      </c>
      <c r="CQ415" s="247"/>
      <c r="CT415" s="249" t="s">
        <v>2088</v>
      </c>
      <c r="CX415" s="249" t="s">
        <v>2078</v>
      </c>
      <c r="DB415" s="249" t="s">
        <v>2078</v>
      </c>
    </row>
    <row r="416" spans="44:106" ht="15" customHeight="1" x14ac:dyDescent="0.2">
      <c r="AR416" s="252"/>
      <c r="AS416" s="252"/>
      <c r="AT416" s="249" t="s">
        <v>2078</v>
      </c>
      <c r="AU416" s="247"/>
      <c r="AX416" s="249" t="s">
        <v>2088</v>
      </c>
      <c r="BB416" s="249" t="s">
        <v>2078</v>
      </c>
      <c r="BF416" s="249" t="s">
        <v>2078</v>
      </c>
      <c r="BH416" s="252"/>
      <c r="BI416" s="252"/>
      <c r="BJ416" s="249" t="s">
        <v>2078</v>
      </c>
      <c r="BK416" s="247"/>
      <c r="BN416" s="249" t="s">
        <v>2088</v>
      </c>
      <c r="BR416" s="249" t="s">
        <v>2078</v>
      </c>
      <c r="BV416" s="249" t="s">
        <v>2078</v>
      </c>
      <c r="BX416" s="252"/>
      <c r="BY416" s="252"/>
      <c r="BZ416" s="249" t="s">
        <v>2078</v>
      </c>
      <c r="CA416" s="247"/>
      <c r="CD416" s="249" t="s">
        <v>2088</v>
      </c>
      <c r="CH416" s="249" t="s">
        <v>2078</v>
      </c>
      <c r="CL416" s="249" t="s">
        <v>2078</v>
      </c>
      <c r="CN416" s="252"/>
      <c r="CO416" s="252"/>
      <c r="CP416" s="249" t="s">
        <v>2078</v>
      </c>
      <c r="CQ416" s="247"/>
      <c r="CT416" s="249" t="s">
        <v>2088</v>
      </c>
      <c r="CX416" s="249" t="s">
        <v>2078</v>
      </c>
      <c r="DB416" s="249" t="s">
        <v>2078</v>
      </c>
    </row>
    <row r="417" spans="44:106" ht="15" customHeight="1" x14ac:dyDescent="0.2">
      <c r="AR417" s="252"/>
      <c r="AS417" s="252"/>
      <c r="AT417" s="249" t="s">
        <v>2078</v>
      </c>
      <c r="AU417" s="247"/>
      <c r="AX417" s="249" t="s">
        <v>2088</v>
      </c>
      <c r="BB417" s="249" t="s">
        <v>2078</v>
      </c>
      <c r="BF417" s="249" t="s">
        <v>2078</v>
      </c>
      <c r="BH417" s="252"/>
      <c r="BI417" s="252"/>
      <c r="BJ417" s="249" t="s">
        <v>2078</v>
      </c>
      <c r="BK417" s="247"/>
      <c r="BN417" s="249" t="s">
        <v>2088</v>
      </c>
      <c r="BR417" s="249" t="s">
        <v>2078</v>
      </c>
      <c r="BV417" s="249" t="s">
        <v>2078</v>
      </c>
      <c r="BX417" s="252"/>
      <c r="BY417" s="252"/>
      <c r="BZ417" s="249" t="s">
        <v>2078</v>
      </c>
      <c r="CA417" s="247"/>
      <c r="CD417" s="249" t="s">
        <v>2088</v>
      </c>
      <c r="CH417" s="249" t="s">
        <v>2078</v>
      </c>
      <c r="CL417" s="249" t="s">
        <v>2078</v>
      </c>
      <c r="CN417" s="252"/>
      <c r="CO417" s="252"/>
      <c r="CP417" s="249" t="s">
        <v>2078</v>
      </c>
      <c r="CQ417" s="247"/>
      <c r="CT417" s="249" t="s">
        <v>2088</v>
      </c>
      <c r="CX417" s="249" t="s">
        <v>2078</v>
      </c>
      <c r="DB417" s="249" t="s">
        <v>2078</v>
      </c>
    </row>
    <row r="418" spans="44:106" ht="15" customHeight="1" x14ac:dyDescent="0.2">
      <c r="AR418" s="252"/>
      <c r="AS418" s="252"/>
      <c r="AT418" s="249" t="s">
        <v>2078</v>
      </c>
      <c r="AU418" s="247"/>
      <c r="AX418" s="249" t="s">
        <v>2088</v>
      </c>
      <c r="BB418" s="249" t="s">
        <v>2078</v>
      </c>
      <c r="BF418" s="249" t="s">
        <v>2078</v>
      </c>
      <c r="BH418" s="252"/>
      <c r="BI418" s="252"/>
      <c r="BJ418" s="249" t="s">
        <v>2078</v>
      </c>
      <c r="BK418" s="247"/>
      <c r="BN418" s="249" t="s">
        <v>2088</v>
      </c>
      <c r="BR418" s="249" t="s">
        <v>2078</v>
      </c>
      <c r="BV418" s="249" t="s">
        <v>2078</v>
      </c>
      <c r="BX418" s="252"/>
      <c r="BY418" s="252"/>
      <c r="BZ418" s="249" t="s">
        <v>2078</v>
      </c>
      <c r="CA418" s="247"/>
      <c r="CD418" s="249" t="s">
        <v>2088</v>
      </c>
      <c r="CH418" s="249" t="s">
        <v>2078</v>
      </c>
      <c r="CL418" s="249" t="s">
        <v>2078</v>
      </c>
      <c r="CN418" s="252"/>
      <c r="CO418" s="252"/>
      <c r="CP418" s="249" t="s">
        <v>2078</v>
      </c>
      <c r="CQ418" s="247"/>
      <c r="CT418" s="249" t="s">
        <v>2088</v>
      </c>
      <c r="CX418" s="249" t="s">
        <v>2078</v>
      </c>
      <c r="DB418" s="249" t="s">
        <v>2078</v>
      </c>
    </row>
    <row r="419" spans="44:106" ht="15" customHeight="1" x14ac:dyDescent="0.2">
      <c r="AR419" s="252"/>
      <c r="AS419" s="252"/>
      <c r="AT419" s="249" t="s">
        <v>2078</v>
      </c>
      <c r="AU419" s="247"/>
      <c r="AX419" s="249" t="s">
        <v>2088</v>
      </c>
      <c r="BB419" s="249" t="s">
        <v>2078</v>
      </c>
      <c r="BF419" s="249" t="s">
        <v>2078</v>
      </c>
      <c r="BH419" s="252"/>
      <c r="BI419" s="252"/>
      <c r="BJ419" s="249" t="s">
        <v>2078</v>
      </c>
      <c r="BK419" s="247"/>
      <c r="BN419" s="249" t="s">
        <v>2088</v>
      </c>
      <c r="BR419" s="249" t="s">
        <v>2078</v>
      </c>
      <c r="BV419" s="249" t="s">
        <v>2078</v>
      </c>
      <c r="BX419" s="252"/>
      <c r="BY419" s="252"/>
      <c r="BZ419" s="249" t="s">
        <v>2078</v>
      </c>
      <c r="CA419" s="247"/>
      <c r="CD419" s="249" t="s">
        <v>2088</v>
      </c>
      <c r="CH419" s="249" t="s">
        <v>2078</v>
      </c>
      <c r="CL419" s="249" t="s">
        <v>2078</v>
      </c>
      <c r="CN419" s="252"/>
      <c r="CO419" s="252"/>
      <c r="CP419" s="249" t="s">
        <v>2078</v>
      </c>
      <c r="CQ419" s="247"/>
      <c r="CT419" s="249" t="s">
        <v>2088</v>
      </c>
      <c r="CX419" s="249" t="s">
        <v>2078</v>
      </c>
      <c r="DB419" s="249" t="s">
        <v>2078</v>
      </c>
    </row>
    <row r="420" spans="44:106" ht="15" customHeight="1" x14ac:dyDescent="0.2">
      <c r="AR420" s="252"/>
      <c r="AS420" s="252"/>
      <c r="AT420" s="249" t="s">
        <v>2078</v>
      </c>
      <c r="AU420" s="247"/>
      <c r="AX420" s="249" t="s">
        <v>2088</v>
      </c>
      <c r="BB420" s="249" t="s">
        <v>2078</v>
      </c>
      <c r="BF420" s="249" t="s">
        <v>2078</v>
      </c>
      <c r="BH420" s="252"/>
      <c r="BI420" s="252"/>
      <c r="BJ420" s="249" t="s">
        <v>2078</v>
      </c>
      <c r="BK420" s="247"/>
      <c r="BN420" s="249" t="s">
        <v>2088</v>
      </c>
      <c r="BR420" s="249" t="s">
        <v>2078</v>
      </c>
      <c r="BV420" s="249" t="s">
        <v>2078</v>
      </c>
      <c r="BX420" s="252"/>
      <c r="BY420" s="252"/>
      <c r="BZ420" s="249" t="s">
        <v>2078</v>
      </c>
      <c r="CA420" s="247"/>
      <c r="CD420" s="249" t="s">
        <v>2088</v>
      </c>
      <c r="CH420" s="249" t="s">
        <v>2078</v>
      </c>
      <c r="CL420" s="249" t="s">
        <v>2078</v>
      </c>
      <c r="CN420" s="252"/>
      <c r="CO420" s="252"/>
      <c r="CP420" s="249" t="s">
        <v>2078</v>
      </c>
      <c r="CQ420" s="247"/>
      <c r="CT420" s="249" t="s">
        <v>2088</v>
      </c>
      <c r="CX420" s="249" t="s">
        <v>2078</v>
      </c>
      <c r="DB420" s="249" t="s">
        <v>2078</v>
      </c>
    </row>
    <row r="421" spans="44:106" ht="15" customHeight="1" x14ac:dyDescent="0.2">
      <c r="AR421" s="252"/>
      <c r="AS421" s="252"/>
      <c r="AT421" s="249" t="s">
        <v>2078</v>
      </c>
      <c r="AU421" s="247"/>
      <c r="AX421" s="249" t="s">
        <v>2088</v>
      </c>
      <c r="BB421" s="249" t="s">
        <v>2078</v>
      </c>
      <c r="BF421" s="249" t="s">
        <v>2078</v>
      </c>
      <c r="BH421" s="252"/>
      <c r="BI421" s="252"/>
      <c r="BJ421" s="249" t="s">
        <v>2078</v>
      </c>
      <c r="BK421" s="247"/>
      <c r="BN421" s="249" t="s">
        <v>2088</v>
      </c>
      <c r="BR421" s="249" t="s">
        <v>2078</v>
      </c>
      <c r="BV421" s="249" t="s">
        <v>2078</v>
      </c>
      <c r="BX421" s="252"/>
      <c r="BY421" s="252"/>
      <c r="BZ421" s="249" t="s">
        <v>2078</v>
      </c>
      <c r="CA421" s="247"/>
      <c r="CD421" s="249" t="s">
        <v>2088</v>
      </c>
      <c r="CH421" s="249" t="s">
        <v>2078</v>
      </c>
      <c r="CL421" s="249" t="s">
        <v>2078</v>
      </c>
      <c r="CN421" s="252"/>
      <c r="CO421" s="252"/>
      <c r="CP421" s="249" t="s">
        <v>2078</v>
      </c>
      <c r="CQ421" s="247"/>
      <c r="CT421" s="249" t="s">
        <v>2088</v>
      </c>
      <c r="CX421" s="249" t="s">
        <v>2078</v>
      </c>
      <c r="DB421" s="249" t="s">
        <v>2078</v>
      </c>
    </row>
    <row r="422" spans="44:106" ht="15" customHeight="1" x14ac:dyDescent="0.2">
      <c r="AR422" s="252"/>
      <c r="AS422" s="252"/>
      <c r="AT422" s="249" t="s">
        <v>2078</v>
      </c>
      <c r="AU422" s="247"/>
      <c r="AX422" s="249" t="s">
        <v>2088</v>
      </c>
      <c r="BB422" s="249" t="s">
        <v>2078</v>
      </c>
      <c r="BF422" s="249" t="s">
        <v>2078</v>
      </c>
      <c r="BH422" s="252"/>
      <c r="BI422" s="252"/>
      <c r="BJ422" s="249" t="s">
        <v>2078</v>
      </c>
      <c r="BK422" s="247"/>
      <c r="BN422" s="249" t="s">
        <v>2088</v>
      </c>
      <c r="BR422" s="249" t="s">
        <v>2078</v>
      </c>
      <c r="BV422" s="249" t="s">
        <v>2078</v>
      </c>
      <c r="BX422" s="252"/>
      <c r="BY422" s="252"/>
      <c r="BZ422" s="249" t="s">
        <v>2078</v>
      </c>
      <c r="CA422" s="247"/>
      <c r="CD422" s="249" t="s">
        <v>2088</v>
      </c>
      <c r="CH422" s="249" t="s">
        <v>2078</v>
      </c>
      <c r="CL422" s="249" t="s">
        <v>2078</v>
      </c>
      <c r="CN422" s="252"/>
      <c r="CO422" s="252"/>
      <c r="CP422" s="249" t="s">
        <v>2078</v>
      </c>
      <c r="CQ422" s="247"/>
      <c r="CT422" s="249" t="s">
        <v>2088</v>
      </c>
      <c r="CX422" s="249" t="s">
        <v>2078</v>
      </c>
      <c r="DB422" s="249" t="s">
        <v>2078</v>
      </c>
    </row>
    <row r="423" spans="44:106" ht="15" customHeight="1" x14ac:dyDescent="0.2">
      <c r="AR423" s="252"/>
      <c r="AS423" s="252"/>
      <c r="AT423" s="249" t="s">
        <v>2078</v>
      </c>
      <c r="AU423" s="247"/>
      <c r="AX423" s="249" t="s">
        <v>2088</v>
      </c>
      <c r="BB423" s="249" t="s">
        <v>2078</v>
      </c>
      <c r="BF423" s="249" t="s">
        <v>2078</v>
      </c>
      <c r="BH423" s="252"/>
      <c r="BI423" s="252"/>
      <c r="BJ423" s="249" t="s">
        <v>2078</v>
      </c>
      <c r="BK423" s="247"/>
      <c r="BN423" s="249" t="s">
        <v>2088</v>
      </c>
      <c r="BR423" s="249" t="s">
        <v>2078</v>
      </c>
      <c r="BV423" s="249" t="s">
        <v>2078</v>
      </c>
      <c r="BX423" s="252"/>
      <c r="BY423" s="252"/>
      <c r="BZ423" s="249" t="s">
        <v>2078</v>
      </c>
      <c r="CA423" s="247"/>
      <c r="CD423" s="249" t="s">
        <v>2088</v>
      </c>
      <c r="CH423" s="249" t="s">
        <v>2078</v>
      </c>
      <c r="CL423" s="249" t="s">
        <v>2078</v>
      </c>
      <c r="CN423" s="252"/>
      <c r="CO423" s="252"/>
      <c r="CP423" s="249" t="s">
        <v>2078</v>
      </c>
      <c r="CQ423" s="247"/>
      <c r="CT423" s="249" t="s">
        <v>2088</v>
      </c>
      <c r="CX423" s="249" t="s">
        <v>2078</v>
      </c>
      <c r="DB423" s="249" t="s">
        <v>2078</v>
      </c>
    </row>
    <row r="424" spans="44:106" ht="15" customHeight="1" x14ac:dyDescent="0.2">
      <c r="AR424" s="252"/>
      <c r="AS424" s="252"/>
      <c r="AT424" s="249" t="s">
        <v>2078</v>
      </c>
      <c r="AU424" s="247"/>
      <c r="AX424" s="249" t="s">
        <v>2088</v>
      </c>
      <c r="BB424" s="249" t="s">
        <v>2078</v>
      </c>
      <c r="BF424" s="249" t="s">
        <v>2078</v>
      </c>
      <c r="BH424" s="252"/>
      <c r="BI424" s="252"/>
      <c r="BJ424" s="249" t="s">
        <v>2078</v>
      </c>
      <c r="BK424" s="247"/>
      <c r="BN424" s="249" t="s">
        <v>2088</v>
      </c>
      <c r="BR424" s="249" t="s">
        <v>2078</v>
      </c>
      <c r="BV424" s="249" t="s">
        <v>2078</v>
      </c>
      <c r="BX424" s="252"/>
      <c r="BY424" s="252"/>
      <c r="BZ424" s="249" t="s">
        <v>2078</v>
      </c>
      <c r="CA424" s="247"/>
      <c r="CD424" s="249" t="s">
        <v>2088</v>
      </c>
      <c r="CH424" s="249" t="s">
        <v>2078</v>
      </c>
      <c r="CL424" s="249" t="s">
        <v>2078</v>
      </c>
      <c r="CN424" s="252"/>
      <c r="CO424" s="252"/>
      <c r="CP424" s="249" t="s">
        <v>2078</v>
      </c>
      <c r="CQ424" s="247"/>
      <c r="CT424" s="249" t="s">
        <v>2088</v>
      </c>
      <c r="CX424" s="249" t="s">
        <v>2078</v>
      </c>
      <c r="DB424" s="249" t="s">
        <v>2078</v>
      </c>
    </row>
    <row r="425" spans="44:106" ht="15" customHeight="1" x14ac:dyDescent="0.2">
      <c r="AR425" s="252"/>
      <c r="AS425" s="252"/>
      <c r="AT425" s="249" t="s">
        <v>2078</v>
      </c>
      <c r="AU425" s="247"/>
      <c r="AX425" s="249" t="s">
        <v>2088</v>
      </c>
      <c r="BB425" s="249" t="s">
        <v>2078</v>
      </c>
      <c r="BF425" s="249" t="s">
        <v>2078</v>
      </c>
      <c r="BH425" s="252"/>
      <c r="BI425" s="252"/>
      <c r="BJ425" s="249" t="s">
        <v>2078</v>
      </c>
      <c r="BK425" s="247"/>
      <c r="BN425" s="249" t="s">
        <v>2088</v>
      </c>
      <c r="BR425" s="249" t="s">
        <v>2078</v>
      </c>
      <c r="BV425" s="249" t="s">
        <v>2078</v>
      </c>
      <c r="BX425" s="252"/>
      <c r="BY425" s="252"/>
      <c r="BZ425" s="249" t="s">
        <v>2078</v>
      </c>
      <c r="CA425" s="247"/>
      <c r="CD425" s="249" t="s">
        <v>2088</v>
      </c>
      <c r="CH425" s="249" t="s">
        <v>2078</v>
      </c>
      <c r="CL425" s="249" t="s">
        <v>2078</v>
      </c>
      <c r="CN425" s="252"/>
      <c r="CO425" s="252"/>
      <c r="CP425" s="249" t="s">
        <v>2078</v>
      </c>
      <c r="CQ425" s="247"/>
      <c r="CT425" s="249" t="s">
        <v>2088</v>
      </c>
      <c r="CX425" s="249" t="s">
        <v>2078</v>
      </c>
      <c r="DB425" s="249" t="s">
        <v>2078</v>
      </c>
    </row>
    <row r="426" spans="44:106" ht="15" customHeight="1" x14ac:dyDescent="0.2">
      <c r="AR426" s="252"/>
      <c r="AS426" s="252"/>
      <c r="AT426" s="249" t="s">
        <v>2078</v>
      </c>
      <c r="AU426" s="247"/>
      <c r="AX426" s="249" t="s">
        <v>2088</v>
      </c>
      <c r="BB426" s="249" t="s">
        <v>2078</v>
      </c>
      <c r="BF426" s="249" t="s">
        <v>2078</v>
      </c>
      <c r="BH426" s="252"/>
      <c r="BI426" s="252"/>
      <c r="BJ426" s="249" t="s">
        <v>2078</v>
      </c>
      <c r="BK426" s="247"/>
      <c r="BN426" s="249" t="s">
        <v>2088</v>
      </c>
      <c r="BR426" s="249" t="s">
        <v>2078</v>
      </c>
      <c r="BV426" s="249" t="s">
        <v>2078</v>
      </c>
      <c r="BX426" s="252"/>
      <c r="BY426" s="252"/>
      <c r="BZ426" s="249" t="s">
        <v>2078</v>
      </c>
      <c r="CA426" s="247"/>
      <c r="CD426" s="249" t="s">
        <v>2088</v>
      </c>
      <c r="CH426" s="249" t="s">
        <v>2078</v>
      </c>
      <c r="CL426" s="249" t="s">
        <v>2078</v>
      </c>
      <c r="CN426" s="252"/>
      <c r="CO426" s="252"/>
      <c r="CP426" s="249" t="s">
        <v>2078</v>
      </c>
      <c r="CQ426" s="247"/>
      <c r="CT426" s="249" t="s">
        <v>2088</v>
      </c>
      <c r="CX426" s="249" t="s">
        <v>2078</v>
      </c>
      <c r="DB426" s="249" t="s">
        <v>2078</v>
      </c>
    </row>
    <row r="427" spans="44:106" ht="15" customHeight="1" x14ac:dyDescent="0.2">
      <c r="AR427" s="252"/>
      <c r="AS427" s="252"/>
      <c r="AT427" s="249" t="s">
        <v>2078</v>
      </c>
      <c r="AU427" s="247"/>
      <c r="AX427" s="249" t="s">
        <v>2088</v>
      </c>
      <c r="BB427" s="249" t="s">
        <v>2078</v>
      </c>
      <c r="BF427" s="249" t="s">
        <v>2078</v>
      </c>
      <c r="BH427" s="252"/>
      <c r="BI427" s="252"/>
      <c r="BJ427" s="249" t="s">
        <v>2078</v>
      </c>
      <c r="BK427" s="247"/>
      <c r="BN427" s="249" t="s">
        <v>2088</v>
      </c>
      <c r="BR427" s="249" t="s">
        <v>2078</v>
      </c>
      <c r="BV427" s="249" t="s">
        <v>2078</v>
      </c>
      <c r="BX427" s="252"/>
      <c r="BY427" s="252"/>
      <c r="BZ427" s="249" t="s">
        <v>2078</v>
      </c>
      <c r="CA427" s="247"/>
      <c r="CD427" s="249" t="s">
        <v>2088</v>
      </c>
      <c r="CH427" s="249" t="s">
        <v>2078</v>
      </c>
      <c r="CL427" s="249" t="s">
        <v>2078</v>
      </c>
      <c r="CN427" s="252"/>
      <c r="CO427" s="252"/>
      <c r="CP427" s="249" t="s">
        <v>2078</v>
      </c>
      <c r="CQ427" s="247"/>
      <c r="CT427" s="249" t="s">
        <v>2088</v>
      </c>
      <c r="CX427" s="249" t="s">
        <v>2078</v>
      </c>
      <c r="DB427" s="249" t="s">
        <v>2078</v>
      </c>
    </row>
    <row r="428" spans="44:106" ht="15" customHeight="1" x14ac:dyDescent="0.2">
      <c r="AR428" s="252"/>
      <c r="AS428" s="252"/>
      <c r="AT428" s="249" t="s">
        <v>2078</v>
      </c>
      <c r="AU428" s="247"/>
      <c r="AX428" s="249" t="s">
        <v>2088</v>
      </c>
      <c r="BB428" s="249" t="s">
        <v>2078</v>
      </c>
      <c r="BF428" s="249" t="s">
        <v>2078</v>
      </c>
      <c r="BH428" s="252"/>
      <c r="BI428" s="252"/>
      <c r="BJ428" s="249" t="s">
        <v>2078</v>
      </c>
      <c r="BK428" s="247"/>
      <c r="BN428" s="249" t="s">
        <v>2088</v>
      </c>
      <c r="BR428" s="249" t="s">
        <v>2078</v>
      </c>
      <c r="BV428" s="249" t="s">
        <v>2078</v>
      </c>
      <c r="BX428" s="252"/>
      <c r="BY428" s="252"/>
      <c r="BZ428" s="249" t="s">
        <v>2078</v>
      </c>
      <c r="CA428" s="247"/>
      <c r="CD428" s="249" t="s">
        <v>2088</v>
      </c>
      <c r="CH428" s="249" t="s">
        <v>2078</v>
      </c>
      <c r="CL428" s="249" t="s">
        <v>2078</v>
      </c>
      <c r="CN428" s="252"/>
      <c r="CO428" s="252"/>
      <c r="CP428" s="249" t="s">
        <v>2078</v>
      </c>
      <c r="CQ428" s="247"/>
      <c r="CT428" s="249" t="s">
        <v>2088</v>
      </c>
      <c r="CX428" s="249" t="s">
        <v>2078</v>
      </c>
      <c r="DB428" s="249" t="s">
        <v>2078</v>
      </c>
    </row>
    <row r="429" spans="44:106" ht="15" customHeight="1" x14ac:dyDescent="0.2">
      <c r="AR429" s="252"/>
      <c r="AS429" s="252"/>
      <c r="AT429" s="249" t="s">
        <v>2078</v>
      </c>
      <c r="AU429" s="247"/>
      <c r="AX429" s="249" t="s">
        <v>2088</v>
      </c>
      <c r="BB429" s="249" t="s">
        <v>2078</v>
      </c>
      <c r="BF429" s="249" t="s">
        <v>2078</v>
      </c>
      <c r="BH429" s="252"/>
      <c r="BI429" s="252"/>
      <c r="BJ429" s="249" t="s">
        <v>2078</v>
      </c>
      <c r="BK429" s="247"/>
      <c r="BN429" s="249" t="s">
        <v>2088</v>
      </c>
      <c r="BR429" s="249" t="s">
        <v>2078</v>
      </c>
      <c r="BV429" s="249" t="s">
        <v>2078</v>
      </c>
      <c r="BX429" s="252"/>
      <c r="BY429" s="252"/>
      <c r="BZ429" s="249" t="s">
        <v>2078</v>
      </c>
      <c r="CA429" s="247"/>
      <c r="CD429" s="249" t="s">
        <v>2088</v>
      </c>
      <c r="CH429" s="249" t="s">
        <v>2078</v>
      </c>
      <c r="CL429" s="249" t="s">
        <v>2078</v>
      </c>
      <c r="CN429" s="252"/>
      <c r="CO429" s="252"/>
      <c r="CP429" s="249" t="s">
        <v>2078</v>
      </c>
      <c r="CQ429" s="247"/>
      <c r="CT429" s="249" t="s">
        <v>2088</v>
      </c>
      <c r="CX429" s="249" t="s">
        <v>2078</v>
      </c>
      <c r="DB429" s="249" t="s">
        <v>2078</v>
      </c>
    </row>
    <row r="430" spans="44:106" ht="15" customHeight="1" x14ac:dyDescent="0.2">
      <c r="AR430" s="252"/>
      <c r="AS430" s="252"/>
      <c r="AT430" s="249" t="s">
        <v>2078</v>
      </c>
      <c r="AU430" s="247"/>
      <c r="AX430" s="249" t="s">
        <v>2088</v>
      </c>
      <c r="BB430" s="249" t="s">
        <v>2078</v>
      </c>
      <c r="BF430" s="249" t="s">
        <v>2078</v>
      </c>
      <c r="BH430" s="252"/>
      <c r="BI430" s="252"/>
      <c r="BJ430" s="249" t="s">
        <v>2078</v>
      </c>
      <c r="BK430" s="247"/>
      <c r="BN430" s="249" t="s">
        <v>2088</v>
      </c>
      <c r="BR430" s="249" t="s">
        <v>2078</v>
      </c>
      <c r="BV430" s="249" t="s">
        <v>2078</v>
      </c>
      <c r="BX430" s="252"/>
      <c r="BY430" s="252"/>
      <c r="BZ430" s="249" t="s">
        <v>2078</v>
      </c>
      <c r="CA430" s="247"/>
      <c r="CD430" s="249" t="s">
        <v>2088</v>
      </c>
      <c r="CH430" s="249" t="s">
        <v>2078</v>
      </c>
      <c r="CL430" s="249" t="s">
        <v>2078</v>
      </c>
      <c r="CN430" s="252"/>
      <c r="CO430" s="252"/>
      <c r="CP430" s="249" t="s">
        <v>2078</v>
      </c>
      <c r="CQ430" s="247"/>
      <c r="CT430" s="249" t="s">
        <v>2088</v>
      </c>
      <c r="CX430" s="249" t="s">
        <v>2078</v>
      </c>
      <c r="DB430" s="249" t="s">
        <v>2078</v>
      </c>
    </row>
    <row r="431" spans="44:106" ht="15" customHeight="1" x14ac:dyDescent="0.2">
      <c r="AR431" s="252"/>
      <c r="AS431" s="252"/>
      <c r="AT431" s="249" t="s">
        <v>2078</v>
      </c>
      <c r="AU431" s="247"/>
      <c r="AX431" s="249" t="s">
        <v>2088</v>
      </c>
      <c r="BB431" s="249" t="s">
        <v>2078</v>
      </c>
      <c r="BF431" s="249" t="s">
        <v>2078</v>
      </c>
      <c r="BH431" s="252"/>
      <c r="BI431" s="252"/>
      <c r="BJ431" s="249" t="s">
        <v>2078</v>
      </c>
      <c r="BK431" s="247"/>
      <c r="BN431" s="249" t="s">
        <v>2088</v>
      </c>
      <c r="BR431" s="249" t="s">
        <v>2078</v>
      </c>
      <c r="BV431" s="249" t="s">
        <v>2078</v>
      </c>
      <c r="BX431" s="252"/>
      <c r="BY431" s="252"/>
      <c r="BZ431" s="249" t="s">
        <v>2078</v>
      </c>
      <c r="CA431" s="247"/>
      <c r="CD431" s="249" t="s">
        <v>2088</v>
      </c>
      <c r="CH431" s="249" t="s">
        <v>2078</v>
      </c>
      <c r="CL431" s="249" t="s">
        <v>2078</v>
      </c>
      <c r="CN431" s="252"/>
      <c r="CO431" s="252"/>
      <c r="CP431" s="249" t="s">
        <v>2078</v>
      </c>
      <c r="CQ431" s="247"/>
      <c r="CT431" s="249" t="s">
        <v>2088</v>
      </c>
      <c r="CX431" s="249" t="s">
        <v>2078</v>
      </c>
      <c r="DB431" s="249" t="s">
        <v>2078</v>
      </c>
    </row>
    <row r="432" spans="44:106" ht="15" customHeight="1" x14ac:dyDescent="0.2">
      <c r="AR432" s="252"/>
      <c r="AS432" s="252"/>
      <c r="AT432" s="249" t="s">
        <v>2078</v>
      </c>
      <c r="AU432" s="247"/>
      <c r="AX432" s="249" t="s">
        <v>2088</v>
      </c>
      <c r="BB432" s="249" t="s">
        <v>2078</v>
      </c>
      <c r="BF432" s="249" t="s">
        <v>2078</v>
      </c>
      <c r="BH432" s="252"/>
      <c r="BI432" s="252"/>
      <c r="BJ432" s="249" t="s">
        <v>2078</v>
      </c>
      <c r="BK432" s="247"/>
      <c r="BN432" s="249" t="s">
        <v>2088</v>
      </c>
      <c r="BR432" s="249" t="s">
        <v>2078</v>
      </c>
      <c r="BV432" s="249" t="s">
        <v>2078</v>
      </c>
      <c r="BX432" s="252"/>
      <c r="BY432" s="252"/>
      <c r="BZ432" s="249" t="s">
        <v>2078</v>
      </c>
      <c r="CA432" s="247"/>
      <c r="CD432" s="249" t="s">
        <v>2088</v>
      </c>
      <c r="CH432" s="249" t="s">
        <v>2078</v>
      </c>
      <c r="CL432" s="249" t="s">
        <v>2078</v>
      </c>
      <c r="CN432" s="252"/>
      <c r="CO432" s="252"/>
      <c r="CP432" s="249" t="s">
        <v>2078</v>
      </c>
      <c r="CQ432" s="247"/>
      <c r="CT432" s="249" t="s">
        <v>2088</v>
      </c>
      <c r="CX432" s="249" t="s">
        <v>2078</v>
      </c>
      <c r="DB432" s="249" t="s">
        <v>2078</v>
      </c>
    </row>
    <row r="433" spans="44:106" ht="15" customHeight="1" x14ac:dyDescent="0.2">
      <c r="AR433" s="252"/>
      <c r="AS433" s="252"/>
      <c r="AT433" s="249" t="s">
        <v>2078</v>
      </c>
      <c r="AU433" s="247"/>
      <c r="AX433" s="249" t="s">
        <v>2088</v>
      </c>
      <c r="BB433" s="249" t="s">
        <v>2078</v>
      </c>
      <c r="BF433" s="249" t="s">
        <v>2078</v>
      </c>
      <c r="BH433" s="252"/>
      <c r="BI433" s="252"/>
      <c r="BJ433" s="249" t="s">
        <v>2078</v>
      </c>
      <c r="BK433" s="247"/>
      <c r="BN433" s="249" t="s">
        <v>2088</v>
      </c>
      <c r="BR433" s="249" t="s">
        <v>2078</v>
      </c>
      <c r="BV433" s="249" t="s">
        <v>2078</v>
      </c>
      <c r="BX433" s="252"/>
      <c r="BY433" s="252"/>
      <c r="BZ433" s="249" t="s">
        <v>2078</v>
      </c>
      <c r="CA433" s="247"/>
      <c r="CD433" s="249" t="s">
        <v>2088</v>
      </c>
      <c r="CH433" s="249" t="s">
        <v>2078</v>
      </c>
      <c r="CL433" s="249" t="s">
        <v>2078</v>
      </c>
      <c r="CN433" s="252"/>
      <c r="CO433" s="252"/>
      <c r="CP433" s="249" t="s">
        <v>2078</v>
      </c>
      <c r="CQ433" s="247"/>
      <c r="CT433" s="249" t="s">
        <v>2088</v>
      </c>
      <c r="CX433" s="249" t="s">
        <v>2078</v>
      </c>
      <c r="DB433" s="249" t="s">
        <v>2078</v>
      </c>
    </row>
    <row r="434" spans="44:106" ht="15" customHeight="1" x14ac:dyDescent="0.2">
      <c r="AR434" s="252"/>
      <c r="AS434" s="252"/>
      <c r="AT434" s="249" t="s">
        <v>2078</v>
      </c>
      <c r="AU434" s="247"/>
      <c r="AX434" s="249" t="s">
        <v>2088</v>
      </c>
      <c r="BB434" s="249" t="s">
        <v>2078</v>
      </c>
      <c r="BF434" s="249" t="s">
        <v>2078</v>
      </c>
      <c r="BH434" s="252"/>
      <c r="BI434" s="252"/>
      <c r="BJ434" s="249" t="s">
        <v>2078</v>
      </c>
      <c r="BK434" s="247"/>
      <c r="BN434" s="249" t="s">
        <v>2088</v>
      </c>
      <c r="BR434" s="249" t="s">
        <v>2078</v>
      </c>
      <c r="BV434" s="249" t="s">
        <v>2078</v>
      </c>
      <c r="BX434" s="252"/>
      <c r="BY434" s="252"/>
      <c r="BZ434" s="249" t="s">
        <v>2078</v>
      </c>
      <c r="CA434" s="247"/>
      <c r="CD434" s="249" t="s">
        <v>2088</v>
      </c>
      <c r="CH434" s="249" t="s">
        <v>2078</v>
      </c>
      <c r="CL434" s="249" t="s">
        <v>2078</v>
      </c>
      <c r="CN434" s="252"/>
      <c r="CO434" s="252"/>
      <c r="CP434" s="249" t="s">
        <v>2078</v>
      </c>
      <c r="CQ434" s="247"/>
      <c r="CT434" s="249" t="s">
        <v>2088</v>
      </c>
      <c r="CX434" s="249" t="s">
        <v>2078</v>
      </c>
      <c r="DB434" s="249" t="s">
        <v>2078</v>
      </c>
    </row>
    <row r="435" spans="44:106" ht="15" customHeight="1" x14ac:dyDescent="0.2">
      <c r="AR435" s="252"/>
      <c r="AS435" s="252"/>
      <c r="AT435" s="249" t="s">
        <v>2078</v>
      </c>
      <c r="AU435" s="247"/>
      <c r="AX435" s="249" t="s">
        <v>2088</v>
      </c>
      <c r="BB435" s="249" t="s">
        <v>2078</v>
      </c>
      <c r="BF435" s="249" t="s">
        <v>2078</v>
      </c>
      <c r="BH435" s="252"/>
      <c r="BI435" s="252"/>
      <c r="BJ435" s="249" t="s">
        <v>2078</v>
      </c>
      <c r="BK435" s="247"/>
      <c r="BN435" s="249" t="s">
        <v>2088</v>
      </c>
      <c r="BR435" s="249" t="s">
        <v>2078</v>
      </c>
      <c r="BV435" s="249" t="s">
        <v>2078</v>
      </c>
      <c r="BX435" s="252"/>
      <c r="BY435" s="252"/>
      <c r="BZ435" s="249" t="s">
        <v>2078</v>
      </c>
      <c r="CA435" s="247"/>
      <c r="CD435" s="249" t="s">
        <v>2088</v>
      </c>
      <c r="CH435" s="249" t="s">
        <v>2078</v>
      </c>
      <c r="CL435" s="249" t="s">
        <v>2078</v>
      </c>
      <c r="CN435" s="252"/>
      <c r="CO435" s="252"/>
      <c r="CP435" s="249" t="s">
        <v>2078</v>
      </c>
      <c r="CQ435" s="247"/>
      <c r="CT435" s="249" t="s">
        <v>2088</v>
      </c>
      <c r="CX435" s="249" t="s">
        <v>2078</v>
      </c>
      <c r="DB435" s="249" t="s">
        <v>2078</v>
      </c>
    </row>
    <row r="436" spans="44:106" ht="15" customHeight="1" x14ac:dyDescent="0.2">
      <c r="AR436" s="252"/>
      <c r="AS436" s="252"/>
      <c r="AT436" s="249" t="s">
        <v>2078</v>
      </c>
      <c r="AU436" s="247"/>
      <c r="AX436" s="249" t="s">
        <v>2088</v>
      </c>
      <c r="BB436" s="249" t="s">
        <v>2078</v>
      </c>
      <c r="BF436" s="249" t="s">
        <v>2078</v>
      </c>
      <c r="BH436" s="252"/>
      <c r="BI436" s="252"/>
      <c r="BJ436" s="249" t="s">
        <v>2078</v>
      </c>
      <c r="BK436" s="247"/>
      <c r="BN436" s="249" t="s">
        <v>2088</v>
      </c>
      <c r="BR436" s="249" t="s">
        <v>2078</v>
      </c>
      <c r="BV436" s="249" t="s">
        <v>2078</v>
      </c>
      <c r="BX436" s="252"/>
      <c r="BY436" s="252"/>
      <c r="BZ436" s="249" t="s">
        <v>2078</v>
      </c>
      <c r="CA436" s="247"/>
      <c r="CD436" s="249" t="s">
        <v>2088</v>
      </c>
      <c r="CH436" s="249" t="s">
        <v>2078</v>
      </c>
      <c r="CL436" s="249" t="s">
        <v>2078</v>
      </c>
      <c r="CN436" s="252"/>
      <c r="CO436" s="252"/>
      <c r="CP436" s="249" t="s">
        <v>2078</v>
      </c>
      <c r="CQ436" s="247"/>
      <c r="CT436" s="249" t="s">
        <v>2088</v>
      </c>
      <c r="CX436" s="249" t="s">
        <v>2078</v>
      </c>
      <c r="DB436" s="249" t="s">
        <v>2078</v>
      </c>
    </row>
    <row r="437" spans="44:106" ht="15" customHeight="1" x14ac:dyDescent="0.2">
      <c r="AR437" s="252"/>
      <c r="AS437" s="252"/>
      <c r="AT437" s="249" t="s">
        <v>2078</v>
      </c>
      <c r="AU437" s="247"/>
      <c r="AX437" s="249" t="s">
        <v>2088</v>
      </c>
      <c r="BB437" s="249" t="s">
        <v>2078</v>
      </c>
      <c r="BF437" s="249" t="s">
        <v>2078</v>
      </c>
      <c r="BH437" s="252"/>
      <c r="BI437" s="252"/>
      <c r="BJ437" s="249" t="s">
        <v>2078</v>
      </c>
      <c r="BK437" s="247"/>
      <c r="BN437" s="249" t="s">
        <v>2088</v>
      </c>
      <c r="BR437" s="249" t="s">
        <v>2078</v>
      </c>
      <c r="BV437" s="249" t="s">
        <v>2078</v>
      </c>
      <c r="BX437" s="252"/>
      <c r="BY437" s="252"/>
      <c r="BZ437" s="249" t="s">
        <v>2078</v>
      </c>
      <c r="CA437" s="247"/>
      <c r="CD437" s="249" t="s">
        <v>2088</v>
      </c>
      <c r="CH437" s="249" t="s">
        <v>2078</v>
      </c>
      <c r="CL437" s="249" t="s">
        <v>2078</v>
      </c>
      <c r="CN437" s="252"/>
      <c r="CO437" s="252"/>
      <c r="CP437" s="249" t="s">
        <v>2078</v>
      </c>
      <c r="CQ437" s="247"/>
      <c r="CT437" s="249" t="s">
        <v>2088</v>
      </c>
      <c r="CX437" s="249" t="s">
        <v>2078</v>
      </c>
      <c r="DB437" s="249" t="s">
        <v>2078</v>
      </c>
    </row>
    <row r="438" spans="44:106" ht="15" customHeight="1" x14ac:dyDescent="0.2">
      <c r="AR438" s="252"/>
      <c r="AS438" s="252"/>
      <c r="AT438" s="249" t="s">
        <v>2078</v>
      </c>
      <c r="AU438" s="247"/>
      <c r="AX438" s="249" t="s">
        <v>2088</v>
      </c>
      <c r="BB438" s="249" t="s">
        <v>2078</v>
      </c>
      <c r="BF438" s="249" t="s">
        <v>2078</v>
      </c>
      <c r="BH438" s="252"/>
      <c r="BI438" s="252"/>
      <c r="BJ438" s="249" t="s">
        <v>2078</v>
      </c>
      <c r="BK438" s="247"/>
      <c r="BN438" s="249" t="s">
        <v>2088</v>
      </c>
      <c r="BR438" s="249" t="s">
        <v>2078</v>
      </c>
      <c r="BV438" s="249" t="s">
        <v>2078</v>
      </c>
      <c r="BX438" s="252"/>
      <c r="BY438" s="252"/>
      <c r="BZ438" s="249" t="s">
        <v>2078</v>
      </c>
      <c r="CA438" s="247"/>
      <c r="CD438" s="249" t="s">
        <v>2088</v>
      </c>
      <c r="CH438" s="249" t="s">
        <v>2078</v>
      </c>
      <c r="CL438" s="249" t="s">
        <v>2078</v>
      </c>
      <c r="CN438" s="252"/>
      <c r="CO438" s="252"/>
      <c r="CP438" s="249" t="s">
        <v>2078</v>
      </c>
      <c r="CQ438" s="247"/>
      <c r="CT438" s="249" t="s">
        <v>2088</v>
      </c>
      <c r="CX438" s="249" t="s">
        <v>2078</v>
      </c>
      <c r="DB438" s="249" t="s">
        <v>2078</v>
      </c>
    </row>
    <row r="439" spans="44:106" ht="15" customHeight="1" x14ac:dyDescent="0.2">
      <c r="AR439" s="252"/>
      <c r="AS439" s="252"/>
      <c r="AT439" s="249" t="s">
        <v>2078</v>
      </c>
      <c r="AU439" s="247"/>
      <c r="AX439" s="249" t="s">
        <v>2088</v>
      </c>
      <c r="BB439" s="249" t="s">
        <v>2078</v>
      </c>
      <c r="BF439" s="249" t="s">
        <v>2078</v>
      </c>
      <c r="BH439" s="252"/>
      <c r="BI439" s="252"/>
      <c r="BJ439" s="249" t="s">
        <v>2078</v>
      </c>
      <c r="BK439" s="247"/>
      <c r="BN439" s="249" t="s">
        <v>2088</v>
      </c>
      <c r="BR439" s="249" t="s">
        <v>2078</v>
      </c>
      <c r="BV439" s="249" t="s">
        <v>2078</v>
      </c>
      <c r="BX439" s="252"/>
      <c r="BY439" s="252"/>
      <c r="BZ439" s="249" t="s">
        <v>2078</v>
      </c>
      <c r="CA439" s="247"/>
      <c r="CD439" s="249" t="s">
        <v>2088</v>
      </c>
      <c r="CH439" s="249" t="s">
        <v>2078</v>
      </c>
      <c r="CL439" s="249" t="s">
        <v>2078</v>
      </c>
      <c r="CN439" s="252"/>
      <c r="CO439" s="252"/>
      <c r="CP439" s="249" t="s">
        <v>2078</v>
      </c>
      <c r="CQ439" s="247"/>
      <c r="CT439" s="249" t="s">
        <v>2088</v>
      </c>
      <c r="CX439" s="249" t="s">
        <v>2078</v>
      </c>
      <c r="DB439" s="249" t="s">
        <v>2078</v>
      </c>
    </row>
    <row r="440" spans="44:106" ht="15" customHeight="1" x14ac:dyDescent="0.2">
      <c r="AR440" s="252"/>
      <c r="AS440" s="252"/>
      <c r="AT440" s="249" t="s">
        <v>2078</v>
      </c>
      <c r="AU440" s="247"/>
      <c r="AX440" s="249" t="s">
        <v>2088</v>
      </c>
      <c r="BB440" s="249" t="s">
        <v>2078</v>
      </c>
      <c r="BF440" s="249" t="s">
        <v>2078</v>
      </c>
      <c r="BH440" s="252"/>
      <c r="BI440" s="252"/>
      <c r="BJ440" s="249" t="s">
        <v>2078</v>
      </c>
      <c r="BK440" s="247"/>
      <c r="BN440" s="249" t="s">
        <v>2088</v>
      </c>
      <c r="BR440" s="249" t="s">
        <v>2078</v>
      </c>
      <c r="BV440" s="249" t="s">
        <v>2078</v>
      </c>
      <c r="BX440" s="252"/>
      <c r="BY440" s="252"/>
      <c r="BZ440" s="249" t="s">
        <v>2078</v>
      </c>
      <c r="CA440" s="247"/>
      <c r="CD440" s="249" t="s">
        <v>2088</v>
      </c>
      <c r="CH440" s="249" t="s">
        <v>2078</v>
      </c>
      <c r="CL440" s="249" t="s">
        <v>2078</v>
      </c>
      <c r="CN440" s="252"/>
      <c r="CO440" s="252"/>
      <c r="CP440" s="249" t="s">
        <v>2078</v>
      </c>
      <c r="CQ440" s="247"/>
      <c r="CT440" s="249" t="s">
        <v>2088</v>
      </c>
      <c r="CX440" s="249" t="s">
        <v>2078</v>
      </c>
      <c r="DB440" s="249" t="s">
        <v>2078</v>
      </c>
    </row>
    <row r="441" spans="44:106" ht="15" customHeight="1" x14ac:dyDescent="0.2">
      <c r="AR441" s="252"/>
      <c r="AS441" s="252"/>
      <c r="AT441" s="249" t="s">
        <v>2078</v>
      </c>
      <c r="AU441" s="247"/>
      <c r="AX441" s="249" t="s">
        <v>2088</v>
      </c>
      <c r="BB441" s="249" t="s">
        <v>2078</v>
      </c>
      <c r="BF441" s="249" t="s">
        <v>2078</v>
      </c>
      <c r="BH441" s="252"/>
      <c r="BI441" s="252"/>
      <c r="BJ441" s="249" t="s">
        <v>2078</v>
      </c>
      <c r="BK441" s="247"/>
      <c r="BN441" s="249" t="s">
        <v>2088</v>
      </c>
      <c r="BR441" s="249" t="s">
        <v>2078</v>
      </c>
      <c r="BV441" s="249" t="s">
        <v>2078</v>
      </c>
      <c r="BX441" s="252"/>
      <c r="BY441" s="252"/>
      <c r="BZ441" s="249" t="s">
        <v>2078</v>
      </c>
      <c r="CA441" s="247"/>
      <c r="CD441" s="249" t="s">
        <v>2088</v>
      </c>
      <c r="CH441" s="249" t="s">
        <v>2078</v>
      </c>
      <c r="CL441" s="249" t="s">
        <v>2078</v>
      </c>
      <c r="CN441" s="252"/>
      <c r="CO441" s="252"/>
      <c r="CP441" s="249" t="s">
        <v>2078</v>
      </c>
      <c r="CQ441" s="247"/>
      <c r="CT441" s="249" t="s">
        <v>2088</v>
      </c>
      <c r="CX441" s="249" t="s">
        <v>2078</v>
      </c>
      <c r="DB441" s="249" t="s">
        <v>2078</v>
      </c>
    </row>
    <row r="442" spans="44:106" ht="15" customHeight="1" x14ac:dyDescent="0.2">
      <c r="AR442" s="252"/>
      <c r="AS442" s="252"/>
      <c r="AT442" s="249" t="s">
        <v>2078</v>
      </c>
      <c r="AU442" s="247"/>
      <c r="AX442" s="249" t="s">
        <v>2088</v>
      </c>
      <c r="BB442" s="249" t="s">
        <v>2078</v>
      </c>
      <c r="BF442" s="249" t="s">
        <v>2078</v>
      </c>
      <c r="BH442" s="252"/>
      <c r="BI442" s="252"/>
      <c r="BJ442" s="249" t="s">
        <v>2078</v>
      </c>
      <c r="BK442" s="247"/>
      <c r="BN442" s="249" t="s">
        <v>2088</v>
      </c>
      <c r="BR442" s="249" t="s">
        <v>2078</v>
      </c>
      <c r="BV442" s="249" t="s">
        <v>2078</v>
      </c>
      <c r="BX442" s="252"/>
      <c r="BY442" s="252"/>
      <c r="BZ442" s="249" t="s">
        <v>2078</v>
      </c>
      <c r="CA442" s="247"/>
      <c r="CD442" s="249" t="s">
        <v>2088</v>
      </c>
      <c r="CH442" s="249" t="s">
        <v>2078</v>
      </c>
      <c r="CL442" s="249" t="s">
        <v>2078</v>
      </c>
      <c r="CN442" s="252"/>
      <c r="CO442" s="252"/>
      <c r="CP442" s="249" t="s">
        <v>2078</v>
      </c>
      <c r="CQ442" s="247"/>
      <c r="CT442" s="249" t="s">
        <v>2088</v>
      </c>
      <c r="CX442" s="249" t="s">
        <v>2078</v>
      </c>
      <c r="DB442" s="249" t="s">
        <v>2078</v>
      </c>
    </row>
    <row r="443" spans="44:106" ht="15" customHeight="1" x14ac:dyDescent="0.2">
      <c r="AR443" s="252"/>
      <c r="AS443" s="252"/>
      <c r="AT443" s="249" t="s">
        <v>2078</v>
      </c>
      <c r="AU443" s="247"/>
      <c r="AX443" s="249" t="s">
        <v>2088</v>
      </c>
      <c r="BB443" s="249" t="s">
        <v>2078</v>
      </c>
      <c r="BF443" s="249" t="s">
        <v>2078</v>
      </c>
      <c r="BH443" s="252"/>
      <c r="BI443" s="252"/>
      <c r="BJ443" s="249" t="s">
        <v>2078</v>
      </c>
      <c r="BK443" s="247"/>
      <c r="BN443" s="249" t="s">
        <v>2088</v>
      </c>
      <c r="BR443" s="249" t="s">
        <v>2078</v>
      </c>
      <c r="BV443" s="249" t="s">
        <v>2078</v>
      </c>
      <c r="BX443" s="252"/>
      <c r="BY443" s="252"/>
      <c r="BZ443" s="249" t="s">
        <v>2078</v>
      </c>
      <c r="CA443" s="247"/>
      <c r="CD443" s="249" t="s">
        <v>2088</v>
      </c>
      <c r="CH443" s="249" t="s">
        <v>2078</v>
      </c>
      <c r="CL443" s="249" t="s">
        <v>2078</v>
      </c>
      <c r="CN443" s="252"/>
      <c r="CO443" s="252"/>
      <c r="CP443" s="249" t="s">
        <v>2078</v>
      </c>
      <c r="CQ443" s="247"/>
      <c r="CT443" s="249" t="s">
        <v>2088</v>
      </c>
      <c r="CX443" s="249" t="s">
        <v>2078</v>
      </c>
      <c r="DB443" s="249" t="s">
        <v>2078</v>
      </c>
    </row>
    <row r="444" spans="44:106" ht="15" customHeight="1" x14ac:dyDescent="0.2">
      <c r="AR444" s="252"/>
      <c r="AS444" s="252"/>
      <c r="AT444" s="249" t="s">
        <v>2078</v>
      </c>
      <c r="AU444" s="247"/>
      <c r="AX444" s="249" t="s">
        <v>2088</v>
      </c>
      <c r="BB444" s="249" t="s">
        <v>2078</v>
      </c>
      <c r="BF444" s="249" t="s">
        <v>2078</v>
      </c>
      <c r="BH444" s="252"/>
      <c r="BI444" s="252"/>
      <c r="BJ444" s="249" t="s">
        <v>2078</v>
      </c>
      <c r="BK444" s="247"/>
      <c r="BN444" s="249" t="s">
        <v>2088</v>
      </c>
      <c r="BR444" s="249" t="s">
        <v>2078</v>
      </c>
      <c r="BV444" s="249" t="s">
        <v>2078</v>
      </c>
      <c r="BX444" s="252"/>
      <c r="BY444" s="252"/>
      <c r="BZ444" s="249" t="s">
        <v>2078</v>
      </c>
      <c r="CA444" s="247"/>
      <c r="CD444" s="249" t="s">
        <v>2088</v>
      </c>
      <c r="CH444" s="249" t="s">
        <v>2078</v>
      </c>
      <c r="CL444" s="249" t="s">
        <v>2078</v>
      </c>
      <c r="CN444" s="252"/>
      <c r="CO444" s="252"/>
      <c r="CP444" s="249" t="s">
        <v>2078</v>
      </c>
      <c r="CQ444" s="247"/>
      <c r="CT444" s="249" t="s">
        <v>2088</v>
      </c>
      <c r="CX444" s="249" t="s">
        <v>2078</v>
      </c>
      <c r="DB444" s="249" t="s">
        <v>2078</v>
      </c>
    </row>
    <row r="445" spans="44:106" ht="15" customHeight="1" x14ac:dyDescent="0.2">
      <c r="AR445" s="252"/>
      <c r="AS445" s="252"/>
      <c r="AT445" s="249" t="s">
        <v>2078</v>
      </c>
      <c r="AU445" s="247"/>
      <c r="AX445" s="249" t="s">
        <v>2088</v>
      </c>
      <c r="BB445" s="249" t="s">
        <v>2078</v>
      </c>
      <c r="BF445" s="249" t="s">
        <v>2078</v>
      </c>
      <c r="BH445" s="252"/>
      <c r="BI445" s="252"/>
      <c r="BJ445" s="249" t="s">
        <v>2078</v>
      </c>
      <c r="BK445" s="247"/>
      <c r="BN445" s="249" t="s">
        <v>2088</v>
      </c>
      <c r="BR445" s="249" t="s">
        <v>2078</v>
      </c>
      <c r="BV445" s="249" t="s">
        <v>2078</v>
      </c>
      <c r="BX445" s="252"/>
      <c r="BY445" s="252"/>
      <c r="BZ445" s="249" t="s">
        <v>2078</v>
      </c>
      <c r="CA445" s="247"/>
      <c r="CD445" s="249" t="s">
        <v>2088</v>
      </c>
      <c r="CH445" s="249" t="s">
        <v>2078</v>
      </c>
      <c r="CL445" s="249" t="s">
        <v>2078</v>
      </c>
      <c r="CN445" s="252"/>
      <c r="CO445" s="252"/>
      <c r="CP445" s="249" t="s">
        <v>2078</v>
      </c>
      <c r="CQ445" s="247"/>
      <c r="CT445" s="249" t="s">
        <v>2088</v>
      </c>
      <c r="CX445" s="249" t="s">
        <v>2078</v>
      </c>
      <c r="DB445" s="249" t="s">
        <v>2078</v>
      </c>
    </row>
    <row r="446" spans="44:106" ht="15" customHeight="1" x14ac:dyDescent="0.2">
      <c r="AR446" s="252"/>
      <c r="AS446" s="252"/>
      <c r="AT446" s="249" t="s">
        <v>2078</v>
      </c>
      <c r="AU446" s="247"/>
      <c r="AX446" s="249" t="s">
        <v>2088</v>
      </c>
      <c r="BB446" s="249" t="s">
        <v>2078</v>
      </c>
      <c r="BF446" s="249" t="s">
        <v>2078</v>
      </c>
      <c r="BH446" s="252"/>
      <c r="BI446" s="252"/>
      <c r="BJ446" s="249" t="s">
        <v>2078</v>
      </c>
      <c r="BK446" s="247"/>
      <c r="BN446" s="249" t="s">
        <v>2088</v>
      </c>
      <c r="BR446" s="249" t="s">
        <v>2078</v>
      </c>
      <c r="BV446" s="249" t="s">
        <v>2078</v>
      </c>
      <c r="BX446" s="252"/>
      <c r="BY446" s="252"/>
      <c r="BZ446" s="249" t="s">
        <v>2078</v>
      </c>
      <c r="CA446" s="247"/>
      <c r="CD446" s="249" t="s">
        <v>2088</v>
      </c>
      <c r="CH446" s="249" t="s">
        <v>2078</v>
      </c>
      <c r="CL446" s="249" t="s">
        <v>2078</v>
      </c>
      <c r="CN446" s="252"/>
      <c r="CO446" s="252"/>
      <c r="CP446" s="249" t="s">
        <v>2078</v>
      </c>
      <c r="CQ446" s="247"/>
      <c r="CT446" s="249" t="s">
        <v>2088</v>
      </c>
      <c r="CX446" s="249" t="s">
        <v>2078</v>
      </c>
      <c r="DB446" s="249" t="s">
        <v>2078</v>
      </c>
    </row>
    <row r="447" spans="44:106" ht="15" customHeight="1" x14ac:dyDescent="0.2">
      <c r="AR447" s="252"/>
      <c r="AS447" s="252"/>
      <c r="AT447" s="249" t="s">
        <v>2078</v>
      </c>
      <c r="AU447" s="247"/>
      <c r="AX447" s="249" t="s">
        <v>2088</v>
      </c>
      <c r="BB447" s="249" t="s">
        <v>2078</v>
      </c>
      <c r="BF447" s="249" t="s">
        <v>2078</v>
      </c>
      <c r="BH447" s="252"/>
      <c r="BI447" s="252"/>
      <c r="BJ447" s="249" t="s">
        <v>2078</v>
      </c>
      <c r="BK447" s="247"/>
      <c r="BN447" s="249" t="s">
        <v>2088</v>
      </c>
      <c r="BR447" s="249" t="s">
        <v>2078</v>
      </c>
      <c r="BV447" s="249" t="s">
        <v>2078</v>
      </c>
      <c r="BX447" s="252"/>
      <c r="BY447" s="252"/>
      <c r="BZ447" s="249" t="s">
        <v>2078</v>
      </c>
      <c r="CA447" s="247"/>
      <c r="CD447" s="249" t="s">
        <v>2088</v>
      </c>
      <c r="CH447" s="249" t="s">
        <v>2078</v>
      </c>
      <c r="CL447" s="249" t="s">
        <v>2078</v>
      </c>
      <c r="CN447" s="252"/>
      <c r="CO447" s="252"/>
      <c r="CP447" s="249" t="s">
        <v>2078</v>
      </c>
      <c r="CQ447" s="247"/>
      <c r="CT447" s="249" t="s">
        <v>2088</v>
      </c>
      <c r="CX447" s="249" t="s">
        <v>2078</v>
      </c>
      <c r="DB447" s="249" t="s">
        <v>2078</v>
      </c>
    </row>
    <row r="448" spans="44:106" ht="15" customHeight="1" x14ac:dyDescent="0.2">
      <c r="AR448" s="252"/>
      <c r="AS448" s="252"/>
      <c r="AT448" s="249" t="s">
        <v>2078</v>
      </c>
      <c r="AU448" s="247"/>
      <c r="AX448" s="249" t="s">
        <v>2088</v>
      </c>
      <c r="BB448" s="249" t="s">
        <v>2078</v>
      </c>
      <c r="BF448" s="249" t="s">
        <v>2078</v>
      </c>
      <c r="BH448" s="252"/>
      <c r="BI448" s="252"/>
      <c r="BJ448" s="249" t="s">
        <v>2078</v>
      </c>
      <c r="BK448" s="247"/>
      <c r="BN448" s="249" t="s">
        <v>2088</v>
      </c>
      <c r="BR448" s="249" t="s">
        <v>2078</v>
      </c>
      <c r="BV448" s="249" t="s">
        <v>2078</v>
      </c>
      <c r="BX448" s="252"/>
      <c r="BY448" s="252"/>
      <c r="BZ448" s="249" t="s">
        <v>2078</v>
      </c>
      <c r="CA448" s="247"/>
      <c r="CD448" s="249" t="s">
        <v>2088</v>
      </c>
      <c r="CH448" s="249" t="s">
        <v>2078</v>
      </c>
      <c r="CL448" s="249" t="s">
        <v>2078</v>
      </c>
      <c r="CN448" s="252"/>
      <c r="CO448" s="252"/>
      <c r="CP448" s="249" t="s">
        <v>2078</v>
      </c>
      <c r="CQ448" s="247"/>
      <c r="CT448" s="249" t="s">
        <v>2088</v>
      </c>
      <c r="CX448" s="249" t="s">
        <v>2078</v>
      </c>
      <c r="DB448" s="249" t="s">
        <v>2078</v>
      </c>
    </row>
    <row r="449" spans="44:106" ht="15" customHeight="1" x14ac:dyDescent="0.2">
      <c r="AR449" s="252"/>
      <c r="AS449" s="252"/>
      <c r="AT449" s="249" t="s">
        <v>2078</v>
      </c>
      <c r="AU449" s="247"/>
      <c r="AX449" s="249" t="s">
        <v>2088</v>
      </c>
      <c r="BB449" s="249" t="s">
        <v>2078</v>
      </c>
      <c r="BF449" s="249" t="s">
        <v>2078</v>
      </c>
      <c r="BH449" s="252"/>
      <c r="BI449" s="252"/>
      <c r="BJ449" s="249" t="s">
        <v>2078</v>
      </c>
      <c r="BK449" s="247"/>
      <c r="BN449" s="249" t="s">
        <v>2088</v>
      </c>
      <c r="BR449" s="249" t="s">
        <v>2078</v>
      </c>
      <c r="BV449" s="249" t="s">
        <v>2078</v>
      </c>
      <c r="BX449" s="252"/>
      <c r="BY449" s="252"/>
      <c r="BZ449" s="249" t="s">
        <v>2078</v>
      </c>
      <c r="CA449" s="247"/>
      <c r="CD449" s="249" t="s">
        <v>2088</v>
      </c>
      <c r="CH449" s="249" t="s">
        <v>2078</v>
      </c>
      <c r="CL449" s="249" t="s">
        <v>2078</v>
      </c>
      <c r="CN449" s="252"/>
      <c r="CO449" s="252"/>
      <c r="CP449" s="249" t="s">
        <v>2078</v>
      </c>
      <c r="CQ449" s="247"/>
      <c r="CT449" s="249" t="s">
        <v>2088</v>
      </c>
      <c r="CX449" s="249" t="s">
        <v>2078</v>
      </c>
      <c r="DB449" s="249" t="s">
        <v>2078</v>
      </c>
    </row>
    <row r="450" spans="44:106" ht="15" customHeight="1" x14ac:dyDescent="0.2">
      <c r="AR450" s="252"/>
      <c r="AS450" s="252"/>
      <c r="AT450" s="249" t="s">
        <v>2078</v>
      </c>
      <c r="AU450" s="247"/>
      <c r="AX450" s="249" t="s">
        <v>2088</v>
      </c>
      <c r="BB450" s="249" t="s">
        <v>2078</v>
      </c>
      <c r="BF450" s="249" t="s">
        <v>2078</v>
      </c>
      <c r="BH450" s="252"/>
      <c r="BI450" s="252"/>
      <c r="BJ450" s="249" t="s">
        <v>2078</v>
      </c>
      <c r="BK450" s="247"/>
      <c r="BN450" s="249" t="s">
        <v>2088</v>
      </c>
      <c r="BR450" s="249" t="s">
        <v>2078</v>
      </c>
      <c r="BV450" s="249" t="s">
        <v>2078</v>
      </c>
      <c r="BX450" s="252"/>
      <c r="BY450" s="252"/>
      <c r="BZ450" s="249" t="s">
        <v>2078</v>
      </c>
      <c r="CA450" s="247"/>
      <c r="CD450" s="249" t="s">
        <v>2088</v>
      </c>
      <c r="CH450" s="249" t="s">
        <v>2078</v>
      </c>
      <c r="CL450" s="249" t="s">
        <v>2078</v>
      </c>
      <c r="CN450" s="252"/>
      <c r="CO450" s="252"/>
      <c r="CP450" s="249" t="s">
        <v>2078</v>
      </c>
      <c r="CQ450" s="247"/>
      <c r="CT450" s="249" t="s">
        <v>2088</v>
      </c>
      <c r="CX450" s="249" t="s">
        <v>2078</v>
      </c>
      <c r="DB450" s="249" t="s">
        <v>2078</v>
      </c>
    </row>
    <row r="451" spans="44:106" ht="15" customHeight="1" x14ac:dyDescent="0.2">
      <c r="AR451" s="252"/>
      <c r="AS451" s="252"/>
      <c r="AT451" s="249" t="s">
        <v>2078</v>
      </c>
      <c r="AU451" s="247"/>
      <c r="AX451" s="249" t="s">
        <v>2088</v>
      </c>
      <c r="BB451" s="249" t="s">
        <v>2078</v>
      </c>
      <c r="BF451" s="249" t="s">
        <v>2078</v>
      </c>
      <c r="BH451" s="252"/>
      <c r="BI451" s="252"/>
      <c r="BJ451" s="249" t="s">
        <v>2078</v>
      </c>
      <c r="BK451" s="247"/>
      <c r="BN451" s="249" t="s">
        <v>2088</v>
      </c>
      <c r="BR451" s="249" t="s">
        <v>2078</v>
      </c>
      <c r="BV451" s="249" t="s">
        <v>2078</v>
      </c>
      <c r="BX451" s="252"/>
      <c r="BY451" s="252"/>
      <c r="BZ451" s="249" t="s">
        <v>2078</v>
      </c>
      <c r="CA451" s="247"/>
      <c r="CD451" s="249" t="s">
        <v>2088</v>
      </c>
      <c r="CH451" s="249" t="s">
        <v>2078</v>
      </c>
      <c r="CL451" s="249" t="s">
        <v>2078</v>
      </c>
      <c r="CN451" s="252"/>
      <c r="CO451" s="252"/>
      <c r="CP451" s="249" t="s">
        <v>2078</v>
      </c>
      <c r="CQ451" s="247"/>
      <c r="CT451" s="249" t="s">
        <v>2088</v>
      </c>
      <c r="CX451" s="249" t="s">
        <v>2078</v>
      </c>
      <c r="DB451" s="249" t="s">
        <v>2078</v>
      </c>
    </row>
    <row r="452" spans="44:106" ht="15" customHeight="1" x14ac:dyDescent="0.2">
      <c r="AR452" s="252"/>
      <c r="AS452" s="252"/>
      <c r="AT452" s="249" t="s">
        <v>2078</v>
      </c>
      <c r="AU452" s="247"/>
      <c r="AX452" s="249" t="s">
        <v>2088</v>
      </c>
      <c r="BB452" s="249" t="s">
        <v>2078</v>
      </c>
      <c r="BF452" s="249" t="s">
        <v>2078</v>
      </c>
      <c r="BH452" s="252"/>
      <c r="BI452" s="252"/>
      <c r="BJ452" s="249" t="s">
        <v>2078</v>
      </c>
      <c r="BK452" s="247"/>
      <c r="BN452" s="249" t="s">
        <v>2088</v>
      </c>
      <c r="BR452" s="249" t="s">
        <v>2078</v>
      </c>
      <c r="BV452" s="249" t="s">
        <v>2078</v>
      </c>
      <c r="BX452" s="252"/>
      <c r="BY452" s="252"/>
      <c r="BZ452" s="249" t="s">
        <v>2078</v>
      </c>
      <c r="CA452" s="247"/>
      <c r="CD452" s="249" t="s">
        <v>2088</v>
      </c>
      <c r="CH452" s="249" t="s">
        <v>2078</v>
      </c>
      <c r="CL452" s="249" t="s">
        <v>2078</v>
      </c>
      <c r="CN452" s="252"/>
      <c r="CO452" s="252"/>
      <c r="CP452" s="249" t="s">
        <v>2078</v>
      </c>
      <c r="CQ452" s="247"/>
      <c r="CT452" s="249" t="s">
        <v>2088</v>
      </c>
      <c r="CX452" s="249" t="s">
        <v>2078</v>
      </c>
      <c r="DB452" s="249" t="s">
        <v>2078</v>
      </c>
    </row>
    <row r="453" spans="44:106" ht="15" customHeight="1" x14ac:dyDescent="0.2">
      <c r="AR453" s="252"/>
      <c r="AS453" s="252"/>
      <c r="AT453" s="249" t="s">
        <v>2078</v>
      </c>
      <c r="AU453" s="247"/>
      <c r="AX453" s="249" t="s">
        <v>2088</v>
      </c>
      <c r="BB453" s="249" t="s">
        <v>2078</v>
      </c>
      <c r="BF453" s="249" t="s">
        <v>2078</v>
      </c>
      <c r="BH453" s="252"/>
      <c r="BI453" s="252"/>
      <c r="BJ453" s="249" t="s">
        <v>2078</v>
      </c>
      <c r="BK453" s="247"/>
      <c r="BN453" s="249" t="s">
        <v>2088</v>
      </c>
      <c r="BR453" s="249" t="s">
        <v>2078</v>
      </c>
      <c r="BV453" s="249" t="s">
        <v>2078</v>
      </c>
      <c r="BX453" s="252"/>
      <c r="BY453" s="252"/>
      <c r="BZ453" s="249" t="s">
        <v>2078</v>
      </c>
      <c r="CA453" s="247"/>
      <c r="CD453" s="249" t="s">
        <v>2088</v>
      </c>
      <c r="CH453" s="249" t="s">
        <v>2078</v>
      </c>
      <c r="CL453" s="249" t="s">
        <v>2078</v>
      </c>
      <c r="CN453" s="252"/>
      <c r="CO453" s="252"/>
      <c r="CP453" s="249" t="s">
        <v>2078</v>
      </c>
      <c r="CQ453" s="247"/>
      <c r="CT453" s="249" t="s">
        <v>2088</v>
      </c>
      <c r="CX453" s="249" t="s">
        <v>2078</v>
      </c>
      <c r="DB453" s="249" t="s">
        <v>2078</v>
      </c>
    </row>
    <row r="454" spans="44:106" ht="15" customHeight="1" x14ac:dyDescent="0.2">
      <c r="AR454" s="252"/>
      <c r="AS454" s="252"/>
      <c r="AT454" s="249" t="s">
        <v>2078</v>
      </c>
      <c r="AU454" s="247"/>
      <c r="AX454" s="249" t="s">
        <v>2088</v>
      </c>
      <c r="BB454" s="249" t="s">
        <v>2078</v>
      </c>
      <c r="BF454" s="249" t="s">
        <v>2078</v>
      </c>
      <c r="BH454" s="252"/>
      <c r="BI454" s="252"/>
      <c r="BJ454" s="249" t="s">
        <v>2078</v>
      </c>
      <c r="BK454" s="247"/>
      <c r="BN454" s="249" t="s">
        <v>2088</v>
      </c>
      <c r="BR454" s="249" t="s">
        <v>2078</v>
      </c>
      <c r="BV454" s="249" t="s">
        <v>2078</v>
      </c>
      <c r="BX454" s="252"/>
      <c r="BY454" s="252"/>
      <c r="BZ454" s="249" t="s">
        <v>2078</v>
      </c>
      <c r="CA454" s="247"/>
      <c r="CD454" s="249" t="s">
        <v>2088</v>
      </c>
      <c r="CH454" s="249" t="s">
        <v>2078</v>
      </c>
      <c r="CL454" s="249" t="s">
        <v>2078</v>
      </c>
      <c r="CN454" s="252"/>
      <c r="CO454" s="252"/>
      <c r="CP454" s="249" t="s">
        <v>2078</v>
      </c>
      <c r="CQ454" s="247"/>
      <c r="CT454" s="249" t="s">
        <v>2088</v>
      </c>
      <c r="CX454" s="249" t="s">
        <v>2078</v>
      </c>
      <c r="DB454" s="249" t="s">
        <v>2078</v>
      </c>
    </row>
    <row r="455" spans="44:106" ht="15" customHeight="1" x14ac:dyDescent="0.2">
      <c r="AR455" s="252"/>
      <c r="AS455" s="252"/>
      <c r="AT455" s="249" t="s">
        <v>2078</v>
      </c>
      <c r="AU455" s="247"/>
      <c r="AX455" s="249" t="s">
        <v>2088</v>
      </c>
      <c r="BB455" s="249" t="s">
        <v>2078</v>
      </c>
      <c r="BF455" s="249" t="s">
        <v>2078</v>
      </c>
      <c r="BH455" s="252"/>
      <c r="BI455" s="252"/>
      <c r="BJ455" s="249" t="s">
        <v>2078</v>
      </c>
      <c r="BK455" s="247"/>
      <c r="BN455" s="249" t="s">
        <v>2088</v>
      </c>
      <c r="BR455" s="249" t="s">
        <v>2078</v>
      </c>
      <c r="BV455" s="249" t="s">
        <v>2078</v>
      </c>
      <c r="BX455" s="252"/>
      <c r="BY455" s="252"/>
      <c r="BZ455" s="249" t="s">
        <v>2078</v>
      </c>
      <c r="CA455" s="247"/>
      <c r="CD455" s="249" t="s">
        <v>2088</v>
      </c>
      <c r="CH455" s="249" t="s">
        <v>2078</v>
      </c>
      <c r="CL455" s="249" t="s">
        <v>2078</v>
      </c>
      <c r="CN455" s="252"/>
      <c r="CO455" s="252"/>
      <c r="CP455" s="249" t="s">
        <v>2078</v>
      </c>
      <c r="CQ455" s="247"/>
      <c r="CT455" s="249" t="s">
        <v>2088</v>
      </c>
      <c r="CX455" s="249" t="s">
        <v>2078</v>
      </c>
      <c r="DB455" s="249" t="s">
        <v>2078</v>
      </c>
    </row>
    <row r="456" spans="44:106" ht="15" customHeight="1" x14ac:dyDescent="0.2">
      <c r="AR456" s="252"/>
      <c r="AS456" s="252"/>
      <c r="AT456" s="249" t="s">
        <v>2078</v>
      </c>
      <c r="AU456" s="247"/>
      <c r="AX456" s="249" t="s">
        <v>2088</v>
      </c>
      <c r="BB456" s="249" t="s">
        <v>2078</v>
      </c>
      <c r="BF456" s="249" t="s">
        <v>2078</v>
      </c>
      <c r="BH456" s="252"/>
      <c r="BI456" s="252"/>
      <c r="BJ456" s="249" t="s">
        <v>2078</v>
      </c>
      <c r="BK456" s="247"/>
      <c r="BN456" s="249" t="s">
        <v>2088</v>
      </c>
      <c r="BR456" s="249" t="s">
        <v>2078</v>
      </c>
      <c r="BV456" s="249" t="s">
        <v>2078</v>
      </c>
      <c r="BX456" s="252"/>
      <c r="BY456" s="252"/>
      <c r="BZ456" s="249" t="s">
        <v>2078</v>
      </c>
      <c r="CA456" s="247"/>
      <c r="CD456" s="249" t="s">
        <v>2088</v>
      </c>
      <c r="CH456" s="249" t="s">
        <v>2078</v>
      </c>
      <c r="CL456" s="249" t="s">
        <v>2078</v>
      </c>
      <c r="CN456" s="252"/>
      <c r="CO456" s="252"/>
      <c r="CP456" s="249" t="s">
        <v>2078</v>
      </c>
      <c r="CQ456" s="247"/>
      <c r="CT456" s="249" t="s">
        <v>2088</v>
      </c>
      <c r="CX456" s="249" t="s">
        <v>2078</v>
      </c>
      <c r="DB456" s="249" t="s">
        <v>2078</v>
      </c>
    </row>
    <row r="457" spans="44:106" ht="15" customHeight="1" x14ac:dyDescent="0.2">
      <c r="AR457" s="252"/>
      <c r="AS457" s="252"/>
      <c r="AT457" s="249" t="s">
        <v>2078</v>
      </c>
      <c r="AU457" s="247"/>
      <c r="AX457" s="249" t="s">
        <v>2088</v>
      </c>
      <c r="BB457" s="249" t="s">
        <v>2078</v>
      </c>
      <c r="BF457" s="249" t="s">
        <v>2078</v>
      </c>
      <c r="BH457" s="252"/>
      <c r="BI457" s="252"/>
      <c r="BJ457" s="249" t="s">
        <v>2078</v>
      </c>
      <c r="BK457" s="247"/>
      <c r="BN457" s="249" t="s">
        <v>2088</v>
      </c>
      <c r="BR457" s="249" t="s">
        <v>2078</v>
      </c>
      <c r="BV457" s="249" t="s">
        <v>2078</v>
      </c>
      <c r="BX457" s="252"/>
      <c r="BY457" s="252"/>
      <c r="BZ457" s="249" t="s">
        <v>2078</v>
      </c>
      <c r="CA457" s="247"/>
      <c r="CD457" s="249" t="s">
        <v>2088</v>
      </c>
      <c r="CH457" s="249" t="s">
        <v>2078</v>
      </c>
      <c r="CL457" s="249" t="s">
        <v>2078</v>
      </c>
      <c r="CN457" s="252"/>
      <c r="CO457" s="252"/>
      <c r="CP457" s="249" t="s">
        <v>2078</v>
      </c>
      <c r="CQ457" s="247"/>
      <c r="CT457" s="249" t="s">
        <v>2088</v>
      </c>
      <c r="CX457" s="249" t="s">
        <v>2078</v>
      </c>
      <c r="DB457" s="249" t="s">
        <v>2078</v>
      </c>
    </row>
    <row r="458" spans="44:106" ht="15" customHeight="1" x14ac:dyDescent="0.2">
      <c r="AR458" s="252"/>
      <c r="AS458" s="252"/>
      <c r="AT458" s="249" t="s">
        <v>2078</v>
      </c>
      <c r="AU458" s="247"/>
      <c r="AX458" s="249" t="s">
        <v>2088</v>
      </c>
      <c r="BB458" s="249" t="s">
        <v>2078</v>
      </c>
      <c r="BF458" s="249" t="s">
        <v>2078</v>
      </c>
      <c r="BH458" s="252"/>
      <c r="BI458" s="252"/>
      <c r="BJ458" s="249" t="s">
        <v>2078</v>
      </c>
      <c r="BK458" s="247"/>
      <c r="BN458" s="249" t="s">
        <v>2088</v>
      </c>
      <c r="BR458" s="249" t="s">
        <v>2078</v>
      </c>
      <c r="BV458" s="249" t="s">
        <v>2078</v>
      </c>
      <c r="BX458" s="252"/>
      <c r="BY458" s="252"/>
      <c r="BZ458" s="249" t="s">
        <v>2078</v>
      </c>
      <c r="CA458" s="247"/>
      <c r="CD458" s="249" t="s">
        <v>2088</v>
      </c>
      <c r="CH458" s="249" t="s">
        <v>2078</v>
      </c>
      <c r="CL458" s="249" t="s">
        <v>2078</v>
      </c>
      <c r="CN458" s="252"/>
      <c r="CO458" s="252"/>
      <c r="CP458" s="249" t="s">
        <v>2078</v>
      </c>
      <c r="CQ458" s="247"/>
      <c r="CT458" s="249" t="s">
        <v>2088</v>
      </c>
      <c r="CX458" s="249" t="s">
        <v>2078</v>
      </c>
      <c r="DB458" s="249" t="s">
        <v>2078</v>
      </c>
    </row>
    <row r="459" spans="44:106" ht="15" customHeight="1" x14ac:dyDescent="0.2">
      <c r="AR459" s="252"/>
      <c r="AS459" s="252"/>
      <c r="AT459" s="249" t="s">
        <v>2078</v>
      </c>
      <c r="AU459" s="247"/>
      <c r="AX459" s="249" t="s">
        <v>2088</v>
      </c>
      <c r="BB459" s="249" t="s">
        <v>2078</v>
      </c>
      <c r="BF459" s="249" t="s">
        <v>2078</v>
      </c>
      <c r="BH459" s="252"/>
      <c r="BI459" s="252"/>
      <c r="BJ459" s="249" t="s">
        <v>2078</v>
      </c>
      <c r="BK459" s="247"/>
      <c r="BN459" s="249" t="s">
        <v>2088</v>
      </c>
      <c r="BR459" s="249" t="s">
        <v>2078</v>
      </c>
      <c r="BV459" s="249" t="s">
        <v>2078</v>
      </c>
      <c r="BX459" s="252"/>
      <c r="BY459" s="252"/>
      <c r="BZ459" s="249" t="s">
        <v>2078</v>
      </c>
      <c r="CA459" s="247"/>
      <c r="CD459" s="249" t="s">
        <v>2088</v>
      </c>
      <c r="CH459" s="249" t="s">
        <v>2078</v>
      </c>
      <c r="CL459" s="249" t="s">
        <v>2078</v>
      </c>
      <c r="CN459" s="252"/>
      <c r="CO459" s="252"/>
      <c r="CP459" s="249" t="s">
        <v>2078</v>
      </c>
      <c r="CQ459" s="247"/>
      <c r="CT459" s="249" t="s">
        <v>2088</v>
      </c>
      <c r="CX459" s="249" t="s">
        <v>2078</v>
      </c>
      <c r="DB459" s="249" t="s">
        <v>2078</v>
      </c>
    </row>
    <row r="460" spans="44:106" ht="15" customHeight="1" x14ac:dyDescent="0.2">
      <c r="AR460" s="252"/>
      <c r="AS460" s="252"/>
      <c r="AT460" s="249" t="s">
        <v>2078</v>
      </c>
      <c r="AU460" s="247"/>
      <c r="AX460" s="249" t="s">
        <v>2088</v>
      </c>
      <c r="BB460" s="249" t="s">
        <v>2078</v>
      </c>
      <c r="BF460" s="249" t="s">
        <v>2078</v>
      </c>
      <c r="BH460" s="252"/>
      <c r="BI460" s="252"/>
      <c r="BJ460" s="249" t="s">
        <v>2078</v>
      </c>
      <c r="BK460" s="247"/>
      <c r="BN460" s="249" t="s">
        <v>2088</v>
      </c>
      <c r="BR460" s="249" t="s">
        <v>2078</v>
      </c>
      <c r="BV460" s="249" t="s">
        <v>2078</v>
      </c>
      <c r="BX460" s="252"/>
      <c r="BY460" s="252"/>
      <c r="BZ460" s="249" t="s">
        <v>2078</v>
      </c>
      <c r="CA460" s="247"/>
      <c r="CD460" s="249" t="s">
        <v>2088</v>
      </c>
      <c r="CH460" s="249" t="s">
        <v>2078</v>
      </c>
      <c r="CL460" s="249" t="s">
        <v>2078</v>
      </c>
      <c r="CN460" s="252"/>
      <c r="CO460" s="252"/>
      <c r="CP460" s="249" t="s">
        <v>2078</v>
      </c>
      <c r="CQ460" s="247"/>
      <c r="CT460" s="249" t="s">
        <v>2088</v>
      </c>
      <c r="CX460" s="249" t="s">
        <v>2078</v>
      </c>
      <c r="DB460" s="249" t="s">
        <v>2078</v>
      </c>
    </row>
    <row r="461" spans="44:106" ht="15" customHeight="1" x14ac:dyDescent="0.2">
      <c r="AR461" s="252"/>
      <c r="AS461" s="252"/>
      <c r="AT461" s="249" t="s">
        <v>2078</v>
      </c>
      <c r="AU461" s="247"/>
      <c r="AX461" s="249" t="s">
        <v>2088</v>
      </c>
      <c r="BB461" s="249" t="s">
        <v>2078</v>
      </c>
      <c r="BF461" s="249" t="s">
        <v>2078</v>
      </c>
      <c r="BH461" s="252"/>
      <c r="BI461" s="252"/>
      <c r="BJ461" s="249" t="s">
        <v>2078</v>
      </c>
      <c r="BK461" s="247"/>
      <c r="BN461" s="249" t="s">
        <v>2088</v>
      </c>
      <c r="BR461" s="249" t="s">
        <v>2078</v>
      </c>
      <c r="BV461" s="249" t="s">
        <v>2078</v>
      </c>
      <c r="BX461" s="252"/>
      <c r="BY461" s="252"/>
      <c r="BZ461" s="249" t="s">
        <v>2078</v>
      </c>
      <c r="CA461" s="247"/>
      <c r="CD461" s="249" t="s">
        <v>2088</v>
      </c>
      <c r="CH461" s="249" t="s">
        <v>2078</v>
      </c>
      <c r="CL461" s="249" t="s">
        <v>2078</v>
      </c>
      <c r="CN461" s="252"/>
      <c r="CO461" s="252"/>
      <c r="CP461" s="249" t="s">
        <v>2078</v>
      </c>
      <c r="CQ461" s="247"/>
      <c r="CT461" s="249" t="s">
        <v>2088</v>
      </c>
      <c r="CX461" s="249" t="s">
        <v>2078</v>
      </c>
      <c r="DB461" s="249" t="s">
        <v>2078</v>
      </c>
    </row>
    <row r="462" spans="44:106" ht="15" customHeight="1" x14ac:dyDescent="0.2">
      <c r="AR462" s="252"/>
      <c r="AS462" s="252"/>
      <c r="AT462" s="249" t="s">
        <v>2078</v>
      </c>
      <c r="AU462" s="247"/>
      <c r="AX462" s="249" t="s">
        <v>2088</v>
      </c>
      <c r="BB462" s="249" t="s">
        <v>2078</v>
      </c>
      <c r="BF462" s="249" t="s">
        <v>2078</v>
      </c>
      <c r="BH462" s="252"/>
      <c r="BI462" s="252"/>
      <c r="BJ462" s="249" t="s">
        <v>2078</v>
      </c>
      <c r="BK462" s="247"/>
      <c r="BN462" s="249" t="s">
        <v>2088</v>
      </c>
      <c r="BR462" s="249" t="s">
        <v>2078</v>
      </c>
      <c r="BV462" s="249" t="s">
        <v>2078</v>
      </c>
      <c r="BX462" s="252"/>
      <c r="BY462" s="252"/>
      <c r="BZ462" s="249" t="s">
        <v>2078</v>
      </c>
      <c r="CA462" s="247"/>
      <c r="CD462" s="249" t="s">
        <v>2088</v>
      </c>
      <c r="CH462" s="249" t="s">
        <v>2078</v>
      </c>
      <c r="CL462" s="249" t="s">
        <v>2078</v>
      </c>
      <c r="CN462" s="252"/>
      <c r="CO462" s="252"/>
      <c r="CP462" s="249" t="s">
        <v>2078</v>
      </c>
      <c r="CQ462" s="247"/>
      <c r="CT462" s="249" t="s">
        <v>2088</v>
      </c>
      <c r="CX462" s="249" t="s">
        <v>2078</v>
      </c>
      <c r="DB462" s="249" t="s">
        <v>2078</v>
      </c>
    </row>
    <row r="463" spans="44:106" ht="15" customHeight="1" x14ac:dyDescent="0.2">
      <c r="AR463" s="252"/>
      <c r="AS463" s="252"/>
      <c r="AT463" s="249" t="s">
        <v>2078</v>
      </c>
      <c r="AU463" s="247"/>
      <c r="AX463" s="249" t="s">
        <v>2088</v>
      </c>
      <c r="BB463" s="249" t="s">
        <v>2078</v>
      </c>
      <c r="BF463" s="249" t="s">
        <v>2078</v>
      </c>
      <c r="BH463" s="252"/>
      <c r="BI463" s="252"/>
      <c r="BJ463" s="249" t="s">
        <v>2078</v>
      </c>
      <c r="BK463" s="247"/>
      <c r="BN463" s="249" t="s">
        <v>2088</v>
      </c>
      <c r="BR463" s="249" t="s">
        <v>2078</v>
      </c>
      <c r="BV463" s="249" t="s">
        <v>2078</v>
      </c>
      <c r="BX463" s="252"/>
      <c r="BY463" s="252"/>
      <c r="BZ463" s="249" t="s">
        <v>2078</v>
      </c>
      <c r="CA463" s="247"/>
      <c r="CD463" s="249" t="s">
        <v>2088</v>
      </c>
      <c r="CH463" s="249" t="s">
        <v>2078</v>
      </c>
      <c r="CL463" s="249" t="s">
        <v>2078</v>
      </c>
      <c r="CN463" s="252"/>
      <c r="CO463" s="252"/>
      <c r="CP463" s="249" t="s">
        <v>2078</v>
      </c>
      <c r="CQ463" s="247"/>
      <c r="CT463" s="249" t="s">
        <v>2088</v>
      </c>
      <c r="CX463" s="249" t="s">
        <v>2078</v>
      </c>
      <c r="DB463" s="249" t="s">
        <v>2078</v>
      </c>
    </row>
    <row r="464" spans="44:106" ht="15" customHeight="1" x14ac:dyDescent="0.2">
      <c r="AR464" s="252"/>
      <c r="AS464" s="252"/>
      <c r="AT464" s="249" t="s">
        <v>2078</v>
      </c>
      <c r="AU464" s="247"/>
      <c r="AX464" s="249" t="s">
        <v>2088</v>
      </c>
      <c r="BB464" s="249" t="s">
        <v>2078</v>
      </c>
      <c r="BF464" s="249" t="s">
        <v>2078</v>
      </c>
      <c r="BH464" s="252"/>
      <c r="BI464" s="252"/>
      <c r="BJ464" s="249" t="s">
        <v>2078</v>
      </c>
      <c r="BK464" s="247"/>
      <c r="BN464" s="249" t="s">
        <v>2088</v>
      </c>
      <c r="BR464" s="249" t="s">
        <v>2078</v>
      </c>
      <c r="BV464" s="249" t="s">
        <v>2078</v>
      </c>
      <c r="BX464" s="252"/>
      <c r="BY464" s="252"/>
      <c r="BZ464" s="249" t="s">
        <v>2078</v>
      </c>
      <c r="CA464" s="247"/>
      <c r="CD464" s="249" t="s">
        <v>2088</v>
      </c>
      <c r="CH464" s="249" t="s">
        <v>2078</v>
      </c>
      <c r="CL464" s="249" t="s">
        <v>2078</v>
      </c>
      <c r="CN464" s="252"/>
      <c r="CO464" s="252"/>
      <c r="CP464" s="249" t="s">
        <v>2078</v>
      </c>
      <c r="CQ464" s="247"/>
      <c r="CT464" s="249" t="s">
        <v>2088</v>
      </c>
      <c r="CX464" s="249" t="s">
        <v>2078</v>
      </c>
      <c r="DB464" s="249" t="s">
        <v>2078</v>
      </c>
    </row>
    <row r="465" spans="44:106" ht="15" customHeight="1" x14ac:dyDescent="0.2">
      <c r="AR465" s="252"/>
      <c r="AS465" s="252"/>
      <c r="AT465" s="249" t="s">
        <v>2078</v>
      </c>
      <c r="AU465" s="247"/>
      <c r="AX465" s="249" t="s">
        <v>2088</v>
      </c>
      <c r="BB465" s="249" t="s">
        <v>2078</v>
      </c>
      <c r="BF465" s="249" t="s">
        <v>2078</v>
      </c>
      <c r="BH465" s="252"/>
      <c r="BI465" s="252"/>
      <c r="BJ465" s="249" t="s">
        <v>2078</v>
      </c>
      <c r="BK465" s="247"/>
      <c r="BN465" s="249" t="s">
        <v>2088</v>
      </c>
      <c r="BR465" s="249" t="s">
        <v>2078</v>
      </c>
      <c r="BV465" s="249" t="s">
        <v>2078</v>
      </c>
      <c r="BX465" s="252"/>
      <c r="BY465" s="252"/>
      <c r="BZ465" s="249" t="s">
        <v>2078</v>
      </c>
      <c r="CA465" s="247"/>
      <c r="CD465" s="249" t="s">
        <v>2088</v>
      </c>
      <c r="CH465" s="249" t="s">
        <v>2078</v>
      </c>
      <c r="CL465" s="249" t="s">
        <v>2078</v>
      </c>
      <c r="CN465" s="252"/>
      <c r="CO465" s="252"/>
      <c r="CP465" s="249" t="s">
        <v>2078</v>
      </c>
      <c r="CQ465" s="247"/>
      <c r="CT465" s="249" t="s">
        <v>2088</v>
      </c>
      <c r="CX465" s="249" t="s">
        <v>2078</v>
      </c>
      <c r="DB465" s="249" t="s">
        <v>2078</v>
      </c>
    </row>
    <row r="466" spans="44:106" ht="15" customHeight="1" x14ac:dyDescent="0.2">
      <c r="AR466" s="252"/>
      <c r="AS466" s="252"/>
      <c r="AT466" s="249" t="s">
        <v>2078</v>
      </c>
      <c r="AU466" s="247"/>
      <c r="AX466" s="249" t="s">
        <v>2088</v>
      </c>
      <c r="BB466" s="249" t="s">
        <v>2078</v>
      </c>
      <c r="BF466" s="249" t="s">
        <v>2078</v>
      </c>
      <c r="BH466" s="252"/>
      <c r="BI466" s="252"/>
      <c r="BJ466" s="249" t="s">
        <v>2078</v>
      </c>
      <c r="BK466" s="247"/>
      <c r="BN466" s="249" t="s">
        <v>2088</v>
      </c>
      <c r="BR466" s="249" t="s">
        <v>2078</v>
      </c>
      <c r="BV466" s="249" t="s">
        <v>2078</v>
      </c>
      <c r="BX466" s="252"/>
      <c r="BY466" s="252"/>
      <c r="BZ466" s="249" t="s">
        <v>2078</v>
      </c>
      <c r="CA466" s="247"/>
      <c r="CD466" s="249" t="s">
        <v>2088</v>
      </c>
      <c r="CH466" s="249" t="s">
        <v>2078</v>
      </c>
      <c r="CL466" s="249" t="s">
        <v>2078</v>
      </c>
      <c r="CN466" s="252"/>
      <c r="CO466" s="252"/>
      <c r="CP466" s="249" t="s">
        <v>2078</v>
      </c>
      <c r="CQ466" s="247"/>
      <c r="CT466" s="249" t="s">
        <v>2088</v>
      </c>
      <c r="CX466" s="249" t="s">
        <v>2078</v>
      </c>
      <c r="DB466" s="249" t="s">
        <v>2078</v>
      </c>
    </row>
    <row r="467" spans="44:106" ht="15" customHeight="1" x14ac:dyDescent="0.2">
      <c r="AR467" s="252"/>
      <c r="AS467" s="252"/>
      <c r="AT467" s="249" t="s">
        <v>2078</v>
      </c>
      <c r="AU467" s="247"/>
      <c r="AX467" s="249" t="s">
        <v>2088</v>
      </c>
      <c r="BB467" s="249" t="s">
        <v>2078</v>
      </c>
      <c r="BF467" s="249" t="s">
        <v>2078</v>
      </c>
      <c r="BH467" s="252"/>
      <c r="BI467" s="252"/>
      <c r="BJ467" s="249" t="s">
        <v>2078</v>
      </c>
      <c r="BK467" s="247"/>
      <c r="BN467" s="249" t="s">
        <v>2088</v>
      </c>
      <c r="BR467" s="249" t="s">
        <v>2078</v>
      </c>
      <c r="BV467" s="249" t="s">
        <v>2078</v>
      </c>
      <c r="BX467" s="252"/>
      <c r="BY467" s="252"/>
      <c r="BZ467" s="249" t="s">
        <v>2078</v>
      </c>
      <c r="CA467" s="247"/>
      <c r="CD467" s="249" t="s">
        <v>2088</v>
      </c>
      <c r="CH467" s="249" t="s">
        <v>2078</v>
      </c>
      <c r="CL467" s="249" t="s">
        <v>2078</v>
      </c>
      <c r="CN467" s="252"/>
      <c r="CO467" s="252"/>
      <c r="CP467" s="249" t="s">
        <v>2078</v>
      </c>
      <c r="CQ467" s="247"/>
      <c r="CT467" s="249" t="s">
        <v>2088</v>
      </c>
      <c r="CX467" s="249" t="s">
        <v>2078</v>
      </c>
      <c r="DB467" s="249" t="s">
        <v>2078</v>
      </c>
    </row>
    <row r="468" spans="44:106" ht="15" customHeight="1" x14ac:dyDescent="0.2">
      <c r="AR468" s="252"/>
      <c r="AS468" s="252"/>
      <c r="AT468" s="249" t="s">
        <v>2078</v>
      </c>
      <c r="AU468" s="247"/>
      <c r="AX468" s="249" t="s">
        <v>2088</v>
      </c>
      <c r="BB468" s="249" t="s">
        <v>2078</v>
      </c>
      <c r="BF468" s="249" t="s">
        <v>2078</v>
      </c>
      <c r="BH468" s="252"/>
      <c r="BI468" s="252"/>
      <c r="BJ468" s="249" t="s">
        <v>2078</v>
      </c>
      <c r="BK468" s="247"/>
      <c r="BN468" s="249" t="s">
        <v>2088</v>
      </c>
      <c r="BR468" s="249" t="s">
        <v>2078</v>
      </c>
      <c r="BV468" s="249" t="s">
        <v>2078</v>
      </c>
      <c r="BX468" s="252"/>
      <c r="BY468" s="252"/>
      <c r="BZ468" s="249" t="s">
        <v>2078</v>
      </c>
      <c r="CA468" s="247"/>
      <c r="CD468" s="249" t="s">
        <v>2088</v>
      </c>
      <c r="CH468" s="249" t="s">
        <v>2078</v>
      </c>
      <c r="CL468" s="249" t="s">
        <v>2078</v>
      </c>
      <c r="CN468" s="252"/>
      <c r="CO468" s="252"/>
      <c r="CP468" s="249" t="s">
        <v>2078</v>
      </c>
      <c r="CQ468" s="247"/>
      <c r="CT468" s="249" t="s">
        <v>2088</v>
      </c>
      <c r="CX468" s="249" t="s">
        <v>2078</v>
      </c>
      <c r="DB468" s="249" t="s">
        <v>2078</v>
      </c>
    </row>
    <row r="469" spans="44:106" ht="15" customHeight="1" x14ac:dyDescent="0.2">
      <c r="AR469" s="252"/>
      <c r="AS469" s="252"/>
      <c r="AT469" s="249" t="s">
        <v>2078</v>
      </c>
      <c r="AU469" s="247"/>
      <c r="AX469" s="249" t="s">
        <v>2088</v>
      </c>
      <c r="BB469" s="249" t="s">
        <v>2078</v>
      </c>
      <c r="BF469" s="249" t="s">
        <v>2078</v>
      </c>
      <c r="BH469" s="252"/>
      <c r="BI469" s="252"/>
      <c r="BJ469" s="249" t="s">
        <v>2078</v>
      </c>
      <c r="BK469" s="247"/>
      <c r="BN469" s="249" t="s">
        <v>2088</v>
      </c>
      <c r="BR469" s="249" t="s">
        <v>2078</v>
      </c>
      <c r="BV469" s="249" t="s">
        <v>2078</v>
      </c>
      <c r="BX469" s="252"/>
      <c r="BY469" s="252"/>
      <c r="BZ469" s="249" t="s">
        <v>2078</v>
      </c>
      <c r="CA469" s="247"/>
      <c r="CD469" s="249" t="s">
        <v>2088</v>
      </c>
      <c r="CH469" s="249" t="s">
        <v>2078</v>
      </c>
      <c r="CL469" s="249" t="s">
        <v>2078</v>
      </c>
      <c r="CN469" s="252"/>
      <c r="CO469" s="252"/>
      <c r="CP469" s="249" t="s">
        <v>2078</v>
      </c>
      <c r="CQ469" s="247"/>
      <c r="CT469" s="249" t="s">
        <v>2088</v>
      </c>
      <c r="CX469" s="249" t="s">
        <v>2078</v>
      </c>
      <c r="DB469" s="249" t="s">
        <v>2078</v>
      </c>
    </row>
    <row r="470" spans="44:106" ht="15" customHeight="1" x14ac:dyDescent="0.2">
      <c r="AR470" s="252"/>
      <c r="AS470" s="252"/>
      <c r="AT470" s="249" t="s">
        <v>2078</v>
      </c>
      <c r="AU470" s="247"/>
      <c r="AX470" s="249" t="s">
        <v>2088</v>
      </c>
      <c r="BB470" s="249" t="s">
        <v>2078</v>
      </c>
      <c r="BF470" s="249" t="s">
        <v>2078</v>
      </c>
      <c r="BH470" s="252"/>
      <c r="BI470" s="252"/>
      <c r="BJ470" s="249" t="s">
        <v>2078</v>
      </c>
      <c r="BK470" s="247"/>
      <c r="BN470" s="249" t="s">
        <v>2088</v>
      </c>
      <c r="BR470" s="249" t="s">
        <v>2078</v>
      </c>
      <c r="BV470" s="249" t="s">
        <v>2078</v>
      </c>
      <c r="BX470" s="252"/>
      <c r="BY470" s="252"/>
      <c r="BZ470" s="249" t="s">
        <v>2078</v>
      </c>
      <c r="CA470" s="247"/>
      <c r="CD470" s="249" t="s">
        <v>2088</v>
      </c>
      <c r="CH470" s="249" t="s">
        <v>2078</v>
      </c>
      <c r="CL470" s="249" t="s">
        <v>2078</v>
      </c>
      <c r="CN470" s="252"/>
      <c r="CO470" s="252"/>
      <c r="CP470" s="249" t="s">
        <v>2078</v>
      </c>
      <c r="CQ470" s="247"/>
      <c r="CT470" s="249" t="s">
        <v>2088</v>
      </c>
      <c r="CX470" s="249" t="s">
        <v>2078</v>
      </c>
      <c r="DB470" s="249" t="s">
        <v>2078</v>
      </c>
    </row>
    <row r="471" spans="44:106" ht="15" customHeight="1" x14ac:dyDescent="0.2">
      <c r="AR471" s="252"/>
      <c r="AS471" s="252"/>
      <c r="AT471" s="249" t="s">
        <v>2078</v>
      </c>
      <c r="AU471" s="247"/>
      <c r="AX471" s="249" t="s">
        <v>2088</v>
      </c>
      <c r="BB471" s="249" t="s">
        <v>2078</v>
      </c>
      <c r="BF471" s="249" t="s">
        <v>2078</v>
      </c>
      <c r="BH471" s="252"/>
      <c r="BI471" s="252"/>
      <c r="BJ471" s="249" t="s">
        <v>2078</v>
      </c>
      <c r="BK471" s="247"/>
      <c r="BN471" s="249" t="s">
        <v>2088</v>
      </c>
      <c r="BR471" s="249" t="s">
        <v>2078</v>
      </c>
      <c r="BV471" s="249" t="s">
        <v>2078</v>
      </c>
      <c r="BX471" s="252"/>
      <c r="BY471" s="252"/>
      <c r="BZ471" s="249" t="s">
        <v>2078</v>
      </c>
      <c r="CA471" s="247"/>
      <c r="CD471" s="249" t="s">
        <v>2088</v>
      </c>
      <c r="CH471" s="249" t="s">
        <v>2078</v>
      </c>
      <c r="CL471" s="249" t="s">
        <v>2078</v>
      </c>
      <c r="CN471" s="252"/>
      <c r="CO471" s="252"/>
      <c r="CP471" s="249" t="s">
        <v>2078</v>
      </c>
      <c r="CQ471" s="247"/>
      <c r="CT471" s="249" t="s">
        <v>2088</v>
      </c>
      <c r="CX471" s="249" t="s">
        <v>2078</v>
      </c>
      <c r="DB471" s="249" t="s">
        <v>2078</v>
      </c>
    </row>
    <row r="472" spans="44:106" ht="15" customHeight="1" x14ac:dyDescent="0.2">
      <c r="AR472" s="252"/>
      <c r="AS472" s="252"/>
      <c r="AT472" s="249" t="s">
        <v>2078</v>
      </c>
      <c r="AU472" s="247"/>
      <c r="AX472" s="249" t="s">
        <v>2088</v>
      </c>
      <c r="BB472" s="249" t="s">
        <v>2078</v>
      </c>
      <c r="BF472" s="249" t="s">
        <v>2078</v>
      </c>
      <c r="BH472" s="252"/>
      <c r="BI472" s="252"/>
      <c r="BJ472" s="249" t="s">
        <v>2078</v>
      </c>
      <c r="BK472" s="247"/>
      <c r="BN472" s="249" t="s">
        <v>2088</v>
      </c>
      <c r="BR472" s="249" t="s">
        <v>2078</v>
      </c>
      <c r="BV472" s="249" t="s">
        <v>2078</v>
      </c>
      <c r="BX472" s="252"/>
      <c r="BY472" s="252"/>
      <c r="BZ472" s="249" t="s">
        <v>2078</v>
      </c>
      <c r="CA472" s="247"/>
      <c r="CD472" s="249" t="s">
        <v>2088</v>
      </c>
      <c r="CH472" s="249" t="s">
        <v>2078</v>
      </c>
      <c r="CL472" s="249" t="s">
        <v>2078</v>
      </c>
      <c r="CN472" s="252"/>
      <c r="CO472" s="252"/>
      <c r="CP472" s="249" t="s">
        <v>2078</v>
      </c>
      <c r="CQ472" s="247"/>
      <c r="CT472" s="249" t="s">
        <v>2088</v>
      </c>
      <c r="CX472" s="249" t="s">
        <v>2078</v>
      </c>
      <c r="DB472" s="249" t="s">
        <v>2078</v>
      </c>
    </row>
    <row r="473" spans="44:106" ht="15" customHeight="1" x14ac:dyDescent="0.2">
      <c r="AR473" s="252"/>
      <c r="AS473" s="252"/>
      <c r="AT473" s="249" t="s">
        <v>2078</v>
      </c>
      <c r="AU473" s="247"/>
      <c r="AX473" s="249" t="s">
        <v>2088</v>
      </c>
      <c r="BB473" s="249" t="s">
        <v>2078</v>
      </c>
      <c r="BF473" s="249" t="s">
        <v>2078</v>
      </c>
      <c r="BH473" s="252"/>
      <c r="BI473" s="252"/>
      <c r="BJ473" s="249" t="s">
        <v>2078</v>
      </c>
      <c r="BK473" s="247"/>
      <c r="BN473" s="249" t="s">
        <v>2088</v>
      </c>
      <c r="BR473" s="249" t="s">
        <v>2078</v>
      </c>
      <c r="BV473" s="249" t="s">
        <v>2078</v>
      </c>
      <c r="BX473" s="252"/>
      <c r="BY473" s="252"/>
      <c r="BZ473" s="249" t="s">
        <v>2078</v>
      </c>
      <c r="CA473" s="247"/>
      <c r="CD473" s="249" t="s">
        <v>2088</v>
      </c>
      <c r="CH473" s="249" t="s">
        <v>2078</v>
      </c>
      <c r="CL473" s="249" t="s">
        <v>2078</v>
      </c>
      <c r="CN473" s="252"/>
      <c r="CO473" s="252"/>
      <c r="CP473" s="249" t="s">
        <v>2078</v>
      </c>
      <c r="CQ473" s="247"/>
      <c r="CT473" s="249" t="s">
        <v>2088</v>
      </c>
      <c r="CX473" s="249" t="s">
        <v>2078</v>
      </c>
      <c r="DB473" s="249" t="s">
        <v>2078</v>
      </c>
    </row>
    <row r="474" spans="44:106" ht="15" customHeight="1" x14ac:dyDescent="0.2">
      <c r="AR474" s="252"/>
      <c r="AS474" s="252"/>
      <c r="AT474" s="249" t="s">
        <v>2078</v>
      </c>
      <c r="AU474" s="247"/>
      <c r="AX474" s="249" t="s">
        <v>2088</v>
      </c>
      <c r="BB474" s="249" t="s">
        <v>2078</v>
      </c>
      <c r="BF474" s="249" t="s">
        <v>2078</v>
      </c>
      <c r="BH474" s="252"/>
      <c r="BI474" s="252"/>
      <c r="BJ474" s="249" t="s">
        <v>2078</v>
      </c>
      <c r="BK474" s="247"/>
      <c r="BN474" s="249" t="s">
        <v>2088</v>
      </c>
      <c r="BR474" s="249" t="s">
        <v>2078</v>
      </c>
      <c r="BV474" s="249" t="s">
        <v>2078</v>
      </c>
      <c r="BX474" s="252"/>
      <c r="BY474" s="252"/>
      <c r="BZ474" s="249" t="s">
        <v>2078</v>
      </c>
      <c r="CA474" s="247"/>
      <c r="CD474" s="249" t="s">
        <v>2088</v>
      </c>
      <c r="CH474" s="249" t="s">
        <v>2078</v>
      </c>
      <c r="CL474" s="249" t="s">
        <v>2078</v>
      </c>
      <c r="CN474" s="252"/>
      <c r="CO474" s="252"/>
      <c r="CP474" s="249" t="s">
        <v>2078</v>
      </c>
      <c r="CQ474" s="247"/>
      <c r="CT474" s="249" t="s">
        <v>2088</v>
      </c>
      <c r="CX474" s="249" t="s">
        <v>2078</v>
      </c>
      <c r="DB474" s="249" t="s">
        <v>2078</v>
      </c>
    </row>
    <row r="475" spans="44:106" ht="15" customHeight="1" x14ac:dyDescent="0.2">
      <c r="AR475" s="252"/>
      <c r="AS475" s="252"/>
      <c r="AT475" s="249" t="s">
        <v>2078</v>
      </c>
      <c r="AU475" s="247"/>
      <c r="AX475" s="249" t="s">
        <v>2088</v>
      </c>
      <c r="BB475" s="249" t="s">
        <v>2078</v>
      </c>
      <c r="BF475" s="249" t="s">
        <v>2078</v>
      </c>
      <c r="BH475" s="252"/>
      <c r="BI475" s="252"/>
      <c r="BJ475" s="249" t="s">
        <v>2078</v>
      </c>
      <c r="BK475" s="247"/>
      <c r="BN475" s="249" t="s">
        <v>2088</v>
      </c>
      <c r="BR475" s="249" t="s">
        <v>2078</v>
      </c>
      <c r="BV475" s="249" t="s">
        <v>2078</v>
      </c>
      <c r="BX475" s="252"/>
      <c r="BY475" s="252"/>
      <c r="BZ475" s="249" t="s">
        <v>2078</v>
      </c>
      <c r="CA475" s="247"/>
      <c r="CD475" s="249" t="s">
        <v>2088</v>
      </c>
      <c r="CH475" s="249" t="s">
        <v>2078</v>
      </c>
      <c r="CL475" s="249" t="s">
        <v>2078</v>
      </c>
      <c r="CN475" s="252"/>
      <c r="CO475" s="252"/>
      <c r="CP475" s="249" t="s">
        <v>2078</v>
      </c>
      <c r="CQ475" s="247"/>
      <c r="CT475" s="249" t="s">
        <v>2088</v>
      </c>
      <c r="CX475" s="249" t="s">
        <v>2078</v>
      </c>
      <c r="DB475" s="249" t="s">
        <v>2078</v>
      </c>
    </row>
    <row r="476" spans="44:106" ht="15" customHeight="1" x14ac:dyDescent="0.2">
      <c r="AR476" s="252"/>
      <c r="AS476" s="252"/>
      <c r="AT476" s="249" t="s">
        <v>2078</v>
      </c>
      <c r="AU476" s="247"/>
      <c r="AX476" s="249" t="s">
        <v>2088</v>
      </c>
      <c r="BB476" s="249" t="s">
        <v>2078</v>
      </c>
      <c r="BF476" s="249" t="s">
        <v>2078</v>
      </c>
      <c r="BH476" s="252"/>
      <c r="BI476" s="252"/>
      <c r="BJ476" s="249" t="s">
        <v>2078</v>
      </c>
      <c r="BK476" s="247"/>
      <c r="BN476" s="249" t="s">
        <v>2088</v>
      </c>
      <c r="BR476" s="249" t="s">
        <v>2078</v>
      </c>
      <c r="BV476" s="249" t="s">
        <v>2078</v>
      </c>
      <c r="BX476" s="252"/>
      <c r="BY476" s="252"/>
      <c r="BZ476" s="249" t="s">
        <v>2078</v>
      </c>
      <c r="CA476" s="247"/>
      <c r="CD476" s="249" t="s">
        <v>2088</v>
      </c>
      <c r="CH476" s="249" t="s">
        <v>2078</v>
      </c>
      <c r="CL476" s="249" t="s">
        <v>2078</v>
      </c>
      <c r="CN476" s="252"/>
      <c r="CO476" s="252"/>
      <c r="CP476" s="249" t="s">
        <v>2078</v>
      </c>
      <c r="CQ476" s="247"/>
      <c r="CT476" s="249" t="s">
        <v>2088</v>
      </c>
      <c r="CX476" s="249" t="s">
        <v>2078</v>
      </c>
      <c r="DB476" s="249" t="s">
        <v>2078</v>
      </c>
    </row>
    <row r="477" spans="44:106" ht="15" customHeight="1" x14ac:dyDescent="0.2">
      <c r="AR477" s="252"/>
      <c r="AS477" s="252"/>
      <c r="AT477" s="249" t="s">
        <v>2078</v>
      </c>
      <c r="AU477" s="247"/>
      <c r="AX477" s="249" t="s">
        <v>2088</v>
      </c>
      <c r="BB477" s="249" t="s">
        <v>2078</v>
      </c>
      <c r="BF477" s="249" t="s">
        <v>2078</v>
      </c>
      <c r="BH477" s="252"/>
      <c r="BI477" s="252"/>
      <c r="BJ477" s="249" t="s">
        <v>2078</v>
      </c>
      <c r="BK477" s="247"/>
      <c r="BN477" s="249" t="s">
        <v>2088</v>
      </c>
      <c r="BR477" s="249" t="s">
        <v>2078</v>
      </c>
      <c r="BV477" s="249" t="s">
        <v>2078</v>
      </c>
      <c r="BX477" s="252"/>
      <c r="BY477" s="252"/>
      <c r="BZ477" s="249" t="s">
        <v>2078</v>
      </c>
      <c r="CA477" s="247"/>
      <c r="CD477" s="249" t="s">
        <v>2088</v>
      </c>
      <c r="CH477" s="249" t="s">
        <v>2078</v>
      </c>
      <c r="CL477" s="249" t="s">
        <v>2078</v>
      </c>
      <c r="CN477" s="252"/>
      <c r="CO477" s="252"/>
      <c r="CP477" s="249" t="s">
        <v>2078</v>
      </c>
      <c r="CQ477" s="247"/>
      <c r="CT477" s="249" t="s">
        <v>2088</v>
      </c>
      <c r="CX477" s="249" t="s">
        <v>2078</v>
      </c>
      <c r="DB477" s="249" t="s">
        <v>2078</v>
      </c>
    </row>
    <row r="478" spans="44:106" ht="15" customHeight="1" x14ac:dyDescent="0.2">
      <c r="AR478" s="252"/>
      <c r="AS478" s="252"/>
      <c r="AT478" s="249" t="s">
        <v>2078</v>
      </c>
      <c r="AU478" s="247"/>
      <c r="AX478" s="249" t="s">
        <v>2088</v>
      </c>
      <c r="BB478" s="249" t="s">
        <v>2078</v>
      </c>
      <c r="BF478" s="249" t="s">
        <v>2078</v>
      </c>
      <c r="BH478" s="252"/>
      <c r="BI478" s="252"/>
      <c r="BJ478" s="249" t="s">
        <v>2078</v>
      </c>
      <c r="BK478" s="247"/>
      <c r="BN478" s="249" t="s">
        <v>2088</v>
      </c>
      <c r="BR478" s="249" t="s">
        <v>2078</v>
      </c>
      <c r="BV478" s="249" t="s">
        <v>2078</v>
      </c>
      <c r="BX478" s="252"/>
      <c r="BY478" s="252"/>
      <c r="BZ478" s="249" t="s">
        <v>2078</v>
      </c>
      <c r="CA478" s="247"/>
      <c r="CD478" s="249" t="s">
        <v>2088</v>
      </c>
      <c r="CH478" s="249" t="s">
        <v>2078</v>
      </c>
      <c r="CL478" s="249" t="s">
        <v>2078</v>
      </c>
      <c r="CN478" s="252"/>
      <c r="CO478" s="252"/>
      <c r="CP478" s="249" t="s">
        <v>2078</v>
      </c>
      <c r="CQ478" s="247"/>
      <c r="CT478" s="249" t="s">
        <v>2088</v>
      </c>
      <c r="CX478" s="249" t="s">
        <v>2078</v>
      </c>
      <c r="DB478" s="249" t="s">
        <v>2078</v>
      </c>
    </row>
    <row r="479" spans="44:106" ht="15" customHeight="1" x14ac:dyDescent="0.2">
      <c r="AR479" s="252"/>
      <c r="AS479" s="252"/>
      <c r="AT479" s="249" t="s">
        <v>2078</v>
      </c>
      <c r="AU479" s="247"/>
      <c r="AX479" s="249" t="s">
        <v>2088</v>
      </c>
      <c r="BB479" s="249" t="s">
        <v>2078</v>
      </c>
      <c r="BF479" s="249" t="s">
        <v>2078</v>
      </c>
      <c r="BH479" s="252"/>
      <c r="BI479" s="252"/>
      <c r="BJ479" s="249" t="s">
        <v>2078</v>
      </c>
      <c r="BK479" s="247"/>
      <c r="BN479" s="249" t="s">
        <v>2088</v>
      </c>
      <c r="BR479" s="249" t="s">
        <v>2078</v>
      </c>
      <c r="BV479" s="249" t="s">
        <v>2078</v>
      </c>
      <c r="BX479" s="252"/>
      <c r="BY479" s="252"/>
      <c r="BZ479" s="249" t="s">
        <v>2078</v>
      </c>
      <c r="CA479" s="247"/>
      <c r="CD479" s="249" t="s">
        <v>2088</v>
      </c>
      <c r="CH479" s="249" t="s">
        <v>2078</v>
      </c>
      <c r="CL479" s="249" t="s">
        <v>2078</v>
      </c>
      <c r="CN479" s="252"/>
      <c r="CO479" s="252"/>
      <c r="CP479" s="249" t="s">
        <v>2078</v>
      </c>
      <c r="CQ479" s="247"/>
      <c r="CT479" s="249" t="s">
        <v>2088</v>
      </c>
      <c r="CX479" s="249" t="s">
        <v>2078</v>
      </c>
      <c r="DB479" s="249" t="s">
        <v>2078</v>
      </c>
    </row>
    <row r="480" spans="44:106" ht="15" customHeight="1" x14ac:dyDescent="0.2">
      <c r="AR480" s="252"/>
      <c r="AS480" s="252"/>
      <c r="AT480" s="249" t="s">
        <v>2078</v>
      </c>
      <c r="AU480" s="247"/>
      <c r="AX480" s="249" t="s">
        <v>2088</v>
      </c>
      <c r="BB480" s="249" t="s">
        <v>2078</v>
      </c>
      <c r="BF480" s="249" t="s">
        <v>2078</v>
      </c>
      <c r="BH480" s="252"/>
      <c r="BI480" s="252"/>
      <c r="BJ480" s="249" t="s">
        <v>2078</v>
      </c>
      <c r="BK480" s="247"/>
      <c r="BN480" s="249" t="s">
        <v>2088</v>
      </c>
      <c r="BR480" s="249" t="s">
        <v>2078</v>
      </c>
      <c r="BV480" s="249" t="s">
        <v>2078</v>
      </c>
      <c r="BX480" s="252"/>
      <c r="BY480" s="252"/>
      <c r="BZ480" s="249" t="s">
        <v>2078</v>
      </c>
      <c r="CA480" s="247"/>
      <c r="CD480" s="249" t="s">
        <v>2088</v>
      </c>
      <c r="CH480" s="249" t="s">
        <v>2078</v>
      </c>
      <c r="CL480" s="249" t="s">
        <v>2078</v>
      </c>
      <c r="CN480" s="252"/>
      <c r="CO480" s="252"/>
      <c r="CP480" s="249" t="s">
        <v>2078</v>
      </c>
      <c r="CQ480" s="247"/>
      <c r="CT480" s="249" t="s">
        <v>2088</v>
      </c>
      <c r="CX480" s="249" t="s">
        <v>2078</v>
      </c>
      <c r="DB480" s="249" t="s">
        <v>2078</v>
      </c>
    </row>
    <row r="481" spans="44:106" ht="15" customHeight="1" x14ac:dyDescent="0.2">
      <c r="AR481" s="252"/>
      <c r="AS481" s="252"/>
      <c r="AT481" s="249" t="s">
        <v>2078</v>
      </c>
      <c r="AU481" s="247"/>
      <c r="AX481" s="249" t="s">
        <v>2088</v>
      </c>
      <c r="BB481" s="249" t="s">
        <v>2078</v>
      </c>
      <c r="BF481" s="249" t="s">
        <v>2078</v>
      </c>
      <c r="BH481" s="252"/>
      <c r="BI481" s="252"/>
      <c r="BJ481" s="249" t="s">
        <v>2078</v>
      </c>
      <c r="BK481" s="247"/>
      <c r="BN481" s="249" t="s">
        <v>2088</v>
      </c>
      <c r="BR481" s="249" t="s">
        <v>2078</v>
      </c>
      <c r="BV481" s="249" t="s">
        <v>2078</v>
      </c>
      <c r="BX481" s="252"/>
      <c r="BY481" s="252"/>
      <c r="BZ481" s="249" t="s">
        <v>2078</v>
      </c>
      <c r="CA481" s="247"/>
      <c r="CD481" s="249" t="s">
        <v>2088</v>
      </c>
      <c r="CH481" s="249" t="s">
        <v>2078</v>
      </c>
      <c r="CL481" s="249" t="s">
        <v>2078</v>
      </c>
      <c r="CN481" s="252"/>
      <c r="CO481" s="252"/>
      <c r="CP481" s="249" t="s">
        <v>2078</v>
      </c>
      <c r="CQ481" s="247"/>
      <c r="CT481" s="249" t="s">
        <v>2088</v>
      </c>
      <c r="CX481" s="249" t="s">
        <v>2078</v>
      </c>
      <c r="DB481" s="249" t="s">
        <v>2078</v>
      </c>
    </row>
    <row r="482" spans="44:106" ht="15" customHeight="1" x14ac:dyDescent="0.2">
      <c r="AR482" s="252"/>
      <c r="AS482" s="252"/>
      <c r="AT482" s="249" t="s">
        <v>2078</v>
      </c>
      <c r="AU482" s="247"/>
      <c r="AX482" s="249" t="s">
        <v>2088</v>
      </c>
      <c r="BB482" s="249" t="s">
        <v>2078</v>
      </c>
      <c r="BF482" s="249" t="s">
        <v>2078</v>
      </c>
      <c r="BH482" s="252"/>
      <c r="BI482" s="252"/>
      <c r="BJ482" s="249" t="s">
        <v>2078</v>
      </c>
      <c r="BK482" s="247"/>
      <c r="BN482" s="249" t="s">
        <v>2088</v>
      </c>
      <c r="BR482" s="249" t="s">
        <v>2078</v>
      </c>
      <c r="BV482" s="249" t="s">
        <v>2078</v>
      </c>
      <c r="BX482" s="252"/>
      <c r="BY482" s="252"/>
      <c r="BZ482" s="249" t="s">
        <v>2078</v>
      </c>
      <c r="CA482" s="247"/>
      <c r="CD482" s="249" t="s">
        <v>2088</v>
      </c>
      <c r="CH482" s="249" t="s">
        <v>2078</v>
      </c>
      <c r="CL482" s="249" t="s">
        <v>2078</v>
      </c>
      <c r="CN482" s="252"/>
      <c r="CO482" s="252"/>
      <c r="CP482" s="249" t="s">
        <v>2078</v>
      </c>
      <c r="CQ482" s="247"/>
      <c r="CT482" s="249" t="s">
        <v>2088</v>
      </c>
      <c r="CX482" s="249" t="s">
        <v>2078</v>
      </c>
      <c r="DB482" s="249" t="s">
        <v>2078</v>
      </c>
    </row>
    <row r="483" spans="44:106" ht="15" customHeight="1" x14ac:dyDescent="0.2">
      <c r="AR483" s="252"/>
      <c r="AS483" s="252"/>
      <c r="AT483" s="249" t="s">
        <v>2078</v>
      </c>
      <c r="AU483" s="247"/>
      <c r="AX483" s="249" t="s">
        <v>2088</v>
      </c>
      <c r="BB483" s="249" t="s">
        <v>2078</v>
      </c>
      <c r="BF483" s="249" t="s">
        <v>2078</v>
      </c>
      <c r="BH483" s="252"/>
      <c r="BI483" s="252"/>
      <c r="BJ483" s="249" t="s">
        <v>2078</v>
      </c>
      <c r="BK483" s="247"/>
      <c r="BN483" s="249" t="s">
        <v>2088</v>
      </c>
      <c r="BR483" s="249" t="s">
        <v>2078</v>
      </c>
      <c r="BV483" s="249" t="s">
        <v>2078</v>
      </c>
      <c r="BX483" s="252"/>
      <c r="BY483" s="252"/>
      <c r="BZ483" s="249" t="s">
        <v>2078</v>
      </c>
      <c r="CA483" s="247"/>
      <c r="CD483" s="249" t="s">
        <v>2088</v>
      </c>
      <c r="CH483" s="249" t="s">
        <v>2078</v>
      </c>
      <c r="CL483" s="249" t="s">
        <v>2078</v>
      </c>
      <c r="CN483" s="252"/>
      <c r="CO483" s="252"/>
      <c r="CP483" s="249" t="s">
        <v>2078</v>
      </c>
      <c r="CQ483" s="247"/>
      <c r="CT483" s="249" t="s">
        <v>2088</v>
      </c>
      <c r="CX483" s="249" t="s">
        <v>2078</v>
      </c>
      <c r="DB483" s="249" t="s">
        <v>2078</v>
      </c>
    </row>
    <row r="484" spans="44:106" ht="15" customHeight="1" x14ac:dyDescent="0.2">
      <c r="AR484" s="252"/>
      <c r="AS484" s="252"/>
      <c r="AT484" s="249" t="s">
        <v>2078</v>
      </c>
      <c r="AU484" s="247"/>
      <c r="AX484" s="249" t="s">
        <v>2088</v>
      </c>
      <c r="BB484" s="249" t="s">
        <v>2078</v>
      </c>
      <c r="BF484" s="249" t="s">
        <v>2078</v>
      </c>
      <c r="BH484" s="252"/>
      <c r="BI484" s="252"/>
      <c r="BJ484" s="249" t="s">
        <v>2078</v>
      </c>
      <c r="BK484" s="247"/>
      <c r="BN484" s="249" t="s">
        <v>2088</v>
      </c>
      <c r="BR484" s="249" t="s">
        <v>2078</v>
      </c>
      <c r="BV484" s="249" t="s">
        <v>2078</v>
      </c>
      <c r="BX484" s="252"/>
      <c r="BY484" s="252"/>
      <c r="BZ484" s="249" t="s">
        <v>2078</v>
      </c>
      <c r="CA484" s="247"/>
      <c r="CD484" s="249" t="s">
        <v>2088</v>
      </c>
      <c r="CH484" s="249" t="s">
        <v>2078</v>
      </c>
      <c r="CL484" s="249" t="s">
        <v>2078</v>
      </c>
      <c r="CN484" s="252"/>
      <c r="CO484" s="252"/>
      <c r="CP484" s="249" t="s">
        <v>2078</v>
      </c>
      <c r="CQ484" s="247"/>
      <c r="CT484" s="249" t="s">
        <v>2088</v>
      </c>
      <c r="CX484" s="249" t="s">
        <v>2078</v>
      </c>
      <c r="DB484" s="249" t="s">
        <v>2078</v>
      </c>
    </row>
    <row r="485" spans="44:106" ht="15" customHeight="1" x14ac:dyDescent="0.2">
      <c r="AR485" s="252"/>
      <c r="AS485" s="252"/>
      <c r="AT485" s="249" t="s">
        <v>2078</v>
      </c>
      <c r="AU485" s="247"/>
      <c r="AX485" s="249" t="s">
        <v>2088</v>
      </c>
      <c r="BB485" s="249" t="s">
        <v>2078</v>
      </c>
      <c r="BF485" s="249" t="s">
        <v>2078</v>
      </c>
      <c r="BH485" s="252"/>
      <c r="BI485" s="252"/>
      <c r="BJ485" s="249" t="s">
        <v>2078</v>
      </c>
      <c r="BK485" s="247"/>
      <c r="BN485" s="249" t="s">
        <v>2088</v>
      </c>
      <c r="BR485" s="249" t="s">
        <v>2078</v>
      </c>
      <c r="BV485" s="249" t="s">
        <v>2078</v>
      </c>
      <c r="BX485" s="252"/>
      <c r="BY485" s="252"/>
      <c r="BZ485" s="249" t="s">
        <v>2078</v>
      </c>
      <c r="CA485" s="247"/>
      <c r="CD485" s="249" t="s">
        <v>2088</v>
      </c>
      <c r="CH485" s="249" t="s">
        <v>2078</v>
      </c>
      <c r="CL485" s="249" t="s">
        <v>2078</v>
      </c>
      <c r="CN485" s="252"/>
      <c r="CO485" s="252"/>
      <c r="CP485" s="249" t="s">
        <v>2078</v>
      </c>
      <c r="CQ485" s="247"/>
      <c r="CT485" s="249" t="s">
        <v>2088</v>
      </c>
      <c r="CX485" s="249" t="s">
        <v>2078</v>
      </c>
      <c r="DB485" s="249" t="s">
        <v>2078</v>
      </c>
    </row>
    <row r="486" spans="44:106" ht="15" customHeight="1" x14ac:dyDescent="0.2">
      <c r="AR486" s="252"/>
      <c r="AS486" s="252"/>
      <c r="AT486" s="249" t="s">
        <v>2078</v>
      </c>
      <c r="AU486" s="247"/>
      <c r="AX486" s="249" t="s">
        <v>2088</v>
      </c>
      <c r="BB486" s="249" t="s">
        <v>2078</v>
      </c>
      <c r="BF486" s="249" t="s">
        <v>2078</v>
      </c>
      <c r="BH486" s="252"/>
      <c r="BI486" s="252"/>
      <c r="BJ486" s="249" t="s">
        <v>2078</v>
      </c>
      <c r="BK486" s="247"/>
      <c r="BN486" s="249" t="s">
        <v>2088</v>
      </c>
      <c r="BR486" s="249" t="s">
        <v>2078</v>
      </c>
      <c r="BV486" s="249" t="s">
        <v>2078</v>
      </c>
      <c r="BX486" s="252"/>
      <c r="BY486" s="252"/>
      <c r="BZ486" s="249" t="s">
        <v>2078</v>
      </c>
      <c r="CA486" s="247"/>
      <c r="CD486" s="249" t="s">
        <v>2088</v>
      </c>
      <c r="CH486" s="249" t="s">
        <v>2078</v>
      </c>
      <c r="CL486" s="249" t="s">
        <v>2078</v>
      </c>
      <c r="CN486" s="252"/>
      <c r="CO486" s="252"/>
      <c r="CP486" s="249" t="s">
        <v>2078</v>
      </c>
      <c r="CQ486" s="247"/>
      <c r="CT486" s="249" t="s">
        <v>2088</v>
      </c>
      <c r="CX486" s="249" t="s">
        <v>2078</v>
      </c>
      <c r="DB486" s="249" t="s">
        <v>2078</v>
      </c>
    </row>
    <row r="487" spans="44:106" ht="15" customHeight="1" x14ac:dyDescent="0.2">
      <c r="AR487" s="252"/>
      <c r="AS487" s="252"/>
      <c r="AT487" s="249" t="s">
        <v>2078</v>
      </c>
      <c r="AU487" s="247"/>
      <c r="AX487" s="249" t="s">
        <v>2088</v>
      </c>
      <c r="BB487" s="249" t="s">
        <v>2078</v>
      </c>
      <c r="BF487" s="249" t="s">
        <v>2078</v>
      </c>
      <c r="BH487" s="252"/>
      <c r="BI487" s="252"/>
      <c r="BJ487" s="249" t="s">
        <v>2078</v>
      </c>
      <c r="BK487" s="247"/>
      <c r="BN487" s="249" t="s">
        <v>2088</v>
      </c>
      <c r="BR487" s="249" t="s">
        <v>2078</v>
      </c>
      <c r="BV487" s="249" t="s">
        <v>2078</v>
      </c>
      <c r="BX487" s="252"/>
      <c r="BY487" s="252"/>
      <c r="BZ487" s="249" t="s">
        <v>2078</v>
      </c>
      <c r="CA487" s="247"/>
      <c r="CD487" s="249" t="s">
        <v>2088</v>
      </c>
      <c r="CH487" s="249" t="s">
        <v>2078</v>
      </c>
      <c r="CL487" s="249" t="s">
        <v>2078</v>
      </c>
      <c r="CN487" s="252"/>
      <c r="CO487" s="252"/>
      <c r="CP487" s="249" t="s">
        <v>2078</v>
      </c>
      <c r="CQ487" s="247"/>
      <c r="CT487" s="249" t="s">
        <v>2088</v>
      </c>
      <c r="CX487" s="249" t="s">
        <v>2078</v>
      </c>
      <c r="DB487" s="249" t="s">
        <v>2078</v>
      </c>
    </row>
    <row r="488" spans="44:106" ht="15" customHeight="1" x14ac:dyDescent="0.2">
      <c r="AR488" s="252"/>
      <c r="AS488" s="252"/>
      <c r="AT488" s="249" t="s">
        <v>2078</v>
      </c>
      <c r="AU488" s="247"/>
      <c r="AX488" s="249" t="s">
        <v>2088</v>
      </c>
      <c r="BB488" s="249" t="s">
        <v>2078</v>
      </c>
      <c r="BF488" s="249" t="s">
        <v>2078</v>
      </c>
      <c r="BH488" s="252"/>
      <c r="BI488" s="252"/>
      <c r="BJ488" s="249" t="s">
        <v>2078</v>
      </c>
      <c r="BK488" s="247"/>
      <c r="BN488" s="249" t="s">
        <v>2088</v>
      </c>
      <c r="BR488" s="249" t="s">
        <v>2078</v>
      </c>
      <c r="BV488" s="249" t="s">
        <v>2078</v>
      </c>
      <c r="BX488" s="252"/>
      <c r="BY488" s="252"/>
      <c r="BZ488" s="249" t="s">
        <v>2078</v>
      </c>
      <c r="CA488" s="247"/>
      <c r="CD488" s="249" t="s">
        <v>2088</v>
      </c>
      <c r="CH488" s="249" t="s">
        <v>2078</v>
      </c>
      <c r="CL488" s="249" t="s">
        <v>2078</v>
      </c>
      <c r="CN488" s="252"/>
      <c r="CO488" s="252"/>
      <c r="CP488" s="249" t="s">
        <v>2078</v>
      </c>
      <c r="CQ488" s="247"/>
      <c r="CT488" s="249" t="s">
        <v>2088</v>
      </c>
      <c r="CX488" s="249" t="s">
        <v>2078</v>
      </c>
      <c r="DB488" s="249" t="s">
        <v>2078</v>
      </c>
    </row>
    <row r="489" spans="44:106" ht="15" customHeight="1" x14ac:dyDescent="0.2">
      <c r="AR489" s="252"/>
      <c r="AS489" s="252"/>
      <c r="AT489" s="249" t="s">
        <v>2078</v>
      </c>
      <c r="AU489" s="247"/>
      <c r="AX489" s="249" t="s">
        <v>2088</v>
      </c>
      <c r="BB489" s="249" t="s">
        <v>2078</v>
      </c>
      <c r="BF489" s="249" t="s">
        <v>2078</v>
      </c>
      <c r="BH489" s="252"/>
      <c r="BI489" s="252"/>
      <c r="BJ489" s="249" t="s">
        <v>2078</v>
      </c>
      <c r="BK489" s="247"/>
      <c r="BN489" s="249" t="s">
        <v>2088</v>
      </c>
      <c r="BR489" s="249" t="s">
        <v>2078</v>
      </c>
      <c r="BV489" s="249" t="s">
        <v>2078</v>
      </c>
      <c r="BX489" s="252"/>
      <c r="BY489" s="252"/>
      <c r="BZ489" s="249" t="s">
        <v>2078</v>
      </c>
      <c r="CA489" s="247"/>
      <c r="CD489" s="249" t="s">
        <v>2088</v>
      </c>
      <c r="CH489" s="249" t="s">
        <v>2078</v>
      </c>
      <c r="CL489" s="249" t="s">
        <v>2078</v>
      </c>
      <c r="CN489" s="252"/>
      <c r="CO489" s="252"/>
      <c r="CP489" s="249" t="s">
        <v>2078</v>
      </c>
      <c r="CQ489" s="247"/>
      <c r="CT489" s="249" t="s">
        <v>2088</v>
      </c>
      <c r="CX489" s="249" t="s">
        <v>2078</v>
      </c>
      <c r="DB489" s="249" t="s">
        <v>2078</v>
      </c>
    </row>
    <row r="490" spans="44:106" ht="15" customHeight="1" x14ac:dyDescent="0.2">
      <c r="AR490" s="252"/>
      <c r="AS490" s="252"/>
      <c r="AT490" s="249" t="s">
        <v>2078</v>
      </c>
      <c r="AU490" s="247"/>
      <c r="AX490" s="249" t="s">
        <v>2088</v>
      </c>
      <c r="BB490" s="249" t="s">
        <v>2078</v>
      </c>
      <c r="BF490" s="249" t="s">
        <v>2078</v>
      </c>
      <c r="BH490" s="252"/>
      <c r="BI490" s="252"/>
      <c r="BJ490" s="249" t="s">
        <v>2078</v>
      </c>
      <c r="BK490" s="247"/>
      <c r="BN490" s="249" t="s">
        <v>2088</v>
      </c>
      <c r="BR490" s="249" t="s">
        <v>2078</v>
      </c>
      <c r="BV490" s="249" t="s">
        <v>2078</v>
      </c>
      <c r="BX490" s="252"/>
      <c r="BY490" s="252"/>
      <c r="BZ490" s="249" t="s">
        <v>2078</v>
      </c>
      <c r="CA490" s="247"/>
      <c r="CD490" s="249" t="s">
        <v>2088</v>
      </c>
      <c r="CH490" s="249" t="s">
        <v>2078</v>
      </c>
      <c r="CL490" s="249" t="s">
        <v>2078</v>
      </c>
      <c r="CN490" s="252"/>
      <c r="CO490" s="252"/>
      <c r="CP490" s="249" t="s">
        <v>2078</v>
      </c>
      <c r="CQ490" s="247"/>
      <c r="CT490" s="249" t="s">
        <v>2088</v>
      </c>
      <c r="CX490" s="249" t="s">
        <v>2078</v>
      </c>
      <c r="DB490" s="249" t="s">
        <v>2078</v>
      </c>
    </row>
    <row r="491" spans="44:106" ht="15" customHeight="1" x14ac:dyDescent="0.2">
      <c r="AR491" s="252"/>
      <c r="AS491" s="252"/>
      <c r="AT491" s="249" t="s">
        <v>2078</v>
      </c>
      <c r="AU491" s="247"/>
      <c r="AX491" s="249" t="s">
        <v>2088</v>
      </c>
      <c r="BB491" s="249" t="s">
        <v>2078</v>
      </c>
      <c r="BF491" s="249" t="s">
        <v>2078</v>
      </c>
      <c r="BH491" s="252"/>
      <c r="BI491" s="252"/>
      <c r="BJ491" s="249" t="s">
        <v>2078</v>
      </c>
      <c r="BK491" s="247"/>
      <c r="BN491" s="249" t="s">
        <v>2088</v>
      </c>
      <c r="BR491" s="249" t="s">
        <v>2078</v>
      </c>
      <c r="BV491" s="249" t="s">
        <v>2078</v>
      </c>
      <c r="BX491" s="252"/>
      <c r="BY491" s="252"/>
      <c r="BZ491" s="249" t="s">
        <v>2078</v>
      </c>
      <c r="CA491" s="247"/>
      <c r="CD491" s="249" t="s">
        <v>2088</v>
      </c>
      <c r="CH491" s="249" t="s">
        <v>2078</v>
      </c>
      <c r="CL491" s="249" t="s">
        <v>2078</v>
      </c>
      <c r="CN491" s="252"/>
      <c r="CO491" s="252"/>
      <c r="CP491" s="249" t="s">
        <v>2078</v>
      </c>
      <c r="CQ491" s="247"/>
      <c r="CT491" s="249" t="s">
        <v>2088</v>
      </c>
      <c r="CX491" s="249" t="s">
        <v>2078</v>
      </c>
      <c r="DB491" s="249" t="s">
        <v>2078</v>
      </c>
    </row>
    <row r="492" spans="44:106" ht="15" customHeight="1" x14ac:dyDescent="0.2">
      <c r="AR492" s="252"/>
      <c r="AS492" s="252"/>
      <c r="AT492" s="249" t="s">
        <v>2078</v>
      </c>
      <c r="AU492" s="247"/>
      <c r="AX492" s="249" t="s">
        <v>2088</v>
      </c>
      <c r="BB492" s="249" t="s">
        <v>2078</v>
      </c>
      <c r="BF492" s="249" t="s">
        <v>2078</v>
      </c>
      <c r="BH492" s="252"/>
      <c r="BI492" s="252"/>
      <c r="BJ492" s="249" t="s">
        <v>2078</v>
      </c>
      <c r="BK492" s="247"/>
      <c r="BN492" s="249" t="s">
        <v>2088</v>
      </c>
      <c r="BR492" s="249" t="s">
        <v>2078</v>
      </c>
      <c r="BV492" s="249" t="s">
        <v>2078</v>
      </c>
      <c r="BX492" s="252"/>
      <c r="BY492" s="252"/>
      <c r="BZ492" s="249" t="s">
        <v>2078</v>
      </c>
      <c r="CA492" s="247"/>
      <c r="CD492" s="249" t="s">
        <v>2088</v>
      </c>
      <c r="CH492" s="249" t="s">
        <v>2078</v>
      </c>
      <c r="CL492" s="249" t="s">
        <v>2078</v>
      </c>
      <c r="CN492" s="252"/>
      <c r="CO492" s="252"/>
      <c r="CP492" s="249" t="s">
        <v>2078</v>
      </c>
      <c r="CQ492" s="247"/>
      <c r="CT492" s="249" t="s">
        <v>2088</v>
      </c>
      <c r="CX492" s="249" t="s">
        <v>2078</v>
      </c>
      <c r="DB492" s="249" t="s">
        <v>2078</v>
      </c>
    </row>
    <row r="493" spans="44:106" ht="15" customHeight="1" x14ac:dyDescent="0.2">
      <c r="AR493" s="252"/>
      <c r="AS493" s="252"/>
      <c r="AT493" s="249" t="s">
        <v>2078</v>
      </c>
      <c r="AU493" s="247"/>
      <c r="AX493" s="249" t="s">
        <v>2088</v>
      </c>
      <c r="BB493" s="249" t="s">
        <v>2078</v>
      </c>
      <c r="BF493" s="249" t="s">
        <v>2078</v>
      </c>
      <c r="BH493" s="252"/>
      <c r="BI493" s="252"/>
      <c r="BJ493" s="249" t="s">
        <v>2078</v>
      </c>
      <c r="BK493" s="247"/>
      <c r="BN493" s="249" t="s">
        <v>2088</v>
      </c>
      <c r="BR493" s="249" t="s">
        <v>2078</v>
      </c>
      <c r="BV493" s="249" t="s">
        <v>2078</v>
      </c>
      <c r="BX493" s="252"/>
      <c r="BY493" s="252"/>
      <c r="BZ493" s="249" t="s">
        <v>2078</v>
      </c>
      <c r="CA493" s="247"/>
      <c r="CD493" s="249" t="s">
        <v>2088</v>
      </c>
      <c r="CH493" s="249" t="s">
        <v>2078</v>
      </c>
      <c r="CL493" s="249" t="s">
        <v>2078</v>
      </c>
      <c r="CN493" s="252"/>
      <c r="CO493" s="252"/>
      <c r="CP493" s="249" t="s">
        <v>2078</v>
      </c>
      <c r="CQ493" s="247"/>
      <c r="CT493" s="249" t="s">
        <v>2088</v>
      </c>
      <c r="CX493" s="249" t="s">
        <v>2078</v>
      </c>
      <c r="DB493" s="249" t="s">
        <v>2078</v>
      </c>
    </row>
    <row r="494" spans="44:106" ht="15" customHeight="1" x14ac:dyDescent="0.2">
      <c r="AR494" s="252"/>
      <c r="AS494" s="252"/>
      <c r="AT494" s="249" t="s">
        <v>2078</v>
      </c>
      <c r="AU494" s="247"/>
      <c r="AX494" s="249" t="s">
        <v>2088</v>
      </c>
      <c r="BB494" s="249" t="s">
        <v>2078</v>
      </c>
      <c r="BF494" s="249" t="s">
        <v>2078</v>
      </c>
      <c r="BH494" s="252"/>
      <c r="BI494" s="252"/>
      <c r="BJ494" s="249" t="s">
        <v>2078</v>
      </c>
      <c r="BK494" s="247"/>
      <c r="BN494" s="249" t="s">
        <v>2088</v>
      </c>
      <c r="BR494" s="249" t="s">
        <v>2078</v>
      </c>
      <c r="BV494" s="249" t="s">
        <v>2078</v>
      </c>
      <c r="BX494" s="252"/>
      <c r="BY494" s="252"/>
      <c r="BZ494" s="249" t="s">
        <v>2078</v>
      </c>
      <c r="CA494" s="247"/>
      <c r="CD494" s="249" t="s">
        <v>2088</v>
      </c>
      <c r="CH494" s="249" t="s">
        <v>2078</v>
      </c>
      <c r="CL494" s="249" t="s">
        <v>2078</v>
      </c>
      <c r="CN494" s="252"/>
      <c r="CO494" s="252"/>
      <c r="CP494" s="249" t="s">
        <v>2078</v>
      </c>
      <c r="CQ494" s="247"/>
      <c r="CT494" s="249" t="s">
        <v>2088</v>
      </c>
      <c r="CX494" s="249" t="s">
        <v>2078</v>
      </c>
      <c r="DB494" s="249" t="s">
        <v>2078</v>
      </c>
    </row>
    <row r="495" spans="44:106" ht="15" customHeight="1" x14ac:dyDescent="0.2">
      <c r="AR495" s="252"/>
      <c r="AS495" s="252"/>
      <c r="AT495" s="249" t="s">
        <v>2078</v>
      </c>
      <c r="AU495" s="247"/>
      <c r="AX495" s="249" t="s">
        <v>2088</v>
      </c>
      <c r="BB495" s="249" t="s">
        <v>2078</v>
      </c>
      <c r="BF495" s="249" t="s">
        <v>2078</v>
      </c>
      <c r="BH495" s="252"/>
      <c r="BI495" s="252"/>
      <c r="BJ495" s="249" t="s">
        <v>2078</v>
      </c>
      <c r="BK495" s="247"/>
      <c r="BN495" s="249" t="s">
        <v>2088</v>
      </c>
      <c r="BR495" s="249" t="s">
        <v>2078</v>
      </c>
      <c r="BV495" s="249" t="s">
        <v>2078</v>
      </c>
      <c r="BX495" s="252"/>
      <c r="BY495" s="252"/>
      <c r="BZ495" s="249" t="s">
        <v>2078</v>
      </c>
      <c r="CA495" s="247"/>
      <c r="CD495" s="249" t="s">
        <v>2088</v>
      </c>
      <c r="CH495" s="249" t="s">
        <v>2078</v>
      </c>
      <c r="CL495" s="249" t="s">
        <v>2078</v>
      </c>
      <c r="CN495" s="252"/>
      <c r="CO495" s="252"/>
      <c r="CP495" s="249" t="s">
        <v>2078</v>
      </c>
      <c r="CQ495" s="247"/>
      <c r="CT495" s="249" t="s">
        <v>2088</v>
      </c>
      <c r="CX495" s="249" t="s">
        <v>2078</v>
      </c>
      <c r="DB495" s="249" t="s">
        <v>2078</v>
      </c>
    </row>
    <row r="496" spans="44:106" ht="15" customHeight="1" x14ac:dyDescent="0.2">
      <c r="AR496" s="252"/>
      <c r="AS496" s="252"/>
      <c r="AT496" s="249" t="s">
        <v>2078</v>
      </c>
      <c r="AU496" s="247"/>
      <c r="AX496" s="249" t="s">
        <v>2088</v>
      </c>
      <c r="BB496" s="249" t="s">
        <v>2078</v>
      </c>
      <c r="BF496" s="249" t="s">
        <v>2078</v>
      </c>
      <c r="BH496" s="252"/>
      <c r="BI496" s="252"/>
      <c r="BJ496" s="249" t="s">
        <v>2078</v>
      </c>
      <c r="BK496" s="247"/>
      <c r="BN496" s="249" t="s">
        <v>2088</v>
      </c>
      <c r="BR496" s="249" t="s">
        <v>2078</v>
      </c>
      <c r="BV496" s="249" t="s">
        <v>2078</v>
      </c>
      <c r="BX496" s="252"/>
      <c r="BY496" s="252"/>
      <c r="BZ496" s="249" t="s">
        <v>2078</v>
      </c>
      <c r="CA496" s="247"/>
      <c r="CD496" s="249" t="s">
        <v>2088</v>
      </c>
      <c r="CH496" s="249" t="s">
        <v>2078</v>
      </c>
      <c r="CL496" s="249" t="s">
        <v>2078</v>
      </c>
      <c r="CN496" s="252"/>
      <c r="CO496" s="252"/>
      <c r="CP496" s="249" t="s">
        <v>2078</v>
      </c>
      <c r="CQ496" s="247"/>
      <c r="CT496" s="249" t="s">
        <v>2088</v>
      </c>
      <c r="CX496" s="249" t="s">
        <v>2078</v>
      </c>
      <c r="DB496" s="249" t="s">
        <v>2078</v>
      </c>
    </row>
    <row r="497" spans="44:106" ht="15" customHeight="1" x14ac:dyDescent="0.2">
      <c r="AR497" s="252"/>
      <c r="AS497" s="252"/>
      <c r="AT497" s="249" t="s">
        <v>2078</v>
      </c>
      <c r="AU497" s="247"/>
      <c r="AX497" s="249" t="s">
        <v>2088</v>
      </c>
      <c r="BB497" s="249" t="s">
        <v>2078</v>
      </c>
      <c r="BF497" s="249" t="s">
        <v>2078</v>
      </c>
      <c r="BH497" s="252"/>
      <c r="BI497" s="252"/>
      <c r="BJ497" s="249" t="s">
        <v>2078</v>
      </c>
      <c r="BK497" s="247"/>
      <c r="BN497" s="249" t="s">
        <v>2088</v>
      </c>
      <c r="BR497" s="249" t="s">
        <v>2078</v>
      </c>
      <c r="BV497" s="249" t="s">
        <v>2078</v>
      </c>
      <c r="BX497" s="252"/>
      <c r="BY497" s="252"/>
      <c r="BZ497" s="249" t="s">
        <v>2078</v>
      </c>
      <c r="CA497" s="247"/>
      <c r="CD497" s="249" t="s">
        <v>2088</v>
      </c>
      <c r="CH497" s="249" t="s">
        <v>2078</v>
      </c>
      <c r="CL497" s="249" t="s">
        <v>2078</v>
      </c>
      <c r="CN497" s="252"/>
      <c r="CO497" s="252"/>
      <c r="CP497" s="249" t="s">
        <v>2078</v>
      </c>
      <c r="CQ497" s="247"/>
      <c r="CT497" s="249" t="s">
        <v>2088</v>
      </c>
      <c r="CX497" s="249" t="s">
        <v>2078</v>
      </c>
      <c r="DB497" s="249" t="s">
        <v>2078</v>
      </c>
    </row>
    <row r="498" spans="44:106" ht="15" customHeight="1" x14ac:dyDescent="0.2">
      <c r="AR498" s="252"/>
      <c r="AS498" s="252"/>
      <c r="AT498" s="249" t="s">
        <v>2078</v>
      </c>
      <c r="AU498" s="247"/>
      <c r="AX498" s="249" t="s">
        <v>2088</v>
      </c>
      <c r="BB498" s="249" t="s">
        <v>2078</v>
      </c>
      <c r="BF498" s="249" t="s">
        <v>2078</v>
      </c>
      <c r="BH498" s="252"/>
      <c r="BI498" s="252"/>
      <c r="BJ498" s="249" t="s">
        <v>2078</v>
      </c>
      <c r="BK498" s="247"/>
      <c r="BN498" s="249" t="s">
        <v>2088</v>
      </c>
      <c r="BR498" s="249" t="s">
        <v>2078</v>
      </c>
      <c r="BV498" s="249" t="s">
        <v>2078</v>
      </c>
      <c r="BX498" s="252"/>
      <c r="BY498" s="252"/>
      <c r="BZ498" s="249" t="s">
        <v>2078</v>
      </c>
      <c r="CA498" s="247"/>
      <c r="CD498" s="249" t="s">
        <v>2088</v>
      </c>
      <c r="CH498" s="249" t="s">
        <v>2078</v>
      </c>
      <c r="CL498" s="249" t="s">
        <v>2078</v>
      </c>
      <c r="CN498" s="252"/>
      <c r="CO498" s="252"/>
      <c r="CP498" s="249" t="s">
        <v>2078</v>
      </c>
      <c r="CQ498" s="247"/>
      <c r="CT498" s="249" t="s">
        <v>2088</v>
      </c>
      <c r="CX498" s="249" t="s">
        <v>2078</v>
      </c>
      <c r="DB498" s="249" t="s">
        <v>2078</v>
      </c>
    </row>
    <row r="499" spans="44:106" ht="15" customHeight="1" x14ac:dyDescent="0.2">
      <c r="AR499" s="252"/>
      <c r="AS499" s="252"/>
      <c r="AT499" s="249" t="s">
        <v>2078</v>
      </c>
      <c r="AU499" s="247"/>
      <c r="AX499" s="249" t="s">
        <v>2088</v>
      </c>
      <c r="BB499" s="249" t="s">
        <v>2078</v>
      </c>
      <c r="BF499" s="249" t="s">
        <v>2078</v>
      </c>
      <c r="BH499" s="252"/>
      <c r="BI499" s="252"/>
      <c r="BJ499" s="249" t="s">
        <v>2078</v>
      </c>
      <c r="BK499" s="247"/>
      <c r="BN499" s="249" t="s">
        <v>2088</v>
      </c>
      <c r="BR499" s="249" t="s">
        <v>2078</v>
      </c>
      <c r="BV499" s="249" t="s">
        <v>2078</v>
      </c>
      <c r="BX499" s="252"/>
      <c r="BY499" s="252"/>
      <c r="BZ499" s="249" t="s">
        <v>2078</v>
      </c>
      <c r="CA499" s="247"/>
      <c r="CD499" s="249" t="s">
        <v>2088</v>
      </c>
      <c r="CH499" s="249" t="s">
        <v>2078</v>
      </c>
      <c r="CL499" s="249" t="s">
        <v>2078</v>
      </c>
      <c r="CN499" s="252"/>
      <c r="CO499" s="252"/>
      <c r="CP499" s="249" t="s">
        <v>2078</v>
      </c>
      <c r="CQ499" s="247"/>
      <c r="CT499" s="249" t="s">
        <v>2088</v>
      </c>
      <c r="CX499" s="249" t="s">
        <v>2078</v>
      </c>
      <c r="DB499" s="249" t="s">
        <v>2078</v>
      </c>
    </row>
    <row r="500" spans="44:106" ht="15" customHeight="1" x14ac:dyDescent="0.2">
      <c r="AR500" s="252"/>
      <c r="AS500" s="252"/>
      <c r="AT500" s="249" t="s">
        <v>2078</v>
      </c>
      <c r="AU500" s="247"/>
      <c r="AX500" s="249" t="s">
        <v>2088</v>
      </c>
      <c r="BB500" s="249" t="s">
        <v>2078</v>
      </c>
      <c r="BF500" s="249" t="s">
        <v>2078</v>
      </c>
      <c r="BH500" s="252"/>
      <c r="BI500" s="252"/>
      <c r="BJ500" s="249" t="s">
        <v>2078</v>
      </c>
      <c r="BK500" s="247"/>
      <c r="BN500" s="249" t="s">
        <v>2088</v>
      </c>
      <c r="BR500" s="249" t="s">
        <v>2078</v>
      </c>
      <c r="BV500" s="249" t="s">
        <v>2078</v>
      </c>
      <c r="BX500" s="252"/>
      <c r="BY500" s="252"/>
      <c r="BZ500" s="249" t="s">
        <v>2078</v>
      </c>
      <c r="CA500" s="247"/>
      <c r="CD500" s="249" t="s">
        <v>2088</v>
      </c>
      <c r="CH500" s="249" t="s">
        <v>2078</v>
      </c>
      <c r="CL500" s="249" t="s">
        <v>2078</v>
      </c>
      <c r="CN500" s="252"/>
      <c r="CO500" s="252"/>
      <c r="CP500" s="249" t="s">
        <v>2078</v>
      </c>
      <c r="CQ500" s="247"/>
      <c r="CT500" s="249" t="s">
        <v>2088</v>
      </c>
      <c r="CX500" s="249" t="s">
        <v>2078</v>
      </c>
      <c r="DB500" s="249" t="s">
        <v>2078</v>
      </c>
    </row>
    <row r="501" spans="44:106" ht="15" customHeight="1" x14ac:dyDescent="0.2">
      <c r="AR501" s="252"/>
      <c r="AS501" s="252"/>
      <c r="AT501" s="249" t="s">
        <v>2078</v>
      </c>
      <c r="AU501" s="247"/>
      <c r="AX501" s="249" t="s">
        <v>2088</v>
      </c>
      <c r="BB501" s="249" t="s">
        <v>2078</v>
      </c>
      <c r="BF501" s="249" t="s">
        <v>2078</v>
      </c>
      <c r="BH501" s="252"/>
      <c r="BI501" s="252"/>
      <c r="BJ501" s="249" t="s">
        <v>2078</v>
      </c>
      <c r="BK501" s="247"/>
      <c r="BN501" s="249" t="s">
        <v>2088</v>
      </c>
      <c r="BR501" s="249" t="s">
        <v>2078</v>
      </c>
      <c r="BV501" s="249" t="s">
        <v>2078</v>
      </c>
      <c r="BX501" s="252"/>
      <c r="BY501" s="252"/>
      <c r="BZ501" s="249" t="s">
        <v>2078</v>
      </c>
      <c r="CA501" s="247"/>
      <c r="CD501" s="249" t="s">
        <v>2088</v>
      </c>
      <c r="CH501" s="249" t="s">
        <v>2078</v>
      </c>
      <c r="CL501" s="249" t="s">
        <v>2078</v>
      </c>
      <c r="CN501" s="252"/>
      <c r="CO501" s="252"/>
      <c r="CP501" s="249" t="s">
        <v>2078</v>
      </c>
      <c r="CQ501" s="247"/>
      <c r="CT501" s="249" t="s">
        <v>2088</v>
      </c>
      <c r="CX501" s="249" t="s">
        <v>2078</v>
      </c>
      <c r="DB501" s="249" t="s">
        <v>2078</v>
      </c>
    </row>
    <row r="502" spans="44:106" ht="15" customHeight="1" x14ac:dyDescent="0.2">
      <c r="AR502" s="252"/>
      <c r="AS502" s="252"/>
      <c r="AT502" s="249" t="s">
        <v>2078</v>
      </c>
      <c r="AU502" s="247"/>
      <c r="AX502" s="249" t="s">
        <v>2088</v>
      </c>
      <c r="BB502" s="249" t="s">
        <v>2078</v>
      </c>
      <c r="BF502" s="249" t="s">
        <v>2078</v>
      </c>
      <c r="BH502" s="252"/>
      <c r="BI502" s="252"/>
      <c r="BJ502" s="249" t="s">
        <v>2078</v>
      </c>
      <c r="BK502" s="247"/>
      <c r="BN502" s="249" t="s">
        <v>2088</v>
      </c>
      <c r="BR502" s="249" t="s">
        <v>2078</v>
      </c>
      <c r="BV502" s="249" t="s">
        <v>2078</v>
      </c>
      <c r="BX502" s="252"/>
      <c r="BY502" s="252"/>
      <c r="BZ502" s="249" t="s">
        <v>2078</v>
      </c>
      <c r="CA502" s="247"/>
      <c r="CD502" s="249" t="s">
        <v>2088</v>
      </c>
      <c r="CH502" s="249" t="s">
        <v>2078</v>
      </c>
      <c r="CL502" s="249" t="s">
        <v>2078</v>
      </c>
      <c r="CN502" s="252"/>
      <c r="CO502" s="252"/>
      <c r="CP502" s="249" t="s">
        <v>2078</v>
      </c>
      <c r="CQ502" s="247"/>
      <c r="CT502" s="249" t="s">
        <v>2088</v>
      </c>
      <c r="CX502" s="249" t="s">
        <v>2078</v>
      </c>
      <c r="DB502" s="249" t="s">
        <v>2078</v>
      </c>
    </row>
    <row r="503" spans="44:106" ht="15" customHeight="1" x14ac:dyDescent="0.2">
      <c r="AR503" s="252"/>
      <c r="AS503" s="252"/>
      <c r="AT503" s="249" t="s">
        <v>2078</v>
      </c>
      <c r="AU503" s="247"/>
      <c r="AX503" s="249" t="s">
        <v>2088</v>
      </c>
      <c r="BB503" s="249" t="s">
        <v>2078</v>
      </c>
      <c r="BF503" s="249" t="s">
        <v>2078</v>
      </c>
      <c r="BH503" s="252"/>
      <c r="BI503" s="252"/>
      <c r="BJ503" s="249" t="s">
        <v>2078</v>
      </c>
      <c r="BK503" s="247"/>
      <c r="BN503" s="249" t="s">
        <v>2088</v>
      </c>
      <c r="BR503" s="249" t="s">
        <v>2078</v>
      </c>
      <c r="BV503" s="249" t="s">
        <v>2078</v>
      </c>
      <c r="BX503" s="252"/>
      <c r="BY503" s="252"/>
      <c r="BZ503" s="249" t="s">
        <v>2078</v>
      </c>
      <c r="CA503" s="247"/>
      <c r="CD503" s="249" t="s">
        <v>2088</v>
      </c>
      <c r="CH503" s="249" t="s">
        <v>2078</v>
      </c>
      <c r="CL503" s="249" t="s">
        <v>2078</v>
      </c>
      <c r="CN503" s="252"/>
      <c r="CO503" s="252"/>
      <c r="CP503" s="249" t="s">
        <v>2078</v>
      </c>
      <c r="CQ503" s="247"/>
      <c r="CT503" s="249" t="s">
        <v>2088</v>
      </c>
      <c r="CX503" s="249" t="s">
        <v>2078</v>
      </c>
      <c r="DB503" s="249" t="s">
        <v>2078</v>
      </c>
    </row>
    <row r="504" spans="44:106" ht="15" customHeight="1" x14ac:dyDescent="0.2">
      <c r="AR504" s="252"/>
      <c r="AS504" s="252"/>
      <c r="AT504" s="249" t="s">
        <v>2078</v>
      </c>
      <c r="AU504" s="247"/>
      <c r="AX504" s="249" t="s">
        <v>2088</v>
      </c>
      <c r="BB504" s="249" t="s">
        <v>2078</v>
      </c>
      <c r="BF504" s="249" t="s">
        <v>2078</v>
      </c>
      <c r="BH504" s="252"/>
      <c r="BI504" s="252"/>
      <c r="BJ504" s="249" t="s">
        <v>2078</v>
      </c>
      <c r="BK504" s="247"/>
      <c r="BN504" s="249" t="s">
        <v>2088</v>
      </c>
      <c r="BR504" s="249" t="s">
        <v>2078</v>
      </c>
      <c r="BV504" s="249" t="s">
        <v>2078</v>
      </c>
      <c r="BX504" s="252"/>
      <c r="BY504" s="252"/>
      <c r="BZ504" s="249" t="s">
        <v>2078</v>
      </c>
      <c r="CA504" s="247"/>
      <c r="CD504" s="249" t="s">
        <v>2088</v>
      </c>
      <c r="CH504" s="249" t="s">
        <v>2078</v>
      </c>
      <c r="CL504" s="249" t="s">
        <v>2078</v>
      </c>
      <c r="CN504" s="252"/>
      <c r="CO504" s="252"/>
      <c r="CP504" s="249" t="s">
        <v>2078</v>
      </c>
      <c r="CQ504" s="247"/>
      <c r="CT504" s="249" t="s">
        <v>2088</v>
      </c>
      <c r="CX504" s="249" t="s">
        <v>2078</v>
      </c>
      <c r="DB504" s="249" t="s">
        <v>2078</v>
      </c>
    </row>
    <row r="505" spans="44:106" ht="15" customHeight="1" x14ac:dyDescent="0.2">
      <c r="AR505" s="252"/>
      <c r="AS505" s="252"/>
      <c r="AT505" s="249" t="s">
        <v>2078</v>
      </c>
      <c r="AU505" s="247"/>
      <c r="AX505" s="249" t="s">
        <v>2088</v>
      </c>
      <c r="BB505" s="249" t="s">
        <v>2078</v>
      </c>
      <c r="BF505" s="249" t="s">
        <v>2078</v>
      </c>
      <c r="BH505" s="252"/>
      <c r="BI505" s="252"/>
      <c r="BJ505" s="249" t="s">
        <v>2078</v>
      </c>
      <c r="BK505" s="247"/>
      <c r="BN505" s="249" t="s">
        <v>2088</v>
      </c>
      <c r="BR505" s="249" t="s">
        <v>2078</v>
      </c>
      <c r="BV505" s="249" t="s">
        <v>2078</v>
      </c>
      <c r="BX505" s="252"/>
      <c r="BY505" s="252"/>
      <c r="BZ505" s="249" t="s">
        <v>2078</v>
      </c>
      <c r="CA505" s="247"/>
      <c r="CD505" s="249" t="s">
        <v>2088</v>
      </c>
      <c r="CH505" s="249" t="s">
        <v>2078</v>
      </c>
      <c r="CL505" s="249" t="s">
        <v>2078</v>
      </c>
      <c r="CN505" s="252"/>
      <c r="CO505" s="252"/>
      <c r="CP505" s="249" t="s">
        <v>2078</v>
      </c>
      <c r="CQ505" s="247"/>
      <c r="CT505" s="249" t="s">
        <v>2088</v>
      </c>
      <c r="CX505" s="249" t="s">
        <v>2078</v>
      </c>
      <c r="DB505" s="249" t="s">
        <v>2078</v>
      </c>
    </row>
    <row r="506" spans="44:106" ht="15" customHeight="1" x14ac:dyDescent="0.2">
      <c r="AR506" s="252"/>
      <c r="AS506" s="252"/>
      <c r="AT506" s="249" t="s">
        <v>2078</v>
      </c>
      <c r="AU506" s="247"/>
      <c r="AX506" s="249" t="s">
        <v>2088</v>
      </c>
      <c r="BB506" s="249" t="s">
        <v>2078</v>
      </c>
      <c r="BF506" s="249" t="s">
        <v>2078</v>
      </c>
      <c r="BH506" s="252"/>
      <c r="BI506" s="252"/>
      <c r="BJ506" s="249" t="s">
        <v>2078</v>
      </c>
      <c r="BK506" s="247"/>
      <c r="BN506" s="249" t="s">
        <v>2088</v>
      </c>
      <c r="BR506" s="249" t="s">
        <v>2078</v>
      </c>
      <c r="BV506" s="249" t="s">
        <v>2078</v>
      </c>
      <c r="BX506" s="252"/>
      <c r="BY506" s="252"/>
      <c r="BZ506" s="249" t="s">
        <v>2078</v>
      </c>
      <c r="CA506" s="247"/>
      <c r="CD506" s="249" t="s">
        <v>2088</v>
      </c>
      <c r="CH506" s="249" t="s">
        <v>2078</v>
      </c>
      <c r="CL506" s="249" t="s">
        <v>2078</v>
      </c>
      <c r="CN506" s="252"/>
      <c r="CO506" s="252"/>
      <c r="CP506" s="249" t="s">
        <v>2078</v>
      </c>
      <c r="CQ506" s="247"/>
      <c r="CT506" s="249" t="s">
        <v>2088</v>
      </c>
      <c r="CX506" s="249" t="s">
        <v>2078</v>
      </c>
      <c r="DB506" s="249" t="s">
        <v>2078</v>
      </c>
    </row>
    <row r="507" spans="44:106" ht="15" customHeight="1" x14ac:dyDescent="0.2">
      <c r="AR507" s="252"/>
      <c r="AS507" s="252"/>
      <c r="AT507" s="249" t="s">
        <v>2078</v>
      </c>
      <c r="AU507" s="247"/>
      <c r="AX507" s="249" t="s">
        <v>2088</v>
      </c>
      <c r="BB507" s="249" t="s">
        <v>2078</v>
      </c>
      <c r="BF507" s="249" t="s">
        <v>2078</v>
      </c>
      <c r="BH507" s="252"/>
      <c r="BI507" s="252"/>
      <c r="BJ507" s="249" t="s">
        <v>2078</v>
      </c>
      <c r="BK507" s="247"/>
      <c r="BN507" s="249" t="s">
        <v>2088</v>
      </c>
      <c r="BR507" s="249" t="s">
        <v>2078</v>
      </c>
      <c r="BV507" s="249" t="s">
        <v>2078</v>
      </c>
      <c r="BX507" s="252"/>
      <c r="BY507" s="252"/>
      <c r="BZ507" s="249" t="s">
        <v>2078</v>
      </c>
      <c r="CA507" s="247"/>
      <c r="CD507" s="249" t="s">
        <v>2088</v>
      </c>
      <c r="CH507" s="249" t="s">
        <v>2078</v>
      </c>
      <c r="CL507" s="249" t="s">
        <v>2078</v>
      </c>
      <c r="CN507" s="252"/>
      <c r="CO507" s="252"/>
      <c r="CP507" s="249" t="s">
        <v>2078</v>
      </c>
      <c r="CQ507" s="247"/>
      <c r="CT507" s="249" t="s">
        <v>2088</v>
      </c>
      <c r="CX507" s="249" t="s">
        <v>2078</v>
      </c>
      <c r="DB507" s="249" t="s">
        <v>2078</v>
      </c>
    </row>
    <row r="508" spans="44:106" ht="15" customHeight="1" x14ac:dyDescent="0.2">
      <c r="AR508" s="252"/>
      <c r="AS508" s="252"/>
      <c r="AT508" s="249" t="s">
        <v>2078</v>
      </c>
      <c r="AU508" s="247"/>
      <c r="AX508" s="249" t="s">
        <v>2088</v>
      </c>
      <c r="BB508" s="249" t="s">
        <v>2078</v>
      </c>
      <c r="BF508" s="249" t="s">
        <v>2078</v>
      </c>
      <c r="BH508" s="252"/>
      <c r="BI508" s="252"/>
      <c r="BJ508" s="249" t="s">
        <v>2078</v>
      </c>
      <c r="BK508" s="247"/>
      <c r="BN508" s="249" t="s">
        <v>2088</v>
      </c>
      <c r="BR508" s="249" t="s">
        <v>2078</v>
      </c>
      <c r="BV508" s="249" t="s">
        <v>2078</v>
      </c>
      <c r="BX508" s="252"/>
      <c r="BY508" s="252"/>
      <c r="BZ508" s="249" t="s">
        <v>2078</v>
      </c>
      <c r="CA508" s="247"/>
      <c r="CD508" s="249" t="s">
        <v>2088</v>
      </c>
      <c r="CH508" s="249" t="s">
        <v>2078</v>
      </c>
      <c r="CL508" s="249" t="s">
        <v>2078</v>
      </c>
      <c r="CN508" s="252"/>
      <c r="CO508" s="252"/>
      <c r="CP508" s="249" t="s">
        <v>2078</v>
      </c>
      <c r="CQ508" s="247"/>
      <c r="CT508" s="249" t="s">
        <v>2088</v>
      </c>
      <c r="CX508" s="249" t="s">
        <v>2078</v>
      </c>
      <c r="DB508" s="249" t="s">
        <v>2078</v>
      </c>
    </row>
    <row r="509" spans="44:106" ht="15" customHeight="1" x14ac:dyDescent="0.2">
      <c r="AR509" s="252"/>
      <c r="AS509" s="252"/>
      <c r="AT509" s="249" t="s">
        <v>2078</v>
      </c>
      <c r="AU509" s="247"/>
      <c r="AX509" s="249" t="s">
        <v>2088</v>
      </c>
      <c r="BB509" s="249" t="s">
        <v>2078</v>
      </c>
      <c r="BF509" s="249" t="s">
        <v>2078</v>
      </c>
      <c r="BH509" s="252"/>
      <c r="BI509" s="252"/>
      <c r="BJ509" s="249" t="s">
        <v>2078</v>
      </c>
      <c r="BK509" s="247"/>
      <c r="BN509" s="249" t="s">
        <v>2088</v>
      </c>
      <c r="BR509" s="249" t="s">
        <v>2078</v>
      </c>
      <c r="BV509" s="249" t="s">
        <v>2078</v>
      </c>
      <c r="BX509" s="252"/>
      <c r="BY509" s="252"/>
      <c r="BZ509" s="249" t="s">
        <v>2078</v>
      </c>
      <c r="CA509" s="247"/>
      <c r="CD509" s="249" t="s">
        <v>2088</v>
      </c>
      <c r="CH509" s="249" t="s">
        <v>2078</v>
      </c>
      <c r="CL509" s="249" t="s">
        <v>2078</v>
      </c>
      <c r="CN509" s="252"/>
      <c r="CO509" s="252"/>
      <c r="CP509" s="249" t="s">
        <v>2078</v>
      </c>
      <c r="CQ509" s="247"/>
      <c r="CT509" s="249" t="s">
        <v>2088</v>
      </c>
      <c r="CX509" s="249" t="s">
        <v>2078</v>
      </c>
      <c r="DB509" s="249" t="s">
        <v>2078</v>
      </c>
    </row>
    <row r="510" spans="44:106" ht="15" customHeight="1" x14ac:dyDescent="0.2">
      <c r="AR510" s="252"/>
      <c r="AS510" s="252"/>
      <c r="AT510" s="249" t="s">
        <v>2078</v>
      </c>
      <c r="AU510" s="247"/>
      <c r="AX510" s="249" t="s">
        <v>2088</v>
      </c>
      <c r="BB510" s="249" t="s">
        <v>2078</v>
      </c>
      <c r="BF510" s="249" t="s">
        <v>2078</v>
      </c>
      <c r="BH510" s="252"/>
      <c r="BI510" s="252"/>
      <c r="BJ510" s="249" t="s">
        <v>2078</v>
      </c>
      <c r="BK510" s="247"/>
      <c r="BN510" s="249" t="s">
        <v>2088</v>
      </c>
      <c r="BR510" s="249" t="s">
        <v>2078</v>
      </c>
      <c r="BV510" s="249" t="s">
        <v>2078</v>
      </c>
      <c r="BX510" s="252"/>
      <c r="BY510" s="252"/>
      <c r="BZ510" s="249" t="s">
        <v>2078</v>
      </c>
      <c r="CA510" s="247"/>
      <c r="CD510" s="249" t="s">
        <v>2088</v>
      </c>
      <c r="CH510" s="249" t="s">
        <v>2078</v>
      </c>
      <c r="CL510" s="249" t="s">
        <v>2078</v>
      </c>
      <c r="CN510" s="252"/>
      <c r="CO510" s="252"/>
      <c r="CP510" s="249" t="s">
        <v>2078</v>
      </c>
      <c r="CQ510" s="247"/>
      <c r="CT510" s="249" t="s">
        <v>2088</v>
      </c>
      <c r="CX510" s="249" t="s">
        <v>2078</v>
      </c>
      <c r="DB510" s="249" t="s">
        <v>2078</v>
      </c>
    </row>
    <row r="511" spans="44:106" ht="15" customHeight="1" x14ac:dyDescent="0.2">
      <c r="AR511" s="252"/>
      <c r="AS511" s="252"/>
      <c r="AT511" s="249" t="s">
        <v>2078</v>
      </c>
      <c r="AU511" s="247"/>
      <c r="AX511" s="249" t="s">
        <v>2088</v>
      </c>
      <c r="BB511" s="249" t="s">
        <v>2078</v>
      </c>
      <c r="BF511" s="249" t="s">
        <v>2078</v>
      </c>
      <c r="BH511" s="252"/>
      <c r="BI511" s="252"/>
      <c r="BJ511" s="249" t="s">
        <v>2078</v>
      </c>
      <c r="BK511" s="247"/>
      <c r="BN511" s="249" t="s">
        <v>2088</v>
      </c>
      <c r="BR511" s="249" t="s">
        <v>2078</v>
      </c>
      <c r="BV511" s="249" t="s">
        <v>2078</v>
      </c>
      <c r="BX511" s="252"/>
      <c r="BY511" s="252"/>
      <c r="BZ511" s="249" t="s">
        <v>2078</v>
      </c>
      <c r="CA511" s="247"/>
      <c r="CD511" s="249" t="s">
        <v>2088</v>
      </c>
      <c r="CH511" s="249" t="s">
        <v>2078</v>
      </c>
      <c r="CL511" s="249" t="s">
        <v>2078</v>
      </c>
      <c r="CN511" s="252"/>
      <c r="CO511" s="252"/>
      <c r="CP511" s="249" t="s">
        <v>2078</v>
      </c>
      <c r="CQ511" s="247"/>
      <c r="CT511" s="249" t="s">
        <v>2088</v>
      </c>
      <c r="CX511" s="249" t="s">
        <v>2078</v>
      </c>
      <c r="DB511" s="249" t="s">
        <v>2078</v>
      </c>
    </row>
    <row r="512" spans="44:106" ht="15" customHeight="1" x14ac:dyDescent="0.2">
      <c r="AR512" s="252"/>
      <c r="AS512" s="252"/>
      <c r="AT512" s="249" t="s">
        <v>2078</v>
      </c>
      <c r="AU512" s="247"/>
      <c r="AX512" s="249" t="s">
        <v>2088</v>
      </c>
      <c r="BB512" s="249" t="s">
        <v>2078</v>
      </c>
      <c r="BF512" s="249" t="s">
        <v>2078</v>
      </c>
      <c r="BH512" s="252"/>
      <c r="BI512" s="252"/>
      <c r="BJ512" s="249" t="s">
        <v>2078</v>
      </c>
      <c r="BK512" s="247"/>
      <c r="BN512" s="249" t="s">
        <v>2088</v>
      </c>
      <c r="BR512" s="249" t="s">
        <v>2078</v>
      </c>
      <c r="BV512" s="249" t="s">
        <v>2078</v>
      </c>
      <c r="BX512" s="252"/>
      <c r="BY512" s="252"/>
      <c r="BZ512" s="249" t="s">
        <v>2078</v>
      </c>
      <c r="CA512" s="247"/>
      <c r="CD512" s="249" t="s">
        <v>2088</v>
      </c>
      <c r="CH512" s="249" t="s">
        <v>2078</v>
      </c>
      <c r="CL512" s="249" t="s">
        <v>2078</v>
      </c>
      <c r="CN512" s="252"/>
      <c r="CO512" s="252"/>
      <c r="CP512" s="249" t="s">
        <v>2078</v>
      </c>
      <c r="CQ512" s="247"/>
      <c r="CT512" s="249" t="s">
        <v>2088</v>
      </c>
      <c r="CX512" s="249" t="s">
        <v>2078</v>
      </c>
      <c r="DB512" s="249" t="s">
        <v>2078</v>
      </c>
    </row>
    <row r="513" spans="44:106" ht="15" customHeight="1" x14ac:dyDescent="0.2">
      <c r="AR513" s="252"/>
      <c r="AS513" s="252"/>
      <c r="AT513" s="249" t="s">
        <v>2078</v>
      </c>
      <c r="AU513" s="247"/>
      <c r="AX513" s="249" t="s">
        <v>2088</v>
      </c>
      <c r="BB513" s="249" t="s">
        <v>2078</v>
      </c>
      <c r="BF513" s="249" t="s">
        <v>2078</v>
      </c>
      <c r="BH513" s="252"/>
      <c r="BI513" s="252"/>
      <c r="BJ513" s="249" t="s">
        <v>2078</v>
      </c>
      <c r="BK513" s="247"/>
      <c r="BN513" s="249" t="s">
        <v>2088</v>
      </c>
      <c r="BR513" s="249" t="s">
        <v>2078</v>
      </c>
      <c r="BV513" s="249" t="s">
        <v>2078</v>
      </c>
      <c r="BX513" s="252"/>
      <c r="BY513" s="252"/>
      <c r="BZ513" s="249" t="s">
        <v>2078</v>
      </c>
      <c r="CA513" s="247"/>
      <c r="CD513" s="249" t="s">
        <v>2088</v>
      </c>
      <c r="CH513" s="249" t="s">
        <v>2078</v>
      </c>
      <c r="CL513" s="249" t="s">
        <v>2078</v>
      </c>
      <c r="CN513" s="252"/>
      <c r="CO513" s="252"/>
      <c r="CP513" s="249" t="s">
        <v>2078</v>
      </c>
      <c r="CQ513" s="247"/>
      <c r="CT513" s="249" t="s">
        <v>2088</v>
      </c>
      <c r="CX513" s="249" t="s">
        <v>2078</v>
      </c>
      <c r="DB513" s="249" t="s">
        <v>2078</v>
      </c>
    </row>
    <row r="514" spans="44:106" ht="15" customHeight="1" x14ac:dyDescent="0.2">
      <c r="AR514" s="252"/>
      <c r="AS514" s="252"/>
      <c r="AT514" s="249" t="s">
        <v>2078</v>
      </c>
      <c r="AU514" s="247"/>
      <c r="AX514" s="249" t="s">
        <v>2088</v>
      </c>
      <c r="BB514" s="249" t="s">
        <v>2078</v>
      </c>
      <c r="BF514" s="249" t="s">
        <v>2078</v>
      </c>
      <c r="BH514" s="252"/>
      <c r="BI514" s="252"/>
      <c r="BJ514" s="249" t="s">
        <v>2078</v>
      </c>
      <c r="BK514" s="247"/>
      <c r="BN514" s="249" t="s">
        <v>2088</v>
      </c>
      <c r="BR514" s="249" t="s">
        <v>2078</v>
      </c>
      <c r="BV514" s="249" t="s">
        <v>2078</v>
      </c>
      <c r="BX514" s="252"/>
      <c r="BY514" s="252"/>
      <c r="BZ514" s="249" t="s">
        <v>2078</v>
      </c>
      <c r="CA514" s="247"/>
      <c r="CD514" s="249" t="s">
        <v>2088</v>
      </c>
      <c r="CH514" s="249" t="s">
        <v>2078</v>
      </c>
      <c r="CL514" s="249" t="s">
        <v>2078</v>
      </c>
      <c r="CN514" s="252"/>
      <c r="CO514" s="252"/>
      <c r="CP514" s="249" t="s">
        <v>2078</v>
      </c>
      <c r="CQ514" s="247"/>
      <c r="CT514" s="249" t="s">
        <v>2088</v>
      </c>
      <c r="CX514" s="249" t="s">
        <v>2078</v>
      </c>
      <c r="DB514" s="249" t="s">
        <v>2078</v>
      </c>
    </row>
    <row r="515" spans="44:106" ht="15" customHeight="1" x14ac:dyDescent="0.2">
      <c r="AR515" s="252"/>
      <c r="AS515" s="252"/>
      <c r="AT515" s="249" t="s">
        <v>2078</v>
      </c>
      <c r="AU515" s="247"/>
      <c r="AX515" s="249" t="s">
        <v>2088</v>
      </c>
      <c r="BB515" s="249" t="s">
        <v>2078</v>
      </c>
      <c r="BF515" s="249" t="s">
        <v>2078</v>
      </c>
      <c r="BH515" s="252"/>
      <c r="BI515" s="252"/>
      <c r="BJ515" s="249" t="s">
        <v>2078</v>
      </c>
      <c r="BK515" s="247"/>
      <c r="BN515" s="249" t="s">
        <v>2088</v>
      </c>
      <c r="BR515" s="249" t="s">
        <v>2078</v>
      </c>
      <c r="BV515" s="249" t="s">
        <v>2078</v>
      </c>
      <c r="BX515" s="252"/>
      <c r="BY515" s="252"/>
      <c r="BZ515" s="249" t="s">
        <v>2078</v>
      </c>
      <c r="CA515" s="247"/>
      <c r="CD515" s="249" t="s">
        <v>2088</v>
      </c>
      <c r="CH515" s="249" t="s">
        <v>2078</v>
      </c>
      <c r="CL515" s="249" t="s">
        <v>2078</v>
      </c>
      <c r="CN515" s="252"/>
      <c r="CO515" s="252"/>
      <c r="CP515" s="249" t="s">
        <v>2078</v>
      </c>
      <c r="CQ515" s="247"/>
      <c r="CT515" s="249" t="s">
        <v>2088</v>
      </c>
      <c r="CX515" s="249" t="s">
        <v>2078</v>
      </c>
      <c r="DB515" s="249" t="s">
        <v>2078</v>
      </c>
    </row>
    <row r="516" spans="44:106" ht="15" customHeight="1" x14ac:dyDescent="0.2">
      <c r="AR516" s="252"/>
      <c r="AS516" s="252"/>
      <c r="AT516" s="249" t="s">
        <v>2078</v>
      </c>
      <c r="AU516" s="247"/>
      <c r="AX516" s="249" t="s">
        <v>2088</v>
      </c>
      <c r="BB516" s="249" t="s">
        <v>2078</v>
      </c>
      <c r="BF516" s="249" t="s">
        <v>2078</v>
      </c>
      <c r="BH516" s="252"/>
      <c r="BI516" s="252"/>
      <c r="BJ516" s="249" t="s">
        <v>2078</v>
      </c>
      <c r="BK516" s="247"/>
      <c r="BN516" s="249" t="s">
        <v>2088</v>
      </c>
      <c r="BR516" s="249" t="s">
        <v>2078</v>
      </c>
      <c r="BV516" s="249" t="s">
        <v>2078</v>
      </c>
      <c r="BX516" s="252"/>
      <c r="BY516" s="252"/>
      <c r="BZ516" s="249" t="s">
        <v>2078</v>
      </c>
      <c r="CA516" s="247"/>
      <c r="CD516" s="249" t="s">
        <v>2088</v>
      </c>
      <c r="CH516" s="249" t="s">
        <v>2078</v>
      </c>
      <c r="CL516" s="249" t="s">
        <v>2078</v>
      </c>
      <c r="CN516" s="252"/>
      <c r="CO516" s="252"/>
      <c r="CP516" s="249" t="s">
        <v>2078</v>
      </c>
      <c r="CQ516" s="247"/>
      <c r="CT516" s="249" t="s">
        <v>2088</v>
      </c>
      <c r="CX516" s="249" t="s">
        <v>2078</v>
      </c>
      <c r="DB516" s="249" t="s">
        <v>2078</v>
      </c>
    </row>
    <row r="517" spans="44:106" ht="15" customHeight="1" x14ac:dyDescent="0.2">
      <c r="AR517" s="252"/>
      <c r="AS517" s="252"/>
      <c r="AT517" s="249" t="s">
        <v>2078</v>
      </c>
      <c r="AU517" s="247"/>
      <c r="AX517" s="249" t="s">
        <v>2088</v>
      </c>
      <c r="BB517" s="249" t="s">
        <v>2078</v>
      </c>
      <c r="BF517" s="249" t="s">
        <v>2078</v>
      </c>
      <c r="BH517" s="252"/>
      <c r="BI517" s="252"/>
      <c r="BJ517" s="249" t="s">
        <v>2078</v>
      </c>
      <c r="BK517" s="247"/>
      <c r="BN517" s="249" t="s">
        <v>2088</v>
      </c>
      <c r="BR517" s="249" t="s">
        <v>2078</v>
      </c>
      <c r="BV517" s="249" t="s">
        <v>2078</v>
      </c>
      <c r="BX517" s="252"/>
      <c r="BY517" s="252"/>
      <c r="BZ517" s="249" t="s">
        <v>2078</v>
      </c>
      <c r="CA517" s="247"/>
      <c r="CD517" s="249" t="s">
        <v>2088</v>
      </c>
      <c r="CH517" s="249" t="s">
        <v>2078</v>
      </c>
      <c r="CL517" s="249" t="s">
        <v>2078</v>
      </c>
      <c r="CN517" s="252"/>
      <c r="CO517" s="252"/>
      <c r="CP517" s="249" t="s">
        <v>2078</v>
      </c>
      <c r="CQ517" s="247"/>
      <c r="CT517" s="249" t="s">
        <v>2088</v>
      </c>
      <c r="CX517" s="249" t="s">
        <v>2078</v>
      </c>
      <c r="DB517" s="249" t="s">
        <v>2078</v>
      </c>
    </row>
    <row r="518" spans="44:106" ht="15" customHeight="1" x14ac:dyDescent="0.2">
      <c r="AR518" s="252"/>
      <c r="AS518" s="252"/>
      <c r="AT518" s="249" t="s">
        <v>2078</v>
      </c>
      <c r="AU518" s="247"/>
      <c r="AX518" s="249" t="s">
        <v>2088</v>
      </c>
      <c r="BB518" s="249" t="s">
        <v>2078</v>
      </c>
      <c r="BF518" s="249" t="s">
        <v>2078</v>
      </c>
      <c r="BH518" s="252"/>
      <c r="BI518" s="252"/>
      <c r="BJ518" s="249" t="s">
        <v>2078</v>
      </c>
      <c r="BK518" s="247"/>
      <c r="BN518" s="249" t="s">
        <v>2088</v>
      </c>
      <c r="BR518" s="249" t="s">
        <v>2078</v>
      </c>
      <c r="BV518" s="249" t="s">
        <v>2078</v>
      </c>
      <c r="BX518" s="252"/>
      <c r="BY518" s="252"/>
      <c r="BZ518" s="249" t="s">
        <v>2078</v>
      </c>
      <c r="CA518" s="247"/>
      <c r="CD518" s="249" t="s">
        <v>2088</v>
      </c>
      <c r="CH518" s="249" t="s">
        <v>2078</v>
      </c>
      <c r="CL518" s="249" t="s">
        <v>2078</v>
      </c>
      <c r="CN518" s="252"/>
      <c r="CO518" s="252"/>
      <c r="CP518" s="249" t="s">
        <v>2078</v>
      </c>
      <c r="CQ518" s="247"/>
      <c r="CT518" s="249" t="s">
        <v>2088</v>
      </c>
      <c r="CX518" s="249" t="s">
        <v>2078</v>
      </c>
      <c r="DB518" s="249" t="s">
        <v>2078</v>
      </c>
    </row>
    <row r="519" spans="44:106" ht="15" customHeight="1" x14ac:dyDescent="0.2">
      <c r="AR519" s="252"/>
      <c r="AS519" s="252"/>
      <c r="AT519" s="249" t="s">
        <v>2078</v>
      </c>
      <c r="AU519" s="247"/>
      <c r="AX519" s="249" t="s">
        <v>2088</v>
      </c>
      <c r="BB519" s="249" t="s">
        <v>2078</v>
      </c>
      <c r="BF519" s="249" t="s">
        <v>2078</v>
      </c>
      <c r="BH519" s="252"/>
      <c r="BI519" s="252"/>
      <c r="BJ519" s="249" t="s">
        <v>2078</v>
      </c>
      <c r="BK519" s="247"/>
      <c r="BN519" s="249" t="s">
        <v>2088</v>
      </c>
      <c r="BR519" s="249" t="s">
        <v>2078</v>
      </c>
      <c r="BV519" s="249" t="s">
        <v>2078</v>
      </c>
      <c r="BX519" s="252"/>
      <c r="BY519" s="252"/>
      <c r="BZ519" s="249" t="s">
        <v>2078</v>
      </c>
      <c r="CA519" s="247"/>
      <c r="CD519" s="249" t="s">
        <v>2088</v>
      </c>
      <c r="CH519" s="249" t="s">
        <v>2078</v>
      </c>
      <c r="CL519" s="249" t="s">
        <v>2078</v>
      </c>
      <c r="CN519" s="252"/>
      <c r="CO519" s="252"/>
      <c r="CP519" s="249" t="s">
        <v>2078</v>
      </c>
      <c r="CQ519" s="247"/>
      <c r="CT519" s="249" t="s">
        <v>2088</v>
      </c>
      <c r="CX519" s="249" t="s">
        <v>2078</v>
      </c>
      <c r="DB519" s="249" t="s">
        <v>2078</v>
      </c>
    </row>
    <row r="520" spans="44:106" ht="15" customHeight="1" x14ac:dyDescent="0.2">
      <c r="AR520" s="252"/>
      <c r="AS520" s="252"/>
      <c r="AT520" s="249" t="s">
        <v>2078</v>
      </c>
      <c r="AU520" s="247"/>
      <c r="AX520" s="249" t="s">
        <v>2088</v>
      </c>
      <c r="BB520" s="249" t="s">
        <v>2078</v>
      </c>
      <c r="BF520" s="249" t="s">
        <v>2078</v>
      </c>
      <c r="BH520" s="252"/>
      <c r="BI520" s="252"/>
      <c r="BJ520" s="249" t="s">
        <v>2078</v>
      </c>
      <c r="BK520" s="247"/>
      <c r="BN520" s="249" t="s">
        <v>2088</v>
      </c>
      <c r="BR520" s="249" t="s">
        <v>2078</v>
      </c>
      <c r="BV520" s="249" t="s">
        <v>2078</v>
      </c>
      <c r="BX520" s="252"/>
      <c r="BY520" s="252"/>
      <c r="BZ520" s="249" t="s">
        <v>2078</v>
      </c>
      <c r="CA520" s="247"/>
      <c r="CD520" s="249" t="s">
        <v>2088</v>
      </c>
      <c r="CH520" s="249" t="s">
        <v>2078</v>
      </c>
      <c r="CL520" s="249" t="s">
        <v>2078</v>
      </c>
      <c r="CN520" s="252"/>
      <c r="CO520" s="252"/>
      <c r="CP520" s="249" t="s">
        <v>2078</v>
      </c>
      <c r="CQ520" s="247"/>
      <c r="CT520" s="249" t="s">
        <v>2088</v>
      </c>
      <c r="CX520" s="249" t="s">
        <v>2078</v>
      </c>
      <c r="DB520" s="249" t="s">
        <v>2078</v>
      </c>
    </row>
    <row r="521" spans="44:106" ht="15" customHeight="1" x14ac:dyDescent="0.2">
      <c r="AR521" s="252"/>
      <c r="AS521" s="252"/>
      <c r="AT521" s="249" t="s">
        <v>2078</v>
      </c>
      <c r="AU521" s="247"/>
      <c r="AX521" s="249" t="s">
        <v>2088</v>
      </c>
      <c r="BB521" s="249" t="s">
        <v>2078</v>
      </c>
      <c r="BF521" s="249" t="s">
        <v>2078</v>
      </c>
      <c r="BH521" s="252"/>
      <c r="BI521" s="252"/>
      <c r="BJ521" s="249" t="s">
        <v>2078</v>
      </c>
      <c r="BK521" s="247"/>
      <c r="BN521" s="249" t="s">
        <v>2088</v>
      </c>
      <c r="BR521" s="249" t="s">
        <v>2078</v>
      </c>
      <c r="BV521" s="249" t="s">
        <v>2078</v>
      </c>
      <c r="BX521" s="252"/>
      <c r="BY521" s="252"/>
      <c r="BZ521" s="249" t="s">
        <v>2078</v>
      </c>
      <c r="CA521" s="247"/>
      <c r="CD521" s="249" t="s">
        <v>2088</v>
      </c>
      <c r="CH521" s="249" t="s">
        <v>2078</v>
      </c>
      <c r="CL521" s="249" t="s">
        <v>2078</v>
      </c>
      <c r="CN521" s="252"/>
      <c r="CO521" s="252"/>
      <c r="CP521" s="249" t="s">
        <v>2078</v>
      </c>
      <c r="CQ521" s="247"/>
      <c r="CT521" s="249" t="s">
        <v>2088</v>
      </c>
      <c r="CX521" s="249" t="s">
        <v>2078</v>
      </c>
      <c r="DB521" s="249" t="s">
        <v>2078</v>
      </c>
    </row>
    <row r="522" spans="44:106" ht="15" customHeight="1" x14ac:dyDescent="0.2">
      <c r="AR522" s="252"/>
      <c r="AS522" s="252"/>
      <c r="AT522" s="249" t="s">
        <v>2078</v>
      </c>
      <c r="AU522" s="247"/>
      <c r="AX522" s="249" t="s">
        <v>2088</v>
      </c>
      <c r="BB522" s="249" t="s">
        <v>2078</v>
      </c>
      <c r="BF522" s="249" t="s">
        <v>2078</v>
      </c>
      <c r="BH522" s="252"/>
      <c r="BI522" s="252"/>
      <c r="BJ522" s="249" t="s">
        <v>2078</v>
      </c>
      <c r="BK522" s="247"/>
      <c r="BN522" s="249" t="s">
        <v>2088</v>
      </c>
      <c r="BR522" s="249" t="s">
        <v>2078</v>
      </c>
      <c r="BV522" s="249" t="s">
        <v>2078</v>
      </c>
      <c r="BX522" s="252"/>
      <c r="BY522" s="252"/>
      <c r="BZ522" s="249" t="s">
        <v>2078</v>
      </c>
      <c r="CA522" s="247"/>
      <c r="CD522" s="249" t="s">
        <v>2088</v>
      </c>
      <c r="CH522" s="249" t="s">
        <v>2078</v>
      </c>
      <c r="CL522" s="249" t="s">
        <v>2078</v>
      </c>
      <c r="CN522" s="252"/>
      <c r="CO522" s="252"/>
      <c r="CP522" s="249" t="s">
        <v>2078</v>
      </c>
      <c r="CQ522" s="247"/>
      <c r="CT522" s="249" t="s">
        <v>2088</v>
      </c>
      <c r="CX522" s="249" t="s">
        <v>2078</v>
      </c>
      <c r="DB522" s="249" t="s">
        <v>2078</v>
      </c>
    </row>
    <row r="523" spans="44:106" ht="15" customHeight="1" x14ac:dyDescent="0.2">
      <c r="AR523" s="252"/>
      <c r="AS523" s="252"/>
      <c r="AT523" s="249" t="s">
        <v>2078</v>
      </c>
      <c r="AU523" s="247"/>
      <c r="AX523" s="249" t="s">
        <v>2088</v>
      </c>
      <c r="BB523" s="249" t="s">
        <v>2078</v>
      </c>
      <c r="BF523" s="249" t="s">
        <v>2078</v>
      </c>
      <c r="BH523" s="252"/>
      <c r="BI523" s="252"/>
      <c r="BJ523" s="249" t="s">
        <v>2078</v>
      </c>
      <c r="BK523" s="247"/>
      <c r="BN523" s="249" t="s">
        <v>2088</v>
      </c>
      <c r="BR523" s="249" t="s">
        <v>2078</v>
      </c>
      <c r="BV523" s="249" t="s">
        <v>2078</v>
      </c>
      <c r="BX523" s="252"/>
      <c r="BY523" s="252"/>
      <c r="BZ523" s="249" t="s">
        <v>2078</v>
      </c>
      <c r="CA523" s="247"/>
      <c r="CD523" s="249" t="s">
        <v>2088</v>
      </c>
      <c r="CH523" s="249" t="s">
        <v>2078</v>
      </c>
      <c r="CL523" s="249" t="s">
        <v>2078</v>
      </c>
      <c r="CN523" s="252"/>
      <c r="CO523" s="252"/>
      <c r="CP523" s="249" t="s">
        <v>2078</v>
      </c>
      <c r="CQ523" s="247"/>
      <c r="CT523" s="249" t="s">
        <v>2088</v>
      </c>
      <c r="CX523" s="249" t="s">
        <v>2078</v>
      </c>
      <c r="DB523" s="249" t="s">
        <v>2078</v>
      </c>
    </row>
    <row r="524" spans="44:106" ht="15" customHeight="1" x14ac:dyDescent="0.2">
      <c r="AR524" s="252"/>
      <c r="AS524" s="252"/>
      <c r="AT524" s="249" t="s">
        <v>2078</v>
      </c>
      <c r="AU524" s="247"/>
      <c r="AX524" s="249" t="s">
        <v>2088</v>
      </c>
      <c r="BB524" s="249" t="s">
        <v>2078</v>
      </c>
      <c r="BF524" s="249" t="s">
        <v>2078</v>
      </c>
      <c r="BH524" s="252"/>
      <c r="BI524" s="252"/>
      <c r="BJ524" s="249" t="s">
        <v>2078</v>
      </c>
      <c r="BK524" s="247"/>
      <c r="BN524" s="249" t="s">
        <v>2088</v>
      </c>
      <c r="BR524" s="249" t="s">
        <v>2078</v>
      </c>
      <c r="BV524" s="249" t="s">
        <v>2078</v>
      </c>
      <c r="BX524" s="252"/>
      <c r="BY524" s="252"/>
      <c r="BZ524" s="249" t="s">
        <v>2078</v>
      </c>
      <c r="CA524" s="247"/>
      <c r="CD524" s="249" t="s">
        <v>2088</v>
      </c>
      <c r="CH524" s="249" t="s">
        <v>2078</v>
      </c>
      <c r="CL524" s="249" t="s">
        <v>2078</v>
      </c>
      <c r="CN524" s="252"/>
      <c r="CO524" s="252"/>
      <c r="CP524" s="249" t="s">
        <v>2078</v>
      </c>
      <c r="CQ524" s="247"/>
      <c r="CT524" s="249" t="s">
        <v>2088</v>
      </c>
      <c r="CX524" s="249" t="s">
        <v>2078</v>
      </c>
      <c r="DB524" s="249" t="s">
        <v>2078</v>
      </c>
    </row>
    <row r="525" spans="44:106" ht="15" customHeight="1" x14ac:dyDescent="0.2">
      <c r="AR525" s="252"/>
      <c r="AS525" s="252"/>
      <c r="AT525" s="249" t="s">
        <v>2078</v>
      </c>
      <c r="AU525" s="247"/>
      <c r="AX525" s="249" t="s">
        <v>2088</v>
      </c>
      <c r="BB525" s="249" t="s">
        <v>2078</v>
      </c>
      <c r="BF525" s="249" t="s">
        <v>2078</v>
      </c>
      <c r="BH525" s="252"/>
      <c r="BI525" s="252"/>
      <c r="BJ525" s="249" t="s">
        <v>2078</v>
      </c>
      <c r="BK525" s="247"/>
      <c r="BN525" s="249" t="s">
        <v>2088</v>
      </c>
      <c r="BR525" s="249" t="s">
        <v>2078</v>
      </c>
      <c r="BV525" s="249" t="s">
        <v>2078</v>
      </c>
      <c r="BX525" s="252"/>
      <c r="BY525" s="252"/>
      <c r="BZ525" s="249" t="s">
        <v>2078</v>
      </c>
      <c r="CA525" s="247"/>
      <c r="CD525" s="249" t="s">
        <v>2088</v>
      </c>
      <c r="CH525" s="249" t="s">
        <v>2078</v>
      </c>
      <c r="CL525" s="249" t="s">
        <v>2078</v>
      </c>
      <c r="CN525" s="252"/>
      <c r="CO525" s="252"/>
      <c r="CP525" s="249" t="s">
        <v>2078</v>
      </c>
      <c r="CQ525" s="247"/>
      <c r="CT525" s="249" t="s">
        <v>2088</v>
      </c>
      <c r="CX525" s="249" t="s">
        <v>2078</v>
      </c>
      <c r="DB525" s="249" t="s">
        <v>2078</v>
      </c>
    </row>
    <row r="526" spans="44:106" ht="15" customHeight="1" x14ac:dyDescent="0.2">
      <c r="AR526" s="252"/>
      <c r="AS526" s="252"/>
      <c r="AT526" s="249" t="s">
        <v>2078</v>
      </c>
      <c r="AU526" s="247"/>
      <c r="AX526" s="249" t="s">
        <v>2088</v>
      </c>
      <c r="BB526" s="249" t="s">
        <v>2078</v>
      </c>
      <c r="BF526" s="249" t="s">
        <v>2078</v>
      </c>
      <c r="BH526" s="252"/>
      <c r="BI526" s="252"/>
      <c r="BJ526" s="249" t="s">
        <v>2078</v>
      </c>
      <c r="BK526" s="247"/>
      <c r="BN526" s="249" t="s">
        <v>2088</v>
      </c>
      <c r="BR526" s="249" t="s">
        <v>2078</v>
      </c>
      <c r="BV526" s="249" t="s">
        <v>2078</v>
      </c>
      <c r="BX526" s="252"/>
      <c r="BY526" s="252"/>
      <c r="BZ526" s="249" t="s">
        <v>2078</v>
      </c>
      <c r="CA526" s="247"/>
      <c r="CD526" s="249" t="s">
        <v>2088</v>
      </c>
      <c r="CH526" s="249" t="s">
        <v>2078</v>
      </c>
      <c r="CL526" s="249" t="s">
        <v>2078</v>
      </c>
      <c r="CN526" s="252"/>
      <c r="CO526" s="252"/>
      <c r="CP526" s="249" t="s">
        <v>2078</v>
      </c>
      <c r="CQ526" s="247"/>
      <c r="CT526" s="249" t="s">
        <v>2088</v>
      </c>
      <c r="CX526" s="249" t="s">
        <v>2078</v>
      </c>
      <c r="DB526" s="249" t="s">
        <v>2078</v>
      </c>
    </row>
    <row r="527" spans="44:106" ht="15" customHeight="1" x14ac:dyDescent="0.2">
      <c r="AR527" s="252"/>
      <c r="AS527" s="252"/>
      <c r="AT527" s="249" t="s">
        <v>2078</v>
      </c>
      <c r="AU527" s="247"/>
      <c r="AX527" s="249" t="s">
        <v>2088</v>
      </c>
      <c r="BB527" s="249" t="s">
        <v>2078</v>
      </c>
      <c r="BF527" s="249" t="s">
        <v>2078</v>
      </c>
      <c r="BH527" s="252"/>
      <c r="BI527" s="252"/>
      <c r="BJ527" s="249" t="s">
        <v>2078</v>
      </c>
      <c r="BK527" s="247"/>
      <c r="BN527" s="249" t="s">
        <v>2088</v>
      </c>
      <c r="BR527" s="249" t="s">
        <v>2078</v>
      </c>
      <c r="BV527" s="249" t="s">
        <v>2078</v>
      </c>
      <c r="BX527" s="252"/>
      <c r="BY527" s="252"/>
      <c r="BZ527" s="249" t="s">
        <v>2078</v>
      </c>
      <c r="CA527" s="247"/>
      <c r="CD527" s="249" t="s">
        <v>2088</v>
      </c>
      <c r="CH527" s="249" t="s">
        <v>2078</v>
      </c>
      <c r="CL527" s="249" t="s">
        <v>2078</v>
      </c>
      <c r="CN527" s="252"/>
      <c r="CO527" s="252"/>
      <c r="CP527" s="249" t="s">
        <v>2078</v>
      </c>
      <c r="CQ527" s="247"/>
      <c r="CT527" s="249" t="s">
        <v>2088</v>
      </c>
      <c r="CX527" s="249" t="s">
        <v>2078</v>
      </c>
      <c r="DB527" s="249" t="s">
        <v>2078</v>
      </c>
    </row>
    <row r="528" spans="44:106" ht="15" customHeight="1" x14ac:dyDescent="0.2">
      <c r="AR528" s="252"/>
      <c r="AS528" s="252"/>
      <c r="AT528" s="249" t="s">
        <v>2078</v>
      </c>
      <c r="AU528" s="247"/>
      <c r="AX528" s="249" t="s">
        <v>2088</v>
      </c>
      <c r="BB528" s="249" t="s">
        <v>2078</v>
      </c>
      <c r="BF528" s="249" t="s">
        <v>2078</v>
      </c>
      <c r="BH528" s="252"/>
      <c r="BI528" s="252"/>
      <c r="BJ528" s="249" t="s">
        <v>2078</v>
      </c>
      <c r="BK528" s="247"/>
      <c r="BN528" s="249" t="s">
        <v>2088</v>
      </c>
      <c r="BR528" s="249" t="s">
        <v>2078</v>
      </c>
      <c r="BV528" s="249" t="s">
        <v>2078</v>
      </c>
      <c r="BX528" s="252"/>
      <c r="BY528" s="252"/>
      <c r="BZ528" s="249" t="s">
        <v>2078</v>
      </c>
      <c r="CA528" s="247"/>
      <c r="CD528" s="249" t="s">
        <v>2088</v>
      </c>
      <c r="CH528" s="249" t="s">
        <v>2078</v>
      </c>
      <c r="CL528" s="249" t="s">
        <v>2078</v>
      </c>
      <c r="CN528" s="252"/>
      <c r="CO528" s="252"/>
      <c r="CP528" s="249" t="s">
        <v>2078</v>
      </c>
      <c r="CQ528" s="247"/>
      <c r="CT528" s="249" t="s">
        <v>2088</v>
      </c>
      <c r="CX528" s="249" t="s">
        <v>2078</v>
      </c>
      <c r="DB528" s="249" t="s">
        <v>2078</v>
      </c>
    </row>
    <row r="529" spans="44:106" ht="15" customHeight="1" x14ac:dyDescent="0.2">
      <c r="AR529" s="252"/>
      <c r="AS529" s="252"/>
      <c r="AT529" s="249" t="s">
        <v>2078</v>
      </c>
      <c r="AU529" s="247"/>
      <c r="AX529" s="249" t="s">
        <v>2088</v>
      </c>
      <c r="BB529" s="249" t="s">
        <v>2078</v>
      </c>
      <c r="BF529" s="249" t="s">
        <v>2078</v>
      </c>
      <c r="BH529" s="252"/>
      <c r="BI529" s="252"/>
      <c r="BJ529" s="249" t="s">
        <v>2078</v>
      </c>
      <c r="BK529" s="247"/>
      <c r="BN529" s="249" t="s">
        <v>2088</v>
      </c>
      <c r="BR529" s="249" t="s">
        <v>2078</v>
      </c>
      <c r="BV529" s="249" t="s">
        <v>2078</v>
      </c>
      <c r="BX529" s="252"/>
      <c r="BY529" s="252"/>
      <c r="BZ529" s="249" t="s">
        <v>2078</v>
      </c>
      <c r="CA529" s="247"/>
      <c r="CD529" s="249" t="s">
        <v>2088</v>
      </c>
      <c r="CH529" s="249" t="s">
        <v>2078</v>
      </c>
      <c r="CL529" s="249" t="s">
        <v>2078</v>
      </c>
      <c r="CN529" s="252"/>
      <c r="CO529" s="252"/>
      <c r="CP529" s="249" t="s">
        <v>2078</v>
      </c>
      <c r="CQ529" s="247"/>
      <c r="CT529" s="249" t="s">
        <v>2088</v>
      </c>
      <c r="CX529" s="249" t="s">
        <v>2078</v>
      </c>
      <c r="DB529" s="249" t="s">
        <v>2078</v>
      </c>
    </row>
    <row r="530" spans="44:106" ht="15" customHeight="1" x14ac:dyDescent="0.2">
      <c r="AR530" s="252"/>
      <c r="AS530" s="252"/>
      <c r="AT530" s="249" t="s">
        <v>2078</v>
      </c>
      <c r="AU530" s="247"/>
      <c r="AX530" s="249" t="s">
        <v>2088</v>
      </c>
      <c r="BB530" s="249" t="s">
        <v>2078</v>
      </c>
      <c r="BF530" s="249" t="s">
        <v>2078</v>
      </c>
      <c r="BH530" s="252"/>
      <c r="BI530" s="252"/>
      <c r="BJ530" s="249" t="s">
        <v>2078</v>
      </c>
      <c r="BK530" s="247"/>
      <c r="BN530" s="249" t="s">
        <v>2088</v>
      </c>
      <c r="BR530" s="249" t="s">
        <v>2078</v>
      </c>
      <c r="BV530" s="249" t="s">
        <v>2078</v>
      </c>
      <c r="BX530" s="252"/>
      <c r="BY530" s="252"/>
      <c r="BZ530" s="249" t="s">
        <v>2078</v>
      </c>
      <c r="CA530" s="247"/>
      <c r="CD530" s="249" t="s">
        <v>2088</v>
      </c>
      <c r="CH530" s="249" t="s">
        <v>2078</v>
      </c>
      <c r="CL530" s="249" t="s">
        <v>2078</v>
      </c>
      <c r="CN530" s="252"/>
      <c r="CO530" s="252"/>
      <c r="CP530" s="249" t="s">
        <v>2078</v>
      </c>
      <c r="CQ530" s="247"/>
      <c r="CT530" s="249" t="s">
        <v>2088</v>
      </c>
      <c r="CX530" s="249" t="s">
        <v>2078</v>
      </c>
      <c r="DB530" s="249" t="s">
        <v>2078</v>
      </c>
    </row>
    <row r="531" spans="44:106" ht="15" customHeight="1" x14ac:dyDescent="0.2">
      <c r="AR531" s="252"/>
      <c r="AS531" s="252"/>
      <c r="AT531" s="249" t="s">
        <v>2078</v>
      </c>
      <c r="AU531" s="247"/>
      <c r="AX531" s="249" t="s">
        <v>2088</v>
      </c>
      <c r="BB531" s="249" t="s">
        <v>2078</v>
      </c>
      <c r="BF531" s="249" t="s">
        <v>2078</v>
      </c>
      <c r="BH531" s="252"/>
      <c r="BI531" s="252"/>
      <c r="BJ531" s="249" t="s">
        <v>2078</v>
      </c>
      <c r="BK531" s="247"/>
      <c r="BN531" s="249" t="s">
        <v>2088</v>
      </c>
      <c r="BR531" s="249" t="s">
        <v>2078</v>
      </c>
      <c r="BV531" s="249" t="s">
        <v>2078</v>
      </c>
      <c r="BX531" s="252"/>
      <c r="BY531" s="252"/>
      <c r="BZ531" s="249" t="s">
        <v>2078</v>
      </c>
      <c r="CA531" s="247"/>
      <c r="CD531" s="249" t="s">
        <v>2088</v>
      </c>
      <c r="CH531" s="249" t="s">
        <v>2078</v>
      </c>
      <c r="CL531" s="249" t="s">
        <v>2078</v>
      </c>
      <c r="CN531" s="252"/>
      <c r="CO531" s="252"/>
      <c r="CP531" s="249" t="s">
        <v>2078</v>
      </c>
      <c r="CQ531" s="247"/>
      <c r="CT531" s="249" t="s">
        <v>2088</v>
      </c>
      <c r="CX531" s="249" t="s">
        <v>2078</v>
      </c>
      <c r="DB531" s="249" t="s">
        <v>2078</v>
      </c>
    </row>
    <row r="532" spans="44:106" ht="15" customHeight="1" x14ac:dyDescent="0.2">
      <c r="AR532" s="252"/>
      <c r="AS532" s="252"/>
      <c r="AT532" s="249" t="s">
        <v>2078</v>
      </c>
      <c r="AU532" s="247"/>
      <c r="AX532" s="249" t="s">
        <v>2088</v>
      </c>
      <c r="BB532" s="249" t="s">
        <v>2078</v>
      </c>
      <c r="BF532" s="249" t="s">
        <v>2078</v>
      </c>
      <c r="BH532" s="252"/>
      <c r="BI532" s="252"/>
      <c r="BJ532" s="249" t="s">
        <v>2078</v>
      </c>
      <c r="BK532" s="247"/>
      <c r="BN532" s="249" t="s">
        <v>2088</v>
      </c>
      <c r="BR532" s="249" t="s">
        <v>2078</v>
      </c>
      <c r="BV532" s="249" t="s">
        <v>2078</v>
      </c>
      <c r="BX532" s="252"/>
      <c r="BY532" s="252"/>
      <c r="BZ532" s="249" t="s">
        <v>2078</v>
      </c>
      <c r="CA532" s="247"/>
      <c r="CD532" s="249" t="s">
        <v>2088</v>
      </c>
      <c r="CH532" s="249" t="s">
        <v>2078</v>
      </c>
      <c r="CL532" s="249" t="s">
        <v>2078</v>
      </c>
      <c r="CN532" s="252"/>
      <c r="CO532" s="252"/>
      <c r="CP532" s="249" t="s">
        <v>2078</v>
      </c>
      <c r="CQ532" s="247"/>
      <c r="CT532" s="249" t="s">
        <v>2088</v>
      </c>
      <c r="CX532" s="249" t="s">
        <v>2078</v>
      </c>
      <c r="DB532" s="249" t="s">
        <v>2078</v>
      </c>
    </row>
    <row r="533" spans="44:106" ht="15" customHeight="1" x14ac:dyDescent="0.2">
      <c r="AR533" s="252"/>
      <c r="AS533" s="252"/>
      <c r="AT533" s="249" t="s">
        <v>2078</v>
      </c>
      <c r="AU533" s="247"/>
      <c r="AX533" s="249" t="s">
        <v>2088</v>
      </c>
      <c r="BB533" s="249" t="s">
        <v>2078</v>
      </c>
      <c r="BF533" s="249" t="s">
        <v>2078</v>
      </c>
      <c r="BH533" s="252"/>
      <c r="BI533" s="252"/>
      <c r="BJ533" s="249" t="s">
        <v>2078</v>
      </c>
      <c r="BK533" s="247"/>
      <c r="BN533" s="249" t="s">
        <v>2088</v>
      </c>
      <c r="BR533" s="249" t="s">
        <v>2078</v>
      </c>
      <c r="BV533" s="249" t="s">
        <v>2078</v>
      </c>
      <c r="BX533" s="252"/>
      <c r="BY533" s="252"/>
      <c r="BZ533" s="249" t="s">
        <v>2078</v>
      </c>
      <c r="CA533" s="247"/>
      <c r="CD533" s="249" t="s">
        <v>2088</v>
      </c>
      <c r="CH533" s="249" t="s">
        <v>2078</v>
      </c>
      <c r="CL533" s="249" t="s">
        <v>2078</v>
      </c>
      <c r="CN533" s="252"/>
      <c r="CO533" s="252"/>
      <c r="CP533" s="249" t="s">
        <v>2078</v>
      </c>
      <c r="CQ533" s="247"/>
      <c r="CT533" s="249" t="s">
        <v>2088</v>
      </c>
      <c r="CX533" s="249" t="s">
        <v>2078</v>
      </c>
      <c r="DB533" s="249" t="s">
        <v>2078</v>
      </c>
    </row>
    <row r="534" spans="44:106" ht="15" customHeight="1" x14ac:dyDescent="0.2">
      <c r="AR534" s="252"/>
      <c r="AS534" s="252"/>
      <c r="AT534" s="249" t="s">
        <v>2078</v>
      </c>
      <c r="AU534" s="247"/>
      <c r="AX534" s="249" t="s">
        <v>2088</v>
      </c>
      <c r="BB534" s="249" t="s">
        <v>2078</v>
      </c>
      <c r="BF534" s="249" t="s">
        <v>2078</v>
      </c>
      <c r="BH534" s="252"/>
      <c r="BI534" s="252"/>
      <c r="BJ534" s="249" t="s">
        <v>2078</v>
      </c>
      <c r="BK534" s="247"/>
      <c r="BN534" s="249" t="s">
        <v>2088</v>
      </c>
      <c r="BR534" s="249" t="s">
        <v>2078</v>
      </c>
      <c r="BV534" s="249" t="s">
        <v>2078</v>
      </c>
      <c r="BX534" s="252"/>
      <c r="BY534" s="252"/>
      <c r="BZ534" s="249" t="s">
        <v>2078</v>
      </c>
      <c r="CA534" s="247"/>
      <c r="CD534" s="249" t="s">
        <v>2088</v>
      </c>
      <c r="CH534" s="249" t="s">
        <v>2078</v>
      </c>
      <c r="CL534" s="249" t="s">
        <v>2078</v>
      </c>
      <c r="CN534" s="252"/>
      <c r="CO534" s="252"/>
      <c r="CP534" s="249" t="s">
        <v>2078</v>
      </c>
      <c r="CQ534" s="247"/>
      <c r="CT534" s="249" t="s">
        <v>2088</v>
      </c>
      <c r="CX534" s="249" t="s">
        <v>2078</v>
      </c>
      <c r="DB534" s="249" t="s">
        <v>2078</v>
      </c>
    </row>
    <row r="535" spans="44:106" ht="15" customHeight="1" x14ac:dyDescent="0.2">
      <c r="AR535" s="252"/>
      <c r="AS535" s="252"/>
      <c r="AT535" s="249" t="s">
        <v>2078</v>
      </c>
      <c r="AU535" s="247"/>
      <c r="AX535" s="249" t="s">
        <v>2088</v>
      </c>
      <c r="BB535" s="249" t="s">
        <v>2078</v>
      </c>
      <c r="BF535" s="249" t="s">
        <v>2078</v>
      </c>
      <c r="BH535" s="252"/>
      <c r="BI535" s="252"/>
      <c r="BJ535" s="249" t="s">
        <v>2078</v>
      </c>
      <c r="BK535" s="247"/>
      <c r="BN535" s="249" t="s">
        <v>2088</v>
      </c>
      <c r="BR535" s="249" t="s">
        <v>2078</v>
      </c>
      <c r="BV535" s="249" t="s">
        <v>2078</v>
      </c>
      <c r="BX535" s="252"/>
      <c r="BY535" s="252"/>
      <c r="BZ535" s="249" t="s">
        <v>2078</v>
      </c>
      <c r="CA535" s="247"/>
      <c r="CD535" s="249" t="s">
        <v>2088</v>
      </c>
      <c r="CH535" s="249" t="s">
        <v>2078</v>
      </c>
      <c r="CL535" s="249" t="s">
        <v>2078</v>
      </c>
      <c r="CN535" s="252"/>
      <c r="CO535" s="252"/>
      <c r="CP535" s="249" t="s">
        <v>2078</v>
      </c>
      <c r="CQ535" s="247"/>
      <c r="CT535" s="249" t="s">
        <v>2088</v>
      </c>
      <c r="CX535" s="249" t="s">
        <v>2078</v>
      </c>
      <c r="DB535" s="249" t="s">
        <v>2078</v>
      </c>
    </row>
    <row r="536" spans="44:106" ht="15" customHeight="1" x14ac:dyDescent="0.2">
      <c r="AR536" s="252"/>
      <c r="AS536" s="252"/>
      <c r="AT536" s="249" t="s">
        <v>2078</v>
      </c>
      <c r="AU536" s="247"/>
      <c r="AX536" s="249" t="s">
        <v>2088</v>
      </c>
      <c r="BB536" s="249" t="s">
        <v>2078</v>
      </c>
      <c r="BF536" s="249" t="s">
        <v>2078</v>
      </c>
      <c r="BH536" s="252"/>
      <c r="BI536" s="252"/>
      <c r="BJ536" s="249" t="s">
        <v>2078</v>
      </c>
      <c r="BK536" s="247"/>
      <c r="BN536" s="249" t="s">
        <v>2088</v>
      </c>
      <c r="BR536" s="249" t="s">
        <v>2078</v>
      </c>
      <c r="BV536" s="249" t="s">
        <v>2078</v>
      </c>
      <c r="BX536" s="252"/>
      <c r="BY536" s="252"/>
      <c r="BZ536" s="249" t="s">
        <v>2078</v>
      </c>
      <c r="CA536" s="247"/>
      <c r="CD536" s="249" t="s">
        <v>2088</v>
      </c>
      <c r="CH536" s="249" t="s">
        <v>2078</v>
      </c>
      <c r="CL536" s="249" t="s">
        <v>2078</v>
      </c>
      <c r="CN536" s="252"/>
      <c r="CO536" s="252"/>
      <c r="CP536" s="249" t="s">
        <v>2078</v>
      </c>
      <c r="CQ536" s="247"/>
      <c r="CT536" s="249" t="s">
        <v>2088</v>
      </c>
      <c r="CX536" s="249" t="s">
        <v>2078</v>
      </c>
      <c r="DB536" s="249" t="s">
        <v>2078</v>
      </c>
    </row>
    <row r="537" spans="44:106" ht="15" customHeight="1" x14ac:dyDescent="0.2">
      <c r="AR537" s="252"/>
      <c r="AS537" s="252"/>
      <c r="AT537" s="249" t="s">
        <v>2078</v>
      </c>
      <c r="AU537" s="247"/>
      <c r="AX537" s="249" t="s">
        <v>2088</v>
      </c>
      <c r="BB537" s="249" t="s">
        <v>2078</v>
      </c>
      <c r="BF537" s="249" t="s">
        <v>2078</v>
      </c>
      <c r="BH537" s="252"/>
      <c r="BI537" s="252"/>
      <c r="BJ537" s="249" t="s">
        <v>2078</v>
      </c>
      <c r="BK537" s="247"/>
      <c r="BN537" s="249" t="s">
        <v>2088</v>
      </c>
      <c r="BR537" s="249" t="s">
        <v>2078</v>
      </c>
      <c r="BV537" s="249" t="s">
        <v>2078</v>
      </c>
      <c r="BX537" s="252"/>
      <c r="BY537" s="252"/>
      <c r="BZ537" s="249" t="s">
        <v>2078</v>
      </c>
      <c r="CA537" s="247"/>
      <c r="CD537" s="249" t="s">
        <v>2088</v>
      </c>
      <c r="CH537" s="249" t="s">
        <v>2078</v>
      </c>
      <c r="CL537" s="249" t="s">
        <v>2078</v>
      </c>
      <c r="CN537" s="252"/>
      <c r="CO537" s="252"/>
      <c r="CP537" s="249" t="s">
        <v>2078</v>
      </c>
      <c r="CQ537" s="247"/>
      <c r="CT537" s="249" t="s">
        <v>2088</v>
      </c>
      <c r="CX537" s="249" t="s">
        <v>2078</v>
      </c>
      <c r="DB537" s="249" t="s">
        <v>2078</v>
      </c>
    </row>
    <row r="538" spans="44:106" ht="15" customHeight="1" x14ac:dyDescent="0.2">
      <c r="AR538" s="252"/>
      <c r="AS538" s="252"/>
      <c r="AT538" s="249" t="s">
        <v>2078</v>
      </c>
      <c r="AU538" s="247"/>
      <c r="AX538" s="249" t="s">
        <v>2088</v>
      </c>
      <c r="BB538" s="249" t="s">
        <v>2078</v>
      </c>
      <c r="BF538" s="249" t="s">
        <v>2078</v>
      </c>
      <c r="BH538" s="252"/>
      <c r="BI538" s="252"/>
      <c r="BJ538" s="249" t="s">
        <v>2078</v>
      </c>
      <c r="BK538" s="247"/>
      <c r="BN538" s="249" t="s">
        <v>2088</v>
      </c>
      <c r="BR538" s="249" t="s">
        <v>2078</v>
      </c>
      <c r="BV538" s="249" t="s">
        <v>2078</v>
      </c>
      <c r="BX538" s="252"/>
      <c r="BY538" s="252"/>
      <c r="BZ538" s="249" t="s">
        <v>2078</v>
      </c>
      <c r="CA538" s="247"/>
      <c r="CD538" s="249" t="s">
        <v>2088</v>
      </c>
      <c r="CH538" s="249" t="s">
        <v>2078</v>
      </c>
      <c r="CL538" s="249" t="s">
        <v>2078</v>
      </c>
      <c r="CN538" s="252"/>
      <c r="CO538" s="252"/>
      <c r="CP538" s="249" t="s">
        <v>2078</v>
      </c>
      <c r="CQ538" s="247"/>
      <c r="CT538" s="249" t="s">
        <v>2088</v>
      </c>
      <c r="CX538" s="249" t="s">
        <v>2078</v>
      </c>
      <c r="DB538" s="249" t="s">
        <v>2078</v>
      </c>
    </row>
    <row r="539" spans="44:106" ht="15" customHeight="1" x14ac:dyDescent="0.2">
      <c r="AR539" s="252"/>
      <c r="AS539" s="252"/>
      <c r="AT539" s="249" t="s">
        <v>2078</v>
      </c>
      <c r="AU539" s="247"/>
      <c r="AX539" s="249" t="s">
        <v>2088</v>
      </c>
      <c r="BB539" s="249" t="s">
        <v>2078</v>
      </c>
      <c r="BF539" s="249" t="s">
        <v>2078</v>
      </c>
      <c r="BH539" s="252"/>
      <c r="BI539" s="252"/>
      <c r="BJ539" s="249" t="s">
        <v>2078</v>
      </c>
      <c r="BK539" s="247"/>
      <c r="BN539" s="249" t="s">
        <v>2088</v>
      </c>
      <c r="BR539" s="249" t="s">
        <v>2078</v>
      </c>
      <c r="BV539" s="249" t="s">
        <v>2078</v>
      </c>
      <c r="BX539" s="252"/>
      <c r="BY539" s="252"/>
      <c r="BZ539" s="249" t="s">
        <v>2078</v>
      </c>
      <c r="CA539" s="247"/>
      <c r="CD539" s="249" t="s">
        <v>2088</v>
      </c>
      <c r="CH539" s="249" t="s">
        <v>2078</v>
      </c>
      <c r="CL539" s="249" t="s">
        <v>2078</v>
      </c>
      <c r="CN539" s="252"/>
      <c r="CO539" s="252"/>
      <c r="CP539" s="249" t="s">
        <v>2078</v>
      </c>
      <c r="CQ539" s="247"/>
      <c r="CT539" s="249" t="s">
        <v>2088</v>
      </c>
      <c r="CX539" s="249" t="s">
        <v>2078</v>
      </c>
      <c r="DB539" s="249" t="s">
        <v>2078</v>
      </c>
    </row>
    <row r="540" spans="44:106" ht="15" customHeight="1" x14ac:dyDescent="0.2">
      <c r="AR540" s="252"/>
      <c r="AS540" s="252"/>
      <c r="AT540" s="249" t="s">
        <v>2078</v>
      </c>
      <c r="AU540" s="247"/>
      <c r="AX540" s="249" t="s">
        <v>2088</v>
      </c>
      <c r="BB540" s="249" t="s">
        <v>2078</v>
      </c>
      <c r="BF540" s="249" t="s">
        <v>2078</v>
      </c>
      <c r="BH540" s="252"/>
      <c r="BI540" s="252"/>
      <c r="BJ540" s="249" t="s">
        <v>2078</v>
      </c>
      <c r="BK540" s="247"/>
      <c r="BN540" s="249" t="s">
        <v>2088</v>
      </c>
      <c r="BR540" s="249" t="s">
        <v>2078</v>
      </c>
      <c r="BV540" s="249" t="s">
        <v>2078</v>
      </c>
      <c r="BX540" s="252"/>
      <c r="BY540" s="252"/>
      <c r="BZ540" s="249" t="s">
        <v>2078</v>
      </c>
      <c r="CA540" s="247"/>
      <c r="CD540" s="249" t="s">
        <v>2088</v>
      </c>
      <c r="CH540" s="249" t="s">
        <v>2078</v>
      </c>
      <c r="CL540" s="249" t="s">
        <v>2078</v>
      </c>
      <c r="CN540" s="252"/>
      <c r="CO540" s="252"/>
      <c r="CP540" s="249" t="s">
        <v>2078</v>
      </c>
      <c r="CQ540" s="247"/>
      <c r="CT540" s="249" t="s">
        <v>2088</v>
      </c>
      <c r="CX540" s="249" t="s">
        <v>2078</v>
      </c>
      <c r="DB540" s="249" t="s">
        <v>2078</v>
      </c>
    </row>
    <row r="541" spans="44:106" ht="15" customHeight="1" x14ac:dyDescent="0.2">
      <c r="AR541" s="252"/>
      <c r="AS541" s="252"/>
      <c r="AT541" s="249" t="s">
        <v>2078</v>
      </c>
      <c r="AU541" s="247"/>
      <c r="AX541" s="249" t="s">
        <v>2088</v>
      </c>
      <c r="BB541" s="249" t="s">
        <v>2078</v>
      </c>
      <c r="BF541" s="249" t="s">
        <v>2078</v>
      </c>
      <c r="BH541" s="252"/>
      <c r="BI541" s="252"/>
      <c r="BJ541" s="249" t="s">
        <v>2078</v>
      </c>
      <c r="BK541" s="247"/>
      <c r="BN541" s="249" t="s">
        <v>2088</v>
      </c>
      <c r="BR541" s="249" t="s">
        <v>2078</v>
      </c>
      <c r="BV541" s="249" t="s">
        <v>2078</v>
      </c>
      <c r="BX541" s="252"/>
      <c r="BY541" s="252"/>
      <c r="BZ541" s="249" t="s">
        <v>2078</v>
      </c>
      <c r="CA541" s="247"/>
      <c r="CD541" s="249" t="s">
        <v>2088</v>
      </c>
      <c r="CH541" s="249" t="s">
        <v>2078</v>
      </c>
      <c r="CL541" s="249" t="s">
        <v>2078</v>
      </c>
      <c r="CN541" s="252"/>
      <c r="CO541" s="252"/>
      <c r="CP541" s="249" t="s">
        <v>2078</v>
      </c>
      <c r="CQ541" s="247"/>
      <c r="CT541" s="249" t="s">
        <v>2088</v>
      </c>
      <c r="CX541" s="249" t="s">
        <v>2078</v>
      </c>
      <c r="DB541" s="249" t="s">
        <v>2078</v>
      </c>
    </row>
    <row r="542" spans="44:106" ht="15" customHeight="1" x14ac:dyDescent="0.2">
      <c r="AR542" s="252"/>
      <c r="AS542" s="252"/>
      <c r="AT542" s="249" t="s">
        <v>2078</v>
      </c>
      <c r="AU542" s="247"/>
      <c r="AX542" s="249" t="s">
        <v>2088</v>
      </c>
      <c r="BB542" s="249" t="s">
        <v>2078</v>
      </c>
      <c r="BF542" s="249" t="s">
        <v>2078</v>
      </c>
      <c r="BH542" s="252"/>
      <c r="BI542" s="252"/>
      <c r="BJ542" s="249" t="s">
        <v>2078</v>
      </c>
      <c r="BK542" s="247"/>
      <c r="BN542" s="249" t="s">
        <v>2088</v>
      </c>
      <c r="BR542" s="249" t="s">
        <v>2078</v>
      </c>
      <c r="BV542" s="249" t="s">
        <v>2078</v>
      </c>
      <c r="BX542" s="252"/>
      <c r="BY542" s="252"/>
      <c r="BZ542" s="249" t="s">
        <v>2078</v>
      </c>
      <c r="CA542" s="247"/>
      <c r="CD542" s="249" t="s">
        <v>2088</v>
      </c>
      <c r="CH542" s="249" t="s">
        <v>2078</v>
      </c>
      <c r="CL542" s="249" t="s">
        <v>2078</v>
      </c>
      <c r="CN542" s="252"/>
      <c r="CO542" s="252"/>
      <c r="CP542" s="249" t="s">
        <v>2078</v>
      </c>
      <c r="CQ542" s="247"/>
      <c r="CT542" s="249" t="s">
        <v>2088</v>
      </c>
      <c r="CX542" s="249" t="s">
        <v>2078</v>
      </c>
      <c r="DB542" s="249" t="s">
        <v>2078</v>
      </c>
    </row>
    <row r="543" spans="44:106" ht="15" customHeight="1" x14ac:dyDescent="0.2">
      <c r="AR543" s="252"/>
      <c r="AS543" s="252"/>
      <c r="AT543" s="249" t="s">
        <v>2078</v>
      </c>
      <c r="AU543" s="247"/>
      <c r="AX543" s="249" t="s">
        <v>2088</v>
      </c>
      <c r="BB543" s="249" t="s">
        <v>2078</v>
      </c>
      <c r="BF543" s="249" t="s">
        <v>2078</v>
      </c>
      <c r="BH543" s="252"/>
      <c r="BI543" s="252"/>
      <c r="BJ543" s="249" t="s">
        <v>2078</v>
      </c>
      <c r="BK543" s="247"/>
      <c r="BN543" s="249" t="s">
        <v>2088</v>
      </c>
      <c r="BR543" s="249" t="s">
        <v>2078</v>
      </c>
      <c r="BV543" s="249" t="s">
        <v>2078</v>
      </c>
      <c r="BX543" s="252"/>
      <c r="BY543" s="252"/>
      <c r="BZ543" s="249" t="s">
        <v>2078</v>
      </c>
      <c r="CA543" s="247"/>
      <c r="CD543" s="249" t="s">
        <v>2088</v>
      </c>
      <c r="CH543" s="249" t="s">
        <v>2078</v>
      </c>
      <c r="CL543" s="249" t="s">
        <v>2078</v>
      </c>
      <c r="CN543" s="252"/>
      <c r="CO543" s="252"/>
      <c r="CP543" s="249" t="s">
        <v>2078</v>
      </c>
      <c r="CQ543" s="247"/>
      <c r="CT543" s="249" t="s">
        <v>2088</v>
      </c>
      <c r="CX543" s="249" t="s">
        <v>2078</v>
      </c>
      <c r="DB543" s="249" t="s">
        <v>2078</v>
      </c>
    </row>
    <row r="544" spans="44:106" ht="15" customHeight="1" x14ac:dyDescent="0.2">
      <c r="AR544" s="252"/>
      <c r="AS544" s="252"/>
      <c r="AT544" s="249" t="s">
        <v>2078</v>
      </c>
      <c r="AU544" s="247"/>
      <c r="AX544" s="249" t="s">
        <v>2088</v>
      </c>
      <c r="BB544" s="249" t="s">
        <v>2078</v>
      </c>
      <c r="BF544" s="249" t="s">
        <v>2078</v>
      </c>
      <c r="BH544" s="252"/>
      <c r="BI544" s="252"/>
      <c r="BJ544" s="249" t="s">
        <v>2078</v>
      </c>
      <c r="BK544" s="247"/>
      <c r="BN544" s="249" t="s">
        <v>2088</v>
      </c>
      <c r="BR544" s="249" t="s">
        <v>2078</v>
      </c>
      <c r="BV544" s="249" t="s">
        <v>2078</v>
      </c>
      <c r="BX544" s="252"/>
      <c r="BY544" s="252"/>
      <c r="BZ544" s="249" t="s">
        <v>2078</v>
      </c>
      <c r="CA544" s="247"/>
      <c r="CD544" s="249" t="s">
        <v>2088</v>
      </c>
      <c r="CH544" s="249" t="s">
        <v>2078</v>
      </c>
      <c r="CL544" s="249" t="s">
        <v>2078</v>
      </c>
      <c r="CN544" s="252"/>
      <c r="CO544" s="252"/>
      <c r="CP544" s="249" t="s">
        <v>2078</v>
      </c>
      <c r="CQ544" s="247"/>
      <c r="CT544" s="249" t="s">
        <v>2088</v>
      </c>
      <c r="CX544" s="249" t="s">
        <v>2078</v>
      </c>
      <c r="DB544" s="249" t="s">
        <v>2078</v>
      </c>
    </row>
    <row r="545" spans="44:106" ht="15" customHeight="1" x14ac:dyDescent="0.2">
      <c r="AR545" s="252"/>
      <c r="AS545" s="252"/>
      <c r="AT545" s="249" t="s">
        <v>2078</v>
      </c>
      <c r="AU545" s="247"/>
      <c r="AX545" s="249" t="s">
        <v>2088</v>
      </c>
      <c r="BB545" s="249" t="s">
        <v>2078</v>
      </c>
      <c r="BF545" s="249" t="s">
        <v>2078</v>
      </c>
      <c r="BH545" s="252"/>
      <c r="BI545" s="252"/>
      <c r="BJ545" s="249" t="s">
        <v>2078</v>
      </c>
      <c r="BK545" s="247"/>
      <c r="BN545" s="249" t="s">
        <v>2088</v>
      </c>
      <c r="BR545" s="249" t="s">
        <v>2078</v>
      </c>
      <c r="BV545" s="249" t="s">
        <v>2078</v>
      </c>
      <c r="BX545" s="252"/>
      <c r="BY545" s="252"/>
      <c r="BZ545" s="249" t="s">
        <v>2078</v>
      </c>
      <c r="CA545" s="247"/>
      <c r="CD545" s="249" t="s">
        <v>2088</v>
      </c>
      <c r="CH545" s="249" t="s">
        <v>2078</v>
      </c>
      <c r="CL545" s="249" t="s">
        <v>2078</v>
      </c>
      <c r="CN545" s="252"/>
      <c r="CO545" s="252"/>
      <c r="CP545" s="249" t="s">
        <v>2078</v>
      </c>
      <c r="CQ545" s="247"/>
      <c r="CT545" s="249" t="s">
        <v>2088</v>
      </c>
      <c r="CX545" s="249" t="s">
        <v>2078</v>
      </c>
      <c r="DB545" s="249" t="s">
        <v>2078</v>
      </c>
    </row>
    <row r="546" spans="44:106" ht="15" customHeight="1" x14ac:dyDescent="0.2">
      <c r="AR546" s="252"/>
      <c r="AS546" s="252"/>
      <c r="AT546" s="249" t="s">
        <v>2078</v>
      </c>
      <c r="AU546" s="247"/>
      <c r="AX546" s="249" t="s">
        <v>2088</v>
      </c>
      <c r="BB546" s="249" t="s">
        <v>2078</v>
      </c>
      <c r="BF546" s="249" t="s">
        <v>2078</v>
      </c>
      <c r="BH546" s="252"/>
      <c r="BI546" s="252"/>
      <c r="BJ546" s="249" t="s">
        <v>2078</v>
      </c>
      <c r="BK546" s="247"/>
      <c r="BN546" s="249" t="s">
        <v>2088</v>
      </c>
      <c r="BR546" s="249" t="s">
        <v>2078</v>
      </c>
      <c r="BV546" s="249" t="s">
        <v>2078</v>
      </c>
      <c r="BX546" s="252"/>
      <c r="BY546" s="252"/>
      <c r="BZ546" s="249" t="s">
        <v>2078</v>
      </c>
      <c r="CA546" s="247"/>
      <c r="CD546" s="249" t="s">
        <v>2088</v>
      </c>
      <c r="CH546" s="249" t="s">
        <v>2078</v>
      </c>
      <c r="CL546" s="249" t="s">
        <v>2078</v>
      </c>
      <c r="CN546" s="252"/>
      <c r="CO546" s="252"/>
      <c r="CP546" s="249" t="s">
        <v>2078</v>
      </c>
      <c r="CQ546" s="247"/>
      <c r="CT546" s="249" t="s">
        <v>2088</v>
      </c>
      <c r="CX546" s="249" t="s">
        <v>2078</v>
      </c>
      <c r="DB546" s="249" t="s">
        <v>2078</v>
      </c>
    </row>
    <row r="547" spans="44:106" ht="15" customHeight="1" x14ac:dyDescent="0.2">
      <c r="AR547" s="252"/>
      <c r="AS547" s="252"/>
      <c r="AT547" s="249" t="s">
        <v>2078</v>
      </c>
      <c r="AU547" s="247"/>
      <c r="AX547" s="249" t="s">
        <v>2088</v>
      </c>
      <c r="BB547" s="249" t="s">
        <v>2078</v>
      </c>
      <c r="BF547" s="249" t="s">
        <v>2078</v>
      </c>
      <c r="BH547" s="252"/>
      <c r="BI547" s="252"/>
      <c r="BJ547" s="249" t="s">
        <v>2078</v>
      </c>
      <c r="BK547" s="247"/>
      <c r="BN547" s="249" t="s">
        <v>2088</v>
      </c>
      <c r="BR547" s="249" t="s">
        <v>2078</v>
      </c>
      <c r="BV547" s="249" t="s">
        <v>2078</v>
      </c>
      <c r="BX547" s="252"/>
      <c r="BY547" s="252"/>
      <c r="BZ547" s="249" t="s">
        <v>2078</v>
      </c>
      <c r="CA547" s="247"/>
      <c r="CD547" s="249" t="s">
        <v>2088</v>
      </c>
      <c r="CH547" s="249" t="s">
        <v>2078</v>
      </c>
      <c r="CL547" s="249" t="s">
        <v>2078</v>
      </c>
      <c r="CN547" s="252"/>
      <c r="CO547" s="252"/>
      <c r="CP547" s="249" t="s">
        <v>2078</v>
      </c>
      <c r="CQ547" s="247"/>
      <c r="CT547" s="249" t="s">
        <v>2088</v>
      </c>
      <c r="CX547" s="249" t="s">
        <v>2078</v>
      </c>
      <c r="DB547" s="249" t="s">
        <v>2078</v>
      </c>
    </row>
    <row r="548" spans="44:106" ht="15" customHeight="1" x14ac:dyDescent="0.2">
      <c r="AR548" s="252"/>
      <c r="AS548" s="252"/>
      <c r="AT548" s="249" t="s">
        <v>2078</v>
      </c>
      <c r="AU548" s="247"/>
      <c r="AX548" s="249" t="s">
        <v>2088</v>
      </c>
      <c r="BB548" s="249" t="s">
        <v>2078</v>
      </c>
      <c r="BF548" s="249" t="s">
        <v>2078</v>
      </c>
      <c r="BH548" s="252"/>
      <c r="BI548" s="252"/>
      <c r="BJ548" s="249" t="s">
        <v>2078</v>
      </c>
      <c r="BK548" s="247"/>
      <c r="BN548" s="249" t="s">
        <v>2088</v>
      </c>
      <c r="BR548" s="249" t="s">
        <v>2078</v>
      </c>
      <c r="BV548" s="249" t="s">
        <v>2078</v>
      </c>
      <c r="BX548" s="252"/>
      <c r="BY548" s="252"/>
      <c r="BZ548" s="249" t="s">
        <v>2078</v>
      </c>
      <c r="CA548" s="247"/>
      <c r="CD548" s="249" t="s">
        <v>2088</v>
      </c>
      <c r="CH548" s="249" t="s">
        <v>2078</v>
      </c>
      <c r="CL548" s="249" t="s">
        <v>2078</v>
      </c>
      <c r="CN548" s="252"/>
      <c r="CO548" s="252"/>
      <c r="CP548" s="249" t="s">
        <v>2078</v>
      </c>
      <c r="CQ548" s="247"/>
      <c r="CT548" s="249" t="s">
        <v>2088</v>
      </c>
      <c r="CX548" s="249" t="s">
        <v>2078</v>
      </c>
      <c r="DB548" s="249" t="s">
        <v>2078</v>
      </c>
    </row>
    <row r="549" spans="44:106" ht="15" customHeight="1" x14ac:dyDescent="0.2">
      <c r="AR549" s="252"/>
      <c r="AS549" s="252"/>
      <c r="AT549" s="249" t="s">
        <v>2078</v>
      </c>
      <c r="AU549" s="247"/>
      <c r="AX549" s="249" t="s">
        <v>2088</v>
      </c>
      <c r="BB549" s="249" t="s">
        <v>2078</v>
      </c>
      <c r="BF549" s="249" t="s">
        <v>2078</v>
      </c>
      <c r="BH549" s="252"/>
      <c r="BI549" s="252"/>
      <c r="BJ549" s="249" t="s">
        <v>2078</v>
      </c>
      <c r="BK549" s="247"/>
      <c r="BN549" s="249" t="s">
        <v>2088</v>
      </c>
      <c r="BR549" s="249" t="s">
        <v>2078</v>
      </c>
      <c r="BV549" s="249" t="s">
        <v>2078</v>
      </c>
      <c r="BX549" s="252"/>
      <c r="BY549" s="252"/>
      <c r="BZ549" s="249" t="s">
        <v>2078</v>
      </c>
      <c r="CA549" s="247"/>
      <c r="CD549" s="249" t="s">
        <v>2088</v>
      </c>
      <c r="CH549" s="249" t="s">
        <v>2078</v>
      </c>
      <c r="CL549" s="249" t="s">
        <v>2078</v>
      </c>
      <c r="CN549" s="252"/>
      <c r="CO549" s="252"/>
      <c r="CP549" s="249" t="s">
        <v>2078</v>
      </c>
      <c r="CQ549" s="247"/>
      <c r="CT549" s="249" t="s">
        <v>2088</v>
      </c>
      <c r="CX549" s="249" t="s">
        <v>2078</v>
      </c>
      <c r="DB549" s="249" t="s">
        <v>2078</v>
      </c>
    </row>
    <row r="550" spans="44:106" ht="15" customHeight="1" x14ac:dyDescent="0.2">
      <c r="AR550" s="252"/>
      <c r="AS550" s="252"/>
      <c r="AT550" s="249" t="s">
        <v>2078</v>
      </c>
      <c r="AU550" s="247"/>
      <c r="AX550" s="249" t="s">
        <v>2088</v>
      </c>
      <c r="BB550" s="249" t="s">
        <v>2078</v>
      </c>
      <c r="BF550" s="249" t="s">
        <v>2078</v>
      </c>
      <c r="BH550" s="252"/>
      <c r="BI550" s="252"/>
      <c r="BJ550" s="249" t="s">
        <v>2078</v>
      </c>
      <c r="BK550" s="247"/>
      <c r="BN550" s="249" t="s">
        <v>2088</v>
      </c>
      <c r="BR550" s="249" t="s">
        <v>2078</v>
      </c>
      <c r="BV550" s="249" t="s">
        <v>2078</v>
      </c>
      <c r="BX550" s="252"/>
      <c r="BY550" s="252"/>
      <c r="BZ550" s="249" t="s">
        <v>2078</v>
      </c>
      <c r="CA550" s="247"/>
      <c r="CD550" s="249" t="s">
        <v>2088</v>
      </c>
      <c r="CH550" s="249" t="s">
        <v>2078</v>
      </c>
      <c r="CL550" s="249" t="s">
        <v>2078</v>
      </c>
      <c r="CN550" s="252"/>
      <c r="CO550" s="252"/>
      <c r="CP550" s="249" t="s">
        <v>2078</v>
      </c>
      <c r="CQ550" s="247"/>
      <c r="CT550" s="249" t="s">
        <v>2088</v>
      </c>
      <c r="CX550" s="249" t="s">
        <v>2078</v>
      </c>
      <c r="DB550" s="249" t="s">
        <v>2078</v>
      </c>
    </row>
    <row r="551" spans="44:106" ht="15" customHeight="1" x14ac:dyDescent="0.2">
      <c r="AR551" s="252"/>
      <c r="AS551" s="252"/>
      <c r="AT551" s="249" t="s">
        <v>2078</v>
      </c>
      <c r="AU551" s="247"/>
      <c r="AX551" s="249" t="s">
        <v>2088</v>
      </c>
      <c r="BB551" s="249" t="s">
        <v>2078</v>
      </c>
      <c r="BF551" s="249" t="s">
        <v>2078</v>
      </c>
      <c r="BH551" s="252"/>
      <c r="BI551" s="252"/>
      <c r="BJ551" s="249" t="s">
        <v>2078</v>
      </c>
      <c r="BK551" s="247"/>
      <c r="BN551" s="249" t="s">
        <v>2088</v>
      </c>
      <c r="BR551" s="249" t="s">
        <v>2078</v>
      </c>
      <c r="BV551" s="249" t="s">
        <v>2078</v>
      </c>
      <c r="BX551" s="252"/>
      <c r="BY551" s="252"/>
      <c r="BZ551" s="249" t="s">
        <v>2078</v>
      </c>
      <c r="CA551" s="247"/>
      <c r="CD551" s="249" t="s">
        <v>2088</v>
      </c>
      <c r="CH551" s="249" t="s">
        <v>2078</v>
      </c>
      <c r="CL551" s="249" t="s">
        <v>2078</v>
      </c>
      <c r="CN551" s="252"/>
      <c r="CO551" s="252"/>
      <c r="CP551" s="249" t="s">
        <v>2078</v>
      </c>
      <c r="CQ551" s="247"/>
      <c r="CT551" s="249" t="s">
        <v>2088</v>
      </c>
      <c r="CX551" s="249" t="s">
        <v>2078</v>
      </c>
      <c r="DB551" s="249" t="s">
        <v>2078</v>
      </c>
    </row>
    <row r="552" spans="44:106" ht="15" customHeight="1" x14ac:dyDescent="0.2">
      <c r="AR552" s="252"/>
      <c r="AS552" s="252"/>
      <c r="AT552" s="249" t="s">
        <v>2078</v>
      </c>
      <c r="AU552" s="247"/>
      <c r="AX552" s="249" t="s">
        <v>2088</v>
      </c>
      <c r="BB552" s="249" t="s">
        <v>2078</v>
      </c>
      <c r="BF552" s="249" t="s">
        <v>2078</v>
      </c>
      <c r="BH552" s="252"/>
      <c r="BI552" s="252"/>
      <c r="BJ552" s="249" t="s">
        <v>2078</v>
      </c>
      <c r="BK552" s="247"/>
      <c r="BN552" s="249" t="s">
        <v>2088</v>
      </c>
      <c r="BR552" s="249" t="s">
        <v>2078</v>
      </c>
      <c r="BV552" s="249" t="s">
        <v>2078</v>
      </c>
      <c r="BX552" s="252"/>
      <c r="BY552" s="252"/>
      <c r="BZ552" s="249" t="s">
        <v>2078</v>
      </c>
      <c r="CA552" s="247"/>
      <c r="CD552" s="249" t="s">
        <v>2088</v>
      </c>
      <c r="CH552" s="249" t="s">
        <v>2078</v>
      </c>
      <c r="CL552" s="249" t="s">
        <v>2078</v>
      </c>
      <c r="CN552" s="252"/>
      <c r="CO552" s="252"/>
      <c r="CP552" s="249" t="s">
        <v>2078</v>
      </c>
      <c r="CQ552" s="247"/>
      <c r="CT552" s="249" t="s">
        <v>2088</v>
      </c>
      <c r="CX552" s="249" t="s">
        <v>2078</v>
      </c>
      <c r="DB552" s="249" t="s">
        <v>2078</v>
      </c>
    </row>
    <row r="553" spans="44:106" ht="15" customHeight="1" x14ac:dyDescent="0.2">
      <c r="AR553" s="252"/>
      <c r="AS553" s="252"/>
      <c r="AT553" s="249" t="s">
        <v>2078</v>
      </c>
      <c r="AU553" s="247"/>
      <c r="AX553" s="249" t="s">
        <v>2088</v>
      </c>
      <c r="BB553" s="249" t="s">
        <v>2078</v>
      </c>
      <c r="BF553" s="249" t="s">
        <v>2078</v>
      </c>
      <c r="BH553" s="252"/>
      <c r="BI553" s="252"/>
      <c r="BJ553" s="249" t="s">
        <v>2078</v>
      </c>
      <c r="BK553" s="247"/>
      <c r="BN553" s="249" t="s">
        <v>2088</v>
      </c>
      <c r="BR553" s="249" t="s">
        <v>2078</v>
      </c>
      <c r="BV553" s="249" t="s">
        <v>2078</v>
      </c>
      <c r="BX553" s="252"/>
      <c r="BY553" s="252"/>
      <c r="BZ553" s="249" t="s">
        <v>2078</v>
      </c>
      <c r="CA553" s="247"/>
      <c r="CD553" s="249" t="s">
        <v>2088</v>
      </c>
      <c r="CH553" s="249" t="s">
        <v>2078</v>
      </c>
      <c r="CL553" s="249" t="s">
        <v>2078</v>
      </c>
      <c r="CN553" s="252"/>
      <c r="CO553" s="252"/>
      <c r="CP553" s="249" t="s">
        <v>2078</v>
      </c>
      <c r="CQ553" s="247"/>
      <c r="CT553" s="249" t="s">
        <v>2088</v>
      </c>
      <c r="CX553" s="249" t="s">
        <v>2078</v>
      </c>
      <c r="DB553" s="249" t="s">
        <v>2078</v>
      </c>
    </row>
    <row r="554" spans="44:106" ht="15" customHeight="1" x14ac:dyDescent="0.2">
      <c r="AR554" s="252"/>
      <c r="AS554" s="252"/>
      <c r="AT554" s="249" t="s">
        <v>2078</v>
      </c>
      <c r="AU554" s="247"/>
      <c r="AX554" s="249" t="s">
        <v>2088</v>
      </c>
      <c r="BB554" s="249" t="s">
        <v>2078</v>
      </c>
      <c r="BF554" s="249" t="s">
        <v>2078</v>
      </c>
      <c r="BH554" s="252"/>
      <c r="BI554" s="252"/>
      <c r="BJ554" s="249" t="s">
        <v>2078</v>
      </c>
      <c r="BK554" s="247"/>
      <c r="BN554" s="249" t="s">
        <v>2088</v>
      </c>
      <c r="BR554" s="249" t="s">
        <v>2078</v>
      </c>
      <c r="BV554" s="249" t="s">
        <v>2078</v>
      </c>
      <c r="BX554" s="252"/>
      <c r="BY554" s="252"/>
      <c r="BZ554" s="249" t="s">
        <v>2078</v>
      </c>
      <c r="CA554" s="247"/>
      <c r="CD554" s="249" t="s">
        <v>2088</v>
      </c>
      <c r="CH554" s="249" t="s">
        <v>2078</v>
      </c>
      <c r="CL554" s="249" t="s">
        <v>2078</v>
      </c>
      <c r="CN554" s="252"/>
      <c r="CO554" s="252"/>
      <c r="CP554" s="249" t="s">
        <v>2078</v>
      </c>
      <c r="CQ554" s="247"/>
      <c r="CT554" s="249" t="s">
        <v>2088</v>
      </c>
      <c r="CX554" s="249" t="s">
        <v>2078</v>
      </c>
      <c r="DB554" s="249" t="s">
        <v>2078</v>
      </c>
    </row>
    <row r="555" spans="44:106" ht="15" customHeight="1" x14ac:dyDescent="0.2">
      <c r="AR555" s="252"/>
      <c r="AS555" s="252"/>
      <c r="AT555" s="249" t="s">
        <v>2078</v>
      </c>
      <c r="AU555" s="247"/>
      <c r="AX555" s="249" t="s">
        <v>2088</v>
      </c>
      <c r="BB555" s="249" t="s">
        <v>2078</v>
      </c>
      <c r="BF555" s="249" t="s">
        <v>2078</v>
      </c>
      <c r="BH555" s="252"/>
      <c r="BI555" s="252"/>
      <c r="BJ555" s="249" t="s">
        <v>2078</v>
      </c>
      <c r="BK555" s="247"/>
      <c r="BN555" s="249" t="s">
        <v>2088</v>
      </c>
      <c r="BR555" s="249" t="s">
        <v>2078</v>
      </c>
      <c r="BV555" s="249" t="s">
        <v>2078</v>
      </c>
      <c r="BX555" s="252"/>
      <c r="BY555" s="252"/>
      <c r="BZ555" s="249" t="s">
        <v>2078</v>
      </c>
      <c r="CA555" s="247"/>
      <c r="CD555" s="249" t="s">
        <v>2088</v>
      </c>
      <c r="CH555" s="249" t="s">
        <v>2078</v>
      </c>
      <c r="CL555" s="249" t="s">
        <v>2078</v>
      </c>
      <c r="CN555" s="252"/>
      <c r="CO555" s="252"/>
      <c r="CP555" s="249" t="s">
        <v>2078</v>
      </c>
      <c r="CQ555" s="247"/>
      <c r="CT555" s="249" t="s">
        <v>2088</v>
      </c>
      <c r="CX555" s="249" t="s">
        <v>2078</v>
      </c>
      <c r="DB555" s="249" t="s">
        <v>2078</v>
      </c>
    </row>
    <row r="556" spans="44:106" ht="15" customHeight="1" x14ac:dyDescent="0.2">
      <c r="AR556" s="252"/>
      <c r="AS556" s="252"/>
      <c r="AT556" s="249" t="s">
        <v>2078</v>
      </c>
      <c r="AU556" s="247"/>
      <c r="AX556" s="249" t="s">
        <v>2088</v>
      </c>
      <c r="BB556" s="249" t="s">
        <v>2078</v>
      </c>
      <c r="BF556" s="249" t="s">
        <v>2078</v>
      </c>
      <c r="BH556" s="252"/>
      <c r="BI556" s="252"/>
      <c r="BJ556" s="249" t="s">
        <v>2078</v>
      </c>
      <c r="BK556" s="247"/>
      <c r="BN556" s="249" t="s">
        <v>2088</v>
      </c>
      <c r="BR556" s="249" t="s">
        <v>2078</v>
      </c>
      <c r="BV556" s="249" t="s">
        <v>2078</v>
      </c>
      <c r="BX556" s="252"/>
      <c r="BY556" s="252"/>
      <c r="BZ556" s="249" t="s">
        <v>2078</v>
      </c>
      <c r="CA556" s="247"/>
      <c r="CD556" s="249" t="s">
        <v>2088</v>
      </c>
      <c r="CH556" s="249" t="s">
        <v>2078</v>
      </c>
      <c r="CL556" s="249" t="s">
        <v>2078</v>
      </c>
      <c r="CN556" s="252"/>
      <c r="CO556" s="252"/>
      <c r="CP556" s="249" t="s">
        <v>2078</v>
      </c>
      <c r="CQ556" s="247"/>
      <c r="CT556" s="249" t="s">
        <v>2088</v>
      </c>
      <c r="CX556" s="249" t="s">
        <v>2078</v>
      </c>
      <c r="DB556" s="249" t="s">
        <v>2078</v>
      </c>
    </row>
    <row r="557" spans="44:106" ht="15" customHeight="1" x14ac:dyDescent="0.2">
      <c r="AR557" s="252"/>
      <c r="AS557" s="252"/>
      <c r="AT557" s="249" t="s">
        <v>2078</v>
      </c>
      <c r="AU557" s="247"/>
      <c r="AX557" s="249" t="s">
        <v>2088</v>
      </c>
      <c r="BB557" s="249" t="s">
        <v>2078</v>
      </c>
      <c r="BF557" s="249" t="s">
        <v>2078</v>
      </c>
      <c r="BH557" s="252"/>
      <c r="BI557" s="252"/>
      <c r="BJ557" s="249" t="s">
        <v>2078</v>
      </c>
      <c r="BK557" s="247"/>
      <c r="BN557" s="249" t="s">
        <v>2088</v>
      </c>
      <c r="BR557" s="249" t="s">
        <v>2078</v>
      </c>
      <c r="BV557" s="249" t="s">
        <v>2078</v>
      </c>
      <c r="BX557" s="252"/>
      <c r="BY557" s="252"/>
      <c r="BZ557" s="249" t="s">
        <v>2078</v>
      </c>
      <c r="CA557" s="247"/>
      <c r="CD557" s="249" t="s">
        <v>2088</v>
      </c>
      <c r="CH557" s="249" t="s">
        <v>2078</v>
      </c>
      <c r="CL557" s="249" t="s">
        <v>2078</v>
      </c>
      <c r="CN557" s="252"/>
      <c r="CO557" s="252"/>
      <c r="CP557" s="249" t="s">
        <v>2078</v>
      </c>
      <c r="CQ557" s="247"/>
      <c r="CT557" s="249" t="s">
        <v>2088</v>
      </c>
      <c r="CX557" s="249" t="s">
        <v>2078</v>
      </c>
      <c r="DB557" s="249" t="s">
        <v>2078</v>
      </c>
    </row>
    <row r="558" spans="44:106" ht="15" customHeight="1" x14ac:dyDescent="0.2">
      <c r="AR558" s="252"/>
      <c r="AS558" s="252"/>
      <c r="AT558" s="249" t="s">
        <v>2078</v>
      </c>
      <c r="AU558" s="247"/>
      <c r="AX558" s="249" t="s">
        <v>2088</v>
      </c>
      <c r="BB558" s="249" t="s">
        <v>2078</v>
      </c>
      <c r="BF558" s="249" t="s">
        <v>2078</v>
      </c>
      <c r="BH558" s="252"/>
      <c r="BI558" s="252"/>
      <c r="BJ558" s="249" t="s">
        <v>2078</v>
      </c>
      <c r="BK558" s="247"/>
      <c r="BN558" s="249" t="s">
        <v>2088</v>
      </c>
      <c r="BR558" s="249" t="s">
        <v>2078</v>
      </c>
      <c r="BV558" s="249" t="s">
        <v>2078</v>
      </c>
      <c r="BX558" s="252"/>
      <c r="BY558" s="252"/>
      <c r="BZ558" s="249" t="s">
        <v>2078</v>
      </c>
      <c r="CA558" s="247"/>
      <c r="CD558" s="249" t="s">
        <v>2088</v>
      </c>
      <c r="CH558" s="249" t="s">
        <v>2078</v>
      </c>
      <c r="CL558" s="249" t="s">
        <v>2078</v>
      </c>
      <c r="CN558" s="252"/>
      <c r="CO558" s="252"/>
      <c r="CP558" s="249" t="s">
        <v>2078</v>
      </c>
      <c r="CQ558" s="247"/>
      <c r="CT558" s="249" t="s">
        <v>2088</v>
      </c>
      <c r="CX558" s="249" t="s">
        <v>2078</v>
      </c>
      <c r="DB558" s="249" t="s">
        <v>2078</v>
      </c>
    </row>
    <row r="559" spans="44:106" ht="15" customHeight="1" x14ac:dyDescent="0.2">
      <c r="AR559" s="252"/>
      <c r="AS559" s="252"/>
      <c r="AT559" s="249" t="s">
        <v>2078</v>
      </c>
      <c r="AU559" s="247"/>
      <c r="AX559" s="249" t="s">
        <v>2088</v>
      </c>
      <c r="BB559" s="249" t="s">
        <v>2078</v>
      </c>
      <c r="BF559" s="249" t="s">
        <v>2078</v>
      </c>
      <c r="BH559" s="252"/>
      <c r="BI559" s="252"/>
      <c r="BJ559" s="249" t="s">
        <v>2078</v>
      </c>
      <c r="BK559" s="247"/>
      <c r="BN559" s="249" t="s">
        <v>2088</v>
      </c>
      <c r="BR559" s="249" t="s">
        <v>2078</v>
      </c>
      <c r="BV559" s="249" t="s">
        <v>2078</v>
      </c>
      <c r="BX559" s="252"/>
      <c r="BY559" s="252"/>
      <c r="BZ559" s="249" t="s">
        <v>2078</v>
      </c>
      <c r="CA559" s="247"/>
      <c r="CD559" s="249" t="s">
        <v>2088</v>
      </c>
      <c r="CH559" s="249" t="s">
        <v>2078</v>
      </c>
      <c r="CL559" s="249" t="s">
        <v>2078</v>
      </c>
      <c r="CN559" s="252"/>
      <c r="CO559" s="252"/>
      <c r="CP559" s="249" t="s">
        <v>2078</v>
      </c>
      <c r="CQ559" s="247"/>
      <c r="CT559" s="249" t="s">
        <v>2088</v>
      </c>
      <c r="CX559" s="249" t="s">
        <v>2078</v>
      </c>
      <c r="DB559" s="249" t="s">
        <v>2078</v>
      </c>
    </row>
    <row r="560" spans="44:106" ht="15" customHeight="1" x14ac:dyDescent="0.2">
      <c r="AR560" s="252"/>
      <c r="AS560" s="252"/>
      <c r="AT560" s="249" t="s">
        <v>2078</v>
      </c>
      <c r="AU560" s="247"/>
      <c r="AX560" s="249" t="s">
        <v>2088</v>
      </c>
      <c r="BB560" s="249" t="s">
        <v>2078</v>
      </c>
      <c r="BF560" s="249" t="s">
        <v>2078</v>
      </c>
      <c r="BH560" s="252"/>
      <c r="BI560" s="252"/>
      <c r="BJ560" s="249" t="s">
        <v>2078</v>
      </c>
      <c r="BK560" s="247"/>
      <c r="BN560" s="249" t="s">
        <v>2088</v>
      </c>
      <c r="BR560" s="249" t="s">
        <v>2078</v>
      </c>
      <c r="BV560" s="249" t="s">
        <v>2078</v>
      </c>
      <c r="BX560" s="252"/>
      <c r="BY560" s="252"/>
      <c r="BZ560" s="249" t="s">
        <v>2078</v>
      </c>
      <c r="CA560" s="247"/>
      <c r="CD560" s="249" t="s">
        <v>2088</v>
      </c>
      <c r="CH560" s="249" t="s">
        <v>2078</v>
      </c>
      <c r="CL560" s="249" t="s">
        <v>2078</v>
      </c>
      <c r="CN560" s="252"/>
      <c r="CO560" s="252"/>
      <c r="CP560" s="249" t="s">
        <v>2078</v>
      </c>
      <c r="CQ560" s="247"/>
      <c r="CT560" s="249" t="s">
        <v>2088</v>
      </c>
      <c r="CX560" s="249" t="s">
        <v>2078</v>
      </c>
      <c r="DB560" s="249" t="s">
        <v>2078</v>
      </c>
    </row>
    <row r="561" spans="44:106" ht="15" customHeight="1" x14ac:dyDescent="0.2">
      <c r="AR561" s="252"/>
      <c r="AS561" s="252"/>
      <c r="AT561" s="249" t="s">
        <v>2078</v>
      </c>
      <c r="AU561" s="247"/>
      <c r="AX561" s="249" t="s">
        <v>2088</v>
      </c>
      <c r="BB561" s="249" t="s">
        <v>2078</v>
      </c>
      <c r="BF561" s="249" t="s">
        <v>2078</v>
      </c>
      <c r="BH561" s="252"/>
      <c r="BI561" s="252"/>
      <c r="BJ561" s="249" t="s">
        <v>2078</v>
      </c>
      <c r="BK561" s="247"/>
      <c r="BN561" s="249" t="s">
        <v>2088</v>
      </c>
      <c r="BR561" s="249" t="s">
        <v>2078</v>
      </c>
      <c r="BV561" s="249" t="s">
        <v>2078</v>
      </c>
      <c r="BX561" s="252"/>
      <c r="BY561" s="252"/>
      <c r="BZ561" s="249" t="s">
        <v>2078</v>
      </c>
      <c r="CA561" s="247"/>
      <c r="CD561" s="249" t="s">
        <v>2088</v>
      </c>
      <c r="CH561" s="249" t="s">
        <v>2078</v>
      </c>
      <c r="CL561" s="249" t="s">
        <v>2078</v>
      </c>
      <c r="CN561" s="252"/>
      <c r="CO561" s="252"/>
      <c r="CP561" s="249" t="s">
        <v>2078</v>
      </c>
      <c r="CQ561" s="247"/>
      <c r="CT561" s="249" t="s">
        <v>2088</v>
      </c>
      <c r="CX561" s="249" t="s">
        <v>2078</v>
      </c>
      <c r="DB561" s="249" t="s">
        <v>2078</v>
      </c>
    </row>
    <row r="562" spans="44:106" ht="15" customHeight="1" x14ac:dyDescent="0.2">
      <c r="AR562" s="252"/>
      <c r="AS562" s="252"/>
      <c r="AT562" s="249" t="s">
        <v>2078</v>
      </c>
      <c r="AU562" s="247"/>
      <c r="AX562" s="249" t="s">
        <v>2088</v>
      </c>
      <c r="BB562" s="249" t="s">
        <v>2078</v>
      </c>
      <c r="BF562" s="249" t="s">
        <v>2078</v>
      </c>
      <c r="BH562" s="252"/>
      <c r="BI562" s="252"/>
      <c r="BJ562" s="249" t="s">
        <v>2078</v>
      </c>
      <c r="BK562" s="247"/>
      <c r="BN562" s="249" t="s">
        <v>2088</v>
      </c>
      <c r="BR562" s="249" t="s">
        <v>2078</v>
      </c>
      <c r="BV562" s="249" t="s">
        <v>2078</v>
      </c>
      <c r="BX562" s="252"/>
      <c r="BY562" s="252"/>
      <c r="BZ562" s="249" t="s">
        <v>2078</v>
      </c>
      <c r="CA562" s="247"/>
      <c r="CD562" s="249" t="s">
        <v>2088</v>
      </c>
      <c r="CH562" s="249" t="s">
        <v>2078</v>
      </c>
      <c r="CL562" s="249" t="s">
        <v>2078</v>
      </c>
      <c r="CN562" s="252"/>
      <c r="CO562" s="252"/>
      <c r="CP562" s="249" t="s">
        <v>2078</v>
      </c>
      <c r="CQ562" s="247"/>
      <c r="CT562" s="249" t="s">
        <v>2088</v>
      </c>
      <c r="CX562" s="249" t="s">
        <v>2078</v>
      </c>
      <c r="DB562" s="249" t="s">
        <v>2078</v>
      </c>
    </row>
    <row r="563" spans="44:106" ht="15" customHeight="1" x14ac:dyDescent="0.2">
      <c r="AR563" s="252"/>
      <c r="AS563" s="252"/>
      <c r="AT563" s="249" t="s">
        <v>2078</v>
      </c>
      <c r="AU563" s="247"/>
      <c r="AX563" s="249" t="s">
        <v>2088</v>
      </c>
      <c r="BB563" s="249" t="s">
        <v>2078</v>
      </c>
      <c r="BF563" s="249" t="s">
        <v>2078</v>
      </c>
      <c r="BH563" s="252"/>
      <c r="BI563" s="252"/>
      <c r="BJ563" s="249" t="s">
        <v>2078</v>
      </c>
      <c r="BK563" s="247"/>
      <c r="BN563" s="249" t="s">
        <v>2088</v>
      </c>
      <c r="BR563" s="249" t="s">
        <v>2078</v>
      </c>
      <c r="BV563" s="249" t="s">
        <v>2078</v>
      </c>
      <c r="BX563" s="252"/>
      <c r="BY563" s="252"/>
      <c r="BZ563" s="249" t="s">
        <v>2078</v>
      </c>
      <c r="CA563" s="247"/>
      <c r="CD563" s="249" t="s">
        <v>2088</v>
      </c>
      <c r="CH563" s="249" t="s">
        <v>2078</v>
      </c>
      <c r="CL563" s="249" t="s">
        <v>2078</v>
      </c>
      <c r="CN563" s="252"/>
      <c r="CO563" s="252"/>
      <c r="CP563" s="249" t="s">
        <v>2078</v>
      </c>
      <c r="CQ563" s="247"/>
      <c r="CT563" s="249" t="s">
        <v>2088</v>
      </c>
      <c r="CX563" s="249" t="s">
        <v>2078</v>
      </c>
      <c r="DB563" s="249" t="s">
        <v>2078</v>
      </c>
    </row>
    <row r="564" spans="44:106" ht="15" customHeight="1" x14ac:dyDescent="0.2">
      <c r="AR564" s="252"/>
      <c r="AS564" s="252"/>
      <c r="AT564" s="249" t="s">
        <v>2078</v>
      </c>
      <c r="AU564" s="247"/>
      <c r="AX564" s="249" t="s">
        <v>2088</v>
      </c>
      <c r="BB564" s="249" t="s">
        <v>2078</v>
      </c>
      <c r="BF564" s="249" t="s">
        <v>2078</v>
      </c>
      <c r="BH564" s="252"/>
      <c r="BI564" s="252"/>
      <c r="BJ564" s="249" t="s">
        <v>2078</v>
      </c>
      <c r="BK564" s="247"/>
      <c r="BN564" s="249" t="s">
        <v>2088</v>
      </c>
      <c r="BR564" s="249" t="s">
        <v>2078</v>
      </c>
      <c r="BV564" s="249" t="s">
        <v>2078</v>
      </c>
      <c r="BX564" s="252"/>
      <c r="BY564" s="252"/>
      <c r="BZ564" s="249" t="s">
        <v>2078</v>
      </c>
      <c r="CA564" s="247"/>
      <c r="CD564" s="249" t="s">
        <v>2088</v>
      </c>
      <c r="CH564" s="249" t="s">
        <v>2078</v>
      </c>
      <c r="CL564" s="249" t="s">
        <v>2078</v>
      </c>
      <c r="CN564" s="252"/>
      <c r="CO564" s="252"/>
      <c r="CP564" s="249" t="s">
        <v>2078</v>
      </c>
      <c r="CQ564" s="247"/>
      <c r="CT564" s="249" t="s">
        <v>2088</v>
      </c>
      <c r="CX564" s="249" t="s">
        <v>2078</v>
      </c>
      <c r="DB564" s="249" t="s">
        <v>2078</v>
      </c>
    </row>
    <row r="565" spans="44:106" ht="15" customHeight="1" x14ac:dyDescent="0.2">
      <c r="AR565" s="252"/>
      <c r="AS565" s="252"/>
      <c r="AT565" s="249" t="s">
        <v>2078</v>
      </c>
      <c r="AU565" s="247"/>
      <c r="AX565" s="249" t="s">
        <v>2088</v>
      </c>
      <c r="BB565" s="249" t="s">
        <v>2078</v>
      </c>
      <c r="BF565" s="249" t="s">
        <v>2078</v>
      </c>
      <c r="BH565" s="252"/>
      <c r="BI565" s="252"/>
      <c r="BJ565" s="249" t="s">
        <v>2078</v>
      </c>
      <c r="BK565" s="247"/>
      <c r="BN565" s="249" t="s">
        <v>2088</v>
      </c>
      <c r="BR565" s="249" t="s">
        <v>2078</v>
      </c>
      <c r="BV565" s="249" t="s">
        <v>2078</v>
      </c>
      <c r="BX565" s="252"/>
      <c r="BY565" s="252"/>
      <c r="BZ565" s="249" t="s">
        <v>2078</v>
      </c>
      <c r="CA565" s="247"/>
      <c r="CD565" s="249" t="s">
        <v>2088</v>
      </c>
      <c r="CH565" s="249" t="s">
        <v>2078</v>
      </c>
      <c r="CL565" s="249" t="s">
        <v>2078</v>
      </c>
      <c r="CN565" s="252"/>
      <c r="CO565" s="252"/>
      <c r="CP565" s="249" t="s">
        <v>2078</v>
      </c>
      <c r="CQ565" s="247"/>
      <c r="CT565" s="249" t="s">
        <v>2088</v>
      </c>
      <c r="CX565" s="249" t="s">
        <v>2078</v>
      </c>
      <c r="DB565" s="249" t="s">
        <v>2078</v>
      </c>
    </row>
    <row r="566" spans="44:106" ht="15" customHeight="1" x14ac:dyDescent="0.2">
      <c r="AR566" s="252"/>
      <c r="AS566" s="252"/>
      <c r="AT566" s="249" t="s">
        <v>2078</v>
      </c>
      <c r="AU566" s="247"/>
      <c r="AX566" s="249" t="s">
        <v>2088</v>
      </c>
      <c r="BB566" s="249" t="s">
        <v>2078</v>
      </c>
      <c r="BF566" s="249" t="s">
        <v>2078</v>
      </c>
      <c r="BH566" s="252"/>
      <c r="BI566" s="252"/>
      <c r="BJ566" s="249" t="s">
        <v>2078</v>
      </c>
      <c r="BK566" s="247"/>
      <c r="BN566" s="249" t="s">
        <v>2088</v>
      </c>
      <c r="BR566" s="249" t="s">
        <v>2078</v>
      </c>
      <c r="BV566" s="249" t="s">
        <v>2078</v>
      </c>
      <c r="BX566" s="252"/>
      <c r="BY566" s="252"/>
      <c r="BZ566" s="249" t="s">
        <v>2078</v>
      </c>
      <c r="CA566" s="247"/>
      <c r="CD566" s="249" t="s">
        <v>2088</v>
      </c>
      <c r="CH566" s="249" t="s">
        <v>2078</v>
      </c>
      <c r="CL566" s="249" t="s">
        <v>2078</v>
      </c>
      <c r="CN566" s="252"/>
      <c r="CO566" s="252"/>
      <c r="CP566" s="249" t="s">
        <v>2078</v>
      </c>
      <c r="CQ566" s="247"/>
      <c r="CT566" s="249" t="s">
        <v>2088</v>
      </c>
      <c r="CX566" s="249" t="s">
        <v>2078</v>
      </c>
      <c r="DB566" s="249" t="s">
        <v>2078</v>
      </c>
    </row>
    <row r="567" spans="44:106" ht="15" customHeight="1" x14ac:dyDescent="0.2">
      <c r="AR567" s="252"/>
      <c r="AS567" s="252"/>
      <c r="AT567" s="249" t="s">
        <v>2078</v>
      </c>
      <c r="AU567" s="247"/>
      <c r="AX567" s="249" t="s">
        <v>2088</v>
      </c>
      <c r="BB567" s="249" t="s">
        <v>2078</v>
      </c>
      <c r="BF567" s="249" t="s">
        <v>2078</v>
      </c>
      <c r="BH567" s="252"/>
      <c r="BI567" s="252"/>
      <c r="BJ567" s="249" t="s">
        <v>2078</v>
      </c>
      <c r="BK567" s="247"/>
      <c r="BN567" s="249" t="s">
        <v>2088</v>
      </c>
      <c r="BR567" s="249" t="s">
        <v>2078</v>
      </c>
      <c r="BV567" s="249" t="s">
        <v>2078</v>
      </c>
      <c r="BX567" s="252"/>
      <c r="BY567" s="252"/>
      <c r="BZ567" s="249" t="s">
        <v>2078</v>
      </c>
      <c r="CA567" s="247"/>
      <c r="CD567" s="249" t="s">
        <v>2088</v>
      </c>
      <c r="CH567" s="249" t="s">
        <v>2078</v>
      </c>
      <c r="CL567" s="249" t="s">
        <v>2078</v>
      </c>
      <c r="CN567" s="252"/>
      <c r="CO567" s="252"/>
      <c r="CP567" s="249" t="s">
        <v>2078</v>
      </c>
      <c r="CQ567" s="247"/>
      <c r="CT567" s="249" t="s">
        <v>2088</v>
      </c>
      <c r="CX567" s="249" t="s">
        <v>2078</v>
      </c>
      <c r="DB567" s="249" t="s">
        <v>2078</v>
      </c>
    </row>
    <row r="568" spans="44:106" ht="15" customHeight="1" x14ac:dyDescent="0.2">
      <c r="AR568" s="252"/>
      <c r="AS568" s="252"/>
      <c r="AT568" s="249" t="s">
        <v>2078</v>
      </c>
      <c r="AU568" s="247"/>
      <c r="AX568" s="249" t="s">
        <v>2088</v>
      </c>
      <c r="BB568" s="249" t="s">
        <v>2078</v>
      </c>
      <c r="BF568" s="249" t="s">
        <v>2078</v>
      </c>
      <c r="BH568" s="252"/>
      <c r="BI568" s="252"/>
      <c r="BJ568" s="249" t="s">
        <v>2078</v>
      </c>
      <c r="BK568" s="247"/>
      <c r="BN568" s="249" t="s">
        <v>2088</v>
      </c>
      <c r="BR568" s="249" t="s">
        <v>2078</v>
      </c>
      <c r="BV568" s="249" t="s">
        <v>2078</v>
      </c>
      <c r="BX568" s="252"/>
      <c r="BY568" s="252"/>
      <c r="BZ568" s="249" t="s">
        <v>2078</v>
      </c>
      <c r="CA568" s="247"/>
      <c r="CD568" s="249" t="s">
        <v>2088</v>
      </c>
      <c r="CH568" s="249" t="s">
        <v>2078</v>
      </c>
      <c r="CL568" s="249" t="s">
        <v>2078</v>
      </c>
      <c r="CN568" s="252"/>
      <c r="CO568" s="252"/>
      <c r="CP568" s="249" t="s">
        <v>2078</v>
      </c>
      <c r="CQ568" s="247"/>
      <c r="CT568" s="249" t="s">
        <v>2088</v>
      </c>
      <c r="CX568" s="249" t="s">
        <v>2078</v>
      </c>
      <c r="DB568" s="249" t="s">
        <v>2078</v>
      </c>
    </row>
    <row r="569" spans="44:106" ht="15" customHeight="1" x14ac:dyDescent="0.2">
      <c r="AR569" s="252"/>
      <c r="AS569" s="252"/>
      <c r="AT569" s="249" t="s">
        <v>2078</v>
      </c>
      <c r="AU569" s="247"/>
      <c r="AX569" s="249" t="s">
        <v>2088</v>
      </c>
      <c r="BB569" s="249" t="s">
        <v>2078</v>
      </c>
      <c r="BF569" s="249" t="s">
        <v>2078</v>
      </c>
      <c r="BH569" s="252"/>
      <c r="BI569" s="252"/>
      <c r="BJ569" s="249" t="s">
        <v>2078</v>
      </c>
      <c r="BK569" s="247"/>
      <c r="BN569" s="249" t="s">
        <v>2088</v>
      </c>
      <c r="BR569" s="249" t="s">
        <v>2078</v>
      </c>
      <c r="BV569" s="249" t="s">
        <v>2078</v>
      </c>
      <c r="BX569" s="252"/>
      <c r="BY569" s="252"/>
      <c r="BZ569" s="249" t="s">
        <v>2078</v>
      </c>
      <c r="CA569" s="247"/>
      <c r="CD569" s="249" t="s">
        <v>2088</v>
      </c>
      <c r="CH569" s="249" t="s">
        <v>2078</v>
      </c>
      <c r="CL569" s="249" t="s">
        <v>2078</v>
      </c>
      <c r="CN569" s="252"/>
      <c r="CO569" s="252"/>
      <c r="CP569" s="249" t="s">
        <v>2078</v>
      </c>
      <c r="CQ569" s="247"/>
      <c r="CT569" s="249" t="s">
        <v>2088</v>
      </c>
      <c r="CX569" s="249" t="s">
        <v>2078</v>
      </c>
      <c r="DB569" s="249" t="s">
        <v>2078</v>
      </c>
    </row>
    <row r="570" spans="44:106" ht="15" customHeight="1" x14ac:dyDescent="0.2">
      <c r="AR570" s="252"/>
      <c r="AS570" s="252"/>
      <c r="AT570" s="249" t="s">
        <v>2078</v>
      </c>
      <c r="AU570" s="247"/>
      <c r="AX570" s="249" t="s">
        <v>2088</v>
      </c>
      <c r="BB570" s="249" t="s">
        <v>2078</v>
      </c>
      <c r="BF570" s="249" t="s">
        <v>2078</v>
      </c>
      <c r="BH570" s="252"/>
      <c r="BI570" s="252"/>
      <c r="BJ570" s="249" t="s">
        <v>2078</v>
      </c>
      <c r="BK570" s="247"/>
      <c r="BN570" s="249" t="s">
        <v>2088</v>
      </c>
      <c r="BR570" s="249" t="s">
        <v>2078</v>
      </c>
      <c r="BV570" s="249" t="s">
        <v>2078</v>
      </c>
      <c r="BX570" s="252"/>
      <c r="BY570" s="252"/>
      <c r="BZ570" s="249" t="s">
        <v>2078</v>
      </c>
      <c r="CA570" s="247"/>
      <c r="CD570" s="249" t="s">
        <v>2088</v>
      </c>
      <c r="CH570" s="249" t="s">
        <v>2078</v>
      </c>
      <c r="CL570" s="249" t="s">
        <v>2078</v>
      </c>
      <c r="CN570" s="252"/>
      <c r="CO570" s="252"/>
      <c r="CP570" s="249" t="s">
        <v>2078</v>
      </c>
      <c r="CQ570" s="247"/>
      <c r="CT570" s="249" t="s">
        <v>2088</v>
      </c>
      <c r="CX570" s="249" t="s">
        <v>2078</v>
      </c>
      <c r="DB570" s="249" t="s">
        <v>2078</v>
      </c>
    </row>
    <row r="571" spans="44:106" ht="15" customHeight="1" x14ac:dyDescent="0.2">
      <c r="AR571" s="252"/>
      <c r="AS571" s="252"/>
      <c r="AT571" s="249" t="s">
        <v>2078</v>
      </c>
      <c r="AU571" s="247"/>
      <c r="AX571" s="249" t="s">
        <v>2088</v>
      </c>
      <c r="BB571" s="249" t="s">
        <v>2078</v>
      </c>
      <c r="BF571" s="249" t="s">
        <v>2078</v>
      </c>
      <c r="BH571" s="252"/>
      <c r="BI571" s="252"/>
      <c r="BJ571" s="249" t="s">
        <v>2078</v>
      </c>
      <c r="BK571" s="247"/>
      <c r="BN571" s="249" t="s">
        <v>2088</v>
      </c>
      <c r="BR571" s="249" t="s">
        <v>2078</v>
      </c>
      <c r="BV571" s="249" t="s">
        <v>2078</v>
      </c>
      <c r="BX571" s="252"/>
      <c r="BY571" s="252"/>
      <c r="BZ571" s="249" t="s">
        <v>2078</v>
      </c>
      <c r="CA571" s="247"/>
      <c r="CD571" s="249" t="s">
        <v>2088</v>
      </c>
      <c r="CH571" s="249" t="s">
        <v>2078</v>
      </c>
      <c r="CL571" s="249" t="s">
        <v>2078</v>
      </c>
      <c r="CN571" s="252"/>
      <c r="CO571" s="252"/>
      <c r="CP571" s="249" t="s">
        <v>2078</v>
      </c>
      <c r="CQ571" s="247"/>
      <c r="CT571" s="249" t="s">
        <v>2088</v>
      </c>
      <c r="CX571" s="249" t="s">
        <v>2078</v>
      </c>
      <c r="DB571" s="249" t="s">
        <v>2078</v>
      </c>
    </row>
    <row r="572" spans="44:106" ht="15" customHeight="1" x14ac:dyDescent="0.2">
      <c r="AR572" s="252"/>
      <c r="AS572" s="252"/>
      <c r="AT572" s="249" t="s">
        <v>2078</v>
      </c>
      <c r="AU572" s="247"/>
      <c r="AX572" s="249" t="s">
        <v>2088</v>
      </c>
      <c r="BB572" s="249" t="s">
        <v>2078</v>
      </c>
      <c r="BF572" s="249" t="s">
        <v>2078</v>
      </c>
      <c r="BH572" s="252"/>
      <c r="BI572" s="252"/>
      <c r="BJ572" s="249" t="s">
        <v>2078</v>
      </c>
      <c r="BK572" s="247"/>
      <c r="BN572" s="249" t="s">
        <v>2088</v>
      </c>
      <c r="BR572" s="249" t="s">
        <v>2078</v>
      </c>
      <c r="BV572" s="249" t="s">
        <v>2078</v>
      </c>
      <c r="BX572" s="252"/>
      <c r="BY572" s="252"/>
      <c r="BZ572" s="249" t="s">
        <v>2078</v>
      </c>
      <c r="CA572" s="247"/>
      <c r="CD572" s="249" t="s">
        <v>2088</v>
      </c>
      <c r="CH572" s="249" t="s">
        <v>2078</v>
      </c>
      <c r="CL572" s="249" t="s">
        <v>2078</v>
      </c>
      <c r="CN572" s="252"/>
      <c r="CO572" s="252"/>
      <c r="CP572" s="249" t="s">
        <v>2078</v>
      </c>
      <c r="CQ572" s="247"/>
      <c r="CT572" s="249" t="s">
        <v>2088</v>
      </c>
      <c r="CX572" s="249" t="s">
        <v>2078</v>
      </c>
      <c r="DB572" s="249" t="s">
        <v>2078</v>
      </c>
    </row>
    <row r="573" spans="44:106" ht="15" customHeight="1" x14ac:dyDescent="0.2">
      <c r="AR573" s="252"/>
      <c r="AS573" s="252"/>
      <c r="AT573" s="249" t="s">
        <v>2078</v>
      </c>
      <c r="AU573" s="247"/>
      <c r="AX573" s="249" t="s">
        <v>2088</v>
      </c>
      <c r="BB573" s="249" t="s">
        <v>2078</v>
      </c>
      <c r="BF573" s="249" t="s">
        <v>2078</v>
      </c>
      <c r="BH573" s="252"/>
      <c r="BI573" s="252"/>
      <c r="BJ573" s="249" t="s">
        <v>2078</v>
      </c>
      <c r="BK573" s="247"/>
      <c r="BN573" s="249" t="s">
        <v>2088</v>
      </c>
      <c r="BR573" s="249" t="s">
        <v>2078</v>
      </c>
      <c r="BV573" s="249" t="s">
        <v>2078</v>
      </c>
      <c r="BX573" s="252"/>
      <c r="BY573" s="252"/>
      <c r="BZ573" s="249" t="s">
        <v>2078</v>
      </c>
      <c r="CA573" s="247"/>
      <c r="CD573" s="249" t="s">
        <v>2088</v>
      </c>
      <c r="CH573" s="249" t="s">
        <v>2078</v>
      </c>
      <c r="CL573" s="249" t="s">
        <v>2078</v>
      </c>
      <c r="CN573" s="252"/>
      <c r="CO573" s="252"/>
      <c r="CP573" s="249" t="s">
        <v>2078</v>
      </c>
      <c r="CQ573" s="247"/>
      <c r="CT573" s="249" t="s">
        <v>2088</v>
      </c>
      <c r="CX573" s="249" t="s">
        <v>2078</v>
      </c>
      <c r="DB573" s="249" t="s">
        <v>2078</v>
      </c>
    </row>
    <row r="574" spans="44:106" ht="15" customHeight="1" x14ac:dyDescent="0.2">
      <c r="AR574" s="252"/>
      <c r="AS574" s="252"/>
      <c r="AT574" s="249" t="s">
        <v>2078</v>
      </c>
      <c r="AU574" s="247"/>
      <c r="AX574" s="249" t="s">
        <v>2088</v>
      </c>
      <c r="BB574" s="249" t="s">
        <v>2078</v>
      </c>
      <c r="BF574" s="249" t="s">
        <v>2078</v>
      </c>
      <c r="BH574" s="252"/>
      <c r="BI574" s="252"/>
      <c r="BJ574" s="249" t="s">
        <v>2078</v>
      </c>
      <c r="BK574" s="247"/>
      <c r="BN574" s="249" t="s">
        <v>2088</v>
      </c>
      <c r="BR574" s="249" t="s">
        <v>2078</v>
      </c>
      <c r="BV574" s="249" t="s">
        <v>2078</v>
      </c>
      <c r="BX574" s="252"/>
      <c r="BY574" s="252"/>
      <c r="BZ574" s="249" t="s">
        <v>2078</v>
      </c>
      <c r="CA574" s="247"/>
      <c r="CD574" s="249" t="s">
        <v>2088</v>
      </c>
      <c r="CH574" s="249" t="s">
        <v>2078</v>
      </c>
      <c r="CL574" s="249" t="s">
        <v>2078</v>
      </c>
      <c r="CN574" s="252"/>
      <c r="CO574" s="252"/>
      <c r="CP574" s="249" t="s">
        <v>2078</v>
      </c>
      <c r="CQ574" s="247"/>
      <c r="CT574" s="249" t="s">
        <v>2088</v>
      </c>
      <c r="CX574" s="249" t="s">
        <v>2078</v>
      </c>
      <c r="DB574" s="249" t="s">
        <v>2078</v>
      </c>
    </row>
    <row r="575" spans="44:106" ht="15" customHeight="1" x14ac:dyDescent="0.2">
      <c r="AR575" s="252"/>
      <c r="AS575" s="252"/>
      <c r="AT575" s="249" t="s">
        <v>2078</v>
      </c>
      <c r="AU575" s="247"/>
      <c r="AX575" s="249" t="s">
        <v>2088</v>
      </c>
      <c r="BB575" s="249" t="s">
        <v>2078</v>
      </c>
      <c r="BF575" s="249" t="s">
        <v>2078</v>
      </c>
      <c r="BH575" s="252"/>
      <c r="BI575" s="252"/>
      <c r="BJ575" s="249" t="s">
        <v>2078</v>
      </c>
      <c r="BK575" s="247"/>
      <c r="BN575" s="249" t="s">
        <v>2088</v>
      </c>
      <c r="BR575" s="249" t="s">
        <v>2078</v>
      </c>
      <c r="BV575" s="249" t="s">
        <v>2078</v>
      </c>
      <c r="BX575" s="252"/>
      <c r="BY575" s="252"/>
      <c r="BZ575" s="249" t="s">
        <v>2078</v>
      </c>
      <c r="CA575" s="247"/>
      <c r="CD575" s="249" t="s">
        <v>2088</v>
      </c>
      <c r="CH575" s="249" t="s">
        <v>2078</v>
      </c>
      <c r="CL575" s="249" t="s">
        <v>2078</v>
      </c>
      <c r="CN575" s="252"/>
      <c r="CO575" s="252"/>
      <c r="CP575" s="249" t="s">
        <v>2078</v>
      </c>
      <c r="CQ575" s="247"/>
      <c r="CT575" s="249" t="s">
        <v>2088</v>
      </c>
      <c r="CX575" s="249" t="s">
        <v>2078</v>
      </c>
      <c r="DB575" s="249" t="s">
        <v>2078</v>
      </c>
    </row>
    <row r="576" spans="44:106" ht="15" customHeight="1" x14ac:dyDescent="0.2">
      <c r="AR576" s="252"/>
      <c r="AS576" s="252"/>
      <c r="AT576" s="249" t="s">
        <v>2078</v>
      </c>
      <c r="AU576" s="247"/>
      <c r="AX576" s="249" t="s">
        <v>2088</v>
      </c>
      <c r="BB576" s="249" t="s">
        <v>2078</v>
      </c>
      <c r="BF576" s="249" t="s">
        <v>2078</v>
      </c>
      <c r="BH576" s="252"/>
      <c r="BI576" s="252"/>
      <c r="BJ576" s="249" t="s">
        <v>2078</v>
      </c>
      <c r="BK576" s="247"/>
      <c r="BN576" s="249" t="s">
        <v>2088</v>
      </c>
      <c r="BR576" s="249" t="s">
        <v>2078</v>
      </c>
      <c r="BV576" s="249" t="s">
        <v>2078</v>
      </c>
      <c r="BX576" s="252"/>
      <c r="BY576" s="252"/>
      <c r="BZ576" s="249" t="s">
        <v>2078</v>
      </c>
      <c r="CA576" s="247"/>
      <c r="CD576" s="249" t="s">
        <v>2088</v>
      </c>
      <c r="CH576" s="249" t="s">
        <v>2078</v>
      </c>
      <c r="CL576" s="249" t="s">
        <v>2078</v>
      </c>
      <c r="CN576" s="252"/>
      <c r="CO576" s="252"/>
      <c r="CP576" s="249" t="s">
        <v>2078</v>
      </c>
      <c r="CQ576" s="247"/>
      <c r="CT576" s="249" t="s">
        <v>2088</v>
      </c>
      <c r="CX576" s="249" t="s">
        <v>2078</v>
      </c>
      <c r="DB576" s="249" t="s">
        <v>2078</v>
      </c>
    </row>
    <row r="577" spans="44:106" ht="15" customHeight="1" x14ac:dyDescent="0.2">
      <c r="AR577" s="252"/>
      <c r="AS577" s="252"/>
      <c r="AT577" s="249" t="s">
        <v>2078</v>
      </c>
      <c r="AU577" s="247"/>
      <c r="AX577" s="249" t="s">
        <v>2088</v>
      </c>
      <c r="BB577" s="249" t="s">
        <v>2078</v>
      </c>
      <c r="BF577" s="249" t="s">
        <v>2078</v>
      </c>
      <c r="BH577" s="252"/>
      <c r="BI577" s="252"/>
      <c r="BJ577" s="249" t="s">
        <v>2078</v>
      </c>
      <c r="BK577" s="247"/>
      <c r="BN577" s="249" t="s">
        <v>2088</v>
      </c>
      <c r="BR577" s="249" t="s">
        <v>2078</v>
      </c>
      <c r="BV577" s="249" t="s">
        <v>2078</v>
      </c>
      <c r="BX577" s="252"/>
      <c r="BY577" s="252"/>
      <c r="BZ577" s="249" t="s">
        <v>2078</v>
      </c>
      <c r="CA577" s="247"/>
      <c r="CD577" s="249" t="s">
        <v>2088</v>
      </c>
      <c r="CH577" s="249" t="s">
        <v>2078</v>
      </c>
      <c r="CL577" s="249" t="s">
        <v>2078</v>
      </c>
      <c r="CN577" s="252"/>
      <c r="CO577" s="252"/>
      <c r="CP577" s="249" t="s">
        <v>2078</v>
      </c>
      <c r="CQ577" s="247"/>
      <c r="CT577" s="249" t="s">
        <v>2088</v>
      </c>
      <c r="CX577" s="249" t="s">
        <v>2078</v>
      </c>
      <c r="DB577" s="249" t="s">
        <v>2078</v>
      </c>
    </row>
    <row r="578" spans="44:106" ht="15" customHeight="1" x14ac:dyDescent="0.2">
      <c r="AR578" s="252"/>
      <c r="AS578" s="252"/>
      <c r="AT578" s="249" t="s">
        <v>2078</v>
      </c>
      <c r="AU578" s="247"/>
      <c r="AX578" s="249" t="s">
        <v>2088</v>
      </c>
      <c r="BB578" s="249" t="s">
        <v>2078</v>
      </c>
      <c r="BF578" s="249" t="s">
        <v>2078</v>
      </c>
      <c r="BH578" s="252"/>
      <c r="BI578" s="252"/>
      <c r="BJ578" s="249" t="s">
        <v>2078</v>
      </c>
      <c r="BK578" s="247"/>
      <c r="BN578" s="249" t="s">
        <v>2088</v>
      </c>
      <c r="BR578" s="249" t="s">
        <v>2078</v>
      </c>
      <c r="BV578" s="249" t="s">
        <v>2078</v>
      </c>
      <c r="BX578" s="252"/>
      <c r="BY578" s="252"/>
      <c r="BZ578" s="249" t="s">
        <v>2078</v>
      </c>
      <c r="CA578" s="247"/>
      <c r="CD578" s="249" t="s">
        <v>2088</v>
      </c>
      <c r="CH578" s="249" t="s">
        <v>2078</v>
      </c>
      <c r="CL578" s="249" t="s">
        <v>2078</v>
      </c>
      <c r="CN578" s="252"/>
      <c r="CO578" s="252"/>
      <c r="CP578" s="249" t="s">
        <v>2078</v>
      </c>
      <c r="CQ578" s="247"/>
      <c r="CT578" s="249" t="s">
        <v>2088</v>
      </c>
      <c r="CX578" s="249" t="s">
        <v>2078</v>
      </c>
      <c r="DB578" s="249" t="s">
        <v>2078</v>
      </c>
    </row>
    <row r="579" spans="44:106" ht="15" customHeight="1" x14ac:dyDescent="0.2">
      <c r="AR579" s="252"/>
      <c r="AS579" s="252"/>
      <c r="AT579" s="249" t="s">
        <v>2078</v>
      </c>
      <c r="AU579" s="247"/>
      <c r="AX579" s="249" t="s">
        <v>2088</v>
      </c>
      <c r="BB579" s="249" t="s">
        <v>2078</v>
      </c>
      <c r="BF579" s="249" t="s">
        <v>2078</v>
      </c>
      <c r="BH579" s="252"/>
      <c r="BI579" s="252"/>
      <c r="BJ579" s="249" t="s">
        <v>2078</v>
      </c>
      <c r="BK579" s="247"/>
      <c r="BN579" s="249" t="s">
        <v>2088</v>
      </c>
      <c r="BR579" s="249" t="s">
        <v>2078</v>
      </c>
      <c r="BV579" s="249" t="s">
        <v>2078</v>
      </c>
      <c r="BX579" s="252"/>
      <c r="BY579" s="252"/>
      <c r="BZ579" s="249" t="s">
        <v>2078</v>
      </c>
      <c r="CA579" s="247"/>
      <c r="CD579" s="249" t="s">
        <v>2088</v>
      </c>
      <c r="CH579" s="249" t="s">
        <v>2078</v>
      </c>
      <c r="CL579" s="249" t="s">
        <v>2078</v>
      </c>
      <c r="CN579" s="252"/>
      <c r="CO579" s="252"/>
      <c r="CP579" s="249" t="s">
        <v>2078</v>
      </c>
      <c r="CQ579" s="247"/>
      <c r="CT579" s="249" t="s">
        <v>2088</v>
      </c>
      <c r="CX579" s="249" t="s">
        <v>2078</v>
      </c>
      <c r="DB579" s="249" t="s">
        <v>2078</v>
      </c>
    </row>
    <row r="580" spans="44:106" ht="15" customHeight="1" x14ac:dyDescent="0.2">
      <c r="AR580" s="252"/>
      <c r="AS580" s="252"/>
      <c r="AT580" s="249" t="s">
        <v>2078</v>
      </c>
      <c r="AU580" s="247"/>
      <c r="AX580" s="249" t="s">
        <v>2088</v>
      </c>
      <c r="BB580" s="249" t="s">
        <v>2078</v>
      </c>
      <c r="BF580" s="249" t="s">
        <v>2078</v>
      </c>
      <c r="BH580" s="252"/>
      <c r="BI580" s="252"/>
      <c r="BJ580" s="249" t="s">
        <v>2078</v>
      </c>
      <c r="BK580" s="247"/>
      <c r="BN580" s="249" t="s">
        <v>2088</v>
      </c>
      <c r="BR580" s="249" t="s">
        <v>2078</v>
      </c>
      <c r="BV580" s="249" t="s">
        <v>2078</v>
      </c>
      <c r="BX580" s="252"/>
      <c r="BY580" s="252"/>
      <c r="BZ580" s="249" t="s">
        <v>2078</v>
      </c>
      <c r="CA580" s="247"/>
      <c r="CD580" s="249" t="s">
        <v>2088</v>
      </c>
      <c r="CH580" s="249" t="s">
        <v>2078</v>
      </c>
      <c r="CL580" s="249" t="s">
        <v>2078</v>
      </c>
      <c r="CN580" s="252"/>
      <c r="CO580" s="252"/>
      <c r="CP580" s="249" t="s">
        <v>2078</v>
      </c>
      <c r="CQ580" s="247"/>
      <c r="CT580" s="249" t="s">
        <v>2088</v>
      </c>
      <c r="CX580" s="249" t="s">
        <v>2078</v>
      </c>
      <c r="DB580" s="249" t="s">
        <v>2078</v>
      </c>
    </row>
    <row r="581" spans="44:106" ht="15" customHeight="1" x14ac:dyDescent="0.2">
      <c r="AR581" s="252"/>
      <c r="AS581" s="252"/>
      <c r="AT581" s="249" t="s">
        <v>2078</v>
      </c>
      <c r="AU581" s="247"/>
      <c r="AX581" s="249" t="s">
        <v>2088</v>
      </c>
      <c r="BB581" s="249" t="s">
        <v>2078</v>
      </c>
      <c r="BF581" s="249" t="s">
        <v>2078</v>
      </c>
      <c r="BH581" s="252"/>
      <c r="BI581" s="252"/>
      <c r="BJ581" s="249" t="s">
        <v>2078</v>
      </c>
      <c r="BK581" s="247"/>
      <c r="BN581" s="249" t="s">
        <v>2088</v>
      </c>
      <c r="BR581" s="249" t="s">
        <v>2078</v>
      </c>
      <c r="BV581" s="249" t="s">
        <v>2078</v>
      </c>
      <c r="BX581" s="252"/>
      <c r="BY581" s="252"/>
      <c r="BZ581" s="249" t="s">
        <v>2078</v>
      </c>
      <c r="CA581" s="247"/>
      <c r="CD581" s="249" t="s">
        <v>2088</v>
      </c>
      <c r="CH581" s="249" t="s">
        <v>2078</v>
      </c>
      <c r="CL581" s="249" t="s">
        <v>2078</v>
      </c>
      <c r="CN581" s="252"/>
      <c r="CO581" s="252"/>
      <c r="CP581" s="249" t="s">
        <v>2078</v>
      </c>
      <c r="CQ581" s="247"/>
      <c r="CT581" s="249" t="s">
        <v>2088</v>
      </c>
      <c r="CX581" s="249" t="s">
        <v>2078</v>
      </c>
      <c r="DB581" s="249" t="s">
        <v>2078</v>
      </c>
    </row>
    <row r="582" spans="44:106" ht="15" customHeight="1" x14ac:dyDescent="0.2">
      <c r="AR582" s="252"/>
      <c r="AS582" s="252"/>
      <c r="AT582" s="249" t="s">
        <v>2078</v>
      </c>
      <c r="AU582" s="247"/>
      <c r="AX582" s="249" t="s">
        <v>2088</v>
      </c>
      <c r="BB582" s="249" t="s">
        <v>2078</v>
      </c>
      <c r="BF582" s="249" t="s">
        <v>2078</v>
      </c>
      <c r="BH582" s="252"/>
      <c r="BI582" s="252"/>
      <c r="BJ582" s="249" t="s">
        <v>2078</v>
      </c>
      <c r="BK582" s="247"/>
      <c r="BN582" s="249" t="s">
        <v>2088</v>
      </c>
      <c r="BR582" s="249" t="s">
        <v>2078</v>
      </c>
      <c r="BV582" s="249" t="s">
        <v>2078</v>
      </c>
      <c r="BX582" s="252"/>
      <c r="BY582" s="252"/>
      <c r="BZ582" s="249" t="s">
        <v>2078</v>
      </c>
      <c r="CA582" s="247"/>
      <c r="CD582" s="249" t="s">
        <v>2088</v>
      </c>
      <c r="CH582" s="249" t="s">
        <v>2078</v>
      </c>
      <c r="CL582" s="249" t="s">
        <v>2078</v>
      </c>
      <c r="CN582" s="252"/>
      <c r="CO582" s="252"/>
      <c r="CP582" s="249" t="s">
        <v>2078</v>
      </c>
      <c r="CQ582" s="247"/>
      <c r="CT582" s="249" t="s">
        <v>2088</v>
      </c>
      <c r="CX582" s="249" t="s">
        <v>2078</v>
      </c>
      <c r="DB582" s="249" t="s">
        <v>2078</v>
      </c>
    </row>
    <row r="583" spans="44:106" ht="15" customHeight="1" x14ac:dyDescent="0.2">
      <c r="AR583" s="252"/>
      <c r="AS583" s="252"/>
      <c r="AT583" s="249" t="s">
        <v>2078</v>
      </c>
      <c r="AU583" s="247"/>
      <c r="AX583" s="249" t="s">
        <v>2088</v>
      </c>
      <c r="BB583" s="249" t="s">
        <v>2078</v>
      </c>
      <c r="BF583" s="249" t="s">
        <v>2078</v>
      </c>
      <c r="BH583" s="252"/>
      <c r="BI583" s="252"/>
      <c r="BJ583" s="249" t="s">
        <v>2078</v>
      </c>
      <c r="BK583" s="247"/>
      <c r="BN583" s="249" t="s">
        <v>2088</v>
      </c>
      <c r="BR583" s="249" t="s">
        <v>2078</v>
      </c>
      <c r="BV583" s="249" t="s">
        <v>2078</v>
      </c>
      <c r="BX583" s="252"/>
      <c r="BY583" s="252"/>
      <c r="BZ583" s="249" t="s">
        <v>2078</v>
      </c>
      <c r="CA583" s="247"/>
      <c r="CD583" s="249" t="s">
        <v>2088</v>
      </c>
      <c r="CH583" s="249" t="s">
        <v>2078</v>
      </c>
      <c r="CL583" s="249" t="s">
        <v>2078</v>
      </c>
      <c r="CN583" s="252"/>
      <c r="CO583" s="252"/>
      <c r="CP583" s="249" t="s">
        <v>2078</v>
      </c>
      <c r="CQ583" s="247"/>
      <c r="CT583" s="249" t="s">
        <v>2088</v>
      </c>
      <c r="CX583" s="249" t="s">
        <v>2078</v>
      </c>
      <c r="DB583" s="249" t="s">
        <v>2078</v>
      </c>
    </row>
    <row r="584" spans="44:106" ht="15" customHeight="1" x14ac:dyDescent="0.2">
      <c r="AR584" s="252"/>
      <c r="AS584" s="252"/>
      <c r="AT584" s="249" t="s">
        <v>2078</v>
      </c>
      <c r="AU584" s="247"/>
      <c r="AX584" s="249" t="s">
        <v>2088</v>
      </c>
      <c r="BB584" s="249" t="s">
        <v>2078</v>
      </c>
      <c r="BF584" s="249" t="s">
        <v>2078</v>
      </c>
      <c r="BH584" s="252"/>
      <c r="BI584" s="252"/>
      <c r="BJ584" s="249" t="s">
        <v>2078</v>
      </c>
      <c r="BK584" s="247"/>
      <c r="BN584" s="249" t="s">
        <v>2088</v>
      </c>
      <c r="BR584" s="249" t="s">
        <v>2078</v>
      </c>
      <c r="BV584" s="249" t="s">
        <v>2078</v>
      </c>
      <c r="BX584" s="252"/>
      <c r="BY584" s="252"/>
      <c r="BZ584" s="249" t="s">
        <v>2078</v>
      </c>
      <c r="CA584" s="247"/>
      <c r="CD584" s="249" t="s">
        <v>2088</v>
      </c>
      <c r="CH584" s="249" t="s">
        <v>2078</v>
      </c>
      <c r="CL584" s="249" t="s">
        <v>2078</v>
      </c>
      <c r="CN584" s="252"/>
      <c r="CO584" s="252"/>
      <c r="CP584" s="249" t="s">
        <v>2078</v>
      </c>
      <c r="CQ584" s="247"/>
      <c r="CT584" s="249" t="s">
        <v>2088</v>
      </c>
      <c r="CX584" s="249" t="s">
        <v>2078</v>
      </c>
      <c r="DB584" s="249" t="s">
        <v>2078</v>
      </c>
    </row>
    <row r="585" spans="44:106" ht="15" customHeight="1" x14ac:dyDescent="0.2">
      <c r="AR585" s="252"/>
      <c r="AS585" s="252"/>
      <c r="AT585" s="249" t="s">
        <v>2078</v>
      </c>
      <c r="AU585" s="247"/>
      <c r="AX585" s="249" t="s">
        <v>2088</v>
      </c>
      <c r="BB585" s="249" t="s">
        <v>2078</v>
      </c>
      <c r="BF585" s="249" t="s">
        <v>2078</v>
      </c>
      <c r="BH585" s="252"/>
      <c r="BI585" s="252"/>
      <c r="BJ585" s="249" t="s">
        <v>2078</v>
      </c>
      <c r="BK585" s="247"/>
      <c r="BN585" s="249" t="s">
        <v>2088</v>
      </c>
      <c r="BR585" s="249" t="s">
        <v>2078</v>
      </c>
      <c r="BV585" s="249" t="s">
        <v>2078</v>
      </c>
      <c r="BX585" s="252"/>
      <c r="BY585" s="252"/>
      <c r="BZ585" s="249" t="s">
        <v>2078</v>
      </c>
      <c r="CA585" s="247"/>
      <c r="CD585" s="249" t="s">
        <v>2088</v>
      </c>
      <c r="CH585" s="249" t="s">
        <v>2078</v>
      </c>
      <c r="CL585" s="249" t="s">
        <v>2078</v>
      </c>
      <c r="CN585" s="252"/>
      <c r="CO585" s="252"/>
      <c r="CP585" s="249" t="s">
        <v>2078</v>
      </c>
      <c r="CQ585" s="247"/>
      <c r="CT585" s="249" t="s">
        <v>2088</v>
      </c>
      <c r="CX585" s="249" t="s">
        <v>2078</v>
      </c>
      <c r="DB585" s="249" t="s">
        <v>2078</v>
      </c>
    </row>
    <row r="586" spans="44:106" ht="15" customHeight="1" x14ac:dyDescent="0.2">
      <c r="AR586" s="252"/>
      <c r="AS586" s="252"/>
      <c r="AT586" s="249" t="s">
        <v>2078</v>
      </c>
      <c r="AU586" s="247"/>
      <c r="AX586" s="249" t="s">
        <v>2088</v>
      </c>
      <c r="BB586" s="249" t="s">
        <v>2078</v>
      </c>
      <c r="BF586" s="249" t="s">
        <v>2078</v>
      </c>
      <c r="BH586" s="252"/>
      <c r="BI586" s="252"/>
      <c r="BJ586" s="249" t="s">
        <v>2078</v>
      </c>
      <c r="BK586" s="247"/>
      <c r="BN586" s="249" t="s">
        <v>2088</v>
      </c>
      <c r="BR586" s="249" t="s">
        <v>2078</v>
      </c>
      <c r="BV586" s="249" t="s">
        <v>2078</v>
      </c>
      <c r="BX586" s="252"/>
      <c r="BY586" s="252"/>
      <c r="BZ586" s="249" t="s">
        <v>2078</v>
      </c>
      <c r="CA586" s="247"/>
      <c r="CD586" s="249" t="s">
        <v>2088</v>
      </c>
      <c r="CH586" s="249" t="s">
        <v>2078</v>
      </c>
      <c r="CL586" s="249" t="s">
        <v>2078</v>
      </c>
      <c r="CN586" s="252"/>
      <c r="CO586" s="252"/>
      <c r="CP586" s="249" t="s">
        <v>2078</v>
      </c>
      <c r="CQ586" s="247"/>
      <c r="CT586" s="249" t="s">
        <v>2088</v>
      </c>
      <c r="CX586" s="249" t="s">
        <v>2078</v>
      </c>
      <c r="DB586" s="249" t="s">
        <v>2078</v>
      </c>
    </row>
    <row r="587" spans="44:106" ht="15" customHeight="1" x14ac:dyDescent="0.2">
      <c r="AR587" s="252"/>
      <c r="AS587" s="252"/>
      <c r="AT587" s="249" t="s">
        <v>2078</v>
      </c>
      <c r="AU587" s="247"/>
      <c r="AX587" s="249" t="s">
        <v>2088</v>
      </c>
      <c r="BB587" s="249" t="s">
        <v>2078</v>
      </c>
      <c r="BF587" s="249" t="s">
        <v>2078</v>
      </c>
      <c r="BH587" s="252"/>
      <c r="BI587" s="252"/>
      <c r="BJ587" s="249" t="s">
        <v>2078</v>
      </c>
      <c r="BK587" s="247"/>
      <c r="BN587" s="249" t="s">
        <v>2088</v>
      </c>
      <c r="BR587" s="249" t="s">
        <v>2078</v>
      </c>
      <c r="BV587" s="249" t="s">
        <v>2078</v>
      </c>
      <c r="BX587" s="252"/>
      <c r="BY587" s="252"/>
      <c r="BZ587" s="249" t="s">
        <v>2078</v>
      </c>
      <c r="CA587" s="247"/>
      <c r="CD587" s="249" t="s">
        <v>2088</v>
      </c>
      <c r="CH587" s="249" t="s">
        <v>2078</v>
      </c>
      <c r="CL587" s="249" t="s">
        <v>2078</v>
      </c>
      <c r="CN587" s="252"/>
      <c r="CO587" s="252"/>
      <c r="CP587" s="249" t="s">
        <v>2078</v>
      </c>
      <c r="CQ587" s="247"/>
      <c r="CT587" s="249" t="s">
        <v>2088</v>
      </c>
      <c r="CX587" s="249" t="s">
        <v>2078</v>
      </c>
      <c r="DB587" s="249" t="s">
        <v>2078</v>
      </c>
    </row>
    <row r="588" spans="44:106" ht="15" customHeight="1" x14ac:dyDescent="0.2">
      <c r="AR588" s="252"/>
      <c r="AS588" s="252"/>
      <c r="AT588" s="249" t="s">
        <v>2078</v>
      </c>
      <c r="AU588" s="247"/>
      <c r="AX588" s="249" t="s">
        <v>2088</v>
      </c>
      <c r="BB588" s="249" t="s">
        <v>2078</v>
      </c>
      <c r="BF588" s="249" t="s">
        <v>2078</v>
      </c>
      <c r="BH588" s="252"/>
      <c r="BI588" s="252"/>
      <c r="BJ588" s="249" t="s">
        <v>2078</v>
      </c>
      <c r="BK588" s="247"/>
      <c r="BN588" s="249" t="s">
        <v>2088</v>
      </c>
      <c r="BR588" s="249" t="s">
        <v>2078</v>
      </c>
      <c r="BV588" s="249" t="s">
        <v>2078</v>
      </c>
      <c r="BX588" s="252"/>
      <c r="BY588" s="252"/>
      <c r="BZ588" s="249" t="s">
        <v>2078</v>
      </c>
      <c r="CA588" s="247"/>
      <c r="CD588" s="249" t="s">
        <v>2088</v>
      </c>
      <c r="CH588" s="249" t="s">
        <v>2078</v>
      </c>
      <c r="CL588" s="249" t="s">
        <v>2078</v>
      </c>
      <c r="CN588" s="252"/>
      <c r="CO588" s="252"/>
      <c r="CP588" s="249" t="s">
        <v>2078</v>
      </c>
      <c r="CQ588" s="247"/>
      <c r="CT588" s="249" t="s">
        <v>2088</v>
      </c>
      <c r="CX588" s="249" t="s">
        <v>2078</v>
      </c>
      <c r="DB588" s="249" t="s">
        <v>2078</v>
      </c>
    </row>
    <row r="589" spans="44:106" ht="15" customHeight="1" x14ac:dyDescent="0.2">
      <c r="AR589" s="252"/>
      <c r="AS589" s="252"/>
      <c r="AT589" s="249" t="s">
        <v>2078</v>
      </c>
      <c r="AU589" s="247"/>
      <c r="AX589" s="249" t="s">
        <v>2088</v>
      </c>
      <c r="BB589" s="249" t="s">
        <v>2078</v>
      </c>
      <c r="BF589" s="249" t="s">
        <v>2078</v>
      </c>
      <c r="BH589" s="252"/>
      <c r="BI589" s="252"/>
      <c r="BJ589" s="249" t="s">
        <v>2078</v>
      </c>
      <c r="BK589" s="247"/>
      <c r="BN589" s="249" t="s">
        <v>2088</v>
      </c>
      <c r="BR589" s="249" t="s">
        <v>2078</v>
      </c>
      <c r="BV589" s="249" t="s">
        <v>2078</v>
      </c>
      <c r="BX589" s="252"/>
      <c r="BY589" s="252"/>
      <c r="BZ589" s="249" t="s">
        <v>2078</v>
      </c>
      <c r="CA589" s="247"/>
      <c r="CD589" s="249" t="s">
        <v>2088</v>
      </c>
      <c r="CH589" s="249" t="s">
        <v>2078</v>
      </c>
      <c r="CL589" s="249" t="s">
        <v>2078</v>
      </c>
      <c r="CN589" s="252"/>
      <c r="CO589" s="252"/>
      <c r="CP589" s="249" t="s">
        <v>2078</v>
      </c>
      <c r="CQ589" s="247"/>
      <c r="CT589" s="249" t="s">
        <v>2088</v>
      </c>
      <c r="CX589" s="249" t="s">
        <v>2078</v>
      </c>
      <c r="DB589" s="249" t="s">
        <v>2078</v>
      </c>
    </row>
    <row r="590" spans="44:106" ht="15" customHeight="1" x14ac:dyDescent="0.2">
      <c r="AR590" s="252"/>
      <c r="AS590" s="252"/>
      <c r="AT590" s="249" t="s">
        <v>2078</v>
      </c>
      <c r="AU590" s="247"/>
      <c r="AX590" s="249" t="s">
        <v>2088</v>
      </c>
      <c r="BB590" s="249" t="s">
        <v>2078</v>
      </c>
      <c r="BF590" s="249" t="s">
        <v>2078</v>
      </c>
      <c r="BH590" s="252"/>
      <c r="BI590" s="252"/>
      <c r="BJ590" s="249" t="s">
        <v>2078</v>
      </c>
      <c r="BK590" s="247"/>
      <c r="BN590" s="249" t="s">
        <v>2088</v>
      </c>
      <c r="BR590" s="249" t="s">
        <v>2078</v>
      </c>
      <c r="BV590" s="249" t="s">
        <v>2078</v>
      </c>
      <c r="BX590" s="252"/>
      <c r="BY590" s="252"/>
      <c r="BZ590" s="249" t="s">
        <v>2078</v>
      </c>
      <c r="CA590" s="247"/>
      <c r="CD590" s="249" t="s">
        <v>2088</v>
      </c>
      <c r="CH590" s="249" t="s">
        <v>2078</v>
      </c>
      <c r="CL590" s="249" t="s">
        <v>2078</v>
      </c>
      <c r="CN590" s="252"/>
      <c r="CO590" s="252"/>
      <c r="CP590" s="249" t="s">
        <v>2078</v>
      </c>
      <c r="CQ590" s="247"/>
      <c r="CT590" s="249" t="s">
        <v>2088</v>
      </c>
      <c r="CX590" s="249" t="s">
        <v>2078</v>
      </c>
      <c r="DB590" s="249" t="s">
        <v>2078</v>
      </c>
    </row>
    <row r="591" spans="44:106" ht="15" customHeight="1" x14ac:dyDescent="0.2">
      <c r="AR591" s="252"/>
      <c r="AS591" s="252"/>
      <c r="AT591" s="249" t="s">
        <v>2078</v>
      </c>
      <c r="AU591" s="247"/>
      <c r="AX591" s="249" t="s">
        <v>2088</v>
      </c>
      <c r="BB591" s="249" t="s">
        <v>2078</v>
      </c>
      <c r="BF591" s="249" t="s">
        <v>2078</v>
      </c>
      <c r="BH591" s="252"/>
      <c r="BI591" s="252"/>
      <c r="BJ591" s="249" t="s">
        <v>2078</v>
      </c>
      <c r="BK591" s="247"/>
      <c r="BN591" s="249" t="s">
        <v>2088</v>
      </c>
      <c r="BR591" s="249" t="s">
        <v>2078</v>
      </c>
      <c r="BV591" s="249" t="s">
        <v>2078</v>
      </c>
      <c r="BX591" s="252"/>
      <c r="BY591" s="252"/>
      <c r="BZ591" s="249" t="s">
        <v>2078</v>
      </c>
      <c r="CA591" s="247"/>
      <c r="CD591" s="249" t="s">
        <v>2088</v>
      </c>
      <c r="CH591" s="249" t="s">
        <v>2078</v>
      </c>
      <c r="CL591" s="249" t="s">
        <v>2078</v>
      </c>
      <c r="CN591" s="252"/>
      <c r="CO591" s="252"/>
      <c r="CP591" s="249" t="s">
        <v>2078</v>
      </c>
      <c r="CQ591" s="247"/>
      <c r="CT591" s="249" t="s">
        <v>2088</v>
      </c>
      <c r="CX591" s="249" t="s">
        <v>2078</v>
      </c>
      <c r="DB591" s="249" t="s">
        <v>2078</v>
      </c>
    </row>
    <row r="592" spans="44:106" ht="15" customHeight="1" x14ac:dyDescent="0.2">
      <c r="AR592" s="252"/>
      <c r="AS592" s="252"/>
      <c r="AT592" s="249" t="s">
        <v>2078</v>
      </c>
      <c r="AU592" s="247"/>
      <c r="AX592" s="249" t="s">
        <v>2088</v>
      </c>
      <c r="BB592" s="249" t="s">
        <v>2078</v>
      </c>
      <c r="BF592" s="249" t="s">
        <v>2078</v>
      </c>
      <c r="BH592" s="252"/>
      <c r="BI592" s="252"/>
      <c r="BJ592" s="249" t="s">
        <v>2078</v>
      </c>
      <c r="BK592" s="247"/>
      <c r="BN592" s="249" t="s">
        <v>2088</v>
      </c>
      <c r="BR592" s="249" t="s">
        <v>2078</v>
      </c>
      <c r="BV592" s="249" t="s">
        <v>2078</v>
      </c>
      <c r="BX592" s="252"/>
      <c r="BY592" s="252"/>
      <c r="BZ592" s="249" t="s">
        <v>2078</v>
      </c>
      <c r="CA592" s="247"/>
      <c r="CD592" s="249" t="s">
        <v>2088</v>
      </c>
      <c r="CH592" s="249" t="s">
        <v>2078</v>
      </c>
      <c r="CL592" s="249" t="s">
        <v>2078</v>
      </c>
      <c r="CN592" s="252"/>
      <c r="CO592" s="252"/>
      <c r="CP592" s="249" t="s">
        <v>2078</v>
      </c>
      <c r="CQ592" s="247"/>
      <c r="CT592" s="249" t="s">
        <v>2088</v>
      </c>
      <c r="CX592" s="249" t="s">
        <v>2078</v>
      </c>
      <c r="DB592" s="249" t="s">
        <v>2078</v>
      </c>
    </row>
    <row r="593" spans="44:106" ht="15" customHeight="1" x14ac:dyDescent="0.2">
      <c r="AR593" s="252"/>
      <c r="AS593" s="252"/>
      <c r="AT593" s="249" t="s">
        <v>2078</v>
      </c>
      <c r="AU593" s="247"/>
      <c r="AX593" s="249" t="s">
        <v>2088</v>
      </c>
      <c r="BB593" s="249" t="s">
        <v>2078</v>
      </c>
      <c r="BF593" s="249" t="s">
        <v>2078</v>
      </c>
      <c r="BH593" s="252"/>
      <c r="BI593" s="252"/>
      <c r="BJ593" s="249" t="s">
        <v>2078</v>
      </c>
      <c r="BK593" s="247"/>
      <c r="BN593" s="249" t="s">
        <v>2088</v>
      </c>
      <c r="BR593" s="249" t="s">
        <v>2078</v>
      </c>
      <c r="BV593" s="249" t="s">
        <v>2078</v>
      </c>
      <c r="BX593" s="252"/>
      <c r="BY593" s="252"/>
      <c r="BZ593" s="249" t="s">
        <v>2078</v>
      </c>
      <c r="CA593" s="247"/>
      <c r="CD593" s="249" t="s">
        <v>2088</v>
      </c>
      <c r="CH593" s="249" t="s">
        <v>2078</v>
      </c>
      <c r="CL593" s="249" t="s">
        <v>2078</v>
      </c>
      <c r="CN593" s="252"/>
      <c r="CO593" s="252"/>
      <c r="CP593" s="249" t="s">
        <v>2078</v>
      </c>
      <c r="CQ593" s="247"/>
      <c r="CT593" s="249" t="s">
        <v>2088</v>
      </c>
      <c r="CX593" s="249" t="s">
        <v>2078</v>
      </c>
      <c r="DB593" s="249" t="s">
        <v>2078</v>
      </c>
    </row>
    <row r="594" spans="44:106" ht="15" customHeight="1" x14ac:dyDescent="0.2">
      <c r="AR594" s="252"/>
      <c r="AS594" s="252"/>
      <c r="AT594" s="249" t="s">
        <v>2078</v>
      </c>
      <c r="AU594" s="247"/>
      <c r="AX594" s="249" t="s">
        <v>2088</v>
      </c>
      <c r="BB594" s="249" t="s">
        <v>2078</v>
      </c>
      <c r="BF594" s="249" t="s">
        <v>2078</v>
      </c>
      <c r="BH594" s="252"/>
      <c r="BI594" s="252"/>
      <c r="BJ594" s="249" t="s">
        <v>2078</v>
      </c>
      <c r="BK594" s="247"/>
      <c r="BN594" s="249" t="s">
        <v>2088</v>
      </c>
      <c r="BR594" s="249" t="s">
        <v>2078</v>
      </c>
      <c r="BV594" s="249" t="s">
        <v>2078</v>
      </c>
      <c r="BX594" s="252"/>
      <c r="BY594" s="252"/>
      <c r="BZ594" s="249" t="s">
        <v>2078</v>
      </c>
      <c r="CA594" s="247"/>
      <c r="CD594" s="249" t="s">
        <v>2088</v>
      </c>
      <c r="CH594" s="249" t="s">
        <v>2078</v>
      </c>
      <c r="CL594" s="249" t="s">
        <v>2078</v>
      </c>
      <c r="CN594" s="252"/>
      <c r="CO594" s="252"/>
      <c r="CP594" s="249" t="s">
        <v>2078</v>
      </c>
      <c r="CQ594" s="247"/>
      <c r="CT594" s="249" t="s">
        <v>2088</v>
      </c>
      <c r="CX594" s="249" t="s">
        <v>2078</v>
      </c>
      <c r="DB594" s="249" t="s">
        <v>2078</v>
      </c>
    </row>
    <row r="595" spans="44:106" ht="15" customHeight="1" x14ac:dyDescent="0.2">
      <c r="AR595" s="252"/>
      <c r="AS595" s="252"/>
      <c r="AT595" s="249" t="s">
        <v>2078</v>
      </c>
      <c r="AU595" s="247"/>
      <c r="AX595" s="249" t="s">
        <v>2088</v>
      </c>
      <c r="BB595" s="249" t="s">
        <v>2078</v>
      </c>
      <c r="BF595" s="249" t="s">
        <v>2078</v>
      </c>
      <c r="BH595" s="252"/>
      <c r="BI595" s="252"/>
      <c r="BJ595" s="249" t="s">
        <v>2078</v>
      </c>
      <c r="BK595" s="247"/>
      <c r="BN595" s="249" t="s">
        <v>2088</v>
      </c>
      <c r="BR595" s="249" t="s">
        <v>2078</v>
      </c>
      <c r="BV595" s="249" t="s">
        <v>2078</v>
      </c>
      <c r="BX595" s="252"/>
      <c r="BY595" s="252"/>
      <c r="BZ595" s="249" t="s">
        <v>2078</v>
      </c>
      <c r="CA595" s="247"/>
      <c r="CD595" s="249" t="s">
        <v>2088</v>
      </c>
      <c r="CH595" s="249" t="s">
        <v>2078</v>
      </c>
      <c r="CL595" s="249" t="s">
        <v>2078</v>
      </c>
      <c r="CN595" s="252"/>
      <c r="CO595" s="252"/>
      <c r="CP595" s="249" t="s">
        <v>2078</v>
      </c>
      <c r="CQ595" s="247"/>
      <c r="CT595" s="249" t="s">
        <v>2088</v>
      </c>
      <c r="CX595" s="249" t="s">
        <v>2078</v>
      </c>
      <c r="DB595" s="249" t="s">
        <v>2078</v>
      </c>
    </row>
    <row r="596" spans="44:106" ht="15" customHeight="1" x14ac:dyDescent="0.2">
      <c r="AR596" s="252"/>
      <c r="AS596" s="252"/>
      <c r="AT596" s="249" t="s">
        <v>2078</v>
      </c>
      <c r="AU596" s="247"/>
      <c r="AX596" s="249" t="s">
        <v>2088</v>
      </c>
      <c r="BB596" s="249" t="s">
        <v>2078</v>
      </c>
      <c r="BF596" s="249" t="s">
        <v>2078</v>
      </c>
      <c r="BH596" s="252"/>
      <c r="BI596" s="252"/>
      <c r="BJ596" s="249" t="s">
        <v>2078</v>
      </c>
      <c r="BK596" s="247"/>
      <c r="BN596" s="249" t="s">
        <v>2088</v>
      </c>
      <c r="BR596" s="249" t="s">
        <v>2078</v>
      </c>
      <c r="BV596" s="249" t="s">
        <v>2078</v>
      </c>
      <c r="BX596" s="252"/>
      <c r="BY596" s="252"/>
      <c r="BZ596" s="249" t="s">
        <v>2078</v>
      </c>
      <c r="CA596" s="247"/>
      <c r="CD596" s="249" t="s">
        <v>2088</v>
      </c>
      <c r="CH596" s="249" t="s">
        <v>2078</v>
      </c>
      <c r="CL596" s="249" t="s">
        <v>2078</v>
      </c>
      <c r="CN596" s="252"/>
      <c r="CO596" s="252"/>
      <c r="CP596" s="249" t="s">
        <v>2078</v>
      </c>
      <c r="CQ596" s="247"/>
      <c r="CT596" s="249" t="s">
        <v>2088</v>
      </c>
      <c r="CX596" s="249" t="s">
        <v>2078</v>
      </c>
      <c r="DB596" s="249" t="s">
        <v>2078</v>
      </c>
    </row>
    <row r="597" spans="44:106" ht="15" customHeight="1" x14ac:dyDescent="0.2">
      <c r="AR597" s="252"/>
      <c r="AS597" s="252"/>
      <c r="AT597" s="249" t="s">
        <v>2078</v>
      </c>
      <c r="AU597" s="247"/>
      <c r="AX597" s="249" t="s">
        <v>2088</v>
      </c>
      <c r="BB597" s="249" t="s">
        <v>2078</v>
      </c>
      <c r="BF597" s="249" t="s">
        <v>2078</v>
      </c>
      <c r="BH597" s="252"/>
      <c r="BI597" s="252"/>
      <c r="BJ597" s="249" t="s">
        <v>2078</v>
      </c>
      <c r="BK597" s="247"/>
      <c r="BN597" s="249" t="s">
        <v>2088</v>
      </c>
      <c r="BR597" s="249" t="s">
        <v>2078</v>
      </c>
      <c r="BV597" s="249" t="s">
        <v>2078</v>
      </c>
      <c r="BX597" s="252"/>
      <c r="BY597" s="252"/>
      <c r="BZ597" s="249" t="s">
        <v>2078</v>
      </c>
      <c r="CA597" s="247"/>
      <c r="CD597" s="249" t="s">
        <v>2088</v>
      </c>
      <c r="CH597" s="249" t="s">
        <v>2078</v>
      </c>
      <c r="CL597" s="249" t="s">
        <v>2078</v>
      </c>
      <c r="CN597" s="252"/>
      <c r="CO597" s="252"/>
      <c r="CP597" s="249" t="s">
        <v>2078</v>
      </c>
      <c r="CQ597" s="247"/>
      <c r="CT597" s="249" t="s">
        <v>2088</v>
      </c>
      <c r="CX597" s="249" t="s">
        <v>2078</v>
      </c>
      <c r="DB597" s="249" t="s">
        <v>2078</v>
      </c>
    </row>
    <row r="598" spans="44:106" ht="15" customHeight="1" x14ac:dyDescent="0.2">
      <c r="AR598" s="252"/>
      <c r="AS598" s="252"/>
      <c r="AT598" s="249" t="s">
        <v>2078</v>
      </c>
      <c r="AU598" s="247"/>
      <c r="AX598" s="249" t="s">
        <v>2088</v>
      </c>
      <c r="BB598" s="249" t="s">
        <v>2078</v>
      </c>
      <c r="BF598" s="249" t="s">
        <v>2078</v>
      </c>
      <c r="BH598" s="252"/>
      <c r="BI598" s="252"/>
      <c r="BJ598" s="249" t="s">
        <v>2078</v>
      </c>
      <c r="BK598" s="247"/>
      <c r="BN598" s="249" t="s">
        <v>2088</v>
      </c>
      <c r="BR598" s="249" t="s">
        <v>2078</v>
      </c>
      <c r="BV598" s="249" t="s">
        <v>2078</v>
      </c>
      <c r="BX598" s="252"/>
      <c r="BY598" s="252"/>
      <c r="BZ598" s="249" t="s">
        <v>2078</v>
      </c>
      <c r="CA598" s="247"/>
      <c r="CD598" s="249" t="s">
        <v>2088</v>
      </c>
      <c r="CH598" s="249" t="s">
        <v>2078</v>
      </c>
      <c r="CL598" s="249" t="s">
        <v>2078</v>
      </c>
      <c r="CN598" s="252"/>
      <c r="CO598" s="252"/>
      <c r="CP598" s="249" t="s">
        <v>2078</v>
      </c>
      <c r="CQ598" s="247"/>
      <c r="CT598" s="249" t="s">
        <v>2088</v>
      </c>
      <c r="CX598" s="249" t="s">
        <v>2078</v>
      </c>
      <c r="DB598" s="249" t="s">
        <v>2078</v>
      </c>
    </row>
    <row r="599" spans="44:106" ht="15" customHeight="1" x14ac:dyDescent="0.2">
      <c r="AR599" s="252"/>
      <c r="AS599" s="252"/>
      <c r="AT599" s="249" t="s">
        <v>2078</v>
      </c>
      <c r="AU599" s="247"/>
      <c r="AX599" s="249" t="s">
        <v>2088</v>
      </c>
      <c r="BB599" s="249" t="s">
        <v>2078</v>
      </c>
      <c r="BF599" s="249" t="s">
        <v>2078</v>
      </c>
      <c r="BH599" s="252"/>
      <c r="BI599" s="252"/>
      <c r="BJ599" s="249" t="s">
        <v>2078</v>
      </c>
      <c r="BK599" s="247"/>
      <c r="BN599" s="249" t="s">
        <v>2088</v>
      </c>
      <c r="BR599" s="249" t="s">
        <v>2078</v>
      </c>
      <c r="BV599" s="249" t="s">
        <v>2078</v>
      </c>
      <c r="BX599" s="252"/>
      <c r="BY599" s="252"/>
      <c r="BZ599" s="249" t="s">
        <v>2078</v>
      </c>
      <c r="CA599" s="247"/>
      <c r="CD599" s="249" t="s">
        <v>2088</v>
      </c>
      <c r="CH599" s="249" t="s">
        <v>2078</v>
      </c>
      <c r="CL599" s="249" t="s">
        <v>2078</v>
      </c>
      <c r="CN599" s="252"/>
      <c r="CO599" s="252"/>
      <c r="CP599" s="249" t="s">
        <v>2078</v>
      </c>
      <c r="CQ599" s="247"/>
      <c r="CT599" s="249" t="s">
        <v>2088</v>
      </c>
      <c r="CX599" s="249" t="s">
        <v>2078</v>
      </c>
      <c r="DB599" s="249" t="s">
        <v>2078</v>
      </c>
    </row>
    <row r="600" spans="44:106" ht="15" customHeight="1" x14ac:dyDescent="0.2">
      <c r="AR600" s="252"/>
      <c r="AS600" s="252"/>
      <c r="AT600" s="249" t="s">
        <v>2078</v>
      </c>
      <c r="AU600" s="247"/>
      <c r="AX600" s="249" t="s">
        <v>2088</v>
      </c>
      <c r="BB600" s="249" t="s">
        <v>2078</v>
      </c>
      <c r="BF600" s="249" t="s">
        <v>2078</v>
      </c>
      <c r="BH600" s="252"/>
      <c r="BI600" s="252"/>
      <c r="BJ600" s="249" t="s">
        <v>2078</v>
      </c>
      <c r="BK600" s="247"/>
      <c r="BN600" s="249" t="s">
        <v>2088</v>
      </c>
      <c r="BR600" s="249" t="s">
        <v>2078</v>
      </c>
      <c r="BV600" s="249" t="s">
        <v>2078</v>
      </c>
      <c r="BX600" s="252"/>
      <c r="BY600" s="252"/>
      <c r="BZ600" s="249" t="s">
        <v>2078</v>
      </c>
      <c r="CA600" s="247"/>
      <c r="CD600" s="249" t="s">
        <v>2088</v>
      </c>
      <c r="CH600" s="249" t="s">
        <v>2078</v>
      </c>
      <c r="CL600" s="249" t="s">
        <v>2078</v>
      </c>
      <c r="CN600" s="252"/>
      <c r="CO600" s="252"/>
      <c r="CP600" s="249" t="s">
        <v>2078</v>
      </c>
      <c r="CQ600" s="247"/>
      <c r="CT600" s="249" t="s">
        <v>2088</v>
      </c>
      <c r="CX600" s="249" t="s">
        <v>2078</v>
      </c>
      <c r="DB600" s="249" t="s">
        <v>2078</v>
      </c>
    </row>
    <row r="601" spans="44:106" ht="15" customHeight="1" x14ac:dyDescent="0.2">
      <c r="AR601" s="252"/>
      <c r="AS601" s="252"/>
      <c r="AT601" s="249" t="s">
        <v>2078</v>
      </c>
      <c r="AU601" s="247"/>
      <c r="AX601" s="249" t="s">
        <v>2088</v>
      </c>
      <c r="BB601" s="249" t="s">
        <v>2078</v>
      </c>
      <c r="BF601" s="249" t="s">
        <v>2078</v>
      </c>
      <c r="BH601" s="252"/>
      <c r="BI601" s="252"/>
      <c r="BJ601" s="249" t="s">
        <v>2078</v>
      </c>
      <c r="BK601" s="247"/>
      <c r="BN601" s="249" t="s">
        <v>2088</v>
      </c>
      <c r="BR601" s="249" t="s">
        <v>2078</v>
      </c>
      <c r="BV601" s="249" t="s">
        <v>2078</v>
      </c>
      <c r="BX601" s="252"/>
      <c r="BY601" s="252"/>
      <c r="BZ601" s="249" t="s">
        <v>2078</v>
      </c>
      <c r="CA601" s="247"/>
      <c r="CD601" s="249" t="s">
        <v>2088</v>
      </c>
      <c r="CH601" s="249" t="s">
        <v>2078</v>
      </c>
      <c r="CL601" s="249" t="s">
        <v>2078</v>
      </c>
      <c r="CN601" s="252"/>
      <c r="CO601" s="252"/>
      <c r="CP601" s="249" t="s">
        <v>2078</v>
      </c>
      <c r="CQ601" s="247"/>
      <c r="CT601" s="249" t="s">
        <v>2088</v>
      </c>
      <c r="CX601" s="249" t="s">
        <v>2078</v>
      </c>
      <c r="DB601" s="249" t="s">
        <v>2078</v>
      </c>
    </row>
    <row r="602" spans="44:106" ht="15" customHeight="1" x14ac:dyDescent="0.2">
      <c r="AR602" s="252"/>
      <c r="AS602" s="252"/>
      <c r="AT602" s="249" t="s">
        <v>2078</v>
      </c>
      <c r="AU602" s="247"/>
      <c r="AX602" s="249" t="s">
        <v>2088</v>
      </c>
      <c r="BB602" s="249" t="s">
        <v>2078</v>
      </c>
      <c r="BF602" s="249" t="s">
        <v>2078</v>
      </c>
      <c r="BH602" s="252"/>
      <c r="BI602" s="252"/>
      <c r="BJ602" s="249" t="s">
        <v>2078</v>
      </c>
      <c r="BK602" s="247"/>
      <c r="BN602" s="249" t="s">
        <v>2088</v>
      </c>
      <c r="BR602" s="249" t="s">
        <v>2078</v>
      </c>
      <c r="BV602" s="249" t="s">
        <v>2078</v>
      </c>
      <c r="BX602" s="252"/>
      <c r="BY602" s="252"/>
      <c r="BZ602" s="249" t="s">
        <v>2078</v>
      </c>
      <c r="CA602" s="247"/>
      <c r="CD602" s="249" t="s">
        <v>2088</v>
      </c>
      <c r="CH602" s="249" t="s">
        <v>2078</v>
      </c>
      <c r="CL602" s="249" t="s">
        <v>2078</v>
      </c>
      <c r="CN602" s="252"/>
      <c r="CO602" s="252"/>
      <c r="CP602" s="249" t="s">
        <v>2078</v>
      </c>
      <c r="CQ602" s="247"/>
      <c r="CT602" s="249" t="s">
        <v>2088</v>
      </c>
      <c r="CX602" s="249" t="s">
        <v>2078</v>
      </c>
      <c r="DB602" s="249" t="s">
        <v>2078</v>
      </c>
    </row>
    <row r="603" spans="44:106" ht="15" customHeight="1" x14ac:dyDescent="0.2">
      <c r="AR603" s="252"/>
      <c r="AS603" s="252"/>
      <c r="AT603" s="249" t="s">
        <v>2078</v>
      </c>
      <c r="AU603" s="247"/>
      <c r="AX603" s="249" t="s">
        <v>2088</v>
      </c>
      <c r="BB603" s="249" t="s">
        <v>2078</v>
      </c>
      <c r="BF603" s="249" t="s">
        <v>2078</v>
      </c>
      <c r="BH603" s="252"/>
      <c r="BI603" s="252"/>
      <c r="BJ603" s="249" t="s">
        <v>2078</v>
      </c>
      <c r="BK603" s="247"/>
      <c r="BN603" s="249" t="s">
        <v>2088</v>
      </c>
      <c r="BR603" s="249" t="s">
        <v>2078</v>
      </c>
      <c r="BV603" s="249" t="s">
        <v>2078</v>
      </c>
      <c r="BX603" s="252"/>
      <c r="BY603" s="252"/>
      <c r="BZ603" s="249" t="s">
        <v>2078</v>
      </c>
      <c r="CA603" s="247"/>
      <c r="CD603" s="249" t="s">
        <v>2088</v>
      </c>
      <c r="CH603" s="249" t="s">
        <v>2078</v>
      </c>
      <c r="CL603" s="249" t="s">
        <v>2078</v>
      </c>
      <c r="CN603" s="252"/>
      <c r="CO603" s="252"/>
      <c r="CP603" s="249" t="s">
        <v>2078</v>
      </c>
      <c r="CQ603" s="247"/>
      <c r="CT603" s="249" t="s">
        <v>2088</v>
      </c>
      <c r="CX603" s="249" t="s">
        <v>2078</v>
      </c>
      <c r="DB603" s="249" t="s">
        <v>2078</v>
      </c>
    </row>
    <row r="604" spans="44:106" ht="15" customHeight="1" x14ac:dyDescent="0.2">
      <c r="AR604" s="252"/>
      <c r="AS604" s="252"/>
      <c r="AT604" s="249" t="s">
        <v>2078</v>
      </c>
      <c r="AU604" s="247"/>
      <c r="AX604" s="249" t="s">
        <v>2088</v>
      </c>
      <c r="BB604" s="249" t="s">
        <v>2078</v>
      </c>
      <c r="BF604" s="249" t="s">
        <v>2078</v>
      </c>
      <c r="BH604" s="252"/>
      <c r="BI604" s="252"/>
      <c r="BJ604" s="249" t="s">
        <v>2078</v>
      </c>
      <c r="BK604" s="247"/>
      <c r="BN604" s="249" t="s">
        <v>2088</v>
      </c>
      <c r="BR604" s="249" t="s">
        <v>2078</v>
      </c>
      <c r="BV604" s="249" t="s">
        <v>2078</v>
      </c>
      <c r="BX604" s="252"/>
      <c r="BY604" s="252"/>
      <c r="BZ604" s="249" t="s">
        <v>2078</v>
      </c>
      <c r="CA604" s="247"/>
      <c r="CD604" s="249" t="s">
        <v>2088</v>
      </c>
      <c r="CH604" s="249" t="s">
        <v>2078</v>
      </c>
      <c r="CL604" s="249" t="s">
        <v>2078</v>
      </c>
      <c r="CN604" s="252"/>
      <c r="CO604" s="252"/>
      <c r="CP604" s="249" t="s">
        <v>2078</v>
      </c>
      <c r="CQ604" s="247"/>
      <c r="CT604" s="249" t="s">
        <v>2088</v>
      </c>
      <c r="CX604" s="249" t="s">
        <v>2078</v>
      </c>
      <c r="DB604" s="249" t="s">
        <v>2078</v>
      </c>
    </row>
    <row r="605" spans="44:106" ht="15" customHeight="1" x14ac:dyDescent="0.2">
      <c r="AR605" s="252"/>
      <c r="AS605" s="252"/>
      <c r="AT605" s="249" t="s">
        <v>2078</v>
      </c>
      <c r="AU605" s="247"/>
      <c r="AX605" s="249" t="s">
        <v>2088</v>
      </c>
      <c r="BB605" s="249" t="s">
        <v>2078</v>
      </c>
      <c r="BF605" s="249" t="s">
        <v>2078</v>
      </c>
      <c r="BH605" s="252"/>
      <c r="BI605" s="252"/>
      <c r="BJ605" s="249" t="s">
        <v>2078</v>
      </c>
      <c r="BK605" s="247"/>
      <c r="BN605" s="249" t="s">
        <v>2088</v>
      </c>
      <c r="BR605" s="249" t="s">
        <v>2078</v>
      </c>
      <c r="BV605" s="249" t="s">
        <v>2078</v>
      </c>
      <c r="BX605" s="252"/>
      <c r="BY605" s="252"/>
      <c r="BZ605" s="249" t="s">
        <v>2078</v>
      </c>
      <c r="CA605" s="247"/>
      <c r="CD605" s="249" t="s">
        <v>2088</v>
      </c>
      <c r="CH605" s="249" t="s">
        <v>2078</v>
      </c>
      <c r="CL605" s="249" t="s">
        <v>2078</v>
      </c>
      <c r="CN605" s="252"/>
      <c r="CO605" s="252"/>
      <c r="CP605" s="249" t="s">
        <v>2078</v>
      </c>
      <c r="CQ605" s="247"/>
      <c r="CT605" s="249" t="s">
        <v>2088</v>
      </c>
      <c r="CX605" s="249" t="s">
        <v>2078</v>
      </c>
      <c r="DB605" s="249" t="s">
        <v>2078</v>
      </c>
    </row>
    <row r="606" spans="44:106" ht="15" customHeight="1" x14ac:dyDescent="0.2">
      <c r="AR606" s="252"/>
      <c r="AS606" s="252"/>
      <c r="AT606" s="249" t="s">
        <v>2078</v>
      </c>
      <c r="AU606" s="247"/>
      <c r="AX606" s="249" t="s">
        <v>2088</v>
      </c>
      <c r="BB606" s="249" t="s">
        <v>2078</v>
      </c>
      <c r="BF606" s="249" t="s">
        <v>2078</v>
      </c>
      <c r="BH606" s="252"/>
      <c r="BI606" s="252"/>
      <c r="BJ606" s="249" t="s">
        <v>2078</v>
      </c>
      <c r="BK606" s="247"/>
      <c r="BN606" s="249" t="s">
        <v>2088</v>
      </c>
      <c r="BR606" s="249" t="s">
        <v>2078</v>
      </c>
      <c r="BV606" s="249" t="s">
        <v>2078</v>
      </c>
      <c r="BX606" s="252"/>
      <c r="BY606" s="252"/>
      <c r="BZ606" s="249" t="s">
        <v>2078</v>
      </c>
      <c r="CA606" s="247"/>
      <c r="CD606" s="249" t="s">
        <v>2088</v>
      </c>
      <c r="CH606" s="249" t="s">
        <v>2078</v>
      </c>
      <c r="CL606" s="249" t="s">
        <v>2078</v>
      </c>
      <c r="CN606" s="252"/>
      <c r="CO606" s="252"/>
      <c r="CP606" s="249" t="s">
        <v>2078</v>
      </c>
      <c r="CQ606" s="247"/>
      <c r="CT606" s="249" t="s">
        <v>2088</v>
      </c>
      <c r="CX606" s="249" t="s">
        <v>2078</v>
      </c>
      <c r="DB606" s="249" t="s">
        <v>2078</v>
      </c>
    </row>
    <row r="607" spans="44:106" ht="15" customHeight="1" x14ac:dyDescent="0.2">
      <c r="AR607" s="252"/>
      <c r="AS607" s="252"/>
      <c r="AT607" s="249" t="s">
        <v>2078</v>
      </c>
      <c r="AU607" s="247"/>
      <c r="AX607" s="249" t="s">
        <v>2088</v>
      </c>
      <c r="BB607" s="249" t="s">
        <v>2078</v>
      </c>
      <c r="BF607" s="249" t="s">
        <v>2078</v>
      </c>
      <c r="BH607" s="252"/>
      <c r="BI607" s="252"/>
      <c r="BJ607" s="249" t="s">
        <v>2078</v>
      </c>
      <c r="BK607" s="247"/>
      <c r="BN607" s="249" t="s">
        <v>2088</v>
      </c>
      <c r="BR607" s="249" t="s">
        <v>2078</v>
      </c>
      <c r="BV607" s="249" t="s">
        <v>2078</v>
      </c>
      <c r="BX607" s="252"/>
      <c r="BY607" s="252"/>
      <c r="BZ607" s="249" t="s">
        <v>2078</v>
      </c>
      <c r="CA607" s="247"/>
      <c r="CD607" s="249" t="s">
        <v>2088</v>
      </c>
      <c r="CH607" s="249" t="s">
        <v>2078</v>
      </c>
      <c r="CL607" s="249" t="s">
        <v>2078</v>
      </c>
      <c r="CN607" s="252"/>
      <c r="CO607" s="252"/>
      <c r="CP607" s="249" t="s">
        <v>2078</v>
      </c>
      <c r="CQ607" s="247"/>
      <c r="CT607" s="249" t="s">
        <v>2088</v>
      </c>
      <c r="CX607" s="249" t="s">
        <v>2078</v>
      </c>
      <c r="DB607" s="249" t="s">
        <v>2078</v>
      </c>
    </row>
    <row r="608" spans="44:106" ht="15" customHeight="1" x14ac:dyDescent="0.2">
      <c r="AR608" s="252"/>
      <c r="AS608" s="252"/>
      <c r="AT608" s="249" t="s">
        <v>2078</v>
      </c>
      <c r="AU608" s="247"/>
      <c r="AX608" s="249" t="s">
        <v>2088</v>
      </c>
      <c r="BB608" s="249" t="s">
        <v>2078</v>
      </c>
      <c r="BF608" s="249" t="s">
        <v>2078</v>
      </c>
      <c r="BH608" s="252"/>
      <c r="BI608" s="252"/>
      <c r="BJ608" s="249" t="s">
        <v>2078</v>
      </c>
      <c r="BK608" s="247"/>
      <c r="BN608" s="249" t="s">
        <v>2088</v>
      </c>
      <c r="BR608" s="249" t="s">
        <v>2078</v>
      </c>
      <c r="BV608" s="249" t="s">
        <v>2078</v>
      </c>
      <c r="BX608" s="252"/>
      <c r="BY608" s="252"/>
      <c r="BZ608" s="249" t="s">
        <v>2078</v>
      </c>
      <c r="CA608" s="247"/>
      <c r="CD608" s="249" t="s">
        <v>2088</v>
      </c>
      <c r="CH608" s="249" t="s">
        <v>2078</v>
      </c>
      <c r="CL608" s="249" t="s">
        <v>2078</v>
      </c>
      <c r="CN608" s="252"/>
      <c r="CO608" s="252"/>
      <c r="CP608" s="249" t="s">
        <v>2078</v>
      </c>
      <c r="CQ608" s="247"/>
      <c r="CT608" s="249" t="s">
        <v>2088</v>
      </c>
      <c r="CX608" s="249" t="s">
        <v>2078</v>
      </c>
      <c r="DB608" s="249" t="s">
        <v>2078</v>
      </c>
    </row>
    <row r="609" spans="44:106" ht="15" customHeight="1" x14ac:dyDescent="0.2">
      <c r="AR609" s="252"/>
      <c r="AS609" s="252"/>
      <c r="AT609" s="249" t="s">
        <v>2078</v>
      </c>
      <c r="AU609" s="247"/>
      <c r="AX609" s="249" t="s">
        <v>2088</v>
      </c>
      <c r="BB609" s="249" t="s">
        <v>2078</v>
      </c>
      <c r="BF609" s="249" t="s">
        <v>2078</v>
      </c>
      <c r="BH609" s="252"/>
      <c r="BI609" s="252"/>
      <c r="BJ609" s="249" t="s">
        <v>2078</v>
      </c>
      <c r="BK609" s="247"/>
      <c r="BN609" s="249" t="s">
        <v>2088</v>
      </c>
      <c r="BR609" s="249" t="s">
        <v>2078</v>
      </c>
      <c r="BV609" s="249" t="s">
        <v>2078</v>
      </c>
      <c r="BX609" s="252"/>
      <c r="BY609" s="252"/>
      <c r="BZ609" s="249" t="s">
        <v>2078</v>
      </c>
      <c r="CA609" s="247"/>
      <c r="CD609" s="249" t="s">
        <v>2088</v>
      </c>
      <c r="CH609" s="249" t="s">
        <v>2078</v>
      </c>
      <c r="CL609" s="249" t="s">
        <v>2078</v>
      </c>
      <c r="CN609" s="252"/>
      <c r="CO609" s="252"/>
      <c r="CP609" s="249" t="s">
        <v>2078</v>
      </c>
      <c r="CQ609" s="247"/>
      <c r="CT609" s="249" t="s">
        <v>2088</v>
      </c>
      <c r="CX609" s="249" t="s">
        <v>2078</v>
      </c>
      <c r="DB609" s="249" t="s">
        <v>2078</v>
      </c>
    </row>
    <row r="610" spans="44:106" ht="15" customHeight="1" x14ac:dyDescent="0.2">
      <c r="AR610" s="252"/>
      <c r="AS610" s="252"/>
      <c r="AT610" s="249" t="s">
        <v>2078</v>
      </c>
      <c r="AU610" s="247"/>
      <c r="AX610" s="249" t="s">
        <v>2088</v>
      </c>
      <c r="BB610" s="249" t="s">
        <v>2078</v>
      </c>
      <c r="BF610" s="249" t="s">
        <v>2078</v>
      </c>
      <c r="BH610" s="252"/>
      <c r="BI610" s="252"/>
      <c r="BJ610" s="249" t="s">
        <v>2078</v>
      </c>
      <c r="BK610" s="247"/>
      <c r="BN610" s="249" t="s">
        <v>2088</v>
      </c>
      <c r="BR610" s="249" t="s">
        <v>2078</v>
      </c>
      <c r="BV610" s="249" t="s">
        <v>2078</v>
      </c>
      <c r="BX610" s="252"/>
      <c r="BY610" s="252"/>
      <c r="BZ610" s="249" t="s">
        <v>2078</v>
      </c>
      <c r="CA610" s="247"/>
      <c r="CD610" s="249" t="s">
        <v>2088</v>
      </c>
      <c r="CH610" s="249" t="s">
        <v>2078</v>
      </c>
      <c r="CL610" s="249" t="s">
        <v>2078</v>
      </c>
      <c r="CN610" s="252"/>
      <c r="CO610" s="252"/>
      <c r="CP610" s="249" t="s">
        <v>2078</v>
      </c>
      <c r="CQ610" s="247"/>
      <c r="CT610" s="249" t="s">
        <v>2088</v>
      </c>
      <c r="CX610" s="249" t="s">
        <v>2078</v>
      </c>
      <c r="DB610" s="249" t="s">
        <v>2078</v>
      </c>
    </row>
    <row r="611" spans="44:106" ht="15" customHeight="1" x14ac:dyDescent="0.2">
      <c r="AR611" s="252"/>
      <c r="AS611" s="252"/>
      <c r="AT611" s="249" t="s">
        <v>2078</v>
      </c>
      <c r="AU611" s="247"/>
      <c r="AX611" s="249" t="s">
        <v>2088</v>
      </c>
      <c r="BB611" s="249" t="s">
        <v>2078</v>
      </c>
      <c r="BF611" s="249" t="s">
        <v>2078</v>
      </c>
      <c r="BH611" s="252"/>
      <c r="BI611" s="252"/>
      <c r="BJ611" s="249" t="s">
        <v>2078</v>
      </c>
      <c r="BK611" s="247"/>
      <c r="BN611" s="249" t="s">
        <v>2088</v>
      </c>
      <c r="BR611" s="249" t="s">
        <v>2078</v>
      </c>
      <c r="BV611" s="249" t="s">
        <v>2078</v>
      </c>
      <c r="BX611" s="252"/>
      <c r="BY611" s="252"/>
      <c r="BZ611" s="249" t="s">
        <v>2078</v>
      </c>
      <c r="CA611" s="247"/>
      <c r="CD611" s="249" t="s">
        <v>2088</v>
      </c>
      <c r="CH611" s="249" t="s">
        <v>2078</v>
      </c>
      <c r="CL611" s="249" t="s">
        <v>2078</v>
      </c>
      <c r="CN611" s="252"/>
      <c r="CO611" s="252"/>
      <c r="CP611" s="249" t="s">
        <v>2078</v>
      </c>
      <c r="CQ611" s="247"/>
      <c r="CT611" s="249" t="s">
        <v>2088</v>
      </c>
      <c r="CX611" s="249" t="s">
        <v>2078</v>
      </c>
      <c r="DB611" s="249" t="s">
        <v>2078</v>
      </c>
    </row>
    <row r="612" spans="44:106" ht="15" customHeight="1" x14ac:dyDescent="0.2">
      <c r="AR612" s="252"/>
      <c r="AS612" s="252"/>
      <c r="AT612" s="249" t="s">
        <v>2078</v>
      </c>
      <c r="AU612" s="247"/>
      <c r="AX612" s="249" t="s">
        <v>2088</v>
      </c>
      <c r="BB612" s="249" t="s">
        <v>2078</v>
      </c>
      <c r="BF612" s="249" t="s">
        <v>2078</v>
      </c>
      <c r="BH612" s="252"/>
      <c r="BI612" s="252"/>
      <c r="BJ612" s="249" t="s">
        <v>2078</v>
      </c>
      <c r="BK612" s="247"/>
      <c r="BN612" s="249" t="s">
        <v>2088</v>
      </c>
      <c r="BR612" s="249" t="s">
        <v>2078</v>
      </c>
      <c r="BV612" s="249" t="s">
        <v>2078</v>
      </c>
      <c r="BX612" s="252"/>
      <c r="BY612" s="252"/>
      <c r="BZ612" s="249" t="s">
        <v>2078</v>
      </c>
      <c r="CA612" s="247"/>
      <c r="CD612" s="249" t="s">
        <v>2088</v>
      </c>
      <c r="CH612" s="249" t="s">
        <v>2078</v>
      </c>
      <c r="CL612" s="249" t="s">
        <v>2078</v>
      </c>
      <c r="CN612" s="252"/>
      <c r="CO612" s="252"/>
      <c r="CP612" s="249" t="s">
        <v>2078</v>
      </c>
      <c r="CQ612" s="247"/>
      <c r="CT612" s="249" t="s">
        <v>2088</v>
      </c>
      <c r="CX612" s="249" t="s">
        <v>2078</v>
      </c>
      <c r="DB612" s="249" t="s">
        <v>2078</v>
      </c>
    </row>
    <row r="613" spans="44:106" ht="15" customHeight="1" x14ac:dyDescent="0.2">
      <c r="AR613" s="252"/>
      <c r="AS613" s="252"/>
      <c r="AT613" s="249" t="s">
        <v>2078</v>
      </c>
      <c r="AU613" s="247"/>
      <c r="AX613" s="249" t="s">
        <v>2088</v>
      </c>
      <c r="BB613" s="249" t="s">
        <v>2078</v>
      </c>
      <c r="BF613" s="249" t="s">
        <v>2078</v>
      </c>
      <c r="BH613" s="252"/>
      <c r="BI613" s="252"/>
      <c r="BJ613" s="249" t="s">
        <v>2078</v>
      </c>
      <c r="BK613" s="247"/>
      <c r="BN613" s="249" t="s">
        <v>2088</v>
      </c>
      <c r="BR613" s="249" t="s">
        <v>2078</v>
      </c>
      <c r="BV613" s="249" t="s">
        <v>2078</v>
      </c>
      <c r="BX613" s="252"/>
      <c r="BY613" s="252"/>
      <c r="BZ613" s="249" t="s">
        <v>2078</v>
      </c>
      <c r="CA613" s="247"/>
      <c r="CD613" s="249" t="s">
        <v>2088</v>
      </c>
      <c r="CH613" s="249" t="s">
        <v>2078</v>
      </c>
      <c r="CL613" s="249" t="s">
        <v>2078</v>
      </c>
      <c r="CN613" s="252"/>
      <c r="CO613" s="252"/>
      <c r="CP613" s="249" t="s">
        <v>2078</v>
      </c>
      <c r="CQ613" s="247"/>
      <c r="CT613" s="249" t="s">
        <v>2088</v>
      </c>
      <c r="CX613" s="249" t="s">
        <v>2078</v>
      </c>
      <c r="DB613" s="249" t="s">
        <v>2078</v>
      </c>
    </row>
    <row r="614" spans="44:106" ht="15" customHeight="1" x14ac:dyDescent="0.2">
      <c r="AR614" s="252"/>
      <c r="AS614" s="252"/>
      <c r="AT614" s="249" t="s">
        <v>2078</v>
      </c>
      <c r="AU614" s="247"/>
      <c r="AX614" s="249" t="s">
        <v>2088</v>
      </c>
      <c r="BB614" s="249" t="s">
        <v>2078</v>
      </c>
      <c r="BF614" s="249" t="s">
        <v>2078</v>
      </c>
      <c r="BH614" s="252"/>
      <c r="BI614" s="252"/>
      <c r="BJ614" s="249" t="s">
        <v>2078</v>
      </c>
      <c r="BK614" s="247"/>
      <c r="BN614" s="249" t="s">
        <v>2088</v>
      </c>
      <c r="BR614" s="249" t="s">
        <v>2078</v>
      </c>
      <c r="BV614" s="249" t="s">
        <v>2078</v>
      </c>
      <c r="BX614" s="252"/>
      <c r="BY614" s="252"/>
      <c r="BZ614" s="249" t="s">
        <v>2078</v>
      </c>
      <c r="CA614" s="247"/>
      <c r="CD614" s="249" t="s">
        <v>2088</v>
      </c>
      <c r="CH614" s="249" t="s">
        <v>2078</v>
      </c>
      <c r="CL614" s="249" t="s">
        <v>2078</v>
      </c>
      <c r="CN614" s="252"/>
      <c r="CO614" s="252"/>
      <c r="CP614" s="249" t="s">
        <v>2078</v>
      </c>
      <c r="CQ614" s="247"/>
      <c r="CT614" s="249" t="s">
        <v>2088</v>
      </c>
      <c r="CX614" s="249" t="s">
        <v>2078</v>
      </c>
      <c r="DB614" s="249" t="s">
        <v>2078</v>
      </c>
    </row>
    <row r="615" spans="44:106" ht="15" customHeight="1" x14ac:dyDescent="0.2">
      <c r="AR615" s="252"/>
      <c r="AS615" s="252"/>
      <c r="AT615" s="249" t="s">
        <v>2078</v>
      </c>
      <c r="AU615" s="247"/>
      <c r="AX615" s="249" t="s">
        <v>2088</v>
      </c>
      <c r="BB615" s="249" t="s">
        <v>2078</v>
      </c>
      <c r="BF615" s="249" t="s">
        <v>2078</v>
      </c>
      <c r="BH615" s="252"/>
      <c r="BI615" s="252"/>
      <c r="BJ615" s="249" t="s">
        <v>2078</v>
      </c>
      <c r="BK615" s="247"/>
      <c r="BN615" s="249" t="s">
        <v>2088</v>
      </c>
      <c r="BR615" s="249" t="s">
        <v>2078</v>
      </c>
      <c r="BV615" s="249" t="s">
        <v>2078</v>
      </c>
      <c r="BX615" s="252"/>
      <c r="BY615" s="252"/>
      <c r="BZ615" s="249" t="s">
        <v>2078</v>
      </c>
      <c r="CA615" s="247"/>
      <c r="CD615" s="249" t="s">
        <v>2088</v>
      </c>
      <c r="CH615" s="249" t="s">
        <v>2078</v>
      </c>
      <c r="CL615" s="249" t="s">
        <v>2078</v>
      </c>
      <c r="CN615" s="252"/>
      <c r="CO615" s="252"/>
      <c r="CP615" s="249" t="s">
        <v>2078</v>
      </c>
      <c r="CQ615" s="247"/>
      <c r="CT615" s="249" t="s">
        <v>2088</v>
      </c>
      <c r="CX615" s="249" t="s">
        <v>2078</v>
      </c>
      <c r="DB615" s="249" t="s">
        <v>2078</v>
      </c>
    </row>
    <row r="616" spans="44:106" ht="15" customHeight="1" x14ac:dyDescent="0.2">
      <c r="AR616" s="252"/>
      <c r="AS616" s="252"/>
      <c r="AT616" s="249" t="s">
        <v>2078</v>
      </c>
      <c r="AU616" s="247"/>
      <c r="AX616" s="249" t="s">
        <v>2088</v>
      </c>
      <c r="BB616" s="249" t="s">
        <v>2078</v>
      </c>
      <c r="BF616" s="249" t="s">
        <v>2078</v>
      </c>
      <c r="BH616" s="252"/>
      <c r="BI616" s="252"/>
      <c r="BJ616" s="249" t="s">
        <v>2078</v>
      </c>
      <c r="BK616" s="247"/>
      <c r="BN616" s="249" t="s">
        <v>2088</v>
      </c>
      <c r="BR616" s="249" t="s">
        <v>2078</v>
      </c>
      <c r="BV616" s="249" t="s">
        <v>2078</v>
      </c>
      <c r="BX616" s="252"/>
      <c r="BY616" s="252"/>
      <c r="BZ616" s="249" t="s">
        <v>2078</v>
      </c>
      <c r="CA616" s="247"/>
      <c r="CD616" s="249" t="s">
        <v>2088</v>
      </c>
      <c r="CH616" s="249" t="s">
        <v>2078</v>
      </c>
      <c r="CL616" s="249" t="s">
        <v>2078</v>
      </c>
      <c r="CN616" s="252"/>
      <c r="CO616" s="252"/>
      <c r="CP616" s="249" t="s">
        <v>2078</v>
      </c>
      <c r="CQ616" s="247"/>
      <c r="CT616" s="249" t="s">
        <v>2088</v>
      </c>
      <c r="CX616" s="249" t="s">
        <v>2078</v>
      </c>
      <c r="DB616" s="249" t="s">
        <v>2078</v>
      </c>
    </row>
    <row r="617" spans="44:106" ht="15" customHeight="1" x14ac:dyDescent="0.2">
      <c r="AR617" s="252"/>
      <c r="AS617" s="252"/>
      <c r="AT617" s="249" t="s">
        <v>2078</v>
      </c>
      <c r="AU617" s="247"/>
      <c r="AX617" s="249" t="s">
        <v>2088</v>
      </c>
      <c r="BB617" s="249" t="s">
        <v>2078</v>
      </c>
      <c r="BF617" s="249" t="s">
        <v>2078</v>
      </c>
      <c r="BH617" s="252"/>
      <c r="BI617" s="252"/>
      <c r="BJ617" s="249" t="s">
        <v>2078</v>
      </c>
      <c r="BK617" s="247"/>
      <c r="BN617" s="249" t="s">
        <v>2088</v>
      </c>
      <c r="BR617" s="249" t="s">
        <v>2078</v>
      </c>
      <c r="BV617" s="249" t="s">
        <v>2078</v>
      </c>
      <c r="BX617" s="252"/>
      <c r="BY617" s="252"/>
      <c r="BZ617" s="249" t="s">
        <v>2078</v>
      </c>
      <c r="CA617" s="247"/>
      <c r="CD617" s="249" t="s">
        <v>2088</v>
      </c>
      <c r="CH617" s="249" t="s">
        <v>2078</v>
      </c>
      <c r="CL617" s="249" t="s">
        <v>2078</v>
      </c>
      <c r="CN617" s="252"/>
      <c r="CO617" s="252"/>
      <c r="CP617" s="249" t="s">
        <v>2078</v>
      </c>
      <c r="CQ617" s="247"/>
      <c r="CT617" s="249" t="s">
        <v>2088</v>
      </c>
      <c r="CX617" s="249" t="s">
        <v>2078</v>
      </c>
      <c r="DB617" s="249" t="s">
        <v>2078</v>
      </c>
    </row>
    <row r="618" spans="44:106" ht="15" customHeight="1" x14ac:dyDescent="0.2">
      <c r="AR618" s="252"/>
      <c r="AS618" s="252"/>
      <c r="AT618" s="249" t="s">
        <v>2078</v>
      </c>
      <c r="AU618" s="247"/>
      <c r="AX618" s="249" t="s">
        <v>2088</v>
      </c>
      <c r="BB618" s="249" t="s">
        <v>2078</v>
      </c>
      <c r="BF618" s="249" t="s">
        <v>2078</v>
      </c>
      <c r="BH618" s="252"/>
      <c r="BI618" s="252"/>
      <c r="BJ618" s="249" t="s">
        <v>2078</v>
      </c>
      <c r="BK618" s="247"/>
      <c r="BN618" s="249" t="s">
        <v>2088</v>
      </c>
      <c r="BR618" s="249" t="s">
        <v>2078</v>
      </c>
      <c r="BV618" s="249" t="s">
        <v>2078</v>
      </c>
      <c r="BX618" s="252"/>
      <c r="BY618" s="252"/>
      <c r="BZ618" s="249" t="s">
        <v>2078</v>
      </c>
      <c r="CA618" s="247"/>
      <c r="CD618" s="249" t="s">
        <v>2088</v>
      </c>
      <c r="CH618" s="249" t="s">
        <v>2078</v>
      </c>
      <c r="CL618" s="249" t="s">
        <v>2078</v>
      </c>
      <c r="CN618" s="252"/>
      <c r="CO618" s="252"/>
      <c r="CP618" s="249" t="s">
        <v>2078</v>
      </c>
      <c r="CQ618" s="247"/>
      <c r="CT618" s="249" t="s">
        <v>2088</v>
      </c>
      <c r="CX618" s="249" t="s">
        <v>2078</v>
      </c>
      <c r="DB618" s="249" t="s">
        <v>2078</v>
      </c>
    </row>
    <row r="619" spans="44:106" ht="15" customHeight="1" x14ac:dyDescent="0.2">
      <c r="AR619" s="252"/>
      <c r="AS619" s="252"/>
      <c r="AT619" s="249" t="s">
        <v>2078</v>
      </c>
      <c r="AU619" s="247"/>
      <c r="AX619" s="249" t="s">
        <v>2088</v>
      </c>
      <c r="BB619" s="249" t="s">
        <v>2078</v>
      </c>
      <c r="BF619" s="249" t="s">
        <v>2078</v>
      </c>
      <c r="BH619" s="252"/>
      <c r="BI619" s="252"/>
      <c r="BJ619" s="249" t="s">
        <v>2078</v>
      </c>
      <c r="BK619" s="247"/>
      <c r="BN619" s="249" t="s">
        <v>2088</v>
      </c>
      <c r="BR619" s="249" t="s">
        <v>2078</v>
      </c>
      <c r="BV619" s="249" t="s">
        <v>2078</v>
      </c>
      <c r="BX619" s="252"/>
      <c r="BY619" s="252"/>
      <c r="BZ619" s="249" t="s">
        <v>2078</v>
      </c>
      <c r="CA619" s="247"/>
      <c r="CD619" s="249" t="s">
        <v>2088</v>
      </c>
      <c r="CH619" s="249" t="s">
        <v>2078</v>
      </c>
      <c r="CL619" s="249" t="s">
        <v>2078</v>
      </c>
      <c r="CN619" s="252"/>
      <c r="CO619" s="252"/>
      <c r="CP619" s="249" t="s">
        <v>2078</v>
      </c>
      <c r="CQ619" s="247"/>
      <c r="CT619" s="249" t="s">
        <v>2088</v>
      </c>
      <c r="CX619" s="249" t="s">
        <v>2078</v>
      </c>
      <c r="DB619" s="249" t="s">
        <v>2078</v>
      </c>
    </row>
    <row r="620" spans="44:106" ht="15" customHeight="1" x14ac:dyDescent="0.2">
      <c r="AR620" s="252"/>
      <c r="AS620" s="252"/>
      <c r="AT620" s="249" t="s">
        <v>2078</v>
      </c>
      <c r="AU620" s="247"/>
      <c r="AX620" s="249" t="s">
        <v>2088</v>
      </c>
      <c r="BB620" s="249" t="s">
        <v>2078</v>
      </c>
      <c r="BF620" s="249" t="s">
        <v>2078</v>
      </c>
      <c r="BH620" s="252"/>
      <c r="BI620" s="252"/>
      <c r="BJ620" s="249" t="s">
        <v>2078</v>
      </c>
      <c r="BK620" s="247"/>
      <c r="BN620" s="249" t="s">
        <v>2088</v>
      </c>
      <c r="BR620" s="249" t="s">
        <v>2078</v>
      </c>
      <c r="BV620" s="249" t="s">
        <v>2078</v>
      </c>
      <c r="BX620" s="252"/>
      <c r="BY620" s="252"/>
      <c r="BZ620" s="249" t="s">
        <v>2078</v>
      </c>
      <c r="CA620" s="247"/>
      <c r="CD620" s="249" t="s">
        <v>2088</v>
      </c>
      <c r="CH620" s="249" t="s">
        <v>2078</v>
      </c>
      <c r="CL620" s="249" t="s">
        <v>2078</v>
      </c>
      <c r="CN620" s="252"/>
      <c r="CO620" s="252"/>
      <c r="CP620" s="249" t="s">
        <v>2078</v>
      </c>
      <c r="CQ620" s="247"/>
      <c r="CT620" s="249" t="s">
        <v>2088</v>
      </c>
      <c r="CX620" s="249" t="s">
        <v>2078</v>
      </c>
      <c r="DB620" s="249" t="s">
        <v>2078</v>
      </c>
    </row>
    <row r="621" spans="44:106" ht="15" customHeight="1" x14ac:dyDescent="0.2">
      <c r="AR621" s="252"/>
      <c r="AS621" s="252"/>
      <c r="AT621" s="249" t="s">
        <v>2078</v>
      </c>
      <c r="AU621" s="247"/>
      <c r="AX621" s="249" t="s">
        <v>2088</v>
      </c>
      <c r="BB621" s="249" t="s">
        <v>2078</v>
      </c>
      <c r="BF621" s="249" t="s">
        <v>2078</v>
      </c>
      <c r="BH621" s="252"/>
      <c r="BI621" s="252"/>
      <c r="BJ621" s="249" t="s">
        <v>2078</v>
      </c>
      <c r="BK621" s="247"/>
      <c r="BN621" s="249" t="s">
        <v>2088</v>
      </c>
      <c r="BR621" s="249" t="s">
        <v>2078</v>
      </c>
      <c r="BV621" s="249" t="s">
        <v>2078</v>
      </c>
      <c r="BX621" s="252"/>
      <c r="BY621" s="252"/>
      <c r="BZ621" s="249" t="s">
        <v>2078</v>
      </c>
      <c r="CA621" s="247"/>
      <c r="CD621" s="249" t="s">
        <v>2088</v>
      </c>
      <c r="CH621" s="249" t="s">
        <v>2078</v>
      </c>
      <c r="CL621" s="249" t="s">
        <v>2078</v>
      </c>
      <c r="CN621" s="252"/>
      <c r="CO621" s="252"/>
      <c r="CP621" s="249" t="s">
        <v>2078</v>
      </c>
      <c r="CQ621" s="247"/>
      <c r="CT621" s="249" t="s">
        <v>2088</v>
      </c>
      <c r="CX621" s="249" t="s">
        <v>2078</v>
      </c>
      <c r="DB621" s="249" t="s">
        <v>2078</v>
      </c>
    </row>
    <row r="622" spans="44:106" ht="15" customHeight="1" x14ac:dyDescent="0.2">
      <c r="AR622" s="252"/>
      <c r="AS622" s="252"/>
      <c r="AT622" s="249" t="s">
        <v>2078</v>
      </c>
      <c r="AU622" s="247"/>
      <c r="AX622" s="249" t="s">
        <v>2088</v>
      </c>
      <c r="BB622" s="249" t="s">
        <v>2078</v>
      </c>
      <c r="BF622" s="249" t="s">
        <v>2078</v>
      </c>
      <c r="BH622" s="252"/>
      <c r="BI622" s="252"/>
      <c r="BJ622" s="249" t="s">
        <v>2078</v>
      </c>
      <c r="BK622" s="247"/>
      <c r="BN622" s="249" t="s">
        <v>2088</v>
      </c>
      <c r="BR622" s="249" t="s">
        <v>2078</v>
      </c>
      <c r="BV622" s="249" t="s">
        <v>2078</v>
      </c>
      <c r="BX622" s="252"/>
      <c r="BY622" s="252"/>
      <c r="BZ622" s="249" t="s">
        <v>2078</v>
      </c>
      <c r="CA622" s="247"/>
      <c r="CD622" s="249" t="s">
        <v>2088</v>
      </c>
      <c r="CH622" s="249" t="s">
        <v>2078</v>
      </c>
      <c r="CL622" s="249" t="s">
        <v>2078</v>
      </c>
      <c r="CN622" s="252"/>
      <c r="CO622" s="252"/>
      <c r="CP622" s="249" t="s">
        <v>2078</v>
      </c>
      <c r="CQ622" s="247"/>
      <c r="CT622" s="249" t="s">
        <v>2088</v>
      </c>
      <c r="CX622" s="249" t="s">
        <v>2078</v>
      </c>
      <c r="DB622" s="249" t="s">
        <v>2078</v>
      </c>
    </row>
    <row r="623" spans="44:106" ht="15" customHeight="1" x14ac:dyDescent="0.2">
      <c r="AR623" s="252"/>
      <c r="AS623" s="252"/>
      <c r="AT623" s="249" t="s">
        <v>2078</v>
      </c>
      <c r="AU623" s="247"/>
      <c r="AX623" s="249" t="s">
        <v>2088</v>
      </c>
      <c r="BB623" s="249" t="s">
        <v>2078</v>
      </c>
      <c r="BF623" s="249" t="s">
        <v>2078</v>
      </c>
      <c r="BH623" s="252"/>
      <c r="BI623" s="252"/>
      <c r="BJ623" s="249" t="s">
        <v>2078</v>
      </c>
      <c r="BK623" s="247"/>
      <c r="BN623" s="249" t="s">
        <v>2088</v>
      </c>
      <c r="BR623" s="249" t="s">
        <v>2078</v>
      </c>
      <c r="BV623" s="249" t="s">
        <v>2078</v>
      </c>
      <c r="BX623" s="252"/>
      <c r="BY623" s="252"/>
      <c r="BZ623" s="249" t="s">
        <v>2078</v>
      </c>
      <c r="CA623" s="247"/>
      <c r="CD623" s="249" t="s">
        <v>2088</v>
      </c>
      <c r="CH623" s="249" t="s">
        <v>2078</v>
      </c>
      <c r="CL623" s="249" t="s">
        <v>2078</v>
      </c>
      <c r="CN623" s="252"/>
      <c r="CO623" s="252"/>
      <c r="CP623" s="249" t="s">
        <v>2078</v>
      </c>
      <c r="CQ623" s="247"/>
      <c r="CT623" s="249" t="s">
        <v>2088</v>
      </c>
      <c r="CX623" s="249" t="s">
        <v>2078</v>
      </c>
      <c r="DB623" s="249" t="s">
        <v>2078</v>
      </c>
    </row>
    <row r="624" spans="44:106" ht="15" customHeight="1" x14ac:dyDescent="0.2">
      <c r="AR624" s="252"/>
      <c r="AS624" s="252"/>
      <c r="AT624" s="249" t="s">
        <v>2078</v>
      </c>
      <c r="AU624" s="247"/>
      <c r="AX624" s="249" t="s">
        <v>2088</v>
      </c>
      <c r="BB624" s="249" t="s">
        <v>2078</v>
      </c>
      <c r="BF624" s="249" t="s">
        <v>2078</v>
      </c>
      <c r="BH624" s="252"/>
      <c r="BI624" s="252"/>
      <c r="BJ624" s="249" t="s">
        <v>2078</v>
      </c>
      <c r="BK624" s="247"/>
      <c r="BN624" s="249" t="s">
        <v>2088</v>
      </c>
      <c r="BR624" s="249" t="s">
        <v>2078</v>
      </c>
      <c r="BV624" s="249" t="s">
        <v>2078</v>
      </c>
      <c r="BX624" s="252"/>
      <c r="BY624" s="252"/>
      <c r="BZ624" s="249" t="s">
        <v>2078</v>
      </c>
      <c r="CA624" s="247"/>
      <c r="CD624" s="249" t="s">
        <v>2088</v>
      </c>
      <c r="CH624" s="249" t="s">
        <v>2078</v>
      </c>
      <c r="CL624" s="249" t="s">
        <v>2078</v>
      </c>
      <c r="CN624" s="252"/>
      <c r="CO624" s="252"/>
      <c r="CP624" s="249" t="s">
        <v>2078</v>
      </c>
      <c r="CQ624" s="247"/>
      <c r="CT624" s="249" t="s">
        <v>2088</v>
      </c>
      <c r="CX624" s="249" t="s">
        <v>2078</v>
      </c>
      <c r="DB624" s="249" t="s">
        <v>2078</v>
      </c>
    </row>
    <row r="625" spans="44:106" ht="15" customHeight="1" x14ac:dyDescent="0.2">
      <c r="AR625" s="252"/>
      <c r="AS625" s="252"/>
      <c r="AT625" s="249" t="s">
        <v>2078</v>
      </c>
      <c r="AU625" s="247"/>
      <c r="AX625" s="249" t="s">
        <v>2088</v>
      </c>
      <c r="BB625" s="249" t="s">
        <v>2078</v>
      </c>
      <c r="BF625" s="249" t="s">
        <v>2078</v>
      </c>
      <c r="BH625" s="252"/>
      <c r="BI625" s="252"/>
      <c r="BJ625" s="249" t="s">
        <v>2078</v>
      </c>
      <c r="BK625" s="247"/>
      <c r="BN625" s="249" t="s">
        <v>2088</v>
      </c>
      <c r="BR625" s="249" t="s">
        <v>2078</v>
      </c>
      <c r="BV625" s="249" t="s">
        <v>2078</v>
      </c>
      <c r="BX625" s="252"/>
      <c r="BY625" s="252"/>
      <c r="BZ625" s="249" t="s">
        <v>2078</v>
      </c>
      <c r="CA625" s="247"/>
      <c r="CD625" s="249" t="s">
        <v>2088</v>
      </c>
      <c r="CH625" s="249" t="s">
        <v>2078</v>
      </c>
      <c r="CL625" s="249" t="s">
        <v>2078</v>
      </c>
      <c r="CN625" s="252"/>
      <c r="CO625" s="252"/>
      <c r="CP625" s="249" t="s">
        <v>2078</v>
      </c>
      <c r="CQ625" s="247"/>
      <c r="CT625" s="249" t="s">
        <v>2088</v>
      </c>
      <c r="CX625" s="249" t="s">
        <v>2078</v>
      </c>
      <c r="DB625" s="249" t="s">
        <v>2078</v>
      </c>
    </row>
    <row r="626" spans="44:106" ht="15" customHeight="1" x14ac:dyDescent="0.2">
      <c r="AR626" s="252"/>
      <c r="AS626" s="252"/>
      <c r="AT626" s="249" t="s">
        <v>2078</v>
      </c>
      <c r="AU626" s="247"/>
      <c r="AX626" s="249" t="s">
        <v>2088</v>
      </c>
      <c r="BB626" s="249" t="s">
        <v>2078</v>
      </c>
      <c r="BF626" s="249" t="s">
        <v>2078</v>
      </c>
      <c r="BH626" s="252"/>
      <c r="BI626" s="252"/>
      <c r="BJ626" s="249" t="s">
        <v>2078</v>
      </c>
      <c r="BK626" s="247"/>
      <c r="BN626" s="249" t="s">
        <v>2088</v>
      </c>
      <c r="BR626" s="249" t="s">
        <v>2078</v>
      </c>
      <c r="BV626" s="249" t="s">
        <v>2078</v>
      </c>
      <c r="BX626" s="252"/>
      <c r="BY626" s="252"/>
      <c r="BZ626" s="249" t="s">
        <v>2078</v>
      </c>
      <c r="CA626" s="247"/>
      <c r="CD626" s="249" t="s">
        <v>2088</v>
      </c>
      <c r="CH626" s="249" t="s">
        <v>2078</v>
      </c>
      <c r="CL626" s="249" t="s">
        <v>2078</v>
      </c>
      <c r="CN626" s="252"/>
      <c r="CO626" s="252"/>
      <c r="CP626" s="249" t="s">
        <v>2078</v>
      </c>
      <c r="CQ626" s="247"/>
      <c r="CT626" s="249" t="s">
        <v>2088</v>
      </c>
      <c r="CX626" s="249" t="s">
        <v>2078</v>
      </c>
      <c r="DB626" s="249" t="s">
        <v>2078</v>
      </c>
    </row>
    <row r="627" spans="44:106" ht="15" customHeight="1" x14ac:dyDescent="0.2">
      <c r="AR627" s="252"/>
      <c r="AS627" s="252"/>
      <c r="AT627" s="249" t="s">
        <v>2078</v>
      </c>
      <c r="AU627" s="247"/>
      <c r="AX627" s="249" t="s">
        <v>2088</v>
      </c>
      <c r="BB627" s="249" t="s">
        <v>2078</v>
      </c>
      <c r="BF627" s="249" t="s">
        <v>2078</v>
      </c>
      <c r="BH627" s="252"/>
      <c r="BI627" s="252"/>
      <c r="BJ627" s="249" t="s">
        <v>2078</v>
      </c>
      <c r="BK627" s="247"/>
      <c r="BN627" s="249" t="s">
        <v>2088</v>
      </c>
      <c r="BR627" s="249" t="s">
        <v>2078</v>
      </c>
      <c r="BV627" s="249" t="s">
        <v>2078</v>
      </c>
      <c r="BX627" s="252"/>
      <c r="BY627" s="252"/>
      <c r="BZ627" s="249" t="s">
        <v>2078</v>
      </c>
      <c r="CA627" s="247"/>
      <c r="CD627" s="249" t="s">
        <v>2088</v>
      </c>
      <c r="CH627" s="249" t="s">
        <v>2078</v>
      </c>
      <c r="CL627" s="249" t="s">
        <v>2078</v>
      </c>
      <c r="CN627" s="252"/>
      <c r="CO627" s="252"/>
      <c r="CP627" s="249" t="s">
        <v>2078</v>
      </c>
      <c r="CQ627" s="247"/>
      <c r="CT627" s="249" t="s">
        <v>2088</v>
      </c>
      <c r="CX627" s="249" t="s">
        <v>2078</v>
      </c>
      <c r="DB627" s="249" t="s">
        <v>2078</v>
      </c>
    </row>
    <row r="628" spans="44:106" ht="15" customHeight="1" x14ac:dyDescent="0.2">
      <c r="AR628" s="252"/>
      <c r="AS628" s="252"/>
      <c r="AT628" s="249" t="s">
        <v>2078</v>
      </c>
      <c r="AU628" s="247"/>
      <c r="AX628" s="249" t="s">
        <v>2088</v>
      </c>
      <c r="BB628" s="249" t="s">
        <v>2078</v>
      </c>
      <c r="BF628" s="249" t="s">
        <v>2078</v>
      </c>
      <c r="BH628" s="252"/>
      <c r="BI628" s="252"/>
      <c r="BJ628" s="249" t="s">
        <v>2078</v>
      </c>
      <c r="BK628" s="247"/>
      <c r="BN628" s="249" t="s">
        <v>2088</v>
      </c>
      <c r="BR628" s="249" t="s">
        <v>2078</v>
      </c>
      <c r="BV628" s="249" t="s">
        <v>2078</v>
      </c>
      <c r="BX628" s="252"/>
      <c r="BY628" s="252"/>
      <c r="BZ628" s="249" t="s">
        <v>2078</v>
      </c>
      <c r="CA628" s="247"/>
      <c r="CD628" s="249" t="s">
        <v>2088</v>
      </c>
      <c r="CH628" s="249" t="s">
        <v>2078</v>
      </c>
      <c r="CL628" s="249" t="s">
        <v>2078</v>
      </c>
      <c r="CN628" s="252"/>
      <c r="CO628" s="252"/>
      <c r="CP628" s="249" t="s">
        <v>2078</v>
      </c>
      <c r="CQ628" s="247"/>
      <c r="CT628" s="249" t="s">
        <v>2088</v>
      </c>
      <c r="CX628" s="249" t="s">
        <v>2078</v>
      </c>
      <c r="DB628" s="249" t="s">
        <v>2078</v>
      </c>
    </row>
    <row r="629" spans="44:106" ht="15" customHeight="1" x14ac:dyDescent="0.2">
      <c r="AR629" s="252"/>
      <c r="AS629" s="252"/>
      <c r="AT629" s="249" t="s">
        <v>2078</v>
      </c>
      <c r="AU629" s="247"/>
      <c r="AX629" s="249" t="s">
        <v>2088</v>
      </c>
      <c r="BB629" s="249" t="s">
        <v>2078</v>
      </c>
      <c r="BF629" s="249" t="s">
        <v>2078</v>
      </c>
      <c r="BH629" s="252"/>
      <c r="BI629" s="252"/>
      <c r="BJ629" s="249" t="s">
        <v>2078</v>
      </c>
      <c r="BK629" s="247"/>
      <c r="BN629" s="249" t="s">
        <v>2088</v>
      </c>
      <c r="BR629" s="249" t="s">
        <v>2078</v>
      </c>
      <c r="BV629" s="249" t="s">
        <v>2078</v>
      </c>
      <c r="BX629" s="252"/>
      <c r="BY629" s="252"/>
      <c r="BZ629" s="249" t="s">
        <v>2078</v>
      </c>
      <c r="CA629" s="247"/>
      <c r="CD629" s="249" t="s">
        <v>2088</v>
      </c>
      <c r="CH629" s="249" t="s">
        <v>2078</v>
      </c>
      <c r="CL629" s="249" t="s">
        <v>2078</v>
      </c>
      <c r="CN629" s="252"/>
      <c r="CO629" s="252"/>
      <c r="CP629" s="249" t="s">
        <v>2078</v>
      </c>
      <c r="CQ629" s="247"/>
      <c r="CT629" s="249" t="s">
        <v>2088</v>
      </c>
      <c r="CX629" s="249" t="s">
        <v>2078</v>
      </c>
      <c r="DB629" s="249" t="s">
        <v>2078</v>
      </c>
    </row>
    <row r="630" spans="44:106" ht="15" customHeight="1" x14ac:dyDescent="0.2">
      <c r="AR630" s="252"/>
      <c r="AS630" s="252"/>
      <c r="AT630" s="249" t="s">
        <v>2078</v>
      </c>
      <c r="AU630" s="247"/>
      <c r="AX630" s="249" t="s">
        <v>2088</v>
      </c>
      <c r="BB630" s="249" t="s">
        <v>2078</v>
      </c>
      <c r="BF630" s="249" t="s">
        <v>2078</v>
      </c>
      <c r="BH630" s="252"/>
      <c r="BI630" s="252"/>
      <c r="BJ630" s="249" t="s">
        <v>2078</v>
      </c>
      <c r="BK630" s="247"/>
      <c r="BN630" s="249" t="s">
        <v>2088</v>
      </c>
      <c r="BR630" s="249" t="s">
        <v>2078</v>
      </c>
      <c r="BV630" s="249" t="s">
        <v>2078</v>
      </c>
      <c r="BX630" s="252"/>
      <c r="BY630" s="252"/>
      <c r="BZ630" s="249" t="s">
        <v>2078</v>
      </c>
      <c r="CA630" s="247"/>
      <c r="CD630" s="249" t="s">
        <v>2088</v>
      </c>
      <c r="CH630" s="249" t="s">
        <v>2078</v>
      </c>
      <c r="CL630" s="249" t="s">
        <v>2078</v>
      </c>
      <c r="CN630" s="252"/>
      <c r="CO630" s="252"/>
      <c r="CP630" s="249" t="s">
        <v>2078</v>
      </c>
      <c r="CQ630" s="247"/>
      <c r="CT630" s="249" t="s">
        <v>2088</v>
      </c>
      <c r="CX630" s="249" t="s">
        <v>2078</v>
      </c>
      <c r="DB630" s="249" t="s">
        <v>2078</v>
      </c>
    </row>
    <row r="631" spans="44:106" ht="15" customHeight="1" x14ac:dyDescent="0.2">
      <c r="AT631" s="274" t="s">
        <v>2078</v>
      </c>
      <c r="AX631" s="249" t="s">
        <v>2088</v>
      </c>
      <c r="BB631" s="249" t="s">
        <v>2078</v>
      </c>
      <c r="BF631" s="249" t="s">
        <v>2078</v>
      </c>
      <c r="BJ631" s="274" t="s">
        <v>2078</v>
      </c>
      <c r="BN631" s="249" t="s">
        <v>2088</v>
      </c>
      <c r="BR631" s="249" t="s">
        <v>2078</v>
      </c>
      <c r="BV631" s="249" t="s">
        <v>2078</v>
      </c>
      <c r="BZ631" s="274" t="s">
        <v>2078</v>
      </c>
      <c r="CD631" s="249" t="s">
        <v>2088</v>
      </c>
      <c r="CH631" s="249" t="s">
        <v>2078</v>
      </c>
      <c r="CL631" s="249" t="s">
        <v>2078</v>
      </c>
      <c r="CP631" s="274" t="s">
        <v>2078</v>
      </c>
      <c r="CT631" s="249" t="s">
        <v>2088</v>
      </c>
      <c r="CX631" s="249" t="s">
        <v>2078</v>
      </c>
      <c r="DB631" s="249" t="s">
        <v>2078</v>
      </c>
    </row>
    <row r="632" spans="44:106" ht="15" customHeight="1" x14ac:dyDescent="0.2">
      <c r="AT632" s="274" t="s">
        <v>2078</v>
      </c>
      <c r="AX632" s="249" t="s">
        <v>2088</v>
      </c>
      <c r="BB632" s="249" t="s">
        <v>2078</v>
      </c>
      <c r="BF632" s="249" t="s">
        <v>2078</v>
      </c>
      <c r="BJ632" s="274" t="s">
        <v>2078</v>
      </c>
      <c r="BN632" s="249" t="s">
        <v>2088</v>
      </c>
      <c r="BR632" s="249" t="s">
        <v>2078</v>
      </c>
      <c r="BV632" s="249" t="s">
        <v>2078</v>
      </c>
      <c r="BZ632" s="274" t="s">
        <v>2078</v>
      </c>
      <c r="CD632" s="249" t="s">
        <v>2088</v>
      </c>
      <c r="CH632" s="249" t="s">
        <v>2078</v>
      </c>
      <c r="CL632" s="249" t="s">
        <v>2078</v>
      </c>
      <c r="CP632" s="274" t="s">
        <v>2078</v>
      </c>
      <c r="CT632" s="249" t="s">
        <v>2088</v>
      </c>
      <c r="CX632" s="249" t="s">
        <v>2078</v>
      </c>
      <c r="DB632" s="249" t="s">
        <v>2078</v>
      </c>
    </row>
    <row r="633" spans="44:106" ht="15" customHeight="1" x14ac:dyDescent="0.2">
      <c r="AT633" s="274" t="s">
        <v>2078</v>
      </c>
      <c r="AX633" s="249" t="s">
        <v>2088</v>
      </c>
      <c r="BB633" s="249" t="s">
        <v>2078</v>
      </c>
      <c r="BF633" s="249" t="s">
        <v>2078</v>
      </c>
      <c r="BJ633" s="274" t="s">
        <v>2078</v>
      </c>
      <c r="BN633" s="249" t="s">
        <v>2088</v>
      </c>
      <c r="BR633" s="249" t="s">
        <v>2078</v>
      </c>
      <c r="BV633" s="249" t="s">
        <v>2078</v>
      </c>
      <c r="BZ633" s="274" t="s">
        <v>2078</v>
      </c>
      <c r="CD633" s="249" t="s">
        <v>2088</v>
      </c>
      <c r="CH633" s="249" t="s">
        <v>2078</v>
      </c>
      <c r="CL633" s="249" t="s">
        <v>2078</v>
      </c>
      <c r="CP633" s="274" t="s">
        <v>2078</v>
      </c>
      <c r="CT633" s="249" t="s">
        <v>2088</v>
      </c>
      <c r="CX633" s="249" t="s">
        <v>2078</v>
      </c>
      <c r="DB633" s="249" t="s">
        <v>2078</v>
      </c>
    </row>
    <row r="634" spans="44:106" ht="15" customHeight="1" x14ac:dyDescent="0.2">
      <c r="AT634" s="274" t="s">
        <v>2078</v>
      </c>
      <c r="AX634" s="249" t="s">
        <v>2088</v>
      </c>
      <c r="BB634" s="249" t="s">
        <v>2078</v>
      </c>
      <c r="BF634" s="249" t="s">
        <v>2078</v>
      </c>
      <c r="BJ634" s="274" t="s">
        <v>2078</v>
      </c>
      <c r="BN634" s="249" t="s">
        <v>2088</v>
      </c>
      <c r="BR634" s="249" t="s">
        <v>2078</v>
      </c>
      <c r="BV634" s="249" t="s">
        <v>2078</v>
      </c>
      <c r="BZ634" s="274" t="s">
        <v>2078</v>
      </c>
      <c r="CD634" s="249" t="s">
        <v>2088</v>
      </c>
      <c r="CH634" s="249" t="s">
        <v>2078</v>
      </c>
      <c r="CL634" s="249" t="s">
        <v>2078</v>
      </c>
      <c r="CP634" s="274" t="s">
        <v>2078</v>
      </c>
      <c r="CT634" s="249" t="s">
        <v>2088</v>
      </c>
      <c r="CX634" s="249" t="s">
        <v>2078</v>
      </c>
      <c r="DB634" s="249" t="s">
        <v>2078</v>
      </c>
    </row>
    <row r="635" spans="44:106" ht="15" customHeight="1" x14ac:dyDescent="0.2">
      <c r="AT635" s="274" t="s">
        <v>2078</v>
      </c>
      <c r="AX635" s="249" t="s">
        <v>2088</v>
      </c>
      <c r="BB635" s="249" t="s">
        <v>2078</v>
      </c>
      <c r="BF635" s="249" t="s">
        <v>2078</v>
      </c>
      <c r="BJ635" s="274" t="s">
        <v>2078</v>
      </c>
      <c r="BN635" s="249" t="s">
        <v>2088</v>
      </c>
      <c r="BR635" s="249" t="s">
        <v>2078</v>
      </c>
      <c r="BV635" s="249" t="s">
        <v>2078</v>
      </c>
      <c r="BZ635" s="274" t="s">
        <v>2078</v>
      </c>
      <c r="CD635" s="249" t="s">
        <v>2088</v>
      </c>
      <c r="CH635" s="249" t="s">
        <v>2078</v>
      </c>
      <c r="CL635" s="249" t="s">
        <v>2078</v>
      </c>
      <c r="CP635" s="274" t="s">
        <v>2078</v>
      </c>
      <c r="CT635" s="249" t="s">
        <v>2088</v>
      </c>
      <c r="CX635" s="249" t="s">
        <v>2078</v>
      </c>
      <c r="DB635" s="249" t="s">
        <v>2078</v>
      </c>
    </row>
    <row r="636" spans="44:106" ht="15" customHeight="1" x14ac:dyDescent="0.2">
      <c r="AT636" s="274" t="s">
        <v>2078</v>
      </c>
      <c r="AX636" s="249" t="s">
        <v>2088</v>
      </c>
      <c r="BB636" s="249" t="s">
        <v>2078</v>
      </c>
      <c r="BF636" s="249" t="s">
        <v>2078</v>
      </c>
      <c r="BJ636" s="274" t="s">
        <v>2078</v>
      </c>
      <c r="BN636" s="249" t="s">
        <v>2088</v>
      </c>
      <c r="BR636" s="249" t="s">
        <v>2078</v>
      </c>
      <c r="BV636" s="249" t="s">
        <v>2078</v>
      </c>
      <c r="BZ636" s="274" t="s">
        <v>2078</v>
      </c>
      <c r="CD636" s="249" t="s">
        <v>2088</v>
      </c>
      <c r="CH636" s="249" t="s">
        <v>2078</v>
      </c>
      <c r="CL636" s="249" t="s">
        <v>2078</v>
      </c>
      <c r="CP636" s="274" t="s">
        <v>2078</v>
      </c>
      <c r="CT636" s="249" t="s">
        <v>2088</v>
      </c>
      <c r="CX636" s="249" t="s">
        <v>2078</v>
      </c>
      <c r="DB636" s="249" t="s">
        <v>2078</v>
      </c>
    </row>
    <row r="637" spans="44:106" ht="15" customHeight="1" x14ac:dyDescent="0.2">
      <c r="AT637" s="274" t="s">
        <v>2078</v>
      </c>
      <c r="AX637" s="249" t="s">
        <v>2088</v>
      </c>
      <c r="BB637" s="249" t="s">
        <v>2078</v>
      </c>
      <c r="BF637" s="249" t="s">
        <v>2078</v>
      </c>
      <c r="BJ637" s="274" t="s">
        <v>2078</v>
      </c>
      <c r="BN637" s="249" t="s">
        <v>2088</v>
      </c>
      <c r="BR637" s="249" t="s">
        <v>2078</v>
      </c>
      <c r="BV637" s="249" t="s">
        <v>2078</v>
      </c>
      <c r="BZ637" s="274" t="s">
        <v>2078</v>
      </c>
      <c r="CD637" s="249" t="s">
        <v>2088</v>
      </c>
      <c r="CH637" s="249" t="s">
        <v>2078</v>
      </c>
      <c r="CL637" s="249" t="s">
        <v>2078</v>
      </c>
      <c r="CP637" s="274" t="s">
        <v>2078</v>
      </c>
      <c r="CT637" s="249" t="s">
        <v>2088</v>
      </c>
      <c r="CX637" s="249" t="s">
        <v>2078</v>
      </c>
      <c r="DB637" s="249" t="s">
        <v>2078</v>
      </c>
    </row>
    <row r="638" spans="44:106" ht="15" customHeight="1" x14ac:dyDescent="0.2">
      <c r="AT638" s="274" t="s">
        <v>2078</v>
      </c>
      <c r="AX638" s="249" t="s">
        <v>2088</v>
      </c>
      <c r="BB638" s="249" t="s">
        <v>2078</v>
      </c>
      <c r="BF638" s="249" t="s">
        <v>2078</v>
      </c>
      <c r="BJ638" s="274" t="s">
        <v>2078</v>
      </c>
      <c r="BN638" s="249" t="s">
        <v>2088</v>
      </c>
      <c r="BR638" s="249" t="s">
        <v>2078</v>
      </c>
      <c r="BV638" s="249" t="s">
        <v>2078</v>
      </c>
      <c r="BZ638" s="274" t="s">
        <v>2078</v>
      </c>
      <c r="CD638" s="249" t="s">
        <v>2088</v>
      </c>
      <c r="CH638" s="249" t="s">
        <v>2078</v>
      </c>
      <c r="CL638" s="249" t="s">
        <v>2078</v>
      </c>
      <c r="CP638" s="274" t="s">
        <v>2078</v>
      </c>
      <c r="CT638" s="249" t="s">
        <v>2088</v>
      </c>
      <c r="CX638" s="249" t="s">
        <v>2078</v>
      </c>
      <c r="DB638" s="249" t="s">
        <v>2078</v>
      </c>
    </row>
    <row r="639" spans="44:106" ht="15" customHeight="1" x14ac:dyDescent="0.2">
      <c r="AT639" s="274" t="s">
        <v>2078</v>
      </c>
      <c r="AX639" s="249" t="s">
        <v>2088</v>
      </c>
      <c r="BB639" s="249" t="s">
        <v>2078</v>
      </c>
      <c r="BF639" s="249" t="s">
        <v>2078</v>
      </c>
      <c r="BJ639" s="274" t="s">
        <v>2078</v>
      </c>
      <c r="BN639" s="249" t="s">
        <v>2088</v>
      </c>
      <c r="BR639" s="249" t="s">
        <v>2078</v>
      </c>
      <c r="BV639" s="249" t="s">
        <v>2078</v>
      </c>
      <c r="BZ639" s="274" t="s">
        <v>2078</v>
      </c>
      <c r="CD639" s="249" t="s">
        <v>2088</v>
      </c>
      <c r="CH639" s="249" t="s">
        <v>2078</v>
      </c>
      <c r="CL639" s="249" t="s">
        <v>2078</v>
      </c>
      <c r="CP639" s="274" t="s">
        <v>2078</v>
      </c>
      <c r="CT639" s="249" t="s">
        <v>2088</v>
      </c>
      <c r="CX639" s="249" t="s">
        <v>2078</v>
      </c>
      <c r="DB639" s="249" t="s">
        <v>2078</v>
      </c>
    </row>
    <row r="640" spans="44:106" ht="15" customHeight="1" x14ac:dyDescent="0.2">
      <c r="AT640" s="274" t="s">
        <v>2078</v>
      </c>
      <c r="AX640" s="249" t="s">
        <v>2088</v>
      </c>
      <c r="BB640" s="249" t="s">
        <v>2078</v>
      </c>
      <c r="BF640" s="249" t="s">
        <v>2078</v>
      </c>
      <c r="BJ640" s="274" t="s">
        <v>2078</v>
      </c>
      <c r="BN640" s="249" t="s">
        <v>2088</v>
      </c>
      <c r="BR640" s="249" t="s">
        <v>2078</v>
      </c>
      <c r="BV640" s="249" t="s">
        <v>2078</v>
      </c>
      <c r="BZ640" s="274" t="s">
        <v>2078</v>
      </c>
      <c r="CD640" s="249" t="s">
        <v>2088</v>
      </c>
      <c r="CH640" s="249" t="s">
        <v>2078</v>
      </c>
      <c r="CL640" s="249" t="s">
        <v>2078</v>
      </c>
      <c r="CP640" s="274" t="s">
        <v>2078</v>
      </c>
      <c r="CT640" s="249" t="s">
        <v>2088</v>
      </c>
      <c r="CX640" s="249" t="s">
        <v>2078</v>
      </c>
      <c r="DB640" s="249" t="s">
        <v>2078</v>
      </c>
    </row>
    <row r="641" spans="46:106" ht="15" customHeight="1" x14ac:dyDescent="0.2">
      <c r="AT641" s="274" t="s">
        <v>2078</v>
      </c>
      <c r="AX641" s="249" t="s">
        <v>2088</v>
      </c>
      <c r="BB641" s="249" t="s">
        <v>2078</v>
      </c>
      <c r="BF641" s="249" t="s">
        <v>2078</v>
      </c>
      <c r="BJ641" s="274" t="s">
        <v>2078</v>
      </c>
      <c r="BN641" s="249" t="s">
        <v>2088</v>
      </c>
      <c r="BR641" s="249" t="s">
        <v>2078</v>
      </c>
      <c r="BV641" s="249" t="s">
        <v>2078</v>
      </c>
      <c r="BZ641" s="274" t="s">
        <v>2078</v>
      </c>
      <c r="CD641" s="249" t="s">
        <v>2088</v>
      </c>
      <c r="CH641" s="249" t="s">
        <v>2078</v>
      </c>
      <c r="CL641" s="249" t="s">
        <v>2078</v>
      </c>
      <c r="CP641" s="274" t="s">
        <v>2078</v>
      </c>
      <c r="CT641" s="249" t="s">
        <v>2088</v>
      </c>
      <c r="CX641" s="249" t="s">
        <v>2078</v>
      </c>
      <c r="DB641" s="249" t="s">
        <v>2078</v>
      </c>
    </row>
    <row r="642" spans="46:106" ht="15" customHeight="1" x14ac:dyDescent="0.2">
      <c r="AT642" s="274" t="s">
        <v>2078</v>
      </c>
      <c r="AX642" s="249" t="s">
        <v>2088</v>
      </c>
      <c r="BB642" s="249" t="s">
        <v>2078</v>
      </c>
      <c r="BF642" s="249" t="s">
        <v>2078</v>
      </c>
      <c r="BJ642" s="274" t="s">
        <v>2078</v>
      </c>
      <c r="BN642" s="249" t="s">
        <v>2088</v>
      </c>
      <c r="BR642" s="249" t="s">
        <v>2078</v>
      </c>
      <c r="BV642" s="249" t="s">
        <v>2078</v>
      </c>
      <c r="BZ642" s="274" t="s">
        <v>2078</v>
      </c>
      <c r="CD642" s="249" t="s">
        <v>2088</v>
      </c>
      <c r="CH642" s="249" t="s">
        <v>2078</v>
      </c>
      <c r="CL642" s="249" t="s">
        <v>2078</v>
      </c>
      <c r="CP642" s="274" t="s">
        <v>2078</v>
      </c>
      <c r="CT642" s="249" t="s">
        <v>2088</v>
      </c>
      <c r="CX642" s="249" t="s">
        <v>2078</v>
      </c>
      <c r="DB642" s="249" t="s">
        <v>2078</v>
      </c>
    </row>
    <row r="643" spans="46:106" ht="15" customHeight="1" x14ac:dyDescent="0.2">
      <c r="AT643" s="274" t="s">
        <v>2078</v>
      </c>
      <c r="AX643" s="249" t="s">
        <v>2088</v>
      </c>
      <c r="BB643" s="249" t="s">
        <v>2078</v>
      </c>
      <c r="BF643" s="249" t="s">
        <v>2078</v>
      </c>
      <c r="BJ643" s="274" t="s">
        <v>2078</v>
      </c>
      <c r="BN643" s="249" t="s">
        <v>2088</v>
      </c>
      <c r="BR643" s="249" t="s">
        <v>2078</v>
      </c>
      <c r="BV643" s="249" t="s">
        <v>2078</v>
      </c>
      <c r="BZ643" s="274" t="s">
        <v>2078</v>
      </c>
      <c r="CD643" s="249" t="s">
        <v>2088</v>
      </c>
      <c r="CH643" s="249" t="s">
        <v>2078</v>
      </c>
      <c r="CL643" s="249" t="s">
        <v>2078</v>
      </c>
      <c r="CP643" s="274" t="s">
        <v>2078</v>
      </c>
      <c r="CT643" s="249" t="s">
        <v>2088</v>
      </c>
      <c r="CX643" s="249" t="s">
        <v>2078</v>
      </c>
      <c r="DB643" s="249" t="s">
        <v>2078</v>
      </c>
    </row>
    <row r="644" spans="46:106" ht="15" customHeight="1" x14ac:dyDescent="0.2">
      <c r="AT644" s="274" t="s">
        <v>2078</v>
      </c>
      <c r="AX644" s="249" t="s">
        <v>2088</v>
      </c>
      <c r="BB644" s="249" t="s">
        <v>2078</v>
      </c>
      <c r="BF644" s="249" t="s">
        <v>2078</v>
      </c>
      <c r="BJ644" s="274" t="s">
        <v>2078</v>
      </c>
      <c r="BN644" s="249" t="s">
        <v>2088</v>
      </c>
      <c r="BR644" s="249" t="s">
        <v>2078</v>
      </c>
      <c r="BV644" s="249" t="s">
        <v>2078</v>
      </c>
      <c r="BZ644" s="274" t="s">
        <v>2078</v>
      </c>
      <c r="CD644" s="249" t="s">
        <v>2088</v>
      </c>
      <c r="CH644" s="249" t="s">
        <v>2078</v>
      </c>
      <c r="CL644" s="249" t="s">
        <v>2078</v>
      </c>
      <c r="CP644" s="274" t="s">
        <v>2078</v>
      </c>
      <c r="CT644" s="249" t="s">
        <v>2088</v>
      </c>
      <c r="CX644" s="249" t="s">
        <v>2078</v>
      </c>
      <c r="DB644" s="249" t="s">
        <v>2078</v>
      </c>
    </row>
    <row r="645" spans="46:106" ht="15" customHeight="1" x14ac:dyDescent="0.2">
      <c r="AT645" s="274" t="s">
        <v>2078</v>
      </c>
      <c r="AX645" s="249" t="s">
        <v>2088</v>
      </c>
      <c r="BB645" s="249" t="s">
        <v>2078</v>
      </c>
      <c r="BF645" s="249" t="s">
        <v>2078</v>
      </c>
      <c r="BJ645" s="274" t="s">
        <v>2078</v>
      </c>
      <c r="BN645" s="249" t="s">
        <v>2088</v>
      </c>
      <c r="BR645" s="249" t="s">
        <v>2078</v>
      </c>
      <c r="BV645" s="249" t="s">
        <v>2078</v>
      </c>
      <c r="BZ645" s="274" t="s">
        <v>2078</v>
      </c>
      <c r="CD645" s="249" t="s">
        <v>2088</v>
      </c>
      <c r="CH645" s="249" t="s">
        <v>2078</v>
      </c>
      <c r="CL645" s="249" t="s">
        <v>2078</v>
      </c>
      <c r="CP645" s="274" t="s">
        <v>2078</v>
      </c>
      <c r="CT645" s="249" t="s">
        <v>2088</v>
      </c>
      <c r="CX645" s="249" t="s">
        <v>2078</v>
      </c>
      <c r="DB645" s="249" t="s">
        <v>2078</v>
      </c>
    </row>
    <row r="646" spans="46:106" ht="15" customHeight="1" x14ac:dyDescent="0.2">
      <c r="AT646" s="274" t="s">
        <v>2078</v>
      </c>
      <c r="AX646" s="249" t="s">
        <v>2088</v>
      </c>
      <c r="BB646" s="249" t="s">
        <v>2078</v>
      </c>
      <c r="BF646" s="249" t="s">
        <v>2078</v>
      </c>
      <c r="BJ646" s="274" t="s">
        <v>2078</v>
      </c>
      <c r="BN646" s="249" t="s">
        <v>2088</v>
      </c>
      <c r="BR646" s="249" t="s">
        <v>2078</v>
      </c>
      <c r="BV646" s="249" t="s">
        <v>2078</v>
      </c>
      <c r="BZ646" s="274" t="s">
        <v>2078</v>
      </c>
      <c r="CD646" s="249" t="s">
        <v>2088</v>
      </c>
      <c r="CH646" s="249" t="s">
        <v>2078</v>
      </c>
      <c r="CL646" s="249" t="s">
        <v>2078</v>
      </c>
      <c r="CP646" s="274" t="s">
        <v>2078</v>
      </c>
      <c r="CT646" s="249" t="s">
        <v>2088</v>
      </c>
      <c r="CX646" s="249" t="s">
        <v>2078</v>
      </c>
      <c r="DB646" s="249" t="s">
        <v>2078</v>
      </c>
    </row>
  </sheetData>
  <sheetProtection algorithmName="SHA-512" hashValue="RxYOc2e4Itfwai6+w8tuliLdDSk3WEuKfMwZuwgRa43U20EqjzUj00v2XWeMVODgrewYe0oMYMXKQ8xdBKhA0Q==" saltValue="Rs1lljc6gdoLs48eKjJBmQ==" spinCount="100000" sheet="1" formatCells="0" formatColumns="0" formatRows="0" insertHyperlinks="0" autoFilter="0"/>
  <protectedRanges>
    <protectedRange sqref="CN2:DB24" name="DICIEMBRE"/>
  </protectedRanges>
  <autoFilter ref="A3:DB3" xr:uid="{84155599-DD50-4A8D-AEAD-F509BAAFB31A}"/>
  <mergeCells count="31">
    <mergeCell ref="AR1:DB1"/>
    <mergeCell ref="A1:N1"/>
    <mergeCell ref="O1:U1"/>
    <mergeCell ref="V1:AD1"/>
    <mergeCell ref="AE1:AK1"/>
    <mergeCell ref="AL1:AO1"/>
    <mergeCell ref="T22:T24"/>
    <mergeCell ref="F2:G2"/>
    <mergeCell ref="Y2:AD2"/>
    <mergeCell ref="AP2:AP3"/>
    <mergeCell ref="AR2:AX2"/>
    <mergeCell ref="O22:O24"/>
    <mergeCell ref="P22:P24"/>
    <mergeCell ref="Q22:Q24"/>
    <mergeCell ref="R22:R24"/>
    <mergeCell ref="S22:S24"/>
    <mergeCell ref="U22:U24"/>
    <mergeCell ref="AO22:AO24"/>
    <mergeCell ref="CN2:CT2"/>
    <mergeCell ref="CV2:CX2"/>
    <mergeCell ref="CZ2:DB2"/>
    <mergeCell ref="AO10:AO11"/>
    <mergeCell ref="AO12:AO21"/>
    <mergeCell ref="BH2:BN2"/>
    <mergeCell ref="BP2:BR2"/>
    <mergeCell ref="BT2:BV2"/>
    <mergeCell ref="BX2:CD2"/>
    <mergeCell ref="CF2:CH2"/>
    <mergeCell ref="CJ2:CL2"/>
    <mergeCell ref="BD2:BF2"/>
    <mergeCell ref="AZ2:BB2"/>
  </mergeCells>
  <conditionalFormatting sqref="O4:O22">
    <cfRule type="cellIs" dxfId="194" priority="88" operator="equal">
      <formula>"Muy Baja"</formula>
    </cfRule>
    <cfRule type="cellIs" dxfId="193" priority="87" operator="equal">
      <formula>"Baja"</formula>
    </cfRule>
    <cfRule type="cellIs" dxfId="192" priority="86" operator="equal">
      <formula>"Media"</formula>
    </cfRule>
    <cfRule type="cellIs" dxfId="191" priority="85" operator="equal">
      <formula>"Alta"</formula>
    </cfRule>
    <cfRule type="cellIs" dxfId="190" priority="84" operator="equal">
      <formula>"Muy Alta"</formula>
    </cfRule>
  </conditionalFormatting>
  <conditionalFormatting sqref="R4:R22">
    <cfRule type="containsText" dxfId="189" priority="69" operator="containsText" text="❌">
      <formula>NOT(ISERROR(SEARCH(("❌"),(R4))))</formula>
    </cfRule>
  </conditionalFormatting>
  <conditionalFormatting sqref="R25:R37">
    <cfRule type="containsText" dxfId="188" priority="93" operator="containsText" text="❌">
      <formula>NOT(ISERROR(SEARCH(("❌"),(R25))))</formula>
    </cfRule>
  </conditionalFormatting>
  <conditionalFormatting sqref="S4:S22 AH4:AH33">
    <cfRule type="cellIs" dxfId="187" priority="79" operator="equal">
      <formula>"Leve"</formula>
    </cfRule>
    <cfRule type="cellIs" dxfId="186" priority="78" operator="equal">
      <formula>"Menor"</formula>
    </cfRule>
    <cfRule type="cellIs" dxfId="185" priority="77" operator="equal">
      <formula>"Moderado"</formula>
    </cfRule>
    <cfRule type="cellIs" dxfId="184" priority="76" operator="equal">
      <formula>"Mayor"</formula>
    </cfRule>
    <cfRule type="cellIs" dxfId="183" priority="75" operator="equal">
      <formula>"Catastrófico"</formula>
    </cfRule>
  </conditionalFormatting>
  <conditionalFormatting sqref="S25:S37">
    <cfRule type="cellIs" dxfId="182" priority="98" operator="equal">
      <formula>"Leve"</formula>
    </cfRule>
    <cfRule type="cellIs" dxfId="181" priority="97" operator="equal">
      <formula>"Menor"</formula>
    </cfRule>
    <cfRule type="cellIs" dxfId="180" priority="95" operator="equal">
      <formula>"Mayor"</formula>
    </cfRule>
    <cfRule type="cellIs" dxfId="179" priority="94" operator="equal">
      <formula>"Catastrófico"</formula>
    </cfRule>
    <cfRule type="cellIs" dxfId="178" priority="96" operator="equal">
      <formula>"Moderado"</formula>
    </cfRule>
  </conditionalFormatting>
  <conditionalFormatting sqref="U4:U22">
    <cfRule type="cellIs" dxfId="177" priority="90" operator="equal">
      <formula>"Alto"</formula>
    </cfRule>
    <cfRule type="cellIs" dxfId="176" priority="92" operator="equal">
      <formula>"Bajo"</formula>
    </cfRule>
    <cfRule type="cellIs" dxfId="175" priority="91" operator="equal">
      <formula>"Moderado"</formula>
    </cfRule>
    <cfRule type="cellIs" dxfId="174" priority="89" operator="equal">
      <formula>"Extremo"</formula>
    </cfRule>
  </conditionalFormatting>
  <conditionalFormatting sqref="U25:U36">
    <cfRule type="cellIs" dxfId="173" priority="100" operator="equal">
      <formula>"Alto"</formula>
    </cfRule>
    <cfRule type="cellIs" dxfId="172" priority="99" operator="equal">
      <formula>"Extremo"</formula>
    </cfRule>
    <cfRule type="cellIs" dxfId="171" priority="101" operator="equal">
      <formula>"Moderado"</formula>
    </cfRule>
    <cfRule type="cellIs" dxfId="170" priority="102" operator="equal">
      <formula>"Bajo"</formula>
    </cfRule>
  </conditionalFormatting>
  <conditionalFormatting sqref="AF4:AF33">
    <cfRule type="cellIs" dxfId="169" priority="73" operator="equal">
      <formula>"Baja"</formula>
    </cfRule>
    <cfRule type="cellIs" dxfId="168" priority="74" operator="equal">
      <formula>"Muy Baja"</formula>
    </cfRule>
    <cfRule type="cellIs" dxfId="167" priority="70" operator="equal">
      <formula>"Muy Alta"</formula>
    </cfRule>
    <cfRule type="cellIs" dxfId="166" priority="71" operator="equal">
      <formula>"Alta"</formula>
    </cfRule>
    <cfRule type="cellIs" dxfId="165" priority="72" operator="equal">
      <formula>"Media"</formula>
    </cfRule>
  </conditionalFormatting>
  <conditionalFormatting sqref="AJ4:AJ33">
    <cfRule type="cellIs" dxfId="164" priority="80" operator="equal">
      <formula>"Extremo"</formula>
    </cfRule>
    <cfRule type="cellIs" dxfId="163" priority="81" operator="equal">
      <formula>"Alto"</formula>
    </cfRule>
    <cfRule type="cellIs" dxfId="162" priority="82" operator="equal">
      <formula>"Moderado"</formula>
    </cfRule>
    <cfRule type="cellIs" dxfId="161" priority="83" operator="equal">
      <formula>"Bajo"</formula>
    </cfRule>
  </conditionalFormatting>
  <conditionalFormatting sqref="AU4:AW1048576">
    <cfRule type="containsText" dxfId="160" priority="56" operator="containsText" text="SI">
      <formula>NOT(ISERROR(SEARCH("SI",AU4)))</formula>
    </cfRule>
    <cfRule type="containsText" dxfId="159" priority="55" operator="containsText" text="NO">
      <formula>NOT(ISERROR(SEARCH("NO",AU4)))</formula>
    </cfRule>
  </conditionalFormatting>
  <conditionalFormatting sqref="BK4">
    <cfRule type="containsText" dxfId="158" priority="50" operator="containsText" text="SI">
      <formula>NOT(ISERROR(SEARCH("SI",BK4)))</formula>
    </cfRule>
    <cfRule type="containsText" dxfId="157" priority="49" operator="containsText" text="NO">
      <formula>NOT(ISERROR(SEARCH("NO",BK4)))</formula>
    </cfRule>
  </conditionalFormatting>
  <conditionalFormatting sqref="BK6:BK9">
    <cfRule type="containsText" dxfId="156" priority="54" operator="containsText" text="SI">
      <formula>NOT(ISERROR(SEARCH("SI",BK6)))</formula>
    </cfRule>
    <cfRule type="containsText" dxfId="155" priority="53" operator="containsText" text="NO">
      <formula>NOT(ISERROR(SEARCH("NO",BK6)))</formula>
    </cfRule>
  </conditionalFormatting>
  <conditionalFormatting sqref="BK5:BM5">
    <cfRule type="containsText" dxfId="154" priority="48" operator="containsText" text="SI">
      <formula>NOT(ISERROR(SEARCH("SI",BK5)))</formula>
    </cfRule>
    <cfRule type="containsText" dxfId="153" priority="47" operator="containsText" text="NO">
      <formula>NOT(ISERROR(SEARCH("NO",BK5)))</formula>
    </cfRule>
  </conditionalFormatting>
  <conditionalFormatting sqref="BK10:BM1048576">
    <cfRule type="containsText" dxfId="152" priority="44" operator="containsText" text="SI">
      <formula>NOT(ISERROR(SEARCH("SI",BK10)))</formula>
    </cfRule>
    <cfRule type="containsText" dxfId="151" priority="43" operator="containsText" text="NO">
      <formula>NOT(ISERROR(SEARCH("NO",BK10)))</formula>
    </cfRule>
  </conditionalFormatting>
  <conditionalFormatting sqref="BM4">
    <cfRule type="containsText" dxfId="150" priority="52" operator="containsText" text="SI">
      <formula>NOT(ISERROR(SEARCH("SI",BM4)))</formula>
    </cfRule>
    <cfRule type="containsText" dxfId="149" priority="51" operator="containsText" text="NO">
      <formula>NOT(ISERROR(SEARCH("NO",BM4)))</formula>
    </cfRule>
  </conditionalFormatting>
  <conditionalFormatting sqref="CA4:CA9">
    <cfRule type="containsText" dxfId="148" priority="1" operator="containsText" text="NO">
      <formula>NOT(ISERROR(SEARCH("NO",CA4)))</formula>
    </cfRule>
    <cfRule type="containsText" dxfId="147" priority="2" operator="containsText" text="SI">
      <formula>NOT(ISERROR(SEARCH("SI",CA4)))</formula>
    </cfRule>
  </conditionalFormatting>
  <conditionalFormatting sqref="CA10:CC1048576">
    <cfRule type="containsText" dxfId="146" priority="4" operator="containsText" text="SI">
      <formula>NOT(ISERROR(SEARCH("SI",CA10)))</formula>
    </cfRule>
    <cfRule type="containsText" dxfId="145" priority="3" operator="containsText" text="NO">
      <formula>NOT(ISERROR(SEARCH("NO",CA10)))</formula>
    </cfRule>
  </conditionalFormatting>
  <conditionalFormatting sqref="CQ4:CQ1048576">
    <cfRule type="containsText" dxfId="144" priority="60" operator="containsText" text="SI">
      <formula>NOT(ISERROR(SEARCH("SI",CQ4)))</formula>
    </cfRule>
    <cfRule type="containsText" dxfId="143" priority="59" operator="containsText" text="NO">
      <formula>NOT(ISERROR(SEARCH("NO",CQ4)))</formula>
    </cfRule>
  </conditionalFormatting>
  <conditionalFormatting sqref="CR5:CS1048576">
    <cfRule type="containsText" dxfId="142" priority="58" operator="containsText" text="SI">
      <formula>NOT(ISERROR(SEARCH("SI",CR5)))</formula>
    </cfRule>
    <cfRule type="containsText" dxfId="141" priority="57" operator="containsText" text="NO">
      <formula>NOT(ISERROR(SEARCH("NO",CR5)))</formula>
    </cfRule>
  </conditionalFormatting>
  <hyperlinks>
    <hyperlink ref="BN17" r:id="rId1" xr:uid="{5D7DD853-9E4C-4F3D-B617-BB4F8EE1AF95}"/>
    <hyperlink ref="BN14" r:id="rId2" xr:uid="{7C3826D6-A908-46E4-BAEE-968F687FC621}"/>
    <hyperlink ref="BN15" r:id="rId3" xr:uid="{4917ED80-81BD-4E33-A8AA-F8002FB7323D}"/>
    <hyperlink ref="BN18" r:id="rId4" xr:uid="{171CD8D1-FAB5-4368-8989-EE3252E55BAA}"/>
    <hyperlink ref="BN22" r:id="rId5" xr:uid="{E1AAC0C4-F522-40EE-921C-B0AAF1363EF4}"/>
    <hyperlink ref="BN4" r:id="rId6" xr:uid="{19A6815C-8FE6-4602-A744-BAB5B7845C1A}"/>
    <hyperlink ref="BN5" r:id="rId7" xr:uid="{6E7CFBC9-BDC8-44FC-974E-E59800B6E256}"/>
    <hyperlink ref="BN6" r:id="rId8" xr:uid="{B279C18A-906E-4D78-84C7-1CA042503A80}"/>
    <hyperlink ref="BN7" r:id="rId9" xr:uid="{241C9EFC-502B-4149-87C7-93124612D0A5}"/>
    <hyperlink ref="BN8" r:id="rId10" xr:uid="{8153EA3C-C4B9-4F8B-905D-4D5BF9C59F9A}"/>
    <hyperlink ref="BN9" r:id="rId11" xr:uid="{84A0469D-83F7-4409-A7C6-67836CBEF809}"/>
    <hyperlink ref="BN10" r:id="rId12" xr:uid="{EC679579-2B00-4BEE-8662-48F868DCBC83}"/>
    <hyperlink ref="BN11" r:id="rId13" xr:uid="{61AB25BE-0C44-460C-98A5-CCDF061CC446}"/>
    <hyperlink ref="CD12" r:id="rId14" xr:uid="{21FE4E5D-DE9E-4E65-9D95-A163FBB41F05}"/>
    <hyperlink ref="CD13" r:id="rId15" xr:uid="{1E9EB159-EFB9-4C15-B90D-C19C9FE7F3F2}"/>
    <hyperlink ref="CD14" r:id="rId16" xr:uid="{A918387B-AE04-40E8-A6FF-8D1DC3BFFAA4}"/>
    <hyperlink ref="CD15" r:id="rId17" xr:uid="{EEB19C88-1108-4D0C-AE71-638BFA1CFB96}"/>
    <hyperlink ref="CD16" r:id="rId18" xr:uid="{350C4C95-A5B3-42F1-BBF7-4E0FB53EEE15}"/>
    <hyperlink ref="CD18" r:id="rId19" xr:uid="{59FD41E8-9A1B-48FA-9D9D-CD235AB7AC1C}"/>
    <hyperlink ref="BN19" r:id="rId20" xr:uid="{E6DECC24-9172-46C7-BEE6-B76F4D48B585}"/>
    <hyperlink ref="CD19" r:id="rId21" xr:uid="{AFBBB227-95D2-476C-AD46-155CA16A9645}"/>
    <hyperlink ref="CD20" r:id="rId22" xr:uid="{D18C5A35-98EE-48BC-A8AD-D9F469CADC05}"/>
    <hyperlink ref="CD21" r:id="rId23" xr:uid="{AFA0AD79-085D-436C-A34D-3306FCBB0AD7}"/>
    <hyperlink ref="CD23" r:id="rId24" xr:uid="{C3A3D4B5-6968-4244-A747-44DEB768A363}"/>
    <hyperlink ref="CD24" r:id="rId25" xr:uid="{7CB5E191-3F4F-40C9-9BF1-28A1B1AFFAD9}"/>
    <hyperlink ref="CD6" r:id="rId26" xr:uid="{4B3C1725-5E18-42BA-9A52-4F5803ADF8AE}"/>
    <hyperlink ref="CD7" r:id="rId27" xr:uid="{0FDC3DE7-883C-4142-81E1-A3ED7B6B5B40}"/>
    <hyperlink ref="CD8" r:id="rId28" xr:uid="{0D8041FA-3C3B-43EF-BF96-35EE66421E06}"/>
    <hyperlink ref="CD10" r:id="rId29" xr:uid="{2FA5BD1B-6C74-4DFE-9544-8E8FD4668937}"/>
    <hyperlink ref="CD11" r:id="rId30" xr:uid="{05FCE9FF-C629-4250-AFCB-8856EA223614}"/>
    <hyperlink ref="CD22" r:id="rId31" xr:uid="{A6870DDD-FEFF-4EEC-BF62-031719D9738E}"/>
    <hyperlink ref="CD5" r:id="rId32" xr:uid="{A0E5D693-B236-4D79-947C-4CE8077F75EA}"/>
    <hyperlink ref="CD4" r:id="rId33" xr:uid="{E215161C-7531-4C6E-9E3D-31FB8BAA62D7}"/>
  </hyperlinks>
  <pageMargins left="0.70866141732283472" right="0.70866141732283472" top="0.74803149606299213" bottom="0.74803149606299213" header="0" footer="0"/>
  <pageSetup scale="54" orientation="portrait" r:id="rId34"/>
  <headerFooter>
    <oddHeader>&amp;L&amp;G&amp;C
MATRIZ DE RIESGOS</oddHeader>
    <oddFooter>&amp;RCódigo:E-02-F-014
Versión: 5
Fecha: Ver Isolución</oddFooter>
  </headerFooter>
  <rowBreaks count="1" manualBreakCount="1">
    <brk id="9" max="16383" man="1"/>
  </rowBreaks>
  <colBreaks count="2" manualBreakCount="2">
    <brk id="21" max="1048575" man="1"/>
    <brk id="37" max="1048575" man="1"/>
  </colBreaks>
  <legacyDrawing r:id="rId35"/>
  <legacyDrawingHF r:id="rId3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B3:I13"/>
  <sheetViews>
    <sheetView showGridLines="0" workbookViewId="0">
      <selection activeCell="N12" sqref="N12"/>
    </sheetView>
  </sheetViews>
  <sheetFormatPr baseColWidth="10" defaultColWidth="10" defaultRowHeight="15" x14ac:dyDescent="0.25"/>
  <cols>
    <col min="1" max="1" width="10" style="84"/>
    <col min="2" max="2" width="4" style="84" customWidth="1"/>
    <col min="3" max="3" width="7.75" style="84" bestFit="1" customWidth="1"/>
    <col min="4" max="4" width="3.625" style="84" customWidth="1"/>
    <col min="5" max="9" width="9.875" style="84" customWidth="1"/>
    <col min="10" max="16384" width="10" style="84"/>
  </cols>
  <sheetData>
    <row r="3" spans="2:9" ht="15.75" thickBot="1" x14ac:dyDescent="0.3"/>
    <row r="4" spans="2:9" ht="39" customHeight="1" x14ac:dyDescent="0.25">
      <c r="B4" s="1008"/>
      <c r="C4" s="82" t="s">
        <v>2259</v>
      </c>
      <c r="D4" s="82">
        <v>5</v>
      </c>
      <c r="E4" s="85"/>
      <c r="F4" s="86"/>
      <c r="G4" s="87"/>
      <c r="H4" s="87"/>
      <c r="I4" s="88"/>
    </row>
    <row r="5" spans="2:9" ht="39" customHeight="1" x14ac:dyDescent="0.25">
      <c r="B5" s="1008"/>
      <c r="C5" s="82" t="s">
        <v>2260</v>
      </c>
      <c r="D5" s="82">
        <v>4</v>
      </c>
      <c r="E5" s="89"/>
      <c r="F5" s="90"/>
      <c r="G5" s="90"/>
      <c r="H5" s="91"/>
      <c r="I5" s="92"/>
    </row>
    <row r="6" spans="2:9" ht="39" customHeight="1" x14ac:dyDescent="0.25">
      <c r="B6" s="1008"/>
      <c r="C6" s="82" t="s">
        <v>2261</v>
      </c>
      <c r="D6" s="82">
        <v>3</v>
      </c>
      <c r="E6" s="93"/>
      <c r="F6" s="94"/>
      <c r="G6" s="95" t="s">
        <v>2262</v>
      </c>
      <c r="H6" s="91"/>
      <c r="I6" s="92"/>
    </row>
    <row r="7" spans="2:9" ht="39" customHeight="1" x14ac:dyDescent="0.25">
      <c r="B7" s="1008"/>
      <c r="C7" s="82" t="s">
        <v>2263</v>
      </c>
      <c r="D7" s="82">
        <v>2</v>
      </c>
      <c r="E7" s="93"/>
      <c r="F7" s="96" t="s">
        <v>2262</v>
      </c>
      <c r="G7" s="94"/>
      <c r="H7" s="90"/>
      <c r="I7" s="92"/>
    </row>
    <row r="8" spans="2:9" ht="39" customHeight="1" thickBot="1" x14ac:dyDescent="0.3">
      <c r="B8" s="1008"/>
      <c r="C8" s="82" t="s">
        <v>2264</v>
      </c>
      <c r="D8" s="82">
        <v>1</v>
      </c>
      <c r="E8" s="97"/>
      <c r="F8" s="98"/>
      <c r="G8" s="99"/>
      <c r="H8" s="100"/>
      <c r="I8" s="101"/>
    </row>
    <row r="9" spans="2:9" x14ac:dyDescent="0.25">
      <c r="E9" s="82">
        <v>1</v>
      </c>
      <c r="F9" s="82">
        <v>2</v>
      </c>
      <c r="G9" s="82">
        <v>3</v>
      </c>
      <c r="H9" s="82">
        <v>4</v>
      </c>
      <c r="I9" s="82">
        <v>5</v>
      </c>
    </row>
    <row r="10" spans="2:9" x14ac:dyDescent="0.25">
      <c r="E10" s="82" t="s">
        <v>2265</v>
      </c>
      <c r="F10" s="82" t="s">
        <v>195</v>
      </c>
      <c r="G10" s="82" t="s">
        <v>8</v>
      </c>
      <c r="H10" s="82" t="s">
        <v>2266</v>
      </c>
      <c r="I10" s="82" t="s">
        <v>762</v>
      </c>
    </row>
    <row r="11" spans="2:9" x14ac:dyDescent="0.25">
      <c r="E11" s="1009"/>
      <c r="F11" s="1009"/>
      <c r="G11" s="1009"/>
      <c r="H11" s="1009"/>
      <c r="I11" s="1009"/>
    </row>
    <row r="13" spans="2:9" x14ac:dyDescent="0.25">
      <c r="G13" s="83" t="s">
        <v>2267</v>
      </c>
    </row>
  </sheetData>
  <mergeCells count="2">
    <mergeCell ref="B4:B8"/>
    <mergeCell ref="E11:I11"/>
  </mergeCells>
  <pageMargins left="0.70866141732283472" right="0.70866141732283472" top="0.74803149606299213" bottom="0.74803149606299213" header="0.31496062992125984" footer="0.31496062992125984"/>
  <pageSetup paperSize="9" orientation="portrait" r:id="rId1"/>
  <headerFooter>
    <oddHeader>&amp;L&amp;G&amp;C
MATRIZ DE RIESGOS&amp;RCódigo:E-02-F-014
Versión: 4 
Fecha: Ver Isolución</oddHeader>
  </headerFooter>
  <drawing r:id="rId2"/>
  <legacyDrawingHF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5:B62"/>
  <sheetViews>
    <sheetView showGridLines="0" workbookViewId="0">
      <selection activeCell="B12" sqref="B12"/>
    </sheetView>
  </sheetViews>
  <sheetFormatPr baseColWidth="10" defaultColWidth="11" defaultRowHeight="15" x14ac:dyDescent="0.2"/>
  <cols>
    <col min="1" max="1" width="19.25" style="73" customWidth="1"/>
    <col min="2" max="2" width="59.625" style="73" customWidth="1"/>
    <col min="3" max="16384" width="11" style="73"/>
  </cols>
  <sheetData>
    <row r="5" spans="1:2" ht="34.5" customHeight="1" x14ac:dyDescent="0.2">
      <c r="A5" s="1010" t="s">
        <v>2268</v>
      </c>
      <c r="B5" s="1010"/>
    </row>
    <row r="6" spans="1:2" ht="10.5" customHeight="1" x14ac:dyDescent="0.2">
      <c r="A6" s="1011"/>
      <c r="B6" s="1011"/>
    </row>
    <row r="7" spans="1:2" ht="65.25" customHeight="1" x14ac:dyDescent="0.2">
      <c r="A7" s="1012" t="s">
        <v>2269</v>
      </c>
      <c r="B7" s="1012"/>
    </row>
    <row r="8" spans="1:2" ht="9.75" customHeight="1" x14ac:dyDescent="0.2">
      <c r="A8" s="1011"/>
      <c r="B8" s="1011"/>
    </row>
    <row r="9" spans="1:2" ht="15.75" x14ac:dyDescent="0.2">
      <c r="A9" s="74" t="s">
        <v>75</v>
      </c>
      <c r="B9" s="74" t="s">
        <v>2270</v>
      </c>
    </row>
    <row r="10" spans="1:2" ht="73.5" customHeight="1" x14ac:dyDescent="0.2">
      <c r="A10" s="187" t="s">
        <v>2271</v>
      </c>
      <c r="B10" s="186" t="s">
        <v>2272</v>
      </c>
    </row>
    <row r="11" spans="1:2" ht="27.75" customHeight="1" x14ac:dyDescent="0.2">
      <c r="A11" s="187" t="s">
        <v>2273</v>
      </c>
      <c r="B11" s="75" t="s">
        <v>2274</v>
      </c>
    </row>
    <row r="12" spans="1:2" ht="38.25" customHeight="1" x14ac:dyDescent="0.2">
      <c r="A12" s="187" t="s">
        <v>2270</v>
      </c>
      <c r="B12" s="75" t="s">
        <v>2275</v>
      </c>
    </row>
    <row r="13" spans="1:2" ht="114.75" x14ac:dyDescent="0.2">
      <c r="A13" s="187" t="s">
        <v>79</v>
      </c>
      <c r="B13" s="186" t="s">
        <v>2276</v>
      </c>
    </row>
    <row r="14" spans="1:2" ht="25.5" x14ac:dyDescent="0.2">
      <c r="A14" s="187" t="s">
        <v>2277</v>
      </c>
      <c r="B14" s="186" t="s">
        <v>2278</v>
      </c>
    </row>
    <row r="15" spans="1:2" ht="30" x14ac:dyDescent="0.2">
      <c r="A15" s="187" t="s">
        <v>2279</v>
      </c>
      <c r="B15" s="186" t="s">
        <v>2280</v>
      </c>
    </row>
    <row r="16" spans="1:2" ht="38.25" x14ac:dyDescent="0.2">
      <c r="A16" s="187" t="s">
        <v>2281</v>
      </c>
      <c r="B16" s="186" t="s">
        <v>2282</v>
      </c>
    </row>
    <row r="17" spans="1:2" ht="39" customHeight="1" x14ac:dyDescent="0.2">
      <c r="A17" s="187" t="s">
        <v>2283</v>
      </c>
      <c r="B17" s="186" t="s">
        <v>2284</v>
      </c>
    </row>
    <row r="18" spans="1:2" ht="33.75" customHeight="1" x14ac:dyDescent="0.2">
      <c r="A18" s="187" t="s">
        <v>2285</v>
      </c>
      <c r="B18" s="186" t="s">
        <v>2286</v>
      </c>
    </row>
    <row r="19" spans="1:2" ht="102" x14ac:dyDescent="0.2">
      <c r="A19" s="187" t="s">
        <v>2287</v>
      </c>
      <c r="B19" s="186" t="s">
        <v>2288</v>
      </c>
    </row>
    <row r="20" spans="1:2" ht="38.25" x14ac:dyDescent="0.2">
      <c r="A20" s="187" t="s">
        <v>2289</v>
      </c>
      <c r="B20" s="186" t="s">
        <v>2290</v>
      </c>
    </row>
    <row r="21" spans="1:2" ht="63.75" x14ac:dyDescent="0.2">
      <c r="A21" s="187" t="s">
        <v>2</v>
      </c>
      <c r="B21" s="186" t="s">
        <v>2291</v>
      </c>
    </row>
    <row r="22" spans="1:2" ht="52.5" customHeight="1" x14ac:dyDescent="0.2">
      <c r="A22" s="1013" t="s">
        <v>1</v>
      </c>
      <c r="B22" s="1016" t="s">
        <v>2292</v>
      </c>
    </row>
    <row r="23" spans="1:2" ht="52.5" customHeight="1" x14ac:dyDescent="0.2">
      <c r="A23" s="1014"/>
      <c r="B23" s="1017"/>
    </row>
    <row r="24" spans="1:2" ht="52.5" customHeight="1" x14ac:dyDescent="0.2">
      <c r="A24" s="1015"/>
      <c r="B24" s="1018"/>
    </row>
    <row r="25" spans="1:2" ht="38.25" x14ac:dyDescent="0.2">
      <c r="A25" s="187" t="s">
        <v>2293</v>
      </c>
      <c r="B25" s="186" t="s">
        <v>2294</v>
      </c>
    </row>
    <row r="26" spans="1:2" ht="38.25" x14ac:dyDescent="0.2">
      <c r="A26" s="187" t="s">
        <v>2295</v>
      </c>
      <c r="B26" s="186" t="s">
        <v>2296</v>
      </c>
    </row>
    <row r="27" spans="1:2" ht="216.75" x14ac:dyDescent="0.2">
      <c r="A27" s="187" t="s">
        <v>2297</v>
      </c>
      <c r="B27" s="186" t="s">
        <v>2298</v>
      </c>
    </row>
    <row r="28" spans="1:2" ht="33" customHeight="1" x14ac:dyDescent="0.2">
      <c r="A28" s="187" t="s">
        <v>2299</v>
      </c>
      <c r="B28" s="186" t="s">
        <v>2300</v>
      </c>
    </row>
    <row r="29" spans="1:2" ht="204" x14ac:dyDescent="0.2">
      <c r="A29" s="187" t="s">
        <v>2301</v>
      </c>
      <c r="B29" s="186" t="s">
        <v>2302</v>
      </c>
    </row>
    <row r="30" spans="1:2" ht="30" x14ac:dyDescent="0.2">
      <c r="A30" s="187" t="s">
        <v>2303</v>
      </c>
      <c r="B30" s="186" t="s">
        <v>2304</v>
      </c>
    </row>
    <row r="31" spans="1:2" ht="51" x14ac:dyDescent="0.2">
      <c r="A31" s="187" t="s">
        <v>2305</v>
      </c>
      <c r="B31" s="186" t="s">
        <v>2306</v>
      </c>
    </row>
    <row r="32" spans="1:2" ht="51" x14ac:dyDescent="0.2">
      <c r="A32" s="187" t="s">
        <v>2307</v>
      </c>
      <c r="B32" s="186" t="s">
        <v>2308</v>
      </c>
    </row>
    <row r="33" spans="1:2" ht="63.75" x14ac:dyDescent="0.2">
      <c r="A33" s="187" t="s">
        <v>2309</v>
      </c>
      <c r="B33" s="186" t="s">
        <v>2310</v>
      </c>
    </row>
    <row r="34" spans="1:2" ht="30" x14ac:dyDescent="0.2">
      <c r="A34" s="187" t="s">
        <v>2311</v>
      </c>
      <c r="B34" s="186" t="s">
        <v>2312</v>
      </c>
    </row>
    <row r="35" spans="1:2" ht="45" x14ac:dyDescent="0.2">
      <c r="A35" s="187" t="s">
        <v>2313</v>
      </c>
      <c r="B35" s="186" t="s">
        <v>2314</v>
      </c>
    </row>
    <row r="36" spans="1:2" ht="30" x14ac:dyDescent="0.2">
      <c r="A36" s="187" t="s">
        <v>2315</v>
      </c>
      <c r="B36" s="186" t="s">
        <v>2316</v>
      </c>
    </row>
    <row r="37" spans="1:2" ht="76.5" x14ac:dyDescent="0.2">
      <c r="A37" s="188" t="s">
        <v>2303</v>
      </c>
      <c r="B37" s="186" t="s">
        <v>2317</v>
      </c>
    </row>
    <row r="38" spans="1:2" ht="89.25" x14ac:dyDescent="0.2">
      <c r="A38" s="188" t="s">
        <v>2305</v>
      </c>
      <c r="B38" s="186" t="s">
        <v>2318</v>
      </c>
    </row>
    <row r="39" spans="1:2" ht="102" x14ac:dyDescent="0.2">
      <c r="A39" s="188" t="s">
        <v>2307</v>
      </c>
      <c r="B39" s="186" t="s">
        <v>2319</v>
      </c>
    </row>
    <row r="40" spans="1:2" ht="114.75" x14ac:dyDescent="0.2">
      <c r="A40" s="188" t="s">
        <v>2309</v>
      </c>
      <c r="B40" s="186" t="s">
        <v>2320</v>
      </c>
    </row>
    <row r="41" spans="1:2" ht="102" x14ac:dyDescent="0.2">
      <c r="A41" s="188" t="s">
        <v>2311</v>
      </c>
      <c r="B41" s="186" t="s">
        <v>2321</v>
      </c>
    </row>
    <row r="42" spans="1:2" ht="102" x14ac:dyDescent="0.2">
      <c r="A42" s="188" t="s">
        <v>2313</v>
      </c>
      <c r="B42" s="186" t="s">
        <v>2322</v>
      </c>
    </row>
    <row r="43" spans="1:2" ht="102" x14ac:dyDescent="0.2">
      <c r="A43" s="188" t="s">
        <v>2315</v>
      </c>
      <c r="B43" s="186" t="s">
        <v>2323</v>
      </c>
    </row>
    <row r="44" spans="1:2" ht="51" x14ac:dyDescent="0.2">
      <c r="A44" s="188" t="s">
        <v>2324</v>
      </c>
      <c r="B44" s="186" t="s">
        <v>2325</v>
      </c>
    </row>
    <row r="45" spans="1:2" ht="76.5" x14ac:dyDescent="0.2">
      <c r="A45" s="188" t="s">
        <v>2326</v>
      </c>
      <c r="B45" s="186" t="s">
        <v>2327</v>
      </c>
    </row>
    <row r="46" spans="1:2" ht="63.75" x14ac:dyDescent="0.2">
      <c r="A46" s="189" t="s">
        <v>2328</v>
      </c>
      <c r="B46" s="186" t="s">
        <v>2329</v>
      </c>
    </row>
    <row r="47" spans="1:2" ht="38.25" x14ac:dyDescent="0.2">
      <c r="A47" s="190" t="s">
        <v>2330</v>
      </c>
      <c r="B47" s="186" t="s">
        <v>2331</v>
      </c>
    </row>
    <row r="48" spans="1:2" ht="38.25" x14ac:dyDescent="0.2">
      <c r="A48" s="190" t="s">
        <v>2332</v>
      </c>
      <c r="B48" s="186" t="s">
        <v>2333</v>
      </c>
    </row>
    <row r="49" spans="1:2" ht="51" x14ac:dyDescent="0.2">
      <c r="A49" s="190" t="s">
        <v>2334</v>
      </c>
      <c r="B49" s="186" t="s">
        <v>2335</v>
      </c>
    </row>
    <row r="50" spans="1:2" ht="45" x14ac:dyDescent="0.2">
      <c r="A50" s="190" t="s">
        <v>2336</v>
      </c>
      <c r="B50" s="186" t="s">
        <v>2337</v>
      </c>
    </row>
    <row r="51" spans="1:2" ht="45" x14ac:dyDescent="0.2">
      <c r="A51" s="187" t="s">
        <v>2338</v>
      </c>
      <c r="B51" s="186" t="s">
        <v>2339</v>
      </c>
    </row>
    <row r="52" spans="1:2" ht="38.25" x14ac:dyDescent="0.2">
      <c r="A52" s="187" t="s">
        <v>2340</v>
      </c>
      <c r="B52" s="186" t="s">
        <v>2341</v>
      </c>
    </row>
    <row r="53" spans="1:2" ht="38.25" x14ac:dyDescent="0.2">
      <c r="A53" s="187" t="s">
        <v>2342</v>
      </c>
      <c r="B53" s="186" t="s">
        <v>2343</v>
      </c>
    </row>
    <row r="54" spans="1:2" ht="76.5" x14ac:dyDescent="0.2">
      <c r="A54" s="187" t="s">
        <v>2344</v>
      </c>
      <c r="B54" s="186" t="s">
        <v>2345</v>
      </c>
    </row>
    <row r="55" spans="1:2" ht="76.5" x14ac:dyDescent="0.2">
      <c r="A55" s="187" t="s">
        <v>2346</v>
      </c>
      <c r="B55" s="186" t="s">
        <v>2347</v>
      </c>
    </row>
    <row r="56" spans="1:2" ht="63.75" x14ac:dyDescent="0.2">
      <c r="A56" s="187" t="s">
        <v>2348</v>
      </c>
      <c r="B56" s="186" t="s">
        <v>2349</v>
      </c>
    </row>
    <row r="57" spans="1:2" ht="114.75" x14ac:dyDescent="0.2">
      <c r="A57" s="187" t="s">
        <v>2350</v>
      </c>
      <c r="B57" s="186" t="s">
        <v>2351</v>
      </c>
    </row>
    <row r="58" spans="1:2" ht="25.5" x14ac:dyDescent="0.2">
      <c r="A58" s="187" t="s">
        <v>168</v>
      </c>
      <c r="B58" s="186" t="s">
        <v>2352</v>
      </c>
    </row>
    <row r="59" spans="1:2" ht="25.5" x14ac:dyDescent="0.2">
      <c r="A59" s="187" t="s">
        <v>169</v>
      </c>
      <c r="B59" s="186" t="s">
        <v>2353</v>
      </c>
    </row>
    <row r="60" spans="1:2" ht="38.25" x14ac:dyDescent="0.2">
      <c r="A60" s="187" t="s">
        <v>2354</v>
      </c>
      <c r="B60" s="186" t="s">
        <v>2355</v>
      </c>
    </row>
    <row r="61" spans="1:2" ht="63.75" x14ac:dyDescent="0.2">
      <c r="A61" s="187" t="s">
        <v>2356</v>
      </c>
      <c r="B61" s="186" t="s">
        <v>2357</v>
      </c>
    </row>
    <row r="62" spans="1:2" ht="165.75" x14ac:dyDescent="0.2">
      <c r="A62" s="187" t="s">
        <v>126</v>
      </c>
      <c r="B62" s="186" t="s">
        <v>2358</v>
      </c>
    </row>
  </sheetData>
  <sheetProtection sheet="1" objects="1" scenarios="1"/>
  <mergeCells count="6">
    <mergeCell ref="A5:B5"/>
    <mergeCell ref="A6:B6"/>
    <mergeCell ref="A7:B7"/>
    <mergeCell ref="A8:B8"/>
    <mergeCell ref="A22:A24"/>
    <mergeCell ref="B22:B24"/>
  </mergeCells>
  <hyperlinks>
    <hyperlink ref="A10" location="Matriz!A1" display="ID" xr:uid="{00000000-0004-0000-0700-000008000000}"/>
    <hyperlink ref="A11" location="Matriz!B1" display="Riesgo" xr:uid="{00000000-0004-0000-0700-000009000000}"/>
    <hyperlink ref="A12" location="Matriz!C1" display="Descripción" xr:uid="{00000000-0004-0000-0700-00000A000000}"/>
    <hyperlink ref="A13" location="Matriz!D1" display="Proceso" xr:uid="{00000000-0004-0000-0700-00000B000000}"/>
    <hyperlink ref="A14" location="Matriz!E1" display="Clase" xr:uid="{00000000-0004-0000-0700-00000C000000}"/>
    <hyperlink ref="A15" location="Matriz!F1" display="Activo de Información" xr:uid="{00000000-0004-0000-0700-00000D000000}"/>
    <hyperlink ref="A16" location="Matriz!G1" display="Factores externos" xr:uid="{00000000-0004-0000-0700-00000E000000}"/>
    <hyperlink ref="A17" location="Matriz!G1" display="Factores Internos" xr:uid="{00000000-0004-0000-0700-00000F000000}"/>
    <hyperlink ref="A18" location="Matriz!I1" display="Amenaza" xr:uid="{00000000-0004-0000-0700-000010000000}"/>
    <hyperlink ref="A19" location="Matriz!J1" display="Causa / Vulnerabilidad" xr:uid="{00000000-0004-0000-0700-000011000000}"/>
    <hyperlink ref="A20" location="Matriz!K1" display="Consecuencias" xr:uid="{00000000-0004-0000-0700-000012000000}"/>
    <hyperlink ref="A21" location="Matriz!L1" display="Probabilidad" xr:uid="{00000000-0004-0000-0700-000013000000}"/>
    <hyperlink ref="A50" location="Matriz!AM1" display="Solidez Promedio del Conjunto de Controles" xr:uid="{00000000-0004-0000-0700-00002E000000}"/>
    <hyperlink ref="A49" location="Matriz!AL1" display="Requiere plan de acción para fortalecer el control" xr:uid="{00000000-0004-0000-0700-00002D000000}"/>
    <hyperlink ref="A48" location="Matriz!AK1" display="Puntaje de Solidez Individual del Control" xr:uid="{00000000-0004-0000-0700-00002C000000}"/>
    <hyperlink ref="A47" location="Matriz!AJ1" display="Solidez individual del Control" xr:uid="{00000000-0004-0000-0700-00002B000000}"/>
    <hyperlink ref="A46" location="Matriz!AI1" display="Ejecución del Control" xr:uid="{00000000-0004-0000-0700-00002A000000}"/>
    <hyperlink ref="A45" location="Matriz!AH1" display="Diseño del Control" xr:uid="{00000000-0004-0000-0700-000029000000}"/>
    <hyperlink ref="A44" location="Matriz!AG1" display="Total" xr:uid="{00000000-0004-0000-0700-000028000000}"/>
    <hyperlink ref="A43" location="Matriz!AF1" display="Evidencia de la ejecución del control" xr:uid="{00000000-0004-0000-0700-000027000000}"/>
    <hyperlink ref="A42" location="Matriz!AE1" display="Qué pasa con las observaciones o desviaciones" xr:uid="{00000000-0004-0000-0700-000026000000}"/>
    <hyperlink ref="A41" location="Matriz!AD1" display="Cómo se realiza la actividad de control" xr:uid="{00000000-0004-0000-0700-000025000000}"/>
    <hyperlink ref="A40" location="Matriz!AC1" display="Propósito" xr:uid="{00000000-0004-0000-0700-000024000000}"/>
    <hyperlink ref="A39" location="Matriz!AB1" display="Periodicidad" xr:uid="{00000000-0004-0000-0700-000023000000}"/>
    <hyperlink ref="A38" location="Matriz!AA1" display="Segregación y autoridad del responsable" xr:uid="{00000000-0004-0000-0700-000022000000}"/>
    <hyperlink ref="A37" location="Matriz!Z1" display="Asignación del responsable" xr:uid="{00000000-0004-0000-0700-000021000000}"/>
    <hyperlink ref="A36" location="Matriz!Y1" display="Evidencia de la ejecución del control" xr:uid="{00000000-0004-0000-0700-000020000000}"/>
    <hyperlink ref="A35" location="Matriz!X1" display="Qué pasa con las observaciones o desviaciones" xr:uid="{00000000-0004-0000-0700-00001F000000}"/>
    <hyperlink ref="A34" location="Matriz!W1" display="Cómo se realiza la actividad de control" xr:uid="{00000000-0004-0000-0700-00001E000000}"/>
    <hyperlink ref="A33" location="Matriz!V1" display="Propósito" xr:uid="{00000000-0004-0000-0700-00001D000000}"/>
    <hyperlink ref="A32" location="Matriz!U1" display="Periodicidad" xr:uid="{00000000-0004-0000-0700-00001C000000}"/>
    <hyperlink ref="A31" location="Matriz!T1" display="Segregación y autoridad del responsable" xr:uid="{00000000-0004-0000-0700-00001B000000}"/>
    <hyperlink ref="A30" location="Matriz!S1" display="Asignación del responsable" xr:uid="{00000000-0004-0000-0700-00001A000000}"/>
    <hyperlink ref="A29" location="Matriz!R1" display="Tipo Control" xr:uid="{00000000-0004-0000-0700-000019000000}"/>
    <hyperlink ref="A28" location="Matriz!Q1" display="N° Control" xr:uid="{00000000-0004-0000-0700-000018000000}"/>
    <hyperlink ref="A27" location="Matriz!P1" display="Control" xr:uid="{00000000-0004-0000-0700-000017000000}"/>
    <hyperlink ref="A26" location="Matriz!O1" display="Tratamiento del Riesgo" xr:uid="{00000000-0004-0000-0700-000016000000}"/>
    <hyperlink ref="A25" location="Matriz!N1" display="Riesgo Inherente" xr:uid="{00000000-0004-0000-0700-000015000000}"/>
    <hyperlink ref="A22:A24" location="Matriz!M1" display="Impacto" xr:uid="{00000000-0004-0000-0700-000014000000}"/>
  </hyperlinks>
  <pageMargins left="0.23622047244094491" right="0.23622047244094491" top="0.43307086614173229" bottom="0.43307086614173229" header="0.31496062992125984" footer="0.31496062992125984"/>
  <pageSetup fitToHeight="0" orientation="portrait" r:id="rId1"/>
  <headerFooter>
    <oddHeader>&amp;L&amp;G&amp;CMATRIZ DE RIESGOS</oddHeader>
    <oddFooter>&amp;RCódigo:E-02-F-014
Versión: 5 
Fecha: Ver Isolución</oddFooter>
  </headerFooter>
  <legacyDrawing r:id="rId2"/>
  <legacyDrawingHF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ABEC-4D3A-4185-B14B-59488139C705}">
  <sheetPr>
    <tabColor rgb="FFFFFF00"/>
  </sheetPr>
  <dimension ref="A1:DN59"/>
  <sheetViews>
    <sheetView showGridLines="0" zoomScaleNormal="100" workbookViewId="0">
      <pane ySplit="2" topLeftCell="A3" activePane="bottomLeft" state="frozen"/>
      <selection activeCell="BU1" sqref="BU1"/>
      <selection pane="bottomLeft" activeCell="D3" sqref="D3"/>
    </sheetView>
  </sheetViews>
  <sheetFormatPr baseColWidth="10" defaultColWidth="9" defaultRowHeight="11.25" x14ac:dyDescent="0.2"/>
  <cols>
    <col min="1" max="1" width="4.375" style="404" customWidth="1"/>
    <col min="2" max="2" width="7.75" style="404" customWidth="1"/>
    <col min="3" max="3" width="8.875" style="405" customWidth="1"/>
    <col min="4" max="4" width="25.875" style="405" customWidth="1"/>
    <col min="5" max="5" width="49.125" style="405" customWidth="1"/>
    <col min="6" max="6" width="19.75" style="404" customWidth="1"/>
    <col min="7" max="7" width="29.875" style="404" customWidth="1"/>
    <col min="8" max="8" width="19.75" style="404" customWidth="1"/>
    <col min="9" max="9" width="13.25" style="405" customWidth="1"/>
    <col min="10" max="10" width="27" style="405" customWidth="1"/>
    <col min="11" max="12" width="15.625" style="405" customWidth="1"/>
    <col min="13" max="13" width="17" style="405" customWidth="1"/>
    <col min="14" max="14" width="18.375" style="405" customWidth="1"/>
    <col min="15" max="15" width="20.25" style="405" customWidth="1"/>
    <col min="16" max="16" width="11.875" style="405" customWidth="1"/>
    <col min="17" max="17" width="11.375" style="405" customWidth="1"/>
    <col min="18" max="18" width="7.5" style="405" customWidth="1"/>
    <col min="19" max="19" width="11.875" style="405" customWidth="1"/>
    <col min="20" max="20" width="39.125" style="405" customWidth="1"/>
    <col min="21" max="21" width="8" style="405" customWidth="1"/>
    <col min="22" max="22" width="8.25" style="405" customWidth="1"/>
    <col min="23" max="23" width="10.5" style="405" customWidth="1"/>
    <col min="24" max="24" width="10.875" style="405" customWidth="1"/>
    <col min="25" max="25" width="9.25" style="405" customWidth="1"/>
    <col min="26" max="26" width="8.125" style="405" customWidth="1"/>
    <col min="27" max="27" width="12.5" style="405" customWidth="1"/>
    <col min="28" max="28" width="19.375" style="405" customWidth="1"/>
    <col min="29" max="29" width="12.5" style="405" customWidth="1"/>
    <col min="30" max="30" width="10.25" style="405" customWidth="1"/>
    <col min="31" max="31" width="12.5" style="405" customWidth="1"/>
    <col min="32" max="32" width="10.5" style="405" customWidth="1"/>
    <col min="33" max="33" width="8.75" style="405" customWidth="1"/>
    <col min="34" max="34" width="10.5" style="405" customWidth="1"/>
    <col min="35" max="35" width="12.5" style="405" customWidth="1"/>
    <col min="36" max="36" width="9.5" style="405" customWidth="1"/>
    <col min="37" max="37" width="15.875" style="405" customWidth="1"/>
    <col min="38" max="38" width="16.125" style="405" customWidth="1"/>
    <col min="39" max="39" width="14.5" style="405" customWidth="1"/>
    <col min="40" max="40" width="8.875" style="405" customWidth="1"/>
    <col min="41" max="41" width="13.25" style="405" customWidth="1"/>
    <col min="42" max="43" width="12.5" style="405" customWidth="1"/>
    <col min="44" max="44" width="9.5" style="405" customWidth="1"/>
    <col min="45" max="45" width="9.125" style="405" customWidth="1"/>
    <col min="46" max="46" width="10.875" style="405" customWidth="1"/>
    <col min="47" max="48" width="15.25" style="405" customWidth="1"/>
    <col min="49" max="49" width="8.875" style="405" customWidth="1"/>
    <col min="50" max="50" width="48.375" style="405" customWidth="1"/>
    <col min="51" max="51" width="19.5" style="405" customWidth="1"/>
    <col min="52" max="52" width="15.125" style="404" customWidth="1"/>
    <col min="53" max="53" width="15.375" style="405" customWidth="1"/>
    <col min="54" max="54" width="23.375" style="405" customWidth="1"/>
    <col min="55" max="55" width="8" style="405" customWidth="1"/>
    <col min="56" max="56" width="13" style="405" customWidth="1"/>
    <col min="57" max="57" width="27.5" style="405" customWidth="1"/>
    <col min="58" max="58" width="63" style="405" customWidth="1"/>
    <col min="59" max="59" width="27.5" style="405" customWidth="1"/>
    <col min="60" max="61" width="23.5" style="405" customWidth="1"/>
    <col min="62" max="62" width="27.5" style="405" customWidth="1"/>
    <col min="63" max="63" width="8" style="405" customWidth="1"/>
    <col min="64" max="65" width="22.125" style="405" customWidth="1"/>
    <col min="66" max="66" width="94.25" style="405" customWidth="1"/>
    <col min="67" max="67" width="8" style="405" customWidth="1"/>
    <col min="68" max="68" width="25.875" style="405" customWidth="1"/>
    <col min="69" max="69" width="22.125" style="405" customWidth="1"/>
    <col min="70" max="70" width="94.25" style="405" customWidth="1"/>
    <col min="71" max="71" width="8" style="405" customWidth="1"/>
    <col min="72" max="73" width="18.125" style="405" customWidth="1"/>
    <col min="74" max="74" width="48.25" style="405" customWidth="1"/>
    <col min="75" max="81" width="18.125" style="405" customWidth="1"/>
    <col min="82" max="82" width="44.875" style="405" customWidth="1"/>
    <col min="83" max="89" width="18.125" style="405" customWidth="1"/>
    <col min="90" max="90" width="48.875" style="405" customWidth="1"/>
    <col min="91" max="91" width="18.125" style="405" customWidth="1"/>
    <col min="92" max="92" width="17.125" style="405" customWidth="1"/>
    <col min="93" max="94" width="18.125" style="405" customWidth="1"/>
    <col min="95" max="95" width="3.625" style="405" customWidth="1"/>
    <col min="96" max="96" width="18.125" style="404" customWidth="1"/>
    <col min="97" max="97" width="18.125" style="405" customWidth="1"/>
    <col min="98" max="98" width="37.375" style="405" customWidth="1"/>
    <col min="99" max="110" width="18.125" style="405" customWidth="1"/>
    <col min="111" max="111" width="10.75" style="405" customWidth="1"/>
    <col min="112" max="118" width="18.125" style="405" customWidth="1"/>
    <col min="119" max="16384" width="9" style="405"/>
  </cols>
  <sheetData>
    <row r="1" spans="1:118" ht="28.5" customHeight="1" x14ac:dyDescent="0.2">
      <c r="BD1" s="1034" t="s">
        <v>138</v>
      </c>
      <c r="BE1" s="1035"/>
      <c r="BF1" s="1035"/>
      <c r="BG1" s="1035"/>
      <c r="BH1" s="1035"/>
      <c r="BI1" s="1035"/>
      <c r="BJ1" s="1036"/>
      <c r="BK1" s="406"/>
      <c r="BL1" s="1037" t="s">
        <v>139</v>
      </c>
      <c r="BM1" s="1038"/>
      <c r="BN1" s="1039"/>
      <c r="BO1" s="406"/>
      <c r="BP1" s="1031" t="s">
        <v>140</v>
      </c>
      <c r="BQ1" s="1032"/>
      <c r="BR1" s="1033"/>
      <c r="BS1" s="406"/>
      <c r="BT1" s="1034" t="s">
        <v>141</v>
      </c>
      <c r="BU1" s="1035"/>
      <c r="BV1" s="1035"/>
      <c r="BW1" s="1035"/>
      <c r="BX1" s="1035"/>
      <c r="BY1" s="1035"/>
      <c r="BZ1" s="1036"/>
      <c r="CA1" s="406"/>
      <c r="CB1" s="1037" t="s">
        <v>142</v>
      </c>
      <c r="CC1" s="1038"/>
      <c r="CD1" s="1039"/>
      <c r="CE1" s="406"/>
      <c r="CF1" s="1031" t="s">
        <v>143</v>
      </c>
      <c r="CG1" s="1032"/>
      <c r="CH1" s="1033"/>
      <c r="CI1" s="406"/>
      <c r="CJ1" s="1034" t="s">
        <v>144</v>
      </c>
      <c r="CK1" s="1035"/>
      <c r="CL1" s="1035"/>
      <c r="CM1" s="1035"/>
      <c r="CN1" s="1035"/>
      <c r="CO1" s="1035"/>
      <c r="CP1" s="1036"/>
      <c r="CQ1" s="406"/>
      <c r="CR1" s="1037" t="s">
        <v>145</v>
      </c>
      <c r="CS1" s="1038"/>
      <c r="CT1" s="1039"/>
      <c r="CU1" s="406"/>
      <c r="CV1" s="1031" t="s">
        <v>146</v>
      </c>
      <c r="CW1" s="1032"/>
      <c r="CX1" s="1033"/>
      <c r="CY1" s="406"/>
      <c r="CZ1" s="1034" t="s">
        <v>147</v>
      </c>
      <c r="DA1" s="1035"/>
      <c r="DB1" s="1035"/>
      <c r="DC1" s="1035"/>
      <c r="DD1" s="1035"/>
      <c r="DE1" s="1035"/>
      <c r="DF1" s="1036"/>
      <c r="DG1" s="406"/>
      <c r="DH1" s="1037" t="s">
        <v>148</v>
      </c>
      <c r="DI1" s="1038"/>
      <c r="DJ1" s="1039"/>
      <c r="DK1" s="406"/>
      <c r="DL1" s="1031" t="s">
        <v>149</v>
      </c>
      <c r="DM1" s="1032"/>
      <c r="DN1" s="1033"/>
    </row>
    <row r="2" spans="1:118" ht="45" customHeight="1" x14ac:dyDescent="0.2">
      <c r="A2" s="407" t="s">
        <v>2359</v>
      </c>
      <c r="B2" s="407" t="s">
        <v>2271</v>
      </c>
      <c r="C2" s="407" t="s">
        <v>2360</v>
      </c>
      <c r="D2" s="407" t="s">
        <v>2273</v>
      </c>
      <c r="E2" s="407" t="s">
        <v>2270</v>
      </c>
      <c r="F2" s="407" t="s">
        <v>79</v>
      </c>
      <c r="G2" s="407" t="s">
        <v>81</v>
      </c>
      <c r="H2" s="407" t="s">
        <v>83</v>
      </c>
      <c r="I2" s="407" t="s">
        <v>2277</v>
      </c>
      <c r="J2" s="407" t="s">
        <v>2279</v>
      </c>
      <c r="K2" s="407" t="s">
        <v>2281</v>
      </c>
      <c r="L2" s="407" t="s">
        <v>2283</v>
      </c>
      <c r="M2" s="407" t="s">
        <v>2285</v>
      </c>
      <c r="N2" s="407" t="s">
        <v>2287</v>
      </c>
      <c r="O2" s="407" t="s">
        <v>2289</v>
      </c>
      <c r="P2" s="407" t="s">
        <v>2</v>
      </c>
      <c r="Q2" s="407" t="s">
        <v>1</v>
      </c>
      <c r="R2" s="407" t="s">
        <v>2293</v>
      </c>
      <c r="S2" s="407" t="s">
        <v>2295</v>
      </c>
      <c r="T2" s="407" t="s">
        <v>2297</v>
      </c>
      <c r="U2" s="407" t="s">
        <v>2299</v>
      </c>
      <c r="V2" s="407" t="s">
        <v>2301</v>
      </c>
      <c r="W2" s="407" t="s">
        <v>2303</v>
      </c>
      <c r="X2" s="407" t="s">
        <v>2305</v>
      </c>
      <c r="Y2" s="407" t="s">
        <v>2307</v>
      </c>
      <c r="Z2" s="407" t="s">
        <v>2309</v>
      </c>
      <c r="AA2" s="407" t="s">
        <v>2311</v>
      </c>
      <c r="AB2" s="407" t="s">
        <v>2313</v>
      </c>
      <c r="AC2" s="407" t="s">
        <v>2315</v>
      </c>
      <c r="AD2" s="408" t="s">
        <v>2303</v>
      </c>
      <c r="AE2" s="408" t="s">
        <v>2305</v>
      </c>
      <c r="AF2" s="408" t="s">
        <v>2307</v>
      </c>
      <c r="AG2" s="408" t="s">
        <v>2309</v>
      </c>
      <c r="AH2" s="408" t="s">
        <v>2311</v>
      </c>
      <c r="AI2" s="408" t="s">
        <v>2313</v>
      </c>
      <c r="AJ2" s="408" t="s">
        <v>2315</v>
      </c>
      <c r="AK2" s="409" t="s">
        <v>2324</v>
      </c>
      <c r="AL2" s="409" t="s">
        <v>2326</v>
      </c>
      <c r="AM2" s="410" t="s">
        <v>2328</v>
      </c>
      <c r="AN2" s="411" t="s">
        <v>2330</v>
      </c>
      <c r="AO2" s="411" t="s">
        <v>2332</v>
      </c>
      <c r="AP2" s="411" t="s">
        <v>2334</v>
      </c>
      <c r="AQ2" s="411" t="s">
        <v>2336</v>
      </c>
      <c r="AR2" s="407" t="s">
        <v>2338</v>
      </c>
      <c r="AS2" s="407" t="s">
        <v>2340</v>
      </c>
      <c r="AT2" s="407" t="s">
        <v>2342</v>
      </c>
      <c r="AU2" s="407" t="s">
        <v>2344</v>
      </c>
      <c r="AV2" s="407" t="s">
        <v>2346</v>
      </c>
      <c r="AW2" s="407" t="s">
        <v>2348</v>
      </c>
      <c r="AX2" s="407" t="s">
        <v>2361</v>
      </c>
      <c r="AY2" s="407" t="s">
        <v>168</v>
      </c>
      <c r="AZ2" s="407" t="s">
        <v>169</v>
      </c>
      <c r="BA2" s="407" t="s">
        <v>2354</v>
      </c>
      <c r="BB2" s="407" t="s">
        <v>2356</v>
      </c>
      <c r="BD2" s="412" t="s">
        <v>180</v>
      </c>
      <c r="BE2" s="412" t="s">
        <v>181</v>
      </c>
      <c r="BF2" s="412" t="s">
        <v>182</v>
      </c>
      <c r="BG2" s="413" t="s">
        <v>183</v>
      </c>
      <c r="BH2" s="413" t="s">
        <v>184</v>
      </c>
      <c r="BI2" s="413" t="s">
        <v>185</v>
      </c>
      <c r="BJ2" s="413" t="s">
        <v>2063</v>
      </c>
      <c r="BK2" s="414"/>
      <c r="BL2" s="415" t="s">
        <v>180</v>
      </c>
      <c r="BM2" s="415" t="s">
        <v>181</v>
      </c>
      <c r="BN2" s="415" t="s">
        <v>182</v>
      </c>
      <c r="BO2" s="414"/>
      <c r="BP2" s="416" t="s">
        <v>180</v>
      </c>
      <c r="BQ2" s="416" t="s">
        <v>181</v>
      </c>
      <c r="BR2" s="416" t="s">
        <v>182</v>
      </c>
      <c r="BS2" s="414"/>
      <c r="BT2" s="413" t="s">
        <v>180</v>
      </c>
      <c r="BU2" s="413" t="s">
        <v>181</v>
      </c>
      <c r="BV2" s="413" t="s">
        <v>182</v>
      </c>
      <c r="BW2" s="413" t="s">
        <v>183</v>
      </c>
      <c r="BX2" s="413" t="s">
        <v>184</v>
      </c>
      <c r="BY2" s="413" t="s">
        <v>185</v>
      </c>
      <c r="BZ2" s="413" t="s">
        <v>2063</v>
      </c>
      <c r="CA2" s="414"/>
      <c r="CB2" s="415" t="s">
        <v>180</v>
      </c>
      <c r="CC2" s="415" t="s">
        <v>181</v>
      </c>
      <c r="CD2" s="415" t="s">
        <v>182</v>
      </c>
      <c r="CE2" s="414"/>
      <c r="CF2" s="416" t="s">
        <v>180</v>
      </c>
      <c r="CG2" s="416" t="s">
        <v>181</v>
      </c>
      <c r="CH2" s="416" t="s">
        <v>182</v>
      </c>
      <c r="CI2" s="414"/>
      <c r="CJ2" s="413" t="s">
        <v>180</v>
      </c>
      <c r="CK2" s="413" t="s">
        <v>181</v>
      </c>
      <c r="CL2" s="413" t="s">
        <v>182</v>
      </c>
      <c r="CM2" s="413" t="s">
        <v>183</v>
      </c>
      <c r="CN2" s="413" t="s">
        <v>184</v>
      </c>
      <c r="CO2" s="413" t="s">
        <v>185</v>
      </c>
      <c r="CP2" s="413" t="s">
        <v>2063</v>
      </c>
      <c r="CQ2" s="414"/>
      <c r="CR2" s="415" t="s">
        <v>180</v>
      </c>
      <c r="CS2" s="415" t="s">
        <v>181</v>
      </c>
      <c r="CT2" s="415" t="s">
        <v>182</v>
      </c>
      <c r="CU2" s="414"/>
      <c r="CV2" s="416" t="s">
        <v>180</v>
      </c>
      <c r="CW2" s="416" t="s">
        <v>181</v>
      </c>
      <c r="CX2" s="416" t="s">
        <v>182</v>
      </c>
      <c r="CY2" s="414"/>
      <c r="CZ2" s="413" t="s">
        <v>180</v>
      </c>
      <c r="DA2" s="413" t="s">
        <v>181</v>
      </c>
      <c r="DB2" s="413" t="s">
        <v>182</v>
      </c>
      <c r="DC2" s="413" t="s">
        <v>183</v>
      </c>
      <c r="DD2" s="413" t="s">
        <v>184</v>
      </c>
      <c r="DE2" s="413" t="s">
        <v>185</v>
      </c>
      <c r="DF2" s="413" t="s">
        <v>2063</v>
      </c>
      <c r="DG2" s="414"/>
      <c r="DH2" s="415" t="s">
        <v>180</v>
      </c>
      <c r="DI2" s="415" t="s">
        <v>181</v>
      </c>
      <c r="DJ2" s="415" t="s">
        <v>182</v>
      </c>
      <c r="DK2" s="414"/>
      <c r="DL2" s="416" t="s">
        <v>180</v>
      </c>
      <c r="DM2" s="416" t="s">
        <v>181</v>
      </c>
      <c r="DN2" s="416" t="s">
        <v>182</v>
      </c>
    </row>
    <row r="3" spans="1:118" s="276" customFormat="1" ht="244.5" customHeight="1" x14ac:dyDescent="0.2">
      <c r="A3" s="301">
        <v>1</v>
      </c>
      <c r="B3" s="301" t="s">
        <v>2362</v>
      </c>
      <c r="C3" s="278"/>
      <c r="D3" s="302" t="s">
        <v>2363</v>
      </c>
      <c r="E3" s="302" t="s">
        <v>2364</v>
      </c>
      <c r="F3" s="277" t="s">
        <v>1270</v>
      </c>
      <c r="G3" s="277" t="str">
        <f>IFERROR(INDEX('[4]Base de datos gestión'!$D$28:$D$50,MATCH(F3,'[4]Base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H3" s="277" t="str">
        <f>IFERROR(INDEX('[4]Base de datos gestión'!$E$28:$E$50,MATCH(F3,'[4]Base de datos gestión'!$C$28:$C$50,0)), 0)</f>
        <v>Inicia desde la desagregación del presupuesto de gastos e ingresos y termina con la gestión del pago y el registro de las operaciones.</v>
      </c>
      <c r="I3" s="303" t="s">
        <v>2365</v>
      </c>
      <c r="J3" s="304" t="s">
        <v>2366</v>
      </c>
      <c r="K3" s="302" t="s">
        <v>2367</v>
      </c>
      <c r="L3" s="302" t="s">
        <v>2368</v>
      </c>
      <c r="M3" s="304" t="s">
        <v>2367</v>
      </c>
      <c r="N3" s="302" t="s">
        <v>2369</v>
      </c>
      <c r="O3" s="302" t="s">
        <v>2370</v>
      </c>
      <c r="P3" s="303" t="s">
        <v>2261</v>
      </c>
      <c r="Q3" s="303" t="s">
        <v>2266</v>
      </c>
      <c r="R3" s="302" t="str">
        <f t="shared" ref="R3:R13" si="0">IF(OR(P3="",Q3=""),"",VLOOKUP(VALUE(CONCATENATE(VLOOKUP(Q3,TImpacto,2,FALSE),VLOOKUP(P3,TProbabilidad,2,FALSE))),TMapaCalor,2,FALSE))</f>
        <v>Extremo</v>
      </c>
      <c r="S3" s="303" t="s">
        <v>2371</v>
      </c>
      <c r="T3" s="305" t="s">
        <v>2372</v>
      </c>
      <c r="U3" s="306">
        <v>1</v>
      </c>
      <c r="V3" s="307" t="s">
        <v>197</v>
      </c>
      <c r="W3" s="307" t="s">
        <v>2373</v>
      </c>
      <c r="X3" s="307" t="s">
        <v>2374</v>
      </c>
      <c r="Y3" s="307" t="s">
        <v>2375</v>
      </c>
      <c r="Z3" s="307" t="s">
        <v>2376</v>
      </c>
      <c r="AA3" s="307" t="s">
        <v>2377</v>
      </c>
      <c r="AB3" s="307" t="s">
        <v>2378</v>
      </c>
      <c r="AC3" s="307" t="s">
        <v>2379</v>
      </c>
      <c r="AD3" s="308">
        <f t="shared" ref="AD3:AD36" si="1">IF(W3="Asignado",15,IF(W3="No asignado",0,"Seleccione"))</f>
        <v>15</v>
      </c>
      <c r="AE3" s="308">
        <f t="shared" ref="AE3:AE36" si="2">IF(X3="Adecuado",15,IF(X3="Inadecuado",0,"Seleccione"))</f>
        <v>15</v>
      </c>
      <c r="AF3" s="308">
        <f t="shared" ref="AF3:AF59" si="3">IF(Y3="Oportuna",15,IF(Y3="Inoportuna",0,"Seleccione"))</f>
        <v>15</v>
      </c>
      <c r="AG3" s="308">
        <f t="shared" ref="AG3:AG59" si="4">IF(Z3="Prevenir",15,IF(Z3="Detectar",10,IF(Z3="No es un Control",0,"Seleccione")))</f>
        <v>15</v>
      </c>
      <c r="AH3" s="308">
        <f t="shared" ref="AH3:AH59" si="5">IF(AA3="Confiable",15,IF(AA3="No confiable",0,"Seleccione"))</f>
        <v>15</v>
      </c>
      <c r="AI3" s="308">
        <f t="shared" ref="AI3:AI59" si="6">IF(AB3="Se investigan y resuelven oportunamente",15,IF(AB3="No se investigan y resuelven oportunamente",0,"Seleccione"))</f>
        <v>15</v>
      </c>
      <c r="AJ3" s="308">
        <f t="shared" ref="AJ3:AJ59" si="7">IF(AC3="Completa",10,IF(AC3="Incompleta",5,IF(AC3="No existe",0,"Seleccione")))</f>
        <v>10</v>
      </c>
      <c r="AK3" s="308">
        <f t="shared" ref="AK3:AK36" si="8">IF(COUNTBLANK(W3:AC3)&gt;0,"Complete las respuestas",SUM(AD3:AJ3))</f>
        <v>100</v>
      </c>
      <c r="AL3" s="308" t="str">
        <f>IF(AK3&lt;86,"Débil",IF(AND(AK3&gt;85,AK3&lt;96),"Moderado",IF(AND(AK3&gt;95,AK3&lt;101),"Fuerte","Verifique respuestas")))</f>
        <v>Fuerte</v>
      </c>
      <c r="AM3" s="307" t="s">
        <v>2380</v>
      </c>
      <c r="AN3" s="308" t="str">
        <f>IF(AND(AL3="Fuerte",AM3="Fuerte"),"Fuerte",IF(OR(AND(AL3="Fuerte",AM3="Moderado"),AND(AL3="Moderado",AM3="Fuerte"),AND(AL3="Moderado",AM3="Moderado")),"Moderado",IF(OR(AND(AL3="Fuerte",AM3="Débil"),AND(AL3="Moderado",AM3="Débil"),AND(AL3="Débil",AM3="Fuerte"),AND(AL3="Débil",AM3="Moderado"),AND(AL3="Débil",AM3="Débil")),"Débil","Verifique respuestas")))</f>
        <v>Fuerte</v>
      </c>
      <c r="AO3" s="308">
        <f t="shared" ref="AO3:AO59" si="9">IF(AN3="Fuerte",100,IF(AN3="Moderado",50,IF(AN3="débil",0,"Verifique respuestas")))</f>
        <v>100</v>
      </c>
      <c r="AP3" s="308" t="str">
        <f>IF(AN3="Verifique respuestas","",IF(AN3="Fuerte","No","Si"))</f>
        <v>No</v>
      </c>
      <c r="AQ3" s="309">
        <f t="shared" ref="AQ3:AQ9" si="10">IF(AO3="Verifique respuestas","",AVERAGE(AO3:AO3))</f>
        <v>100</v>
      </c>
      <c r="AR3" s="309" t="str">
        <f>IF(AQ3="","",IF(AQ3=100,"Fuerte",IF(AND(AQ3&gt;49,AQ3&lt;100),"Moderado",IF(AND(AQ3&gt;=0,AQ3&lt;50),"Débil","Verifique"))))</f>
        <v>Fuerte</v>
      </c>
      <c r="AS3" s="303" t="s">
        <v>2381</v>
      </c>
      <c r="AT3" s="303" t="s">
        <v>2381</v>
      </c>
      <c r="AU3" s="310">
        <f>IF(OR(AR3="",AS3=""),"Verifique",IF(AND(AR3="Fuerte",AS3="Directamente"),2,IF(AND(AR3="Moderado",AS3="Directamente"),1,IF(AND(OR(AR3="Fuerte",AR3="Moderado"),AS3="No disminuye"),0,0))))</f>
        <v>2</v>
      </c>
      <c r="AV3" s="310">
        <f t="shared" ref="AV3:AV59" si="11">IF(OR(AR3="",AT3=""),"Verifique",IF(OR(AND(AR3="Moderado",AT3="Indirectamente"),AT3="No disminuye",I3="Corrupción"),0,IF(OR(AND(AR3="Fuerte",AT3="Indirectamente"),AND(AR3="Moderado",AT3="Directamente")),1,IF(AND(AR3="Fuerte",AT3="Directamente"),2,0))))</f>
        <v>0</v>
      </c>
      <c r="AW3" s="302" t="str">
        <f t="shared" ref="AW3:AW13" si="12">IF(OR(P3="",Q3="",AU3="Verifique",AV3="Verifique"),"",VLOOKUP(VALUE(CONCATENATE(IF((VLOOKUP(Q3,TImpacto,2,FALSE)-AV3)&lt;1,1,(VLOOKUP(Q3,TImpacto,2,FALSE)-AV3)),IF((VLOOKUP(P3,TProbabilidad,2,FALSE)-AU3)&lt;1,1,(VLOOKUP(P3,TProbabilidad,2,FALSE)-AU3)))),TMapaCalor,2,FALSE))</f>
        <v>Alto</v>
      </c>
      <c r="AX3" s="306" t="s">
        <v>2382</v>
      </c>
      <c r="AY3" s="306" t="s">
        <v>2383</v>
      </c>
      <c r="AZ3" s="306" t="s">
        <v>2384</v>
      </c>
      <c r="BA3" s="311">
        <v>45747</v>
      </c>
      <c r="BB3" s="306" t="s">
        <v>2074</v>
      </c>
      <c r="BD3" s="244">
        <v>45756</v>
      </c>
      <c r="BE3" s="245" t="s">
        <v>2075</v>
      </c>
      <c r="BF3" s="550" t="s">
        <v>2385</v>
      </c>
      <c r="BG3" s="247" t="s">
        <v>205</v>
      </c>
      <c r="BH3" s="245" t="s">
        <v>206</v>
      </c>
      <c r="BI3" s="245" t="s">
        <v>206</v>
      </c>
      <c r="BJ3" s="249" t="s">
        <v>2088</v>
      </c>
      <c r="BL3" s="244">
        <v>45782</v>
      </c>
      <c r="BM3" s="251" t="s">
        <v>207</v>
      </c>
      <c r="BN3" s="245" t="s">
        <v>228</v>
      </c>
      <c r="BO3" s="250"/>
      <c r="BP3" s="252"/>
      <c r="BQ3" s="252"/>
      <c r="BR3" s="249" t="s">
        <v>2078</v>
      </c>
      <c r="BT3" s="244">
        <v>45855</v>
      </c>
      <c r="BU3" s="245" t="s">
        <v>2079</v>
      </c>
      <c r="BV3" s="248" t="s">
        <v>2386</v>
      </c>
      <c r="BW3" s="247" t="s">
        <v>205</v>
      </c>
      <c r="BX3" s="245" t="s">
        <v>206</v>
      </c>
      <c r="BY3" s="245" t="s">
        <v>206</v>
      </c>
      <c r="BZ3" s="448" t="s">
        <v>2387</v>
      </c>
      <c r="CA3" s="250"/>
      <c r="CB3" s="450">
        <v>45869</v>
      </c>
      <c r="CC3" s="449" t="s">
        <v>215</v>
      </c>
      <c r="CD3" s="283" t="s">
        <v>231</v>
      </c>
      <c r="CE3" s="250"/>
      <c r="CF3" s="252"/>
      <c r="CG3" s="252"/>
      <c r="CH3" s="249" t="s">
        <v>2078</v>
      </c>
      <c r="CJ3" s="244">
        <v>45945</v>
      </c>
      <c r="CK3" s="245" t="s">
        <v>2388</v>
      </c>
      <c r="CL3" s="248" t="s">
        <v>2389</v>
      </c>
      <c r="CM3" s="247" t="s">
        <v>205</v>
      </c>
      <c r="CN3" s="245" t="s">
        <v>206</v>
      </c>
      <c r="CO3" s="245" t="s">
        <v>206</v>
      </c>
      <c r="CP3" s="448" t="s">
        <v>2390</v>
      </c>
      <c r="CQ3" s="250"/>
      <c r="CR3" s="257">
        <v>46000</v>
      </c>
      <c r="CS3" s="489" t="s">
        <v>215</v>
      </c>
      <c r="CT3" s="246" t="s">
        <v>233</v>
      </c>
      <c r="CU3" s="250"/>
      <c r="CV3" s="252"/>
      <c r="CW3" s="252"/>
      <c r="CX3" s="249" t="s">
        <v>2078</v>
      </c>
      <c r="CZ3" s="252"/>
      <c r="DA3" s="252"/>
      <c r="DB3" s="249" t="s">
        <v>2078</v>
      </c>
      <c r="DC3" s="247"/>
      <c r="DD3" s="248"/>
      <c r="DE3" s="253"/>
      <c r="DF3" s="249" t="s">
        <v>2088</v>
      </c>
      <c r="DG3" s="250"/>
      <c r="DH3" s="252"/>
      <c r="DI3" s="252"/>
      <c r="DJ3" s="249" t="s">
        <v>2078</v>
      </c>
      <c r="DK3" s="250"/>
      <c r="DL3" s="252"/>
      <c r="DM3" s="252"/>
      <c r="DN3" s="249" t="s">
        <v>2078</v>
      </c>
    </row>
    <row r="4" spans="1:118" s="276" customFormat="1" ht="323.25" customHeight="1" x14ac:dyDescent="0.2">
      <c r="A4" s="301">
        <v>2</v>
      </c>
      <c r="B4" s="301" t="s">
        <v>2391</v>
      </c>
      <c r="C4" s="278"/>
      <c r="D4" s="278" t="s">
        <v>2392</v>
      </c>
      <c r="E4" s="278" t="s">
        <v>2393</v>
      </c>
      <c r="F4" s="277" t="s">
        <v>1270</v>
      </c>
      <c r="G4" s="277" t="str">
        <f>IFERROR(INDEX('[4]Base de datos gestión'!$D$28:$D$50,MATCH(F4,'[4]Base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H4" s="277" t="str">
        <f>IFERROR(INDEX('[4]Base de datos gestión'!$E$28:$E$50,MATCH(F4,'[4]Base de datos gestión'!$C$28:$C$50,0)), 0)</f>
        <v>Inicia desde la desagregación del presupuesto de gastos e ingresos y termina con la gestión del pago y el registro de las operaciones.</v>
      </c>
      <c r="I4" s="312" t="s">
        <v>2365</v>
      </c>
      <c r="J4" s="313" t="s">
        <v>535</v>
      </c>
      <c r="K4" s="278" t="s">
        <v>2367</v>
      </c>
      <c r="L4" s="278" t="s">
        <v>2368</v>
      </c>
      <c r="M4" s="313" t="s">
        <v>535</v>
      </c>
      <c r="N4" s="314" t="s">
        <v>2394</v>
      </c>
      <c r="O4" s="278" t="s">
        <v>2395</v>
      </c>
      <c r="P4" s="312" t="s">
        <v>2264</v>
      </c>
      <c r="Q4" s="312" t="s">
        <v>762</v>
      </c>
      <c r="R4" s="278" t="str">
        <f>IF(OR(P4="",Q4=""),"",VLOOKUP(VALUE(CONCATENATE(VLOOKUP(Q4,TImpacto,2,FALSE),VLOOKUP(P4,TProbabilidad,2,FALSE))),TMapaCalor,2,FALSE))</f>
        <v>Extremo</v>
      </c>
      <c r="S4" s="312" t="s">
        <v>2371</v>
      </c>
      <c r="T4" s="492" t="s">
        <v>2396</v>
      </c>
      <c r="U4" s="316">
        <v>1</v>
      </c>
      <c r="V4" s="317" t="s">
        <v>197</v>
      </c>
      <c r="W4" s="307" t="s">
        <v>2373</v>
      </c>
      <c r="X4" s="307" t="s">
        <v>2374</v>
      </c>
      <c r="Y4" s="307" t="s">
        <v>2375</v>
      </c>
      <c r="Z4" s="307" t="s">
        <v>2376</v>
      </c>
      <c r="AA4" s="307" t="s">
        <v>2377</v>
      </c>
      <c r="AB4" s="307" t="s">
        <v>2378</v>
      </c>
      <c r="AC4" s="307" t="s">
        <v>2379</v>
      </c>
      <c r="AD4" s="308">
        <f t="shared" si="1"/>
        <v>15</v>
      </c>
      <c r="AE4" s="308">
        <f t="shared" si="2"/>
        <v>15</v>
      </c>
      <c r="AF4" s="308">
        <f t="shared" si="3"/>
        <v>15</v>
      </c>
      <c r="AG4" s="308">
        <f t="shared" si="4"/>
        <v>15</v>
      </c>
      <c r="AH4" s="308">
        <f t="shared" si="5"/>
        <v>15</v>
      </c>
      <c r="AI4" s="308">
        <f t="shared" si="6"/>
        <v>15</v>
      </c>
      <c r="AJ4" s="308">
        <f t="shared" si="7"/>
        <v>10</v>
      </c>
      <c r="AK4" s="308">
        <f t="shared" si="8"/>
        <v>100</v>
      </c>
      <c r="AL4" s="308" t="str">
        <f t="shared" ref="AL4:AL59" si="13">IF(AK4&lt;86,"Débil",IF(AND(AK4&gt;85,AK4&lt;96),"Moderado",IF(AND(AK4&gt;95,AK4&lt;101),"Fuerte","Verifique respuestas")))</f>
        <v>Fuerte</v>
      </c>
      <c r="AM4" s="307" t="s">
        <v>2380</v>
      </c>
      <c r="AN4" s="308" t="str">
        <f t="shared" ref="AN4:AN59" si="14">IF(AND(AL4="Fuerte",AM4="Fuerte"),"Fuerte",IF(OR(AND(AL4="Fuerte",AM4="Moderado"),AND(AL4="Moderado",AM4="Fuerte"),AND(AL4="Moderado",AM4="Moderado")),"Moderado",IF(OR(AND(AL4="Fuerte",AM4="Débil"),AND(AL4="Moderado",AM4="Débil"),AND(AL4="Débil",AM4="Fuerte"),AND(AL4="Débil",AM4="Moderado"),AND(AL4="Débil",AM4="Débil")),"Débil","Verifique respuestas")))</f>
        <v>Fuerte</v>
      </c>
      <c r="AO4" s="308">
        <f t="shared" si="9"/>
        <v>100</v>
      </c>
      <c r="AP4" s="308" t="str">
        <f t="shared" ref="AP4:AP59" si="15">IF(AN4="Verifique respuestas","",IF(AN4="Fuerte","No","Si"))</f>
        <v>No</v>
      </c>
      <c r="AQ4" s="309">
        <f t="shared" si="10"/>
        <v>100</v>
      </c>
      <c r="AR4" s="309" t="str">
        <f t="shared" ref="AR4:AR59" si="16">IF(AQ4="","",IF(AQ4=100,"Fuerte",IF(AND(AQ4&gt;49,AQ4&lt;100),"Moderado",IF(AND(AQ4&gt;=0,AQ4&lt;50),"Débil","Verifique"))))</f>
        <v>Fuerte</v>
      </c>
      <c r="AS4" s="312" t="s">
        <v>2381</v>
      </c>
      <c r="AT4" s="312" t="s">
        <v>2381</v>
      </c>
      <c r="AU4" s="310">
        <f t="shared" ref="AU4:AU59" si="17">IF(OR(AR4="",AS4=""),"Verifique",IF(AND(AR4="Fuerte",AS4="Directamente"),2,IF(AND(AR4="Moderado",AS4="Directamente"),1,IF(AND(OR(AR4="Fuerte",AR4="Moderado"),AS4="No disminuye"),0,0))))</f>
        <v>2</v>
      </c>
      <c r="AV4" s="310">
        <f t="shared" si="11"/>
        <v>0</v>
      </c>
      <c r="AW4" s="278" t="str">
        <f t="shared" si="12"/>
        <v>Extremo</v>
      </c>
      <c r="AX4" s="316" t="s">
        <v>2397</v>
      </c>
      <c r="AY4" s="316" t="s">
        <v>2398</v>
      </c>
      <c r="AZ4" s="306" t="s">
        <v>207</v>
      </c>
      <c r="BA4" s="311">
        <v>45688</v>
      </c>
      <c r="BB4" s="316" t="s">
        <v>2399</v>
      </c>
      <c r="BD4" s="244">
        <v>45757</v>
      </c>
      <c r="BE4" s="245" t="s">
        <v>2100</v>
      </c>
      <c r="BF4" s="248" t="s">
        <v>2400</v>
      </c>
      <c r="BG4" s="247" t="s">
        <v>205</v>
      </c>
      <c r="BH4" s="245" t="s">
        <v>206</v>
      </c>
      <c r="BI4" s="245" t="s">
        <v>206</v>
      </c>
      <c r="BJ4" s="249" t="s">
        <v>2088</v>
      </c>
      <c r="BK4" s="250"/>
      <c r="BL4" s="244">
        <v>45782</v>
      </c>
      <c r="BM4" s="251" t="s">
        <v>207</v>
      </c>
      <c r="BN4" s="245" t="s">
        <v>228</v>
      </c>
      <c r="BO4" s="250"/>
      <c r="BP4" s="252"/>
      <c r="BQ4" s="252"/>
      <c r="BR4" s="249" t="s">
        <v>2078</v>
      </c>
      <c r="BS4" s="250"/>
      <c r="BT4" s="244">
        <v>45854</v>
      </c>
      <c r="BU4" s="245" t="s">
        <v>2102</v>
      </c>
      <c r="BV4" s="246" t="s">
        <v>2401</v>
      </c>
      <c r="BW4" s="255" t="s">
        <v>205</v>
      </c>
      <c r="BX4" s="245" t="s">
        <v>206</v>
      </c>
      <c r="BY4" s="245" t="s">
        <v>206</v>
      </c>
      <c r="BZ4" s="469" t="s">
        <v>2402</v>
      </c>
      <c r="CA4" s="250"/>
      <c r="CB4" s="450">
        <v>45869</v>
      </c>
      <c r="CC4" s="449" t="s">
        <v>215</v>
      </c>
      <c r="CD4" s="283" t="s">
        <v>231</v>
      </c>
      <c r="CE4" s="250"/>
      <c r="CF4" s="252"/>
      <c r="CG4" s="252"/>
      <c r="CH4" s="249" t="s">
        <v>2078</v>
      </c>
      <c r="CI4" s="250"/>
      <c r="CJ4" s="244">
        <v>45945</v>
      </c>
      <c r="CK4" s="245" t="s">
        <v>2102</v>
      </c>
      <c r="CL4" s="246" t="s">
        <v>2104</v>
      </c>
      <c r="CM4" s="255" t="s">
        <v>205</v>
      </c>
      <c r="CN4" s="245" t="s">
        <v>206</v>
      </c>
      <c r="CO4" s="245" t="s">
        <v>206</v>
      </c>
      <c r="CP4" s="448" t="s">
        <v>2403</v>
      </c>
      <c r="CQ4" s="250"/>
      <c r="CR4" s="257">
        <v>46000</v>
      </c>
      <c r="CS4" s="489" t="s">
        <v>215</v>
      </c>
      <c r="CT4" s="246" t="s">
        <v>233</v>
      </c>
      <c r="CU4" s="250"/>
      <c r="CV4" s="252"/>
      <c r="CW4" s="252"/>
      <c r="CX4" s="249" t="s">
        <v>2078</v>
      </c>
      <c r="CY4" s="250"/>
      <c r="CZ4" s="252"/>
      <c r="DA4" s="252"/>
      <c r="DB4" s="249" t="s">
        <v>2078</v>
      </c>
      <c r="DC4" s="247"/>
      <c r="DD4" s="248"/>
      <c r="DE4" s="253"/>
      <c r="DF4" s="249" t="s">
        <v>2088</v>
      </c>
      <c r="DG4" s="250"/>
      <c r="DH4" s="252"/>
      <c r="DI4" s="252"/>
      <c r="DJ4" s="249" t="s">
        <v>2078</v>
      </c>
      <c r="DK4" s="250"/>
      <c r="DL4" s="252"/>
      <c r="DM4" s="252"/>
      <c r="DN4" s="249" t="s">
        <v>2078</v>
      </c>
    </row>
    <row r="5" spans="1:118" s="276" customFormat="1" ht="253.5" customHeight="1" x14ac:dyDescent="0.2">
      <c r="A5" s="301">
        <v>2</v>
      </c>
      <c r="B5" s="301" t="s">
        <v>2391</v>
      </c>
      <c r="C5" s="278"/>
      <c r="D5" s="278" t="s">
        <v>2404</v>
      </c>
      <c r="E5" s="278" t="s">
        <v>2393</v>
      </c>
      <c r="F5" s="277" t="s">
        <v>1270</v>
      </c>
      <c r="G5" s="277" t="str">
        <f>IFERROR(INDEX('[4]Base de datos gestión'!$D$28:$D$50,MATCH(F5,'[4]Base de datos gestión'!$C$28:$C$50,0)), 0)</f>
        <v>Administrar, registrar y controlar de manera eficiente, oportuna, transparente y permanente los recursos financieros del INM, mediante el registro íntegro de las operaciones en el SIIF NACIÓN II, conforme a la normatividad vigente y los procedimientos establecidos por el Grupo de Gestión Financiera, para análisis y depuración de la información, la cual permita garantizar la representación fiel de la situación financiera del INM con el fin de soportar una adecuada toma de decisiones.
El proceso se relaciona con el objetivo estratégico: Fortalecer la capacidad administrativa y de desempeño institucional para garantizar la eficiencia y calidad a los procesos de la entidad</v>
      </c>
      <c r="H5" s="277" t="str">
        <f>IFERROR(INDEX('[4]Base de datos gestión'!$E$28:$E$50,MATCH(F5,'[4]Base de datos gestión'!$C$28:$C$50,0)), 0)</f>
        <v>Inicia desde la desagregación del presupuesto de gastos e ingresos y termina con la gestión del pago y el registro de las operaciones.</v>
      </c>
      <c r="I5" s="312" t="s">
        <v>2365</v>
      </c>
      <c r="J5" s="313" t="s">
        <v>535</v>
      </c>
      <c r="K5" s="278" t="s">
        <v>2367</v>
      </c>
      <c r="L5" s="278" t="s">
        <v>2368</v>
      </c>
      <c r="M5" s="313" t="s">
        <v>535</v>
      </c>
      <c r="N5" s="314" t="s">
        <v>2394</v>
      </c>
      <c r="O5" s="278" t="s">
        <v>2395</v>
      </c>
      <c r="P5" s="312" t="s">
        <v>2264</v>
      </c>
      <c r="Q5" s="312" t="s">
        <v>762</v>
      </c>
      <c r="R5" s="278" t="str">
        <f>IF(OR(P5="",Q5=""),"",VLOOKUP(VALUE(CONCATENATE(VLOOKUP(Q5,TImpacto,2,FALSE),VLOOKUP(P5,TProbabilidad,2,FALSE))),TMapaCalor,2,FALSE))</f>
        <v>Extremo</v>
      </c>
      <c r="S5" s="312" t="s">
        <v>2371</v>
      </c>
      <c r="T5" s="492" t="s">
        <v>2405</v>
      </c>
      <c r="U5" s="316">
        <v>2</v>
      </c>
      <c r="V5" s="317" t="s">
        <v>197</v>
      </c>
      <c r="W5" s="307" t="s">
        <v>2373</v>
      </c>
      <c r="X5" s="307" t="s">
        <v>2374</v>
      </c>
      <c r="Y5" s="307" t="s">
        <v>2375</v>
      </c>
      <c r="Z5" s="307" t="s">
        <v>2376</v>
      </c>
      <c r="AA5" s="307" t="s">
        <v>2377</v>
      </c>
      <c r="AB5" s="307" t="s">
        <v>2378</v>
      </c>
      <c r="AC5" s="307" t="s">
        <v>2379</v>
      </c>
      <c r="AD5" s="308">
        <f t="shared" si="1"/>
        <v>15</v>
      </c>
      <c r="AE5" s="308">
        <f t="shared" si="2"/>
        <v>15</v>
      </c>
      <c r="AF5" s="308">
        <f t="shared" si="3"/>
        <v>15</v>
      </c>
      <c r="AG5" s="308">
        <f t="shared" si="4"/>
        <v>15</v>
      </c>
      <c r="AH5" s="308">
        <f t="shared" si="5"/>
        <v>15</v>
      </c>
      <c r="AI5" s="308">
        <f t="shared" si="6"/>
        <v>15</v>
      </c>
      <c r="AJ5" s="308">
        <f t="shared" si="7"/>
        <v>10</v>
      </c>
      <c r="AK5" s="308">
        <f t="shared" si="8"/>
        <v>100</v>
      </c>
      <c r="AL5" s="308" t="str">
        <f t="shared" si="13"/>
        <v>Fuerte</v>
      </c>
      <c r="AM5" s="307" t="s">
        <v>2380</v>
      </c>
      <c r="AN5" s="308" t="str">
        <f t="shared" si="14"/>
        <v>Fuerte</v>
      </c>
      <c r="AO5" s="308">
        <f t="shared" si="9"/>
        <v>100</v>
      </c>
      <c r="AP5" s="308" t="str">
        <f t="shared" si="15"/>
        <v>No</v>
      </c>
      <c r="AQ5" s="309">
        <f t="shared" si="10"/>
        <v>100</v>
      </c>
      <c r="AR5" s="309" t="str">
        <f t="shared" si="16"/>
        <v>Fuerte</v>
      </c>
      <c r="AS5" s="312" t="s">
        <v>2381</v>
      </c>
      <c r="AT5" s="312" t="s">
        <v>2381</v>
      </c>
      <c r="AU5" s="310">
        <f t="shared" si="17"/>
        <v>2</v>
      </c>
      <c r="AV5" s="310">
        <f t="shared" si="11"/>
        <v>0</v>
      </c>
      <c r="AW5" s="278" t="str">
        <f t="shared" si="12"/>
        <v>Extremo</v>
      </c>
      <c r="AX5" s="316" t="s">
        <v>2397</v>
      </c>
      <c r="AY5" s="316" t="s">
        <v>2398</v>
      </c>
      <c r="AZ5" s="306" t="s">
        <v>207</v>
      </c>
      <c r="BA5" s="311">
        <v>45688</v>
      </c>
      <c r="BB5" s="316" t="s">
        <v>2399</v>
      </c>
      <c r="BD5" s="244">
        <v>45757</v>
      </c>
      <c r="BE5" s="245" t="s">
        <v>2100</v>
      </c>
      <c r="BF5" s="248" t="s">
        <v>2406</v>
      </c>
      <c r="BG5" s="247" t="s">
        <v>205</v>
      </c>
      <c r="BH5" s="245" t="s">
        <v>206</v>
      </c>
      <c r="BI5" s="245" t="s">
        <v>206</v>
      </c>
      <c r="BJ5" s="249" t="s">
        <v>2088</v>
      </c>
      <c r="BK5" s="250"/>
      <c r="BL5" s="244">
        <v>45782</v>
      </c>
      <c r="BM5" s="251" t="s">
        <v>207</v>
      </c>
      <c r="BN5" s="245" t="s">
        <v>228</v>
      </c>
      <c r="BO5" s="250"/>
      <c r="BP5" s="252"/>
      <c r="BQ5" s="252"/>
      <c r="BR5" s="249" t="s">
        <v>2078</v>
      </c>
      <c r="BS5" s="250"/>
      <c r="BT5" s="244">
        <v>45854</v>
      </c>
      <c r="BU5" s="245" t="s">
        <v>2102</v>
      </c>
      <c r="BV5" s="246" t="s">
        <v>2407</v>
      </c>
      <c r="BW5" s="255" t="s">
        <v>205</v>
      </c>
      <c r="BX5" s="245" t="s">
        <v>206</v>
      </c>
      <c r="BY5" s="245" t="s">
        <v>206</v>
      </c>
      <c r="BZ5" s="470" t="s">
        <v>2402</v>
      </c>
      <c r="CA5" s="250"/>
      <c r="CB5" s="450">
        <v>45869</v>
      </c>
      <c r="CC5" s="449" t="s">
        <v>215</v>
      </c>
      <c r="CD5" s="283" t="s">
        <v>231</v>
      </c>
      <c r="CE5" s="250"/>
      <c r="CF5" s="252"/>
      <c r="CG5" s="252"/>
      <c r="CH5" s="249" t="s">
        <v>2078</v>
      </c>
      <c r="CI5" s="250"/>
      <c r="CJ5" s="244">
        <v>45945</v>
      </c>
      <c r="CK5" s="245" t="s">
        <v>2102</v>
      </c>
      <c r="CL5" s="246" t="s">
        <v>2408</v>
      </c>
      <c r="CM5" s="255" t="s">
        <v>205</v>
      </c>
      <c r="CN5" s="245" t="s">
        <v>206</v>
      </c>
      <c r="CO5" s="245" t="s">
        <v>206</v>
      </c>
      <c r="CP5" s="469" t="s">
        <v>2409</v>
      </c>
      <c r="CQ5" s="250"/>
      <c r="CR5" s="257">
        <v>46000</v>
      </c>
      <c r="CS5" s="489" t="s">
        <v>215</v>
      </c>
      <c r="CT5" s="246" t="s">
        <v>233</v>
      </c>
      <c r="CU5" s="250"/>
      <c r="CV5" s="252"/>
      <c r="CW5" s="252"/>
      <c r="CX5" s="249" t="s">
        <v>2078</v>
      </c>
      <c r="CY5" s="250"/>
      <c r="CZ5" s="252"/>
      <c r="DA5" s="252"/>
      <c r="DB5" s="249" t="s">
        <v>2078</v>
      </c>
      <c r="DC5" s="247"/>
      <c r="DD5" s="248"/>
      <c r="DE5" s="253"/>
      <c r="DF5" s="249" t="s">
        <v>2088</v>
      </c>
      <c r="DG5" s="250"/>
      <c r="DH5" s="252"/>
      <c r="DI5" s="252"/>
      <c r="DJ5" s="249" t="s">
        <v>2078</v>
      </c>
      <c r="DK5" s="250"/>
      <c r="DL5" s="252"/>
      <c r="DM5" s="252"/>
      <c r="DN5" s="249" t="s">
        <v>2078</v>
      </c>
    </row>
    <row r="6" spans="1:118" s="276" customFormat="1" ht="228.75" customHeight="1" x14ac:dyDescent="0.2">
      <c r="A6" s="301">
        <v>3</v>
      </c>
      <c r="B6" s="301" t="s">
        <v>2410</v>
      </c>
      <c r="C6" s="278"/>
      <c r="D6" s="278" t="s">
        <v>2411</v>
      </c>
      <c r="E6" s="278" t="s">
        <v>2412</v>
      </c>
      <c r="F6" s="277" t="s">
        <v>1526</v>
      </c>
      <c r="G6" s="277" t="str">
        <f>IFERROR(INDEX('[4]Base de datos gestión'!$D$28:$D$50,MATCH(F6,'[4]Base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H6" s="277" t="str">
        <f>IFERROR(INDEX('[4]Base de datos gestión'!$E$28:$E$50,MATCH(F6,'[4]Base de datos gestión'!$C$28:$C$50,0)), 0)</f>
        <v>Inicia con la radicación de solicitud de contratación y finaliza con la terminación de la relación contractual.</v>
      </c>
      <c r="I6" s="312" t="s">
        <v>2365</v>
      </c>
      <c r="J6" s="313" t="s">
        <v>535</v>
      </c>
      <c r="K6" s="278" t="s">
        <v>2413</v>
      </c>
      <c r="L6" s="278" t="s">
        <v>2414</v>
      </c>
      <c r="M6" s="313" t="s">
        <v>535</v>
      </c>
      <c r="N6" s="314" t="s">
        <v>2415</v>
      </c>
      <c r="O6" s="278" t="s">
        <v>2416</v>
      </c>
      <c r="P6" s="312" t="s">
        <v>2264</v>
      </c>
      <c r="Q6" s="312" t="s">
        <v>762</v>
      </c>
      <c r="R6" s="278" t="str">
        <f t="shared" ref="R6" si="18">IF(OR(P6="",Q6=""),"",VLOOKUP(VALUE(CONCATENATE(VLOOKUP(Q6,TImpacto,2,FALSE),VLOOKUP(P6,TProbabilidad,2,FALSE))),TMapaCalor,2,FALSE))</f>
        <v>Extremo</v>
      </c>
      <c r="S6" s="312" t="s">
        <v>2371</v>
      </c>
      <c r="T6" s="492" t="s">
        <v>2417</v>
      </c>
      <c r="U6" s="316">
        <v>1</v>
      </c>
      <c r="V6" s="317" t="s">
        <v>197</v>
      </c>
      <c r="W6" s="307" t="s">
        <v>2373</v>
      </c>
      <c r="X6" s="307" t="s">
        <v>2374</v>
      </c>
      <c r="Y6" s="307" t="s">
        <v>2375</v>
      </c>
      <c r="Z6" s="307" t="s">
        <v>2376</v>
      </c>
      <c r="AA6" s="307" t="s">
        <v>2377</v>
      </c>
      <c r="AB6" s="307" t="s">
        <v>2378</v>
      </c>
      <c r="AC6" s="307" t="s">
        <v>2379</v>
      </c>
      <c r="AD6" s="308">
        <f t="shared" si="1"/>
        <v>15</v>
      </c>
      <c r="AE6" s="308">
        <f t="shared" si="2"/>
        <v>15</v>
      </c>
      <c r="AF6" s="308">
        <f t="shared" si="3"/>
        <v>15</v>
      </c>
      <c r="AG6" s="308">
        <f t="shared" si="4"/>
        <v>15</v>
      </c>
      <c r="AH6" s="308">
        <f t="shared" si="5"/>
        <v>15</v>
      </c>
      <c r="AI6" s="308">
        <f t="shared" si="6"/>
        <v>15</v>
      </c>
      <c r="AJ6" s="308">
        <f t="shared" si="7"/>
        <v>10</v>
      </c>
      <c r="AK6" s="308">
        <f t="shared" si="8"/>
        <v>100</v>
      </c>
      <c r="AL6" s="308" t="str">
        <f t="shared" si="13"/>
        <v>Fuerte</v>
      </c>
      <c r="AM6" s="307" t="s">
        <v>2380</v>
      </c>
      <c r="AN6" s="308" t="str">
        <f t="shared" si="14"/>
        <v>Fuerte</v>
      </c>
      <c r="AO6" s="308">
        <f t="shared" si="9"/>
        <v>100</v>
      </c>
      <c r="AP6" s="308" t="str">
        <f t="shared" si="15"/>
        <v>No</v>
      </c>
      <c r="AQ6" s="309">
        <f t="shared" si="10"/>
        <v>100</v>
      </c>
      <c r="AR6" s="309" t="str">
        <f t="shared" si="16"/>
        <v>Fuerte</v>
      </c>
      <c r="AS6" s="312" t="s">
        <v>2381</v>
      </c>
      <c r="AT6" s="312" t="s">
        <v>2381</v>
      </c>
      <c r="AU6" s="310">
        <f t="shared" si="17"/>
        <v>2</v>
      </c>
      <c r="AV6" s="310">
        <f t="shared" si="11"/>
        <v>0</v>
      </c>
      <c r="AW6" s="278" t="str">
        <f t="shared" ref="AW6" si="19">IF(OR(P6="",Q6="",AU6="Verifique",AV6="Verifique"),"",VLOOKUP(VALUE(CONCATENATE(IF((VLOOKUP(Q6,TImpacto,2,FALSE)-AV6)&lt;1,1,(VLOOKUP(Q6,TImpacto,2,FALSE)-AV6)),IF((VLOOKUP(P6,TProbabilidad,2,FALSE)-AU6)&lt;1,1,(VLOOKUP(P6,TProbabilidad,2,FALSE)-AU6)))),TMapaCalor,2,FALSE))</f>
        <v>Extremo</v>
      </c>
      <c r="AX6" s="1025" t="s">
        <v>2418</v>
      </c>
      <c r="AY6" s="1025" t="s">
        <v>2419</v>
      </c>
      <c r="AZ6" s="1025" t="s">
        <v>2420</v>
      </c>
      <c r="BA6" s="1027">
        <v>45869</v>
      </c>
      <c r="BB6" s="1025" t="s">
        <v>2421</v>
      </c>
      <c r="BD6" s="244">
        <v>45768</v>
      </c>
      <c r="BE6" s="245" t="s">
        <v>2127</v>
      </c>
      <c r="BF6" s="246" t="s">
        <v>2422</v>
      </c>
      <c r="BG6" s="255" t="s">
        <v>205</v>
      </c>
      <c r="BH6" s="245" t="s">
        <v>206</v>
      </c>
      <c r="BI6" s="245" t="s">
        <v>535</v>
      </c>
      <c r="BJ6" s="249" t="s">
        <v>2088</v>
      </c>
      <c r="BK6" s="250"/>
      <c r="BL6" s="244">
        <v>45782</v>
      </c>
      <c r="BM6" s="251" t="s">
        <v>207</v>
      </c>
      <c r="BN6" s="245" t="s">
        <v>228</v>
      </c>
      <c r="BO6" s="250"/>
      <c r="BP6" s="252"/>
      <c r="BQ6" s="252"/>
      <c r="BR6" s="249" t="s">
        <v>2078</v>
      </c>
      <c r="BS6" s="250"/>
      <c r="BT6" s="244">
        <v>45862</v>
      </c>
      <c r="BU6" s="245" t="s">
        <v>2129</v>
      </c>
      <c r="BV6" s="246" t="s">
        <v>2423</v>
      </c>
      <c r="BW6" s="255" t="s">
        <v>205</v>
      </c>
      <c r="BX6" s="245" t="s">
        <v>206</v>
      </c>
      <c r="BY6" s="245" t="s">
        <v>535</v>
      </c>
      <c r="BZ6" s="358" t="s">
        <v>2424</v>
      </c>
      <c r="CA6" s="250"/>
      <c r="CB6" s="450">
        <v>45869</v>
      </c>
      <c r="CC6" s="449" t="s">
        <v>215</v>
      </c>
      <c r="CD6" s="283" t="s">
        <v>231</v>
      </c>
      <c r="CE6" s="250"/>
      <c r="CF6" s="252"/>
      <c r="CG6" s="252"/>
      <c r="CH6" s="249" t="s">
        <v>2078</v>
      </c>
      <c r="CI6" s="250"/>
      <c r="CJ6" s="244">
        <v>45946</v>
      </c>
      <c r="CK6" s="245" t="s">
        <v>2425</v>
      </c>
      <c r="CL6" s="246" t="s">
        <v>2426</v>
      </c>
      <c r="CM6" s="255" t="s">
        <v>205</v>
      </c>
      <c r="CN6" s="245" t="s">
        <v>206</v>
      </c>
      <c r="CO6" s="245" t="s">
        <v>535</v>
      </c>
      <c r="CP6" s="448" t="s">
        <v>2427</v>
      </c>
      <c r="CQ6" s="250"/>
      <c r="CR6" s="257">
        <v>46000</v>
      </c>
      <c r="CS6" s="489" t="s">
        <v>215</v>
      </c>
      <c r="CT6" s="248" t="s">
        <v>233</v>
      </c>
      <c r="CU6" s="250"/>
      <c r="CV6" s="252"/>
      <c r="CW6" s="252"/>
      <c r="CX6" s="249" t="s">
        <v>2078</v>
      </c>
      <c r="CY6" s="250"/>
      <c r="CZ6" s="252"/>
      <c r="DA6" s="252"/>
      <c r="DB6" s="249" t="s">
        <v>2078</v>
      </c>
      <c r="DC6" s="247"/>
      <c r="DD6" s="248"/>
      <c r="DE6" s="253"/>
      <c r="DF6" s="249" t="s">
        <v>2088</v>
      </c>
      <c r="DG6" s="250"/>
      <c r="DH6" s="252"/>
      <c r="DI6" s="252"/>
      <c r="DJ6" s="249" t="s">
        <v>2078</v>
      </c>
      <c r="DK6" s="250"/>
      <c r="DL6" s="252"/>
      <c r="DM6" s="252"/>
      <c r="DN6" s="249" t="s">
        <v>2078</v>
      </c>
    </row>
    <row r="7" spans="1:118" s="276" customFormat="1" ht="179.25" customHeight="1" x14ac:dyDescent="0.2">
      <c r="A7" s="301">
        <v>3</v>
      </c>
      <c r="B7" s="301" t="s">
        <v>2410</v>
      </c>
      <c r="C7" s="278"/>
      <c r="D7" s="278" t="s">
        <v>2411</v>
      </c>
      <c r="E7" s="278" t="s">
        <v>2412</v>
      </c>
      <c r="F7" s="277" t="s">
        <v>1526</v>
      </c>
      <c r="G7" s="277" t="str">
        <f>IFERROR(INDEX('[4]Base de datos gestión'!$D$28:$D$50,MATCH(F7,'[4]Base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H7" s="277" t="str">
        <f>IFERROR(INDEX('[4]Base de datos gestión'!$E$28:$E$50,MATCH(F7,'[4]Base de datos gestión'!$C$28:$C$50,0)), 0)</f>
        <v>Inicia con la radicación de solicitud de contratación y finaliza con la terminación de la relación contractual.</v>
      </c>
      <c r="I7" s="312" t="s">
        <v>2365</v>
      </c>
      <c r="J7" s="313" t="s">
        <v>535</v>
      </c>
      <c r="K7" s="278" t="s">
        <v>2413</v>
      </c>
      <c r="L7" s="278" t="s">
        <v>2414</v>
      </c>
      <c r="M7" s="313" t="s">
        <v>535</v>
      </c>
      <c r="N7" s="314" t="s">
        <v>2428</v>
      </c>
      <c r="O7" s="278" t="s">
        <v>2416</v>
      </c>
      <c r="P7" s="312" t="s">
        <v>2264</v>
      </c>
      <c r="Q7" s="312" t="s">
        <v>762</v>
      </c>
      <c r="R7" s="278" t="str">
        <f>IF(OR(P7="",Q7=""),"",VLOOKUP(VALUE(CONCATENATE(VLOOKUP(Q7,TImpacto,2,FALSE),VLOOKUP(P7,TProbabilidad,2,FALSE))),TMapaCalor,2,FALSE))</f>
        <v>Extremo</v>
      </c>
      <c r="S7" s="312" t="s">
        <v>2371</v>
      </c>
      <c r="T7" s="318" t="s">
        <v>2429</v>
      </c>
      <c r="U7" s="316">
        <v>2</v>
      </c>
      <c r="V7" s="317" t="s">
        <v>197</v>
      </c>
      <c r="W7" s="307" t="s">
        <v>2373</v>
      </c>
      <c r="X7" s="307" t="s">
        <v>2374</v>
      </c>
      <c r="Y7" s="307" t="s">
        <v>2375</v>
      </c>
      <c r="Z7" s="307" t="s">
        <v>2376</v>
      </c>
      <c r="AA7" s="307" t="s">
        <v>2377</v>
      </c>
      <c r="AB7" s="307" t="s">
        <v>2378</v>
      </c>
      <c r="AC7" s="307" t="s">
        <v>2379</v>
      </c>
      <c r="AD7" s="308">
        <f>IF(W7="Asignado",15,IF(W7="No asignado",0,"Seleccione"))</f>
        <v>15</v>
      </c>
      <c r="AE7" s="308">
        <f>IF(X7="Adecuado",15,IF(X7="Inadecuado",0,"Seleccione"))</f>
        <v>15</v>
      </c>
      <c r="AF7" s="308">
        <f>IF(Y7="Oportuna",15,IF(Y7="Inoportuna",0,"Seleccione"))</f>
        <v>15</v>
      </c>
      <c r="AG7" s="308">
        <f>IF(Z7="Prevenir",15,IF(Z7="Detectar",10,IF(Z7="No es un Control",0,"Seleccione")))</f>
        <v>15</v>
      </c>
      <c r="AH7" s="308">
        <f>IF(AA7="Confiable",15,IF(AA7="No confiable",0,"Seleccione"))</f>
        <v>15</v>
      </c>
      <c r="AI7" s="308">
        <f>IF(AB7="Se investigan y resuelven oportunamente",15,IF(AB7="No se investigan y resuelven oportunamente",0,"Seleccione"))</f>
        <v>15</v>
      </c>
      <c r="AJ7" s="308">
        <f>IF(AC7="Completa",10,IF(AC7="Incompleta",5,IF(AC7="No existe",0,"Seleccione")))</f>
        <v>10</v>
      </c>
      <c r="AK7" s="308">
        <f>IF(COUNTBLANK(W7:AC7)&gt;0,"Complete las respuestas",SUM(AD7:AJ7))</f>
        <v>100</v>
      </c>
      <c r="AL7" s="308" t="str">
        <f>IF(AK7&lt;86,"Débil",IF(AND(AK7&gt;85,AK7&lt;96),"Moderado",IF(AND(AK7&gt;95,AK7&lt;101),"Fuerte","Verifique respuestas")))</f>
        <v>Fuerte</v>
      </c>
      <c r="AM7" s="307" t="s">
        <v>2380</v>
      </c>
      <c r="AN7" s="308" t="str">
        <f>IF(AND(AL7="Fuerte",AM7="Fuerte"),"Fuerte",IF(OR(AND(AL7="Fuerte",AM7="Moderado"),AND(AL7="Moderado",AM7="Fuerte"),AND(AL7="Moderado",AM7="Moderado")),"Moderado",IF(OR(AND(AL7="Fuerte",AM7="Débil"),AND(AL7="Moderado",AM7="Débil"),AND(AL7="Débil",AM7="Fuerte"),AND(AL7="Débil",AM7="Moderado"),AND(AL7="Débil",AM7="Débil")),"Débil","Verifique respuestas")))</f>
        <v>Fuerte</v>
      </c>
      <c r="AO7" s="308">
        <f>IF(AN7="Fuerte",100,IF(AN7="Moderado",50,IF(AN7="débil",0,"Verifique respuestas")))</f>
        <v>100</v>
      </c>
      <c r="AP7" s="308" t="str">
        <f>IF(AN7="Verifique respuestas","",IF(AN7="Fuerte","No","Si"))</f>
        <v>No</v>
      </c>
      <c r="AQ7" s="309">
        <f>IF(AO7="Verifique respuestas","",AVERAGE(AO7:AO7))</f>
        <v>100</v>
      </c>
      <c r="AR7" s="309" t="str">
        <f>IF(AQ7="","",IF(AQ7=100,"Fuerte",IF(AND(AQ7&gt;49,AQ7&lt;100),"Moderado",IF(AND(AQ7&gt;=0,AQ7&lt;50),"Débil","Verifique"))))</f>
        <v>Fuerte</v>
      </c>
      <c r="AS7" s="312" t="s">
        <v>2381</v>
      </c>
      <c r="AT7" s="312" t="s">
        <v>2381</v>
      </c>
      <c r="AU7" s="310">
        <f>IF(OR(AR7="",AS7=""),"Verifique",IF(AND(AR7="Fuerte",AS7="Directamente"),2,IF(AND(AR7="Moderado",AS7="Directamente"),1,IF(AND(OR(AR7="Fuerte",AR7="Moderado"),AS7="No disminuye"),0,0))))</f>
        <v>2</v>
      </c>
      <c r="AV7" s="310">
        <f>IF(OR(AR7="",AT7=""),"Verifique",IF(OR(AND(AR7="Moderado",AT7="Indirectamente"),AT7="No disminuye",I7="Corrupción"),0,IF(OR(AND(AR7="Fuerte",AT7="Indirectamente"),AND(AR7="Moderado",AT7="Directamente")),1,IF(AND(AR7="Fuerte",AT7="Directamente"),2,0))))</f>
        <v>0</v>
      </c>
      <c r="AW7" s="278" t="str">
        <f>IF(OR(P7="",Q7="",AU7="Verifique",AV7="Verifique"),"",VLOOKUP(VALUE(CONCATENATE(IF((VLOOKUP(Q7,TImpacto,2,FALSE)-AV7)&lt;1,1,(VLOOKUP(Q7,TImpacto,2,FALSE)-AV7)),IF((VLOOKUP(P7,TProbabilidad,2,FALSE)-AU7)&lt;1,1,(VLOOKUP(P7,TProbabilidad,2,FALSE)-AU7)))),TMapaCalor,2,FALSE))</f>
        <v>Extremo</v>
      </c>
      <c r="AX7" s="1026"/>
      <c r="AY7" s="1026"/>
      <c r="AZ7" s="1026"/>
      <c r="BA7" s="1028"/>
      <c r="BB7" s="1026"/>
      <c r="BD7" s="244">
        <v>45768</v>
      </c>
      <c r="BE7" s="245" t="s">
        <v>2127</v>
      </c>
      <c r="BF7" s="248" t="s">
        <v>2430</v>
      </c>
      <c r="BG7" s="255" t="s">
        <v>205</v>
      </c>
      <c r="BH7" s="245" t="s">
        <v>206</v>
      </c>
      <c r="BI7" s="245" t="s">
        <v>535</v>
      </c>
      <c r="BJ7" s="249" t="s">
        <v>2088</v>
      </c>
      <c r="BK7" s="250"/>
      <c r="BL7" s="244">
        <v>45782</v>
      </c>
      <c r="BM7" s="251" t="s">
        <v>207</v>
      </c>
      <c r="BN7" s="245" t="s">
        <v>228</v>
      </c>
      <c r="BO7" s="250"/>
      <c r="BP7" s="252"/>
      <c r="BQ7" s="252"/>
      <c r="BR7" s="249" t="s">
        <v>2078</v>
      </c>
      <c r="BS7" s="250"/>
      <c r="BT7" s="244">
        <v>45862</v>
      </c>
      <c r="BU7" s="245" t="s">
        <v>2129</v>
      </c>
      <c r="BV7" s="248" t="s">
        <v>2431</v>
      </c>
      <c r="BW7" s="255" t="s">
        <v>205</v>
      </c>
      <c r="BX7" s="245" t="s">
        <v>206</v>
      </c>
      <c r="BY7" s="245" t="s">
        <v>535</v>
      </c>
      <c r="BZ7" s="358" t="s">
        <v>2424</v>
      </c>
      <c r="CA7" s="250"/>
      <c r="CB7" s="450">
        <v>45869</v>
      </c>
      <c r="CC7" s="449" t="s">
        <v>215</v>
      </c>
      <c r="CD7" s="283" t="s">
        <v>231</v>
      </c>
      <c r="CE7" s="250"/>
      <c r="CF7" s="252"/>
      <c r="CG7" s="252"/>
      <c r="CH7" s="249" t="s">
        <v>2078</v>
      </c>
      <c r="CI7" s="250"/>
      <c r="CJ7" s="244">
        <v>45946</v>
      </c>
      <c r="CK7" s="245" t="s">
        <v>2425</v>
      </c>
      <c r="CL7" s="248" t="s">
        <v>2432</v>
      </c>
      <c r="CM7" s="255" t="s">
        <v>205</v>
      </c>
      <c r="CN7" s="245" t="s">
        <v>206</v>
      </c>
      <c r="CO7" s="245" t="s">
        <v>535</v>
      </c>
      <c r="CP7" s="358" t="s">
        <v>2427</v>
      </c>
      <c r="CQ7" s="250"/>
      <c r="CR7" s="257">
        <v>46000</v>
      </c>
      <c r="CS7" s="489" t="s">
        <v>215</v>
      </c>
      <c r="CT7" s="248" t="s">
        <v>233</v>
      </c>
      <c r="CU7" s="250"/>
      <c r="CV7" s="252"/>
      <c r="CW7" s="252"/>
      <c r="CX7" s="249" t="s">
        <v>2078</v>
      </c>
      <c r="CY7" s="250"/>
      <c r="CZ7" s="252"/>
      <c r="DA7" s="252"/>
      <c r="DB7" s="249" t="s">
        <v>2078</v>
      </c>
      <c r="DC7" s="247"/>
      <c r="DD7" s="248"/>
      <c r="DE7" s="253"/>
      <c r="DF7" s="249" t="s">
        <v>2088</v>
      </c>
      <c r="DG7" s="250"/>
      <c r="DH7" s="252"/>
      <c r="DI7" s="252"/>
      <c r="DJ7" s="249" t="s">
        <v>2078</v>
      </c>
      <c r="DK7" s="250"/>
      <c r="DL7" s="252"/>
      <c r="DM7" s="252"/>
      <c r="DN7" s="249" t="s">
        <v>2078</v>
      </c>
    </row>
    <row r="8" spans="1:118" s="276" customFormat="1" ht="179.25" customHeight="1" x14ac:dyDescent="0.2">
      <c r="A8" s="301">
        <v>4</v>
      </c>
      <c r="B8" s="301" t="s">
        <v>2433</v>
      </c>
      <c r="C8" s="278"/>
      <c r="D8" s="278" t="s">
        <v>2434</v>
      </c>
      <c r="E8" s="278" t="s">
        <v>2435</v>
      </c>
      <c r="F8" s="277" t="s">
        <v>1526</v>
      </c>
      <c r="G8" s="277" t="str">
        <f>IFERROR(INDEX('[4]Base de datos gestión'!$D$28:$D$50,MATCH(F8,'[4]Base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H8" s="277" t="str">
        <f>IFERROR(INDEX('[4]Base de datos gestión'!$E$28:$E$50,MATCH(F8,'[4]Base de datos gestión'!$C$28:$C$50,0)), 0)</f>
        <v>Inicia con la radicación de solicitud de contratación y finaliza con la terminación de la relación contractual.</v>
      </c>
      <c r="I8" s="312" t="s">
        <v>2365</v>
      </c>
      <c r="J8" s="313" t="s">
        <v>535</v>
      </c>
      <c r="K8" s="278" t="s">
        <v>2413</v>
      </c>
      <c r="L8" s="278" t="s">
        <v>2414</v>
      </c>
      <c r="M8" s="313" t="s">
        <v>535</v>
      </c>
      <c r="N8" s="314" t="s">
        <v>2436</v>
      </c>
      <c r="O8" s="278" t="s">
        <v>2416</v>
      </c>
      <c r="P8" s="312" t="s">
        <v>2264</v>
      </c>
      <c r="Q8" s="312" t="s">
        <v>762</v>
      </c>
      <c r="R8" s="278" t="str">
        <f>IF(OR(P8="",Q8=""),"",VLOOKUP(VALUE(CONCATENATE(VLOOKUP(Q8,TImpacto,2,FALSE),VLOOKUP(P8,TProbabilidad,2,FALSE))),TMapaCalor,2,FALSE))</f>
        <v>Extremo</v>
      </c>
      <c r="S8" s="312" t="s">
        <v>2371</v>
      </c>
      <c r="T8" s="492" t="s">
        <v>2437</v>
      </c>
      <c r="U8" s="316">
        <v>1</v>
      </c>
      <c r="V8" s="317" t="s">
        <v>197</v>
      </c>
      <c r="W8" s="307" t="s">
        <v>2373</v>
      </c>
      <c r="X8" s="307" t="s">
        <v>2374</v>
      </c>
      <c r="Y8" s="307" t="s">
        <v>2375</v>
      </c>
      <c r="Z8" s="307" t="s">
        <v>2376</v>
      </c>
      <c r="AA8" s="307" t="s">
        <v>2377</v>
      </c>
      <c r="AB8" s="307" t="s">
        <v>2378</v>
      </c>
      <c r="AC8" s="307" t="s">
        <v>2379</v>
      </c>
      <c r="AD8" s="308">
        <f t="shared" si="1"/>
        <v>15</v>
      </c>
      <c r="AE8" s="308">
        <f t="shared" si="2"/>
        <v>15</v>
      </c>
      <c r="AF8" s="308">
        <f t="shared" si="3"/>
        <v>15</v>
      </c>
      <c r="AG8" s="308">
        <f t="shared" si="4"/>
        <v>15</v>
      </c>
      <c r="AH8" s="308">
        <f t="shared" si="5"/>
        <v>15</v>
      </c>
      <c r="AI8" s="308">
        <f t="shared" si="6"/>
        <v>15</v>
      </c>
      <c r="AJ8" s="308">
        <f t="shared" si="7"/>
        <v>10</v>
      </c>
      <c r="AK8" s="308">
        <f t="shared" si="8"/>
        <v>100</v>
      </c>
      <c r="AL8" s="308" t="str">
        <f t="shared" si="13"/>
        <v>Fuerte</v>
      </c>
      <c r="AM8" s="307" t="s">
        <v>2380</v>
      </c>
      <c r="AN8" s="308" t="str">
        <f t="shared" si="14"/>
        <v>Fuerte</v>
      </c>
      <c r="AO8" s="308">
        <f t="shared" si="9"/>
        <v>100</v>
      </c>
      <c r="AP8" s="308" t="str">
        <f t="shared" si="15"/>
        <v>No</v>
      </c>
      <c r="AQ8" s="309">
        <f t="shared" si="10"/>
        <v>100</v>
      </c>
      <c r="AR8" s="309" t="str">
        <f t="shared" si="16"/>
        <v>Fuerte</v>
      </c>
      <c r="AS8" s="312" t="s">
        <v>2381</v>
      </c>
      <c r="AT8" s="312" t="s">
        <v>2381</v>
      </c>
      <c r="AU8" s="310">
        <f t="shared" si="17"/>
        <v>2</v>
      </c>
      <c r="AV8" s="310">
        <f t="shared" si="11"/>
        <v>0</v>
      </c>
      <c r="AW8" s="278" t="str">
        <f t="shared" si="12"/>
        <v>Extremo</v>
      </c>
      <c r="AX8" s="316" t="s">
        <v>2418</v>
      </c>
      <c r="AY8" s="316" t="s">
        <v>2419</v>
      </c>
      <c r="AZ8" s="316" t="s">
        <v>2420</v>
      </c>
      <c r="BA8" s="319">
        <v>45869</v>
      </c>
      <c r="BB8" s="316" t="s">
        <v>2438</v>
      </c>
      <c r="BD8" s="244">
        <v>45768</v>
      </c>
      <c r="BE8" s="245" t="s">
        <v>2127</v>
      </c>
      <c r="BF8" s="248" t="s">
        <v>2439</v>
      </c>
      <c r="BG8" s="255" t="s">
        <v>205</v>
      </c>
      <c r="BH8" s="245" t="s">
        <v>206</v>
      </c>
      <c r="BI8" s="245" t="s">
        <v>535</v>
      </c>
      <c r="BJ8" s="249" t="s">
        <v>2088</v>
      </c>
      <c r="BK8" s="250"/>
      <c r="BL8" s="244">
        <v>45782</v>
      </c>
      <c r="BM8" s="251" t="s">
        <v>207</v>
      </c>
      <c r="BN8" s="245" t="s">
        <v>228</v>
      </c>
      <c r="BO8" s="250"/>
      <c r="BP8" s="252"/>
      <c r="BQ8" s="252"/>
      <c r="BR8" s="249" t="s">
        <v>2078</v>
      </c>
      <c r="BS8" s="250"/>
      <c r="BT8" s="244">
        <v>45862</v>
      </c>
      <c r="BU8" s="245" t="s">
        <v>2129</v>
      </c>
      <c r="BV8" s="248" t="s">
        <v>2440</v>
      </c>
      <c r="BW8" s="255" t="s">
        <v>205</v>
      </c>
      <c r="BX8" s="245" t="s">
        <v>206</v>
      </c>
      <c r="BY8" s="245" t="s">
        <v>535</v>
      </c>
      <c r="BZ8" s="358" t="s">
        <v>2441</v>
      </c>
      <c r="CA8" s="250"/>
      <c r="CB8" s="450">
        <v>45869</v>
      </c>
      <c r="CC8" s="449" t="s">
        <v>215</v>
      </c>
      <c r="CD8" s="283" t="s">
        <v>231</v>
      </c>
      <c r="CE8" s="250"/>
      <c r="CF8" s="252"/>
      <c r="CG8" s="252"/>
      <c r="CH8" s="249" t="s">
        <v>2078</v>
      </c>
      <c r="CI8" s="250"/>
      <c r="CJ8" s="244">
        <v>45946</v>
      </c>
      <c r="CK8" s="245" t="s">
        <v>2425</v>
      </c>
      <c r="CL8" s="248" t="s">
        <v>2442</v>
      </c>
      <c r="CM8" s="255" t="s">
        <v>205</v>
      </c>
      <c r="CN8" s="245" t="s">
        <v>206</v>
      </c>
      <c r="CO8" s="245" t="s">
        <v>535</v>
      </c>
      <c r="CP8" s="448" t="s">
        <v>2443</v>
      </c>
      <c r="CQ8" s="250"/>
      <c r="CR8" s="257">
        <v>46000</v>
      </c>
      <c r="CS8" s="489" t="s">
        <v>215</v>
      </c>
      <c r="CT8" s="248" t="s">
        <v>233</v>
      </c>
      <c r="CU8" s="250"/>
      <c r="CV8" s="252"/>
      <c r="CW8" s="252"/>
      <c r="CX8" s="249" t="s">
        <v>2078</v>
      </c>
      <c r="CY8" s="250"/>
      <c r="CZ8" s="252"/>
      <c r="DA8" s="252"/>
      <c r="DB8" s="249" t="s">
        <v>2078</v>
      </c>
      <c r="DC8" s="247"/>
      <c r="DD8" s="248"/>
      <c r="DE8" s="253"/>
      <c r="DF8" s="249" t="s">
        <v>2088</v>
      </c>
      <c r="DG8" s="250"/>
      <c r="DH8" s="252"/>
      <c r="DI8" s="252"/>
      <c r="DJ8" s="249" t="s">
        <v>2078</v>
      </c>
      <c r="DK8" s="250"/>
      <c r="DL8" s="252"/>
      <c r="DM8" s="252"/>
      <c r="DN8" s="249" t="s">
        <v>2078</v>
      </c>
    </row>
    <row r="9" spans="1:118" s="276" customFormat="1" ht="179.25" customHeight="1" x14ac:dyDescent="0.2">
      <c r="A9" s="301">
        <v>4</v>
      </c>
      <c r="B9" s="301" t="s">
        <v>2433</v>
      </c>
      <c r="C9" s="278"/>
      <c r="D9" s="278" t="s">
        <v>2434</v>
      </c>
      <c r="E9" s="278" t="s">
        <v>2435</v>
      </c>
      <c r="F9" s="277" t="s">
        <v>1526</v>
      </c>
      <c r="G9" s="277" t="str">
        <f>IFERROR(INDEX('[4]Base de datos gestión'!$D$28:$D$50,MATCH(F9,'[4]Base de datos gestión'!$C$28:$C$50,0)), 0)</f>
        <v>Gestionar los procesos de contratación atendiendo los requisitos legales y reglamentarios para la adquisición de bienes y servicios, cada vez que sea requerido de acuerdo al Plan Anual de Adquisiciones para asegurar el desarrollo de los procesos del INM
El proceso se relaciona con el objetivo estratégico: Fortalecer la capacidad administrativa y de desempeño institucional para garantizar la eficiencia y calidad a los procesos de la entidad</v>
      </c>
      <c r="H9" s="277" t="str">
        <f>IFERROR(INDEX('[4]Base de datos gestión'!$E$28:$E$50,MATCH(F9,'[4]Base de datos gestión'!$C$28:$C$50,0)), 0)</f>
        <v>Inicia con la radicación de solicitud de contratación y finaliza con la terminación de la relación contractual.</v>
      </c>
      <c r="I9" s="312" t="s">
        <v>2365</v>
      </c>
      <c r="J9" s="313" t="s">
        <v>535</v>
      </c>
      <c r="K9" s="278" t="s">
        <v>2413</v>
      </c>
      <c r="L9" s="278" t="s">
        <v>2414</v>
      </c>
      <c r="M9" s="313" t="s">
        <v>535</v>
      </c>
      <c r="N9" s="314" t="s">
        <v>2436</v>
      </c>
      <c r="O9" s="278" t="s">
        <v>2416</v>
      </c>
      <c r="P9" s="312" t="s">
        <v>2264</v>
      </c>
      <c r="Q9" s="312" t="s">
        <v>762</v>
      </c>
      <c r="R9" s="278" t="str">
        <f t="shared" si="0"/>
        <v>Extremo</v>
      </c>
      <c r="S9" s="312" t="s">
        <v>2371</v>
      </c>
      <c r="T9" s="318" t="s">
        <v>2444</v>
      </c>
      <c r="U9" s="316">
        <v>2</v>
      </c>
      <c r="V9" s="317" t="s">
        <v>197</v>
      </c>
      <c r="W9" s="307" t="s">
        <v>2373</v>
      </c>
      <c r="X9" s="307" t="s">
        <v>2374</v>
      </c>
      <c r="Y9" s="307" t="s">
        <v>2375</v>
      </c>
      <c r="Z9" s="307" t="s">
        <v>2376</v>
      </c>
      <c r="AA9" s="307" t="s">
        <v>2377</v>
      </c>
      <c r="AB9" s="307" t="s">
        <v>2378</v>
      </c>
      <c r="AC9" s="307" t="s">
        <v>2379</v>
      </c>
      <c r="AD9" s="308">
        <f t="shared" si="1"/>
        <v>15</v>
      </c>
      <c r="AE9" s="308">
        <f t="shared" si="2"/>
        <v>15</v>
      </c>
      <c r="AF9" s="308">
        <f t="shared" si="3"/>
        <v>15</v>
      </c>
      <c r="AG9" s="308">
        <f t="shared" si="4"/>
        <v>15</v>
      </c>
      <c r="AH9" s="308">
        <f t="shared" si="5"/>
        <v>15</v>
      </c>
      <c r="AI9" s="308">
        <f t="shared" si="6"/>
        <v>15</v>
      </c>
      <c r="AJ9" s="308">
        <f t="shared" si="7"/>
        <v>10</v>
      </c>
      <c r="AK9" s="308">
        <f t="shared" si="8"/>
        <v>100</v>
      </c>
      <c r="AL9" s="308" t="str">
        <f t="shared" si="13"/>
        <v>Fuerte</v>
      </c>
      <c r="AM9" s="307" t="s">
        <v>2380</v>
      </c>
      <c r="AN9" s="308" t="str">
        <f t="shared" si="14"/>
        <v>Fuerte</v>
      </c>
      <c r="AO9" s="308">
        <f t="shared" si="9"/>
        <v>100</v>
      </c>
      <c r="AP9" s="308" t="str">
        <f t="shared" si="15"/>
        <v>No</v>
      </c>
      <c r="AQ9" s="309">
        <f t="shared" si="10"/>
        <v>100</v>
      </c>
      <c r="AR9" s="309" t="str">
        <f t="shared" si="16"/>
        <v>Fuerte</v>
      </c>
      <c r="AS9" s="312" t="s">
        <v>2381</v>
      </c>
      <c r="AT9" s="312" t="s">
        <v>2381</v>
      </c>
      <c r="AU9" s="310">
        <f t="shared" si="17"/>
        <v>2</v>
      </c>
      <c r="AV9" s="310">
        <f t="shared" si="11"/>
        <v>0</v>
      </c>
      <c r="AW9" s="278" t="str">
        <f t="shared" si="12"/>
        <v>Extremo</v>
      </c>
      <c r="AX9" s="316" t="s">
        <v>2445</v>
      </c>
      <c r="AY9" s="316" t="s">
        <v>2419</v>
      </c>
      <c r="AZ9" s="316" t="s">
        <v>2420</v>
      </c>
      <c r="BA9" s="319">
        <v>45869</v>
      </c>
      <c r="BB9" s="316" t="s">
        <v>2438</v>
      </c>
      <c r="BD9" s="244">
        <v>45768</v>
      </c>
      <c r="BE9" s="245" t="s">
        <v>2127</v>
      </c>
      <c r="BF9" s="248" t="s">
        <v>2446</v>
      </c>
      <c r="BG9" s="255" t="s">
        <v>205</v>
      </c>
      <c r="BH9" s="245" t="s">
        <v>206</v>
      </c>
      <c r="BI9" s="245" t="s">
        <v>535</v>
      </c>
      <c r="BJ9" s="249" t="s">
        <v>2088</v>
      </c>
      <c r="BK9" s="250"/>
      <c r="BL9" s="244">
        <v>45782</v>
      </c>
      <c r="BM9" s="251" t="s">
        <v>207</v>
      </c>
      <c r="BN9" s="245" t="s">
        <v>228</v>
      </c>
      <c r="BO9" s="250"/>
      <c r="BP9" s="252"/>
      <c r="BQ9" s="252"/>
      <c r="BR9" s="249" t="s">
        <v>2078</v>
      </c>
      <c r="BS9" s="250"/>
      <c r="BT9" s="244">
        <v>45862</v>
      </c>
      <c r="BU9" s="245" t="s">
        <v>2129</v>
      </c>
      <c r="BV9" s="248" t="s">
        <v>2447</v>
      </c>
      <c r="BW9" s="255" t="s">
        <v>205</v>
      </c>
      <c r="BX9" s="245" t="s">
        <v>206</v>
      </c>
      <c r="BY9" s="245" t="s">
        <v>535</v>
      </c>
      <c r="BZ9" s="358" t="s">
        <v>2441</v>
      </c>
      <c r="CA9" s="250"/>
      <c r="CB9" s="450">
        <v>45869</v>
      </c>
      <c r="CC9" s="449" t="s">
        <v>215</v>
      </c>
      <c r="CD9" s="283" t="s">
        <v>231</v>
      </c>
      <c r="CE9" s="250"/>
      <c r="CF9" s="252"/>
      <c r="CG9" s="252"/>
      <c r="CH9" s="249" t="s">
        <v>2078</v>
      </c>
      <c r="CI9" s="250"/>
      <c r="CJ9" s="244">
        <v>45946</v>
      </c>
      <c r="CK9" s="245" t="s">
        <v>2425</v>
      </c>
      <c r="CL9" s="248" t="s">
        <v>2448</v>
      </c>
      <c r="CM9" s="255" t="s">
        <v>205</v>
      </c>
      <c r="CN9" s="245" t="s">
        <v>206</v>
      </c>
      <c r="CO9" s="245" t="s">
        <v>535</v>
      </c>
      <c r="CP9" s="244">
        <v>45946</v>
      </c>
      <c r="CQ9" s="245"/>
      <c r="CR9" s="257">
        <v>46000</v>
      </c>
      <c r="CS9" s="489" t="s">
        <v>215</v>
      </c>
      <c r="CT9" s="248" t="s">
        <v>233</v>
      </c>
      <c r="CU9" s="250"/>
      <c r="CV9" s="252"/>
      <c r="CW9" s="252"/>
      <c r="CX9" s="249" t="s">
        <v>2078</v>
      </c>
      <c r="CY9" s="250"/>
      <c r="CZ9" s="252"/>
      <c r="DA9" s="252"/>
      <c r="DB9" s="249" t="s">
        <v>2078</v>
      </c>
      <c r="DC9" s="247"/>
      <c r="DD9" s="248"/>
      <c r="DE9" s="253"/>
      <c r="DF9" s="249" t="s">
        <v>2088</v>
      </c>
      <c r="DG9" s="250"/>
      <c r="DH9" s="252"/>
      <c r="DI9" s="252"/>
      <c r="DJ9" s="249" t="s">
        <v>2078</v>
      </c>
      <c r="DK9" s="250"/>
      <c r="DL9" s="252"/>
      <c r="DM9" s="252"/>
      <c r="DN9" s="249" t="s">
        <v>2078</v>
      </c>
    </row>
    <row r="10" spans="1:118" s="276" customFormat="1" ht="216.75" customHeight="1" x14ac:dyDescent="0.2">
      <c r="A10" s="301">
        <v>5</v>
      </c>
      <c r="B10" s="316" t="s">
        <v>2449</v>
      </c>
      <c r="C10" s="316"/>
      <c r="D10" s="314" t="s">
        <v>2450</v>
      </c>
      <c r="E10" s="314" t="s">
        <v>2451</v>
      </c>
      <c r="F10" s="277" t="s">
        <v>1169</v>
      </c>
      <c r="G10" s="277" t="str">
        <f>IFERROR(INDEX('[4]Base de datos gestión'!$D$28:$D$50,MATCH(F10,'[4]Base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H10" s="277" t="str">
        <f>IFERROR(INDEX('[4]Base de datos gestión'!$E$28:$E$50,MATCH(F10,'[4]Base de datos gestión'!$C$28:$C$50,0)), 0)</f>
        <v>Inicia con el establecimiento de los procedimientos y demás documentos del proceso y culmina con la evaluación de la satisfacción de las capacitaciones y la toma de acciones de mejoramiento por parte de los responsables del proceso.</v>
      </c>
      <c r="I10" s="317" t="s">
        <v>2365</v>
      </c>
      <c r="J10" s="320" t="s">
        <v>2452</v>
      </c>
      <c r="K10" s="316" t="s">
        <v>2453</v>
      </c>
      <c r="L10" s="316" t="s">
        <v>2454</v>
      </c>
      <c r="M10" s="320" t="s">
        <v>2455</v>
      </c>
      <c r="N10" s="314" t="s">
        <v>2456</v>
      </c>
      <c r="O10" s="316" t="s">
        <v>2457</v>
      </c>
      <c r="P10" s="317" t="s">
        <v>2264</v>
      </c>
      <c r="Q10" s="317" t="s">
        <v>762</v>
      </c>
      <c r="R10" s="301" t="str">
        <f>IF(OR(P10="",Q10=""),"",VLOOKUP(VALUE(CONCATENATE(VLOOKUP(Q10,TImpacto,2,FALSE),VLOOKUP(P10,TProbabilidad,2,FALSE))),TMapaCalor,2,FALSE))</f>
        <v>Extremo</v>
      </c>
      <c r="S10" s="317" t="s">
        <v>2371</v>
      </c>
      <c r="T10" s="315" t="s">
        <v>2458</v>
      </c>
      <c r="U10" s="316">
        <v>1</v>
      </c>
      <c r="V10" s="317" t="s">
        <v>197</v>
      </c>
      <c r="W10" s="307" t="s">
        <v>2373</v>
      </c>
      <c r="X10" s="307" t="s">
        <v>2374</v>
      </c>
      <c r="Y10" s="307" t="s">
        <v>2375</v>
      </c>
      <c r="Z10" s="307" t="s">
        <v>2376</v>
      </c>
      <c r="AA10" s="307" t="s">
        <v>2377</v>
      </c>
      <c r="AB10" s="307" t="s">
        <v>2378</v>
      </c>
      <c r="AC10" s="307" t="s">
        <v>2379</v>
      </c>
      <c r="AD10" s="308">
        <f t="shared" si="1"/>
        <v>15</v>
      </c>
      <c r="AE10" s="308">
        <f t="shared" si="2"/>
        <v>15</v>
      </c>
      <c r="AF10" s="308">
        <f t="shared" si="3"/>
        <v>15</v>
      </c>
      <c r="AG10" s="308">
        <f t="shared" si="4"/>
        <v>15</v>
      </c>
      <c r="AH10" s="308">
        <f t="shared" si="5"/>
        <v>15</v>
      </c>
      <c r="AI10" s="308">
        <f t="shared" si="6"/>
        <v>15</v>
      </c>
      <c r="AJ10" s="308">
        <f t="shared" si="7"/>
        <v>10</v>
      </c>
      <c r="AK10" s="308">
        <f t="shared" si="8"/>
        <v>100</v>
      </c>
      <c r="AL10" s="308" t="str">
        <f t="shared" si="13"/>
        <v>Fuerte</v>
      </c>
      <c r="AM10" s="307" t="s">
        <v>2380</v>
      </c>
      <c r="AN10" s="308" t="str">
        <f t="shared" si="14"/>
        <v>Fuerte</v>
      </c>
      <c r="AO10" s="308">
        <f t="shared" si="9"/>
        <v>100</v>
      </c>
      <c r="AP10" s="308" t="str">
        <f t="shared" si="15"/>
        <v>No</v>
      </c>
      <c r="AQ10" s="308">
        <f>IF(AO10="Verifique respuestas","",AVERAGE(AO10))</f>
        <v>100</v>
      </c>
      <c r="AR10" s="308" t="str">
        <f t="shared" si="16"/>
        <v>Fuerte</v>
      </c>
      <c r="AS10" s="317" t="s">
        <v>2381</v>
      </c>
      <c r="AT10" s="317" t="s">
        <v>2381</v>
      </c>
      <c r="AU10" s="321">
        <f t="shared" si="17"/>
        <v>2</v>
      </c>
      <c r="AV10" s="321">
        <f t="shared" si="11"/>
        <v>0</v>
      </c>
      <c r="AW10" s="301" t="str">
        <f t="shared" si="12"/>
        <v>Extremo</v>
      </c>
      <c r="AX10" s="316" t="s">
        <v>2459</v>
      </c>
      <c r="AY10" s="316" t="s">
        <v>2460</v>
      </c>
      <c r="AZ10" s="316" t="s">
        <v>2461</v>
      </c>
      <c r="BA10" s="319">
        <v>45688</v>
      </c>
      <c r="BB10" s="316" t="s">
        <v>2462</v>
      </c>
      <c r="BD10" s="244">
        <v>45757</v>
      </c>
      <c r="BE10" s="245" t="s">
        <v>2463</v>
      </c>
      <c r="BF10" s="355" t="s">
        <v>2464</v>
      </c>
      <c r="BG10" s="247" t="s">
        <v>205</v>
      </c>
      <c r="BH10" s="245" t="s">
        <v>206</v>
      </c>
      <c r="BI10" s="245" t="s">
        <v>206</v>
      </c>
      <c r="BJ10" s="448" t="s">
        <v>2465</v>
      </c>
      <c r="BK10" s="250"/>
      <c r="BL10" s="244">
        <v>45782</v>
      </c>
      <c r="BM10" s="251" t="s">
        <v>207</v>
      </c>
      <c r="BN10" s="245" t="s">
        <v>2466</v>
      </c>
      <c r="BO10" s="250"/>
      <c r="BP10" s="252"/>
      <c r="BQ10" s="252"/>
      <c r="BR10" s="249" t="s">
        <v>2078</v>
      </c>
      <c r="BS10" s="250"/>
      <c r="BT10" s="447">
        <v>45854</v>
      </c>
      <c r="BU10" s="253" t="s">
        <v>1176</v>
      </c>
      <c r="BV10" s="355" t="s">
        <v>2467</v>
      </c>
      <c r="BW10" s="247" t="s">
        <v>205</v>
      </c>
      <c r="BX10" s="248" t="s">
        <v>206</v>
      </c>
      <c r="BY10" s="253" t="s">
        <v>206</v>
      </c>
      <c r="BZ10" s="448" t="s">
        <v>2468</v>
      </c>
      <c r="CA10" s="250"/>
      <c r="CB10" s="450">
        <v>45869</v>
      </c>
      <c r="CC10" s="449" t="s">
        <v>215</v>
      </c>
      <c r="CD10" s="283" t="s">
        <v>231</v>
      </c>
      <c r="CE10" s="250"/>
      <c r="CF10" s="252"/>
      <c r="CG10" s="252"/>
      <c r="CH10" s="249" t="s">
        <v>2078</v>
      </c>
      <c r="CI10" s="250"/>
      <c r="CJ10" s="254">
        <v>45944</v>
      </c>
      <c r="CK10" s="248" t="s">
        <v>1176</v>
      </c>
      <c r="CL10" s="355" t="s">
        <v>2469</v>
      </c>
      <c r="CM10" s="247" t="s">
        <v>205</v>
      </c>
      <c r="CN10" s="248" t="s">
        <v>206</v>
      </c>
      <c r="CO10" s="253" t="s">
        <v>206</v>
      </c>
      <c r="CP10" s="548" t="s">
        <v>2470</v>
      </c>
      <c r="CQ10" s="250"/>
      <c r="CR10" s="257">
        <v>46000</v>
      </c>
      <c r="CS10" s="248" t="s">
        <v>218</v>
      </c>
      <c r="CT10" s="246" t="s">
        <v>2471</v>
      </c>
      <c r="CU10" s="250"/>
      <c r="CV10" s="252"/>
      <c r="CW10" s="252"/>
      <c r="CX10" s="249" t="s">
        <v>2078</v>
      </c>
      <c r="CY10" s="250"/>
      <c r="CZ10" s="252"/>
      <c r="DA10" s="252"/>
      <c r="DB10" s="249" t="s">
        <v>2078</v>
      </c>
      <c r="DC10" s="247"/>
      <c r="DD10" s="248"/>
      <c r="DE10" s="253"/>
      <c r="DF10" s="249" t="s">
        <v>2088</v>
      </c>
      <c r="DG10" s="250"/>
      <c r="DH10" s="252"/>
      <c r="DI10" s="252"/>
      <c r="DJ10" s="249" t="s">
        <v>2078</v>
      </c>
      <c r="DK10" s="250"/>
      <c r="DL10" s="252"/>
      <c r="DM10" s="252"/>
      <c r="DN10" s="249" t="s">
        <v>2078</v>
      </c>
    </row>
    <row r="11" spans="1:118" s="276" customFormat="1" ht="227.25" customHeight="1" x14ac:dyDescent="0.2">
      <c r="A11" s="301">
        <v>5</v>
      </c>
      <c r="B11" s="316" t="s">
        <v>2449</v>
      </c>
      <c r="C11" s="316"/>
      <c r="D11" s="314" t="s">
        <v>2450</v>
      </c>
      <c r="E11" s="314" t="s">
        <v>2451</v>
      </c>
      <c r="F11" s="277" t="s">
        <v>1169</v>
      </c>
      <c r="G11" s="277" t="str">
        <f>IFERROR(INDEX('[4]Base de datos gestión'!$D$28:$D$50,MATCH(F11,'[4]Base de datos gestión'!$C$28:$C$50,0)), 0)</f>
        <v>Prestar servicios de capacitación y formación en materia de metrología científica e industrial, mediante el diseño, programación y desarrollo de capacitaciones en metrología basadas en las necesidades del país en esta materia y aprobadas por las Subdirecciones del INM para la vigencia, que contribuyan a fortalecer la cultura metrológica en la industria nacional y en los laboratorios de calibración y ensayo.
Este proceso esta alineado con el objetivo estratégico B.1 Brindar herramientas que faciliten la diseminación de la trazabilidad y del conocimiento en metrología, para contribuir al aseguramiento de la calidad de los bienes y servicios que se producen y comercializan en el país.</v>
      </c>
      <c r="H11" s="277" t="str">
        <f>IFERROR(INDEX('[4]Base de datos gestión'!$E$28:$E$50,MATCH(F11,'[4]Base de datos gestión'!$C$28:$C$50,0)), 0)</f>
        <v>Inicia con el establecimiento de los procedimientos y demás documentos del proceso y culmina con la evaluación de la satisfacción de las capacitaciones y la toma de acciones de mejoramiento por parte de los responsables del proceso.</v>
      </c>
      <c r="I11" s="317" t="s">
        <v>2365</v>
      </c>
      <c r="J11" s="320" t="s">
        <v>2452</v>
      </c>
      <c r="K11" s="316" t="s">
        <v>2453</v>
      </c>
      <c r="L11" s="316" t="s">
        <v>2454</v>
      </c>
      <c r="M11" s="320" t="s">
        <v>2455</v>
      </c>
      <c r="N11" s="314" t="s">
        <v>2456</v>
      </c>
      <c r="O11" s="316" t="s">
        <v>2457</v>
      </c>
      <c r="P11" s="317" t="s">
        <v>2264</v>
      </c>
      <c r="Q11" s="317" t="s">
        <v>762</v>
      </c>
      <c r="R11" s="301" t="str">
        <f t="shared" si="0"/>
        <v>Extremo</v>
      </c>
      <c r="S11" s="317" t="s">
        <v>2371</v>
      </c>
      <c r="T11" s="492" t="s">
        <v>2472</v>
      </c>
      <c r="U11" s="316">
        <v>2</v>
      </c>
      <c r="V11" s="317" t="s">
        <v>269</v>
      </c>
      <c r="W11" s="307" t="s">
        <v>2373</v>
      </c>
      <c r="X11" s="307" t="s">
        <v>2374</v>
      </c>
      <c r="Y11" s="307" t="s">
        <v>2375</v>
      </c>
      <c r="Z11" s="307" t="s">
        <v>2473</v>
      </c>
      <c r="AA11" s="307" t="s">
        <v>2377</v>
      </c>
      <c r="AB11" s="307" t="s">
        <v>2378</v>
      </c>
      <c r="AC11" s="307" t="s">
        <v>2379</v>
      </c>
      <c r="AD11" s="308">
        <f t="shared" si="1"/>
        <v>15</v>
      </c>
      <c r="AE11" s="308">
        <f t="shared" si="2"/>
        <v>15</v>
      </c>
      <c r="AF11" s="308">
        <f t="shared" si="3"/>
        <v>15</v>
      </c>
      <c r="AG11" s="308">
        <f t="shared" si="4"/>
        <v>10</v>
      </c>
      <c r="AH11" s="308">
        <f t="shared" si="5"/>
        <v>15</v>
      </c>
      <c r="AI11" s="308">
        <f t="shared" si="6"/>
        <v>15</v>
      </c>
      <c r="AJ11" s="308">
        <f t="shared" si="7"/>
        <v>10</v>
      </c>
      <c r="AK11" s="308">
        <f t="shared" si="8"/>
        <v>95</v>
      </c>
      <c r="AL11" s="308" t="str">
        <f t="shared" si="13"/>
        <v>Moderado</v>
      </c>
      <c r="AM11" s="307" t="s">
        <v>2380</v>
      </c>
      <c r="AN11" s="308" t="str">
        <f t="shared" si="14"/>
        <v>Moderado</v>
      </c>
      <c r="AO11" s="308">
        <f t="shared" si="9"/>
        <v>50</v>
      </c>
      <c r="AP11" s="308" t="str">
        <f t="shared" si="15"/>
        <v>Si</v>
      </c>
      <c r="AQ11" s="308">
        <f>IF(AO11="Verifique respuestas","",AVERAGE(AO11))</f>
        <v>50</v>
      </c>
      <c r="AR11" s="308" t="str">
        <f t="shared" si="16"/>
        <v>Moderado</v>
      </c>
      <c r="AS11" s="317" t="s">
        <v>2381</v>
      </c>
      <c r="AT11" s="317" t="s">
        <v>2381</v>
      </c>
      <c r="AU11" s="321">
        <f t="shared" si="17"/>
        <v>1</v>
      </c>
      <c r="AV11" s="321">
        <f t="shared" si="11"/>
        <v>0</v>
      </c>
      <c r="AW11" s="301" t="str">
        <f t="shared" si="12"/>
        <v>Extremo</v>
      </c>
      <c r="AX11" s="316" t="s">
        <v>2474</v>
      </c>
      <c r="AY11" s="316" t="s">
        <v>2460</v>
      </c>
      <c r="AZ11" s="316" t="s">
        <v>2461</v>
      </c>
      <c r="BA11" s="319">
        <v>45688</v>
      </c>
      <c r="BB11" s="316" t="s">
        <v>2462</v>
      </c>
      <c r="BD11" s="244">
        <v>45757</v>
      </c>
      <c r="BE11" s="245" t="s">
        <v>2463</v>
      </c>
      <c r="BF11" s="355" t="s">
        <v>2464</v>
      </c>
      <c r="BG11" s="247" t="s">
        <v>205</v>
      </c>
      <c r="BH11" s="245" t="s">
        <v>206</v>
      </c>
      <c r="BI11" s="245" t="s">
        <v>206</v>
      </c>
      <c r="BJ11" s="448" t="s">
        <v>2465</v>
      </c>
      <c r="BK11" s="250"/>
      <c r="BL11" s="244">
        <v>45782</v>
      </c>
      <c r="BM11" s="251" t="s">
        <v>207</v>
      </c>
      <c r="BN11" s="245" t="s">
        <v>2466</v>
      </c>
      <c r="BO11" s="250"/>
      <c r="BP11" s="252"/>
      <c r="BQ11" s="252"/>
      <c r="BR11" s="249" t="s">
        <v>2078</v>
      </c>
      <c r="BS11" s="250"/>
      <c r="BT11" s="447">
        <v>45854</v>
      </c>
      <c r="BU11" s="253" t="s">
        <v>1176</v>
      </c>
      <c r="BV11" s="246" t="s">
        <v>2467</v>
      </c>
      <c r="BW11" s="247" t="s">
        <v>205</v>
      </c>
      <c r="BX11" s="248" t="s">
        <v>206</v>
      </c>
      <c r="BY11" s="253" t="s">
        <v>206</v>
      </c>
      <c r="BZ11" s="448" t="s">
        <v>2475</v>
      </c>
      <c r="CA11" s="250"/>
      <c r="CB11" s="450">
        <v>45869</v>
      </c>
      <c r="CC11" s="449" t="s">
        <v>215</v>
      </c>
      <c r="CD11" s="283" t="s">
        <v>231</v>
      </c>
      <c r="CE11" s="250"/>
      <c r="CF11" s="252"/>
      <c r="CG11" s="252"/>
      <c r="CH11" s="249" t="s">
        <v>2078</v>
      </c>
      <c r="CI11" s="250"/>
      <c r="CJ11" s="254">
        <v>45944</v>
      </c>
      <c r="CK11" s="248" t="s">
        <v>1176</v>
      </c>
      <c r="CL11" s="355" t="s">
        <v>2469</v>
      </c>
      <c r="CM11" s="247" t="s">
        <v>205</v>
      </c>
      <c r="CN11" s="248" t="s">
        <v>206</v>
      </c>
      <c r="CO11" s="253" t="s">
        <v>206</v>
      </c>
      <c r="CP11" s="548" t="s">
        <v>2470</v>
      </c>
      <c r="CQ11" s="250"/>
      <c r="CR11" s="257">
        <v>46000</v>
      </c>
      <c r="CS11" s="248" t="s">
        <v>218</v>
      </c>
      <c r="CT11" s="246" t="s">
        <v>2471</v>
      </c>
      <c r="CU11" s="250"/>
      <c r="CV11" s="252"/>
      <c r="CW11" s="252"/>
      <c r="CX11" s="249" t="s">
        <v>2078</v>
      </c>
      <c r="CY11" s="250"/>
      <c r="CZ11" s="252"/>
      <c r="DA11" s="252"/>
      <c r="DB11" s="249" t="s">
        <v>2078</v>
      </c>
      <c r="DC11" s="247"/>
      <c r="DD11" s="248"/>
      <c r="DE11" s="253"/>
      <c r="DF11" s="249" t="s">
        <v>2088</v>
      </c>
      <c r="DG11" s="250"/>
      <c r="DH11" s="252"/>
      <c r="DI11" s="252"/>
      <c r="DJ11" s="249" t="s">
        <v>2078</v>
      </c>
      <c r="DK11" s="250"/>
      <c r="DL11" s="252"/>
      <c r="DM11" s="252"/>
      <c r="DN11" s="249" t="s">
        <v>2078</v>
      </c>
    </row>
    <row r="12" spans="1:118" s="276" customFormat="1" ht="409.5" x14ac:dyDescent="0.2">
      <c r="A12" s="301">
        <v>6</v>
      </c>
      <c r="B12" s="301" t="s">
        <v>2476</v>
      </c>
      <c r="C12" s="278"/>
      <c r="D12" s="316" t="s">
        <v>2477</v>
      </c>
      <c r="E12" s="322" t="s">
        <v>2478</v>
      </c>
      <c r="F12" s="277" t="s">
        <v>1576</v>
      </c>
      <c r="G12" s="277" t="str">
        <f>IFERROR(INDEX('[4]Base de datos gestión'!$D$28:$D$50,MATCH(F12,'[4]Base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12" s="277" t="str">
        <f>IFERROR(INDEX('[4]Base de datos gestión'!$E$28:$E$50,MATCH(F12,'[4]Base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I12" s="317" t="s">
        <v>2365</v>
      </c>
      <c r="J12" s="320" t="s">
        <v>535</v>
      </c>
      <c r="K12" s="316" t="s">
        <v>2479</v>
      </c>
      <c r="L12" s="316" t="s">
        <v>2480</v>
      </c>
      <c r="M12" s="320" t="s">
        <v>535</v>
      </c>
      <c r="N12" s="314" t="s">
        <v>2481</v>
      </c>
      <c r="O12" s="323" t="s">
        <v>2482</v>
      </c>
      <c r="P12" s="324" t="s">
        <v>2264</v>
      </c>
      <c r="Q12" s="324" t="s">
        <v>2266</v>
      </c>
      <c r="R12" s="301" t="str">
        <f t="shared" si="0"/>
        <v>Alto</v>
      </c>
      <c r="S12" s="324" t="s">
        <v>2371</v>
      </c>
      <c r="T12" s="315" t="s">
        <v>2483</v>
      </c>
      <c r="U12" s="316">
        <v>1</v>
      </c>
      <c r="V12" s="317" t="s">
        <v>197</v>
      </c>
      <c r="W12" s="307" t="s">
        <v>2373</v>
      </c>
      <c r="X12" s="307" t="s">
        <v>2374</v>
      </c>
      <c r="Y12" s="307" t="s">
        <v>2375</v>
      </c>
      <c r="Z12" s="307" t="s">
        <v>2376</v>
      </c>
      <c r="AA12" s="307" t="s">
        <v>2377</v>
      </c>
      <c r="AB12" s="307" t="s">
        <v>2378</v>
      </c>
      <c r="AC12" s="307" t="s">
        <v>2379</v>
      </c>
      <c r="AD12" s="308">
        <f t="shared" si="1"/>
        <v>15</v>
      </c>
      <c r="AE12" s="308">
        <f t="shared" si="2"/>
        <v>15</v>
      </c>
      <c r="AF12" s="308">
        <f t="shared" si="3"/>
        <v>15</v>
      </c>
      <c r="AG12" s="308">
        <f t="shared" si="4"/>
        <v>15</v>
      </c>
      <c r="AH12" s="308">
        <f t="shared" si="5"/>
        <v>15</v>
      </c>
      <c r="AI12" s="308">
        <f t="shared" si="6"/>
        <v>15</v>
      </c>
      <c r="AJ12" s="308">
        <f t="shared" si="7"/>
        <v>10</v>
      </c>
      <c r="AK12" s="308">
        <f t="shared" si="8"/>
        <v>100</v>
      </c>
      <c r="AL12" s="308" t="str">
        <f t="shared" si="13"/>
        <v>Fuerte</v>
      </c>
      <c r="AM12" s="307" t="s">
        <v>2380</v>
      </c>
      <c r="AN12" s="308" t="str">
        <f t="shared" si="14"/>
        <v>Fuerte</v>
      </c>
      <c r="AO12" s="308">
        <f t="shared" si="9"/>
        <v>100</v>
      </c>
      <c r="AP12" s="308" t="str">
        <f t="shared" si="15"/>
        <v>No</v>
      </c>
      <c r="AQ12" s="308">
        <f t="shared" ref="AQ12:AQ24" si="20">IF(AO12="Verifique respuestas","",AVERAGE(AO12))</f>
        <v>100</v>
      </c>
      <c r="AR12" s="308" t="str">
        <f t="shared" si="16"/>
        <v>Fuerte</v>
      </c>
      <c r="AS12" s="317" t="s">
        <v>2381</v>
      </c>
      <c r="AT12" s="317" t="s">
        <v>2381</v>
      </c>
      <c r="AU12" s="321">
        <f t="shared" si="17"/>
        <v>2</v>
      </c>
      <c r="AV12" s="321">
        <f t="shared" si="11"/>
        <v>0</v>
      </c>
      <c r="AW12" s="301" t="str">
        <f t="shared" si="12"/>
        <v>Alto</v>
      </c>
      <c r="AX12" s="1025" t="s">
        <v>2484</v>
      </c>
      <c r="AY12" s="1025" t="s">
        <v>2485</v>
      </c>
      <c r="AZ12" s="1025" t="s">
        <v>2486</v>
      </c>
      <c r="BA12" s="1027">
        <v>46022</v>
      </c>
      <c r="BB12" s="1025" t="s">
        <v>2487</v>
      </c>
      <c r="BD12" s="244">
        <v>45757</v>
      </c>
      <c r="BE12" s="245" t="s">
        <v>1174</v>
      </c>
      <c r="BF12" s="356" t="s">
        <v>2488</v>
      </c>
      <c r="BG12" s="247" t="s">
        <v>205</v>
      </c>
      <c r="BH12" s="245" t="s">
        <v>206</v>
      </c>
      <c r="BI12" s="245" t="s">
        <v>206</v>
      </c>
      <c r="BJ12" s="246" t="s">
        <v>2489</v>
      </c>
      <c r="BK12" s="250"/>
      <c r="BL12" s="244">
        <v>45782</v>
      </c>
      <c r="BM12" s="251" t="s">
        <v>207</v>
      </c>
      <c r="BN12" s="245" t="s">
        <v>2466</v>
      </c>
      <c r="BO12" s="250"/>
      <c r="BP12" s="252"/>
      <c r="BQ12" s="252"/>
      <c r="BR12" s="249" t="s">
        <v>2078</v>
      </c>
      <c r="BS12" s="250"/>
      <c r="BT12" s="459">
        <v>45856</v>
      </c>
      <c r="BU12" s="460" t="s">
        <v>1174</v>
      </c>
      <c r="BV12" s="461" t="s">
        <v>2490</v>
      </c>
      <c r="BW12" s="458" t="s">
        <v>205</v>
      </c>
      <c r="BX12" s="248" t="s">
        <v>206</v>
      </c>
      <c r="BY12" s="245" t="s">
        <v>206</v>
      </c>
      <c r="BZ12" s="457" t="s">
        <v>2491</v>
      </c>
      <c r="CA12" s="250"/>
      <c r="CB12" s="450">
        <v>45869</v>
      </c>
      <c r="CC12" s="449" t="s">
        <v>215</v>
      </c>
      <c r="CD12" s="283" t="s">
        <v>231</v>
      </c>
      <c r="CE12" s="250"/>
      <c r="CF12" s="252"/>
      <c r="CG12" s="252"/>
      <c r="CH12" s="249" t="s">
        <v>2078</v>
      </c>
      <c r="CI12" s="250"/>
      <c r="CJ12" s="244">
        <v>46003</v>
      </c>
      <c r="CK12" s="245" t="s">
        <v>2492</v>
      </c>
      <c r="CL12" s="461" t="s">
        <v>2493</v>
      </c>
      <c r="CM12" s="458" t="s">
        <v>205</v>
      </c>
      <c r="CN12" s="248" t="s">
        <v>206</v>
      </c>
      <c r="CO12" s="245" t="s">
        <v>206</v>
      </c>
      <c r="CP12" s="246" t="s">
        <v>2494</v>
      </c>
      <c r="CQ12" s="250"/>
      <c r="CR12" s="257"/>
      <c r="CS12" s="252"/>
      <c r="CT12" s="249" t="s">
        <v>2078</v>
      </c>
      <c r="CU12" s="250"/>
      <c r="CV12" s="252"/>
      <c r="CW12" s="252"/>
      <c r="CX12" s="249" t="s">
        <v>2078</v>
      </c>
      <c r="CY12" s="250"/>
      <c r="CZ12" s="252"/>
      <c r="DA12" s="252"/>
      <c r="DB12" s="249" t="s">
        <v>2078</v>
      </c>
      <c r="DC12" s="247"/>
      <c r="DD12" s="248"/>
      <c r="DE12" s="253"/>
      <c r="DF12" s="249" t="s">
        <v>2088</v>
      </c>
      <c r="DG12" s="250"/>
      <c r="DH12" s="252"/>
      <c r="DI12" s="252"/>
      <c r="DJ12" s="249" t="s">
        <v>2078</v>
      </c>
      <c r="DK12" s="250"/>
      <c r="DL12" s="252"/>
      <c r="DM12" s="252"/>
      <c r="DN12" s="249" t="s">
        <v>2078</v>
      </c>
    </row>
    <row r="13" spans="1:118" s="276" customFormat="1" ht="409.5" x14ac:dyDescent="0.2">
      <c r="A13" s="301">
        <v>6</v>
      </c>
      <c r="B13" s="301" t="s">
        <v>2476</v>
      </c>
      <c r="C13" s="278"/>
      <c r="D13" s="316" t="s">
        <v>2477</v>
      </c>
      <c r="E13" s="322" t="s">
        <v>2478</v>
      </c>
      <c r="F13" s="277" t="s">
        <v>1576</v>
      </c>
      <c r="G13" s="277" t="str">
        <f>IFERROR(INDEX('[4]Base de datos gestión'!$D$28:$D$50,MATCH(F13,'[4]Base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13" s="277" t="str">
        <f>IFERROR(INDEX('[4]Base de datos gestión'!$E$28:$E$50,MATCH(F13,'[4]Base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I13" s="317" t="s">
        <v>2365</v>
      </c>
      <c r="J13" s="320" t="s">
        <v>535</v>
      </c>
      <c r="K13" s="316" t="s">
        <v>2479</v>
      </c>
      <c r="L13" s="316" t="s">
        <v>2480</v>
      </c>
      <c r="M13" s="320" t="s">
        <v>535</v>
      </c>
      <c r="N13" s="314" t="s">
        <v>2481</v>
      </c>
      <c r="O13" s="323" t="s">
        <v>2482</v>
      </c>
      <c r="P13" s="324" t="s">
        <v>2264</v>
      </c>
      <c r="Q13" s="324" t="s">
        <v>2266</v>
      </c>
      <c r="R13" s="301" t="str">
        <f t="shared" si="0"/>
        <v>Alto</v>
      </c>
      <c r="S13" s="324" t="s">
        <v>2371</v>
      </c>
      <c r="T13" s="315" t="s">
        <v>2495</v>
      </c>
      <c r="U13" s="316">
        <v>2</v>
      </c>
      <c r="V13" s="317" t="s">
        <v>197</v>
      </c>
      <c r="W13" s="307" t="s">
        <v>2373</v>
      </c>
      <c r="X13" s="307" t="s">
        <v>2374</v>
      </c>
      <c r="Y13" s="307" t="s">
        <v>2375</v>
      </c>
      <c r="Z13" s="307" t="s">
        <v>2376</v>
      </c>
      <c r="AA13" s="307" t="s">
        <v>2377</v>
      </c>
      <c r="AB13" s="307" t="s">
        <v>2378</v>
      </c>
      <c r="AC13" s="307" t="s">
        <v>2379</v>
      </c>
      <c r="AD13" s="308">
        <f t="shared" si="1"/>
        <v>15</v>
      </c>
      <c r="AE13" s="308">
        <f t="shared" si="2"/>
        <v>15</v>
      </c>
      <c r="AF13" s="308">
        <f t="shared" si="3"/>
        <v>15</v>
      </c>
      <c r="AG13" s="308">
        <f t="shared" si="4"/>
        <v>15</v>
      </c>
      <c r="AH13" s="308">
        <f t="shared" si="5"/>
        <v>15</v>
      </c>
      <c r="AI13" s="308">
        <f t="shared" si="6"/>
        <v>15</v>
      </c>
      <c r="AJ13" s="308">
        <f t="shared" si="7"/>
        <v>10</v>
      </c>
      <c r="AK13" s="308">
        <f t="shared" si="8"/>
        <v>100</v>
      </c>
      <c r="AL13" s="308" t="str">
        <f t="shared" si="13"/>
        <v>Fuerte</v>
      </c>
      <c r="AM13" s="307" t="s">
        <v>2380</v>
      </c>
      <c r="AN13" s="308" t="str">
        <f t="shared" si="14"/>
        <v>Fuerte</v>
      </c>
      <c r="AO13" s="308">
        <f t="shared" si="9"/>
        <v>100</v>
      </c>
      <c r="AP13" s="308" t="str">
        <f t="shared" si="15"/>
        <v>No</v>
      </c>
      <c r="AQ13" s="308">
        <f t="shared" si="20"/>
        <v>100</v>
      </c>
      <c r="AR13" s="308" t="str">
        <f t="shared" si="16"/>
        <v>Fuerte</v>
      </c>
      <c r="AS13" s="317" t="s">
        <v>2381</v>
      </c>
      <c r="AT13" s="317" t="s">
        <v>2381</v>
      </c>
      <c r="AU13" s="321">
        <f t="shared" si="17"/>
        <v>2</v>
      </c>
      <c r="AV13" s="321">
        <f t="shared" si="11"/>
        <v>0</v>
      </c>
      <c r="AW13" s="301" t="str">
        <f t="shared" si="12"/>
        <v>Alto</v>
      </c>
      <c r="AX13" s="1029"/>
      <c r="AY13" s="1029"/>
      <c r="AZ13" s="1029"/>
      <c r="BA13" s="1030"/>
      <c r="BB13" s="1029"/>
      <c r="BD13" s="244">
        <v>45757</v>
      </c>
      <c r="BE13" s="245" t="s">
        <v>1174</v>
      </c>
      <c r="BF13" s="355" t="s">
        <v>2496</v>
      </c>
      <c r="BG13" s="247" t="s">
        <v>205</v>
      </c>
      <c r="BH13" s="245" t="s">
        <v>206</v>
      </c>
      <c r="BI13" s="245" t="s">
        <v>206</v>
      </c>
      <c r="BJ13" s="249" t="s">
        <v>2088</v>
      </c>
      <c r="BK13" s="250"/>
      <c r="BL13" s="244">
        <v>45782</v>
      </c>
      <c r="BM13" s="251" t="s">
        <v>207</v>
      </c>
      <c r="BN13" s="245" t="s">
        <v>2466</v>
      </c>
      <c r="BO13" s="250"/>
      <c r="BP13" s="252"/>
      <c r="BQ13" s="252"/>
      <c r="BR13" s="249" t="s">
        <v>2078</v>
      </c>
      <c r="BS13" s="250"/>
      <c r="BT13" s="459">
        <v>45856</v>
      </c>
      <c r="BU13" s="460" t="s">
        <v>1174</v>
      </c>
      <c r="BV13" s="461" t="s">
        <v>2490</v>
      </c>
      <c r="BW13" s="458" t="s">
        <v>205</v>
      </c>
      <c r="BX13" s="248" t="s">
        <v>206</v>
      </c>
      <c r="BY13" s="253" t="s">
        <v>206</v>
      </c>
      <c r="BZ13" s="457" t="s">
        <v>2491</v>
      </c>
      <c r="CA13" s="250"/>
      <c r="CB13" s="450">
        <v>45869</v>
      </c>
      <c r="CC13" s="449" t="s">
        <v>215</v>
      </c>
      <c r="CD13" s="283" t="s">
        <v>231</v>
      </c>
      <c r="CE13" s="250"/>
      <c r="CF13" s="252"/>
      <c r="CG13" s="252"/>
      <c r="CH13" s="249" t="s">
        <v>2078</v>
      </c>
      <c r="CI13" s="250"/>
      <c r="CJ13" s="252"/>
      <c r="CK13" s="252"/>
      <c r="CL13" s="249" t="s">
        <v>2078</v>
      </c>
      <c r="CM13" s="247"/>
      <c r="CN13" s="248"/>
      <c r="CO13" s="253"/>
      <c r="CP13" s="249" t="s">
        <v>2088</v>
      </c>
      <c r="CQ13" s="250"/>
      <c r="CR13" s="257"/>
      <c r="CS13" s="252"/>
      <c r="CT13" s="249" t="s">
        <v>2078</v>
      </c>
      <c r="CU13" s="250"/>
      <c r="CV13" s="252"/>
      <c r="CW13" s="252"/>
      <c r="CX13" s="249" t="s">
        <v>2078</v>
      </c>
      <c r="CY13" s="250"/>
      <c r="CZ13" s="252"/>
      <c r="DA13" s="252"/>
      <c r="DB13" s="249" t="s">
        <v>2078</v>
      </c>
      <c r="DC13" s="247"/>
      <c r="DD13" s="248"/>
      <c r="DE13" s="253"/>
      <c r="DF13" s="249" t="s">
        <v>2088</v>
      </c>
      <c r="DG13" s="250"/>
      <c r="DH13" s="252"/>
      <c r="DI13" s="252"/>
      <c r="DJ13" s="249" t="s">
        <v>2078</v>
      </c>
      <c r="DK13" s="250"/>
      <c r="DL13" s="252"/>
      <c r="DM13" s="252"/>
      <c r="DN13" s="249" t="s">
        <v>2078</v>
      </c>
    </row>
    <row r="14" spans="1:118" s="276" customFormat="1" ht="409.5" x14ac:dyDescent="0.2">
      <c r="A14" s="301">
        <v>7</v>
      </c>
      <c r="B14" s="301" t="s">
        <v>2497</v>
      </c>
      <c r="C14" s="278"/>
      <c r="D14" s="316" t="s">
        <v>2498</v>
      </c>
      <c r="E14" s="322" t="s">
        <v>2499</v>
      </c>
      <c r="F14" s="277" t="s">
        <v>1576</v>
      </c>
      <c r="G14" s="277" t="str">
        <f>IFERROR(INDEX('[4]Base de datos gestión'!$D$28:$D$50,MATCH(F14,'[4]Base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14" s="277" t="str">
        <f>IFERROR(INDEX('[4]Base de datos gestión'!$E$28:$E$50,MATCH(F14,'[4]Base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I14" s="317" t="s">
        <v>2365</v>
      </c>
      <c r="J14" s="320" t="s">
        <v>535</v>
      </c>
      <c r="K14" s="316" t="s">
        <v>2367</v>
      </c>
      <c r="L14" s="316" t="s">
        <v>2500</v>
      </c>
      <c r="M14" s="320" t="s">
        <v>535</v>
      </c>
      <c r="N14" s="314" t="s">
        <v>2501</v>
      </c>
      <c r="O14" s="323" t="s">
        <v>2502</v>
      </c>
      <c r="P14" s="324" t="s">
        <v>2261</v>
      </c>
      <c r="Q14" s="324" t="s">
        <v>762</v>
      </c>
      <c r="R14" s="301" t="str">
        <f t="shared" ref="R14:R25" si="21">IF(OR(P14="",Q14=""),"",VLOOKUP(VALUE(CONCATENATE(VLOOKUP(Q14,TImpacto,2,FALSE),VLOOKUP(P14,TProbabilidad,2,FALSE))),TMapaCalor,2,FALSE))</f>
        <v>Extremo</v>
      </c>
      <c r="S14" s="324" t="s">
        <v>2371</v>
      </c>
      <c r="T14" s="315" t="s">
        <v>2503</v>
      </c>
      <c r="U14" s="316">
        <v>1</v>
      </c>
      <c r="V14" s="317" t="s">
        <v>197</v>
      </c>
      <c r="W14" s="307" t="s">
        <v>2373</v>
      </c>
      <c r="X14" s="307" t="s">
        <v>2374</v>
      </c>
      <c r="Y14" s="307" t="s">
        <v>2375</v>
      </c>
      <c r="Z14" s="307" t="s">
        <v>2376</v>
      </c>
      <c r="AA14" s="307" t="s">
        <v>2377</v>
      </c>
      <c r="AB14" s="307" t="s">
        <v>2378</v>
      </c>
      <c r="AC14" s="307" t="s">
        <v>2379</v>
      </c>
      <c r="AD14" s="308">
        <f t="shared" si="1"/>
        <v>15</v>
      </c>
      <c r="AE14" s="308">
        <f t="shared" si="2"/>
        <v>15</v>
      </c>
      <c r="AF14" s="308">
        <f t="shared" si="3"/>
        <v>15</v>
      </c>
      <c r="AG14" s="308">
        <f t="shared" si="4"/>
        <v>15</v>
      </c>
      <c r="AH14" s="308">
        <f t="shared" si="5"/>
        <v>15</v>
      </c>
      <c r="AI14" s="308">
        <f t="shared" si="6"/>
        <v>15</v>
      </c>
      <c r="AJ14" s="308">
        <f t="shared" si="7"/>
        <v>10</v>
      </c>
      <c r="AK14" s="308">
        <f t="shared" si="8"/>
        <v>100</v>
      </c>
      <c r="AL14" s="308" t="str">
        <f t="shared" si="13"/>
        <v>Fuerte</v>
      </c>
      <c r="AM14" s="307" t="s">
        <v>2380</v>
      </c>
      <c r="AN14" s="308" t="str">
        <f t="shared" si="14"/>
        <v>Fuerte</v>
      </c>
      <c r="AO14" s="308">
        <f t="shared" si="9"/>
        <v>100</v>
      </c>
      <c r="AP14" s="308" t="str">
        <f t="shared" si="15"/>
        <v>No</v>
      </c>
      <c r="AQ14" s="308">
        <f t="shared" si="20"/>
        <v>100</v>
      </c>
      <c r="AR14" s="308" t="str">
        <f t="shared" si="16"/>
        <v>Fuerte</v>
      </c>
      <c r="AS14" s="317" t="s">
        <v>2381</v>
      </c>
      <c r="AT14" s="317" t="s">
        <v>2381</v>
      </c>
      <c r="AU14" s="321">
        <f t="shared" si="17"/>
        <v>2</v>
      </c>
      <c r="AV14" s="321">
        <f t="shared" si="11"/>
        <v>0</v>
      </c>
      <c r="AW14" s="325" t="str">
        <f t="shared" ref="AW14:AW25" si="22">IF(OR(P14="",Q14="",AU14="Verifique",AV14="Verifique"),"",VLOOKUP(VALUE(CONCATENATE(IF((VLOOKUP(Q14,TImpacto,2,FALSE)-AV14)&lt;1,1,(VLOOKUP(Q14,TImpacto,2,FALSE)-AV14)),IF((VLOOKUP(P14,TProbabilidad,2,FALSE)-AU14)&lt;1,1,(VLOOKUP(P14,TProbabilidad,2,FALSE)-AU14)))),TMapaCalor,2,FALSE))</f>
        <v>Extremo</v>
      </c>
      <c r="AX14" s="1025" t="s">
        <v>2504</v>
      </c>
      <c r="AY14" s="1025" t="s">
        <v>2505</v>
      </c>
      <c r="AZ14" s="1025" t="s">
        <v>2506</v>
      </c>
      <c r="BA14" s="1027">
        <v>46022</v>
      </c>
      <c r="BB14" s="1025" t="s">
        <v>2507</v>
      </c>
      <c r="BD14" s="244">
        <v>45757</v>
      </c>
      <c r="BE14" s="245" t="s">
        <v>1174</v>
      </c>
      <c r="BF14" s="355" t="s">
        <v>2508</v>
      </c>
      <c r="BG14" s="247" t="s">
        <v>205</v>
      </c>
      <c r="BH14" s="245" t="s">
        <v>206</v>
      </c>
      <c r="BI14" s="245" t="s">
        <v>206</v>
      </c>
      <c r="BJ14" s="249" t="s">
        <v>2088</v>
      </c>
      <c r="BK14" s="250"/>
      <c r="BL14" s="244">
        <v>45782</v>
      </c>
      <c r="BM14" s="251" t="s">
        <v>207</v>
      </c>
      <c r="BN14" s="245" t="s">
        <v>2466</v>
      </c>
      <c r="BO14" s="250"/>
      <c r="BP14" s="252"/>
      <c r="BQ14" s="252"/>
      <c r="BR14" s="249" t="s">
        <v>2078</v>
      </c>
      <c r="BS14" s="250"/>
      <c r="BT14" s="459">
        <v>45856</v>
      </c>
      <c r="BU14" s="460" t="s">
        <v>1174</v>
      </c>
      <c r="BV14" s="462" t="s">
        <v>2509</v>
      </c>
      <c r="BW14" s="463" t="s">
        <v>205</v>
      </c>
      <c r="BX14" s="248" t="s">
        <v>206</v>
      </c>
      <c r="BY14" s="253" t="s">
        <v>206</v>
      </c>
      <c r="BZ14" s="457" t="s">
        <v>2510</v>
      </c>
      <c r="CA14" s="250"/>
      <c r="CB14" s="450">
        <v>45869</v>
      </c>
      <c r="CC14" s="449" t="s">
        <v>215</v>
      </c>
      <c r="CD14" s="283" t="s">
        <v>231</v>
      </c>
      <c r="CE14" s="250"/>
      <c r="CF14" s="252"/>
      <c r="CG14" s="252"/>
      <c r="CH14" s="249" t="s">
        <v>2078</v>
      </c>
      <c r="CI14" s="250"/>
      <c r="CJ14" s="252"/>
      <c r="CK14" s="252"/>
      <c r="CL14" s="249" t="s">
        <v>2078</v>
      </c>
      <c r="CM14" s="247"/>
      <c r="CN14" s="248"/>
      <c r="CO14" s="253"/>
      <c r="CP14" s="249" t="s">
        <v>2088</v>
      </c>
      <c r="CQ14" s="250"/>
      <c r="CR14" s="257"/>
      <c r="CS14" s="252"/>
      <c r="CT14" s="249" t="s">
        <v>2078</v>
      </c>
      <c r="CU14" s="250"/>
      <c r="CV14" s="252"/>
      <c r="CW14" s="252"/>
      <c r="CX14" s="249" t="s">
        <v>2078</v>
      </c>
      <c r="CY14" s="250"/>
      <c r="CZ14" s="252"/>
      <c r="DA14" s="252"/>
      <c r="DB14" s="249" t="s">
        <v>2078</v>
      </c>
      <c r="DC14" s="247"/>
      <c r="DD14" s="248"/>
      <c r="DE14" s="253"/>
      <c r="DF14" s="249" t="s">
        <v>2088</v>
      </c>
      <c r="DG14" s="250"/>
      <c r="DH14" s="252"/>
      <c r="DI14" s="252"/>
      <c r="DJ14" s="249" t="s">
        <v>2078</v>
      </c>
      <c r="DK14" s="250"/>
      <c r="DL14" s="252"/>
      <c r="DM14" s="252"/>
      <c r="DN14" s="249" t="s">
        <v>2078</v>
      </c>
    </row>
    <row r="15" spans="1:118" s="276" customFormat="1" ht="409.5" x14ac:dyDescent="0.2">
      <c r="A15" s="301">
        <v>7</v>
      </c>
      <c r="B15" s="301" t="s">
        <v>2497</v>
      </c>
      <c r="C15" s="316"/>
      <c r="D15" s="316" t="s">
        <v>2498</v>
      </c>
      <c r="E15" s="322" t="s">
        <v>2499</v>
      </c>
      <c r="F15" s="277" t="s">
        <v>1576</v>
      </c>
      <c r="G15" s="277" t="str">
        <f>IFERROR(INDEX('[4]Base de datos gestión'!$D$28:$D$50,MATCH(F15,'[4]Base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15" s="277" t="str">
        <f>IFERROR(INDEX('[4]Base de datos gestión'!$E$28:$E$50,MATCH(F15,'[4]Base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I15" s="317" t="s">
        <v>2365</v>
      </c>
      <c r="J15" s="320" t="s">
        <v>535</v>
      </c>
      <c r="K15" s="316" t="s">
        <v>2367</v>
      </c>
      <c r="L15" s="316" t="s">
        <v>2500</v>
      </c>
      <c r="M15" s="320" t="s">
        <v>535</v>
      </c>
      <c r="N15" s="314" t="s">
        <v>2501</v>
      </c>
      <c r="O15" s="323" t="s">
        <v>2502</v>
      </c>
      <c r="P15" s="324" t="s">
        <v>2261</v>
      </c>
      <c r="Q15" s="324" t="s">
        <v>762</v>
      </c>
      <c r="R15" s="301" t="str">
        <f t="shared" si="21"/>
        <v>Extremo</v>
      </c>
      <c r="S15" s="317" t="s">
        <v>2371</v>
      </c>
      <c r="T15" s="326" t="s">
        <v>2511</v>
      </c>
      <c r="U15" s="316">
        <v>2</v>
      </c>
      <c r="V15" s="317" t="s">
        <v>197</v>
      </c>
      <c r="W15" s="307" t="s">
        <v>2373</v>
      </c>
      <c r="X15" s="307" t="s">
        <v>2374</v>
      </c>
      <c r="Y15" s="307" t="s">
        <v>2375</v>
      </c>
      <c r="Z15" s="307" t="s">
        <v>2376</v>
      </c>
      <c r="AA15" s="307" t="s">
        <v>2377</v>
      </c>
      <c r="AB15" s="307" t="s">
        <v>2378</v>
      </c>
      <c r="AC15" s="307" t="s">
        <v>2379</v>
      </c>
      <c r="AD15" s="308">
        <f t="shared" si="1"/>
        <v>15</v>
      </c>
      <c r="AE15" s="308">
        <f t="shared" si="2"/>
        <v>15</v>
      </c>
      <c r="AF15" s="308">
        <f t="shared" si="3"/>
        <v>15</v>
      </c>
      <c r="AG15" s="308">
        <f t="shared" si="4"/>
        <v>15</v>
      </c>
      <c r="AH15" s="308">
        <f t="shared" si="5"/>
        <v>15</v>
      </c>
      <c r="AI15" s="308">
        <f t="shared" si="6"/>
        <v>15</v>
      </c>
      <c r="AJ15" s="308">
        <f t="shared" si="7"/>
        <v>10</v>
      </c>
      <c r="AK15" s="308">
        <f t="shared" si="8"/>
        <v>100</v>
      </c>
      <c r="AL15" s="308" t="str">
        <f t="shared" si="13"/>
        <v>Fuerte</v>
      </c>
      <c r="AM15" s="307" t="s">
        <v>2380</v>
      </c>
      <c r="AN15" s="308" t="str">
        <f t="shared" si="14"/>
        <v>Fuerte</v>
      </c>
      <c r="AO15" s="308">
        <f t="shared" si="9"/>
        <v>100</v>
      </c>
      <c r="AP15" s="308" t="str">
        <f t="shared" si="15"/>
        <v>No</v>
      </c>
      <c r="AQ15" s="308">
        <f t="shared" si="20"/>
        <v>100</v>
      </c>
      <c r="AR15" s="308" t="str">
        <f t="shared" si="16"/>
        <v>Fuerte</v>
      </c>
      <c r="AS15" s="317" t="s">
        <v>2381</v>
      </c>
      <c r="AT15" s="317" t="s">
        <v>2381</v>
      </c>
      <c r="AU15" s="321">
        <f t="shared" si="17"/>
        <v>2</v>
      </c>
      <c r="AV15" s="321">
        <f t="shared" si="11"/>
        <v>0</v>
      </c>
      <c r="AW15" s="325" t="str">
        <f t="shared" si="22"/>
        <v>Extremo</v>
      </c>
      <c r="AX15" s="1029"/>
      <c r="AY15" s="1029"/>
      <c r="AZ15" s="1029"/>
      <c r="BA15" s="1030"/>
      <c r="BB15" s="1029"/>
      <c r="BD15" s="244">
        <v>45757</v>
      </c>
      <c r="BE15" s="245" t="s">
        <v>1174</v>
      </c>
      <c r="BF15" s="355" t="s">
        <v>2512</v>
      </c>
      <c r="BG15" s="247" t="s">
        <v>205</v>
      </c>
      <c r="BH15" s="245" t="s">
        <v>206</v>
      </c>
      <c r="BI15" s="245" t="s">
        <v>206</v>
      </c>
      <c r="BJ15" s="249" t="s">
        <v>2088</v>
      </c>
      <c r="BK15" s="250"/>
      <c r="BL15" s="244">
        <v>45782</v>
      </c>
      <c r="BM15" s="251" t="s">
        <v>207</v>
      </c>
      <c r="BN15" s="245" t="s">
        <v>2466</v>
      </c>
      <c r="BO15" s="250"/>
      <c r="BP15" s="252"/>
      <c r="BQ15" s="252"/>
      <c r="BR15" s="249" t="s">
        <v>2078</v>
      </c>
      <c r="BS15" s="250"/>
      <c r="BT15" s="459">
        <v>45856</v>
      </c>
      <c r="BU15" s="460" t="s">
        <v>1174</v>
      </c>
      <c r="BV15" s="462" t="s">
        <v>2513</v>
      </c>
      <c r="BW15" s="463" t="s">
        <v>205</v>
      </c>
      <c r="BX15" s="248" t="s">
        <v>206</v>
      </c>
      <c r="BY15" s="253" t="s">
        <v>206</v>
      </c>
      <c r="BZ15" s="457" t="s">
        <v>2514</v>
      </c>
      <c r="CA15" s="250"/>
      <c r="CB15" s="450">
        <v>45869</v>
      </c>
      <c r="CC15" s="449" t="s">
        <v>215</v>
      </c>
      <c r="CD15" s="283" t="s">
        <v>231</v>
      </c>
      <c r="CE15" s="250"/>
      <c r="CF15" s="252"/>
      <c r="CG15" s="252"/>
      <c r="CH15" s="249" t="s">
        <v>2078</v>
      </c>
      <c r="CI15" s="250"/>
      <c r="CJ15" s="252"/>
      <c r="CK15" s="252"/>
      <c r="CL15" s="249" t="s">
        <v>2078</v>
      </c>
      <c r="CM15" s="247"/>
      <c r="CN15" s="248"/>
      <c r="CO15" s="253"/>
      <c r="CP15" s="249" t="s">
        <v>2088</v>
      </c>
      <c r="CQ15" s="250"/>
      <c r="CR15" s="257"/>
      <c r="CS15" s="252"/>
      <c r="CT15" s="249" t="s">
        <v>2078</v>
      </c>
      <c r="CU15" s="250"/>
      <c r="CV15" s="252"/>
      <c r="CW15" s="252"/>
      <c r="CX15" s="249" t="s">
        <v>2078</v>
      </c>
      <c r="CY15" s="250"/>
      <c r="CZ15" s="252"/>
      <c r="DA15" s="252"/>
      <c r="DB15" s="249" t="s">
        <v>2078</v>
      </c>
      <c r="DC15" s="247"/>
      <c r="DD15" s="248"/>
      <c r="DE15" s="253"/>
      <c r="DF15" s="249" t="s">
        <v>2088</v>
      </c>
      <c r="DG15" s="250"/>
      <c r="DH15" s="252"/>
      <c r="DI15" s="252"/>
      <c r="DJ15" s="249" t="s">
        <v>2078</v>
      </c>
      <c r="DK15" s="250"/>
      <c r="DL15" s="252"/>
      <c r="DM15" s="252"/>
      <c r="DN15" s="249" t="s">
        <v>2078</v>
      </c>
    </row>
    <row r="16" spans="1:118" s="276" customFormat="1" ht="275.25" customHeight="1" x14ac:dyDescent="0.2">
      <c r="A16" s="301">
        <v>7</v>
      </c>
      <c r="B16" s="301" t="s">
        <v>2497</v>
      </c>
      <c r="C16" s="316"/>
      <c r="D16" s="316" t="s">
        <v>2498</v>
      </c>
      <c r="E16" s="322" t="s">
        <v>2499</v>
      </c>
      <c r="F16" s="277" t="s">
        <v>1576</v>
      </c>
      <c r="G16" s="277" t="str">
        <f>IFERROR(INDEX('[4]Base de datos gestión'!$D$28:$D$50,MATCH(F16,'[4]Base de datos gestión'!$C$28:$C$50,0)), 0)</f>
        <v>Coordinar y gestionar la prestación de los servicios que ofrece el Instituto en materia de metrología científica e industrial, mediante la articulación entre los usuarios y las áreas del Instituto y la promoción de los bienes y servicios de la entidad, y dando respuesta a la demanda durante la vigencia, con el fin de apoyar a las áreas técnicas en el desarrollo de la misionalidad del INM.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16" s="277" t="str">
        <f>IFERROR(INDEX('[4]Base de datos gestión'!$E$28:$E$50,MATCH(F16,'[4]Base de datos gestión'!$C$28:$C$50,0)), 0)</f>
        <v>Inicia con la verificación del cumplimiento de requerimientos de diseño y desarrollo y finaliza con la recepción y entrega del producto o servicio al cliente y la gestión de acciones de mejoramiento originadas de las diferentes fuentes identificadas.</v>
      </c>
      <c r="I16" s="317" t="s">
        <v>2365</v>
      </c>
      <c r="J16" s="320" t="s">
        <v>535</v>
      </c>
      <c r="K16" s="316" t="s">
        <v>2367</v>
      </c>
      <c r="L16" s="316" t="s">
        <v>2500</v>
      </c>
      <c r="M16" s="320" t="s">
        <v>535</v>
      </c>
      <c r="N16" s="314" t="s">
        <v>2501</v>
      </c>
      <c r="O16" s="323" t="s">
        <v>2502</v>
      </c>
      <c r="P16" s="324" t="s">
        <v>2261</v>
      </c>
      <c r="Q16" s="324" t="s">
        <v>762</v>
      </c>
      <c r="R16" s="301" t="str">
        <f t="shared" si="21"/>
        <v>Extremo</v>
      </c>
      <c r="S16" s="317" t="s">
        <v>2371</v>
      </c>
      <c r="T16" s="326" t="s">
        <v>2515</v>
      </c>
      <c r="U16" s="316">
        <v>3</v>
      </c>
      <c r="V16" s="317" t="s">
        <v>269</v>
      </c>
      <c r="W16" s="307" t="s">
        <v>2373</v>
      </c>
      <c r="X16" s="307" t="s">
        <v>2374</v>
      </c>
      <c r="Y16" s="307" t="s">
        <v>2375</v>
      </c>
      <c r="Z16" s="307" t="s">
        <v>2376</v>
      </c>
      <c r="AA16" s="307" t="s">
        <v>2377</v>
      </c>
      <c r="AB16" s="307" t="s">
        <v>2378</v>
      </c>
      <c r="AC16" s="307" t="s">
        <v>2379</v>
      </c>
      <c r="AD16" s="308">
        <f t="shared" si="1"/>
        <v>15</v>
      </c>
      <c r="AE16" s="308">
        <f t="shared" si="2"/>
        <v>15</v>
      </c>
      <c r="AF16" s="308">
        <f t="shared" si="3"/>
        <v>15</v>
      </c>
      <c r="AG16" s="308">
        <f t="shared" si="4"/>
        <v>15</v>
      </c>
      <c r="AH16" s="308">
        <f t="shared" si="5"/>
        <v>15</v>
      </c>
      <c r="AI16" s="308">
        <f t="shared" si="6"/>
        <v>15</v>
      </c>
      <c r="AJ16" s="308">
        <f t="shared" si="7"/>
        <v>10</v>
      </c>
      <c r="AK16" s="308">
        <f t="shared" si="8"/>
        <v>100</v>
      </c>
      <c r="AL16" s="308" t="str">
        <f t="shared" si="13"/>
        <v>Fuerte</v>
      </c>
      <c r="AM16" s="307" t="s">
        <v>2380</v>
      </c>
      <c r="AN16" s="308" t="str">
        <f t="shared" si="14"/>
        <v>Fuerte</v>
      </c>
      <c r="AO16" s="308">
        <f t="shared" si="9"/>
        <v>100</v>
      </c>
      <c r="AP16" s="308" t="str">
        <f t="shared" si="15"/>
        <v>No</v>
      </c>
      <c r="AQ16" s="308">
        <f t="shared" si="20"/>
        <v>100</v>
      </c>
      <c r="AR16" s="308" t="str">
        <f t="shared" si="16"/>
        <v>Fuerte</v>
      </c>
      <c r="AS16" s="317" t="s">
        <v>2381</v>
      </c>
      <c r="AT16" s="317" t="s">
        <v>2381</v>
      </c>
      <c r="AU16" s="321">
        <f t="shared" si="17"/>
        <v>2</v>
      </c>
      <c r="AV16" s="321">
        <f t="shared" si="11"/>
        <v>0</v>
      </c>
      <c r="AW16" s="325" t="str">
        <f>IF(OR(P16="",Q16="",AU16="Verifique",AV16="Verifique"),"",VLOOKUP(VALUE(CONCATENATE(IF((VLOOKUP(Q16,TImpacto,2,FALSE)-AV16)&lt;1,1,(VLOOKUP(Q16,TImpacto,2,FALSE)-AV16)),IF((VLOOKUP(P16,TProbabilidad,2,FALSE)-AU16)&lt;1,1,(VLOOKUP(P16,TProbabilidad,2,FALSE)-AU16)))),TMapaCalor,2,FALSE))</f>
        <v>Extremo</v>
      </c>
      <c r="AX16" s="1026"/>
      <c r="AY16" s="1026"/>
      <c r="AZ16" s="1026"/>
      <c r="BA16" s="1028"/>
      <c r="BB16" s="1026"/>
      <c r="BD16" s="244">
        <v>45757</v>
      </c>
      <c r="BE16" s="245" t="s">
        <v>1174</v>
      </c>
      <c r="BF16" s="355" t="s">
        <v>2516</v>
      </c>
      <c r="BG16" s="247" t="s">
        <v>205</v>
      </c>
      <c r="BH16" s="245" t="s">
        <v>206</v>
      </c>
      <c r="BI16" s="245" t="s">
        <v>206</v>
      </c>
      <c r="BJ16" s="249" t="s">
        <v>2088</v>
      </c>
      <c r="BK16" s="250"/>
      <c r="BL16" s="244">
        <v>45782</v>
      </c>
      <c r="BM16" s="251" t="s">
        <v>207</v>
      </c>
      <c r="BN16" s="245" t="s">
        <v>2466</v>
      </c>
      <c r="BO16" s="250"/>
      <c r="BP16" s="252"/>
      <c r="BQ16" s="252"/>
      <c r="BR16" s="249" t="s">
        <v>2078</v>
      </c>
      <c r="BS16" s="250"/>
      <c r="BT16" s="459">
        <v>45856</v>
      </c>
      <c r="BU16" s="460" t="s">
        <v>1174</v>
      </c>
      <c r="BV16" s="462" t="s">
        <v>2517</v>
      </c>
      <c r="BW16" s="463" t="s">
        <v>205</v>
      </c>
      <c r="BX16" s="248" t="s">
        <v>206</v>
      </c>
      <c r="BY16" s="253" t="s">
        <v>206</v>
      </c>
      <c r="BZ16" s="457" t="s">
        <v>2518</v>
      </c>
      <c r="CA16" s="250"/>
      <c r="CB16" s="450">
        <v>45869</v>
      </c>
      <c r="CC16" s="449" t="s">
        <v>215</v>
      </c>
      <c r="CD16" s="283" t="s">
        <v>231</v>
      </c>
      <c r="CE16" s="250"/>
      <c r="CF16" s="252"/>
      <c r="CG16" s="252"/>
      <c r="CH16" s="249" t="s">
        <v>2078</v>
      </c>
      <c r="CI16" s="250"/>
      <c r="CJ16" s="252"/>
      <c r="CK16" s="252"/>
      <c r="CL16" s="249" t="s">
        <v>2078</v>
      </c>
      <c r="CM16" s="247"/>
      <c r="CN16" s="248"/>
      <c r="CO16" s="253"/>
      <c r="CP16" s="249" t="s">
        <v>2088</v>
      </c>
      <c r="CQ16" s="250"/>
      <c r="CR16" s="257"/>
      <c r="CS16" s="252"/>
      <c r="CT16" s="249" t="s">
        <v>2078</v>
      </c>
      <c r="CU16" s="250"/>
      <c r="CV16" s="252"/>
      <c r="CW16" s="252"/>
      <c r="CX16" s="249" t="s">
        <v>2078</v>
      </c>
      <c r="CY16" s="250"/>
      <c r="CZ16" s="252"/>
      <c r="DA16" s="252"/>
      <c r="DB16" s="249" t="s">
        <v>2078</v>
      </c>
      <c r="DC16" s="247"/>
      <c r="DD16" s="248"/>
      <c r="DE16" s="253"/>
      <c r="DF16" s="249" t="s">
        <v>2088</v>
      </c>
      <c r="DG16" s="250"/>
      <c r="DH16" s="252"/>
      <c r="DI16" s="252"/>
      <c r="DJ16" s="249" t="s">
        <v>2078</v>
      </c>
      <c r="DK16" s="250"/>
      <c r="DL16" s="252"/>
      <c r="DM16" s="252"/>
      <c r="DN16" s="249" t="s">
        <v>2078</v>
      </c>
    </row>
    <row r="17" spans="1:118" s="276" customFormat="1" ht="156" customHeight="1" x14ac:dyDescent="0.2">
      <c r="A17" s="301">
        <v>8</v>
      </c>
      <c r="B17" s="316" t="s">
        <v>2519</v>
      </c>
      <c r="C17" s="316"/>
      <c r="D17" s="314" t="s">
        <v>2520</v>
      </c>
      <c r="E17" s="314" t="s">
        <v>2521</v>
      </c>
      <c r="F17" s="277" t="s">
        <v>1448</v>
      </c>
      <c r="G17" s="277" t="str">
        <f>IFERROR(INDEX('[4]Base de datos gestión'!$D$28:$D$50,MATCH(F17,'[4]Base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17" s="277" t="str">
        <f>IFERROR(INDEX('[4]Base de datos gestión'!$E$28:$E$50,MATCH(F17,'[4]Base de datos gestión'!$C$28:$C$50,0)), 0)</f>
        <v>Inicia con los requerimientos institucionales y termina con la atención de las necesidades presentadas por las diferentes áreas del INM.</v>
      </c>
      <c r="I17" s="317" t="s">
        <v>2365</v>
      </c>
      <c r="J17" s="320" t="s">
        <v>535</v>
      </c>
      <c r="K17" s="316" t="s">
        <v>2522</v>
      </c>
      <c r="L17" s="316" t="s">
        <v>2523</v>
      </c>
      <c r="M17" s="320" t="s">
        <v>535</v>
      </c>
      <c r="N17" s="314" t="s">
        <v>2524</v>
      </c>
      <c r="O17" s="323" t="s">
        <v>2525</v>
      </c>
      <c r="P17" s="324" t="s">
        <v>2264</v>
      </c>
      <c r="Q17" s="324" t="s">
        <v>762</v>
      </c>
      <c r="R17" s="301" t="str">
        <f t="shared" ref="R17:R20" si="23">IF(OR(P17="",Q17=""),"",VLOOKUP(VALUE(CONCATENATE(VLOOKUP(Q17,TImpacto,2,FALSE),VLOOKUP(P17,TProbabilidad,2,FALSE))),TMapaCalor,2,FALSE))</f>
        <v>Extremo</v>
      </c>
      <c r="S17" s="317" t="s">
        <v>2371</v>
      </c>
      <c r="T17" s="326" t="s">
        <v>2526</v>
      </c>
      <c r="U17" s="316">
        <v>1</v>
      </c>
      <c r="V17" s="317" t="s">
        <v>197</v>
      </c>
      <c r="W17" s="307" t="s">
        <v>2373</v>
      </c>
      <c r="X17" s="307" t="s">
        <v>2374</v>
      </c>
      <c r="Y17" s="307" t="s">
        <v>2375</v>
      </c>
      <c r="Z17" s="307" t="s">
        <v>2376</v>
      </c>
      <c r="AA17" s="307" t="s">
        <v>2377</v>
      </c>
      <c r="AB17" s="307" t="s">
        <v>2378</v>
      </c>
      <c r="AC17" s="307" t="s">
        <v>2379</v>
      </c>
      <c r="AD17" s="308">
        <f t="shared" si="1"/>
        <v>15</v>
      </c>
      <c r="AE17" s="308">
        <f t="shared" si="2"/>
        <v>15</v>
      </c>
      <c r="AF17" s="308">
        <f t="shared" si="3"/>
        <v>15</v>
      </c>
      <c r="AG17" s="308">
        <f t="shared" si="4"/>
        <v>15</v>
      </c>
      <c r="AH17" s="308">
        <f t="shared" si="5"/>
        <v>15</v>
      </c>
      <c r="AI17" s="308">
        <f t="shared" si="6"/>
        <v>15</v>
      </c>
      <c r="AJ17" s="308">
        <f t="shared" si="7"/>
        <v>10</v>
      </c>
      <c r="AK17" s="308">
        <f t="shared" si="8"/>
        <v>100</v>
      </c>
      <c r="AL17" s="308" t="str">
        <f t="shared" si="13"/>
        <v>Fuerte</v>
      </c>
      <c r="AM17" s="307" t="s">
        <v>2380</v>
      </c>
      <c r="AN17" s="308" t="str">
        <f t="shared" si="14"/>
        <v>Fuerte</v>
      </c>
      <c r="AO17" s="308">
        <f t="shared" si="9"/>
        <v>100</v>
      </c>
      <c r="AP17" s="308" t="str">
        <f t="shared" si="15"/>
        <v>No</v>
      </c>
      <c r="AQ17" s="308">
        <f t="shared" si="20"/>
        <v>100</v>
      </c>
      <c r="AR17" s="308" t="str">
        <f t="shared" si="16"/>
        <v>Fuerte</v>
      </c>
      <c r="AS17" s="317" t="s">
        <v>2381</v>
      </c>
      <c r="AT17" s="317" t="s">
        <v>2381</v>
      </c>
      <c r="AU17" s="321">
        <f t="shared" si="17"/>
        <v>2</v>
      </c>
      <c r="AV17" s="321">
        <f t="shared" si="11"/>
        <v>0</v>
      </c>
      <c r="AW17" s="301" t="str">
        <f t="shared" ref="AW17" si="24">IF(OR(P17="",Q17="",AU17="Verifique",AV17="Verifique"),"",VLOOKUP(VALUE(CONCATENATE(IF((VLOOKUP(Q17,TImpacto,2,FALSE)-AV17)&lt;1,1,(VLOOKUP(Q17,TImpacto,2,FALSE)-AV17)),IF((VLOOKUP(P17,TProbabilidad,2,FALSE)-AU17)&lt;1,1,(VLOOKUP(P17,TProbabilidad,2,FALSE)-AU17)))),TMapaCalor,2,FALSE))</f>
        <v>Extremo</v>
      </c>
      <c r="AX17" s="1025" t="s">
        <v>2527</v>
      </c>
      <c r="AY17" s="1025" t="s">
        <v>2528</v>
      </c>
      <c r="AZ17" s="1025" t="s">
        <v>2529</v>
      </c>
      <c r="BA17" s="1027">
        <v>46006</v>
      </c>
      <c r="BB17" s="1025" t="s">
        <v>2530</v>
      </c>
      <c r="BD17" s="244">
        <v>45757</v>
      </c>
      <c r="BE17" s="245" t="s">
        <v>2531</v>
      </c>
      <c r="BF17" s="355" t="s">
        <v>2532</v>
      </c>
      <c r="BG17" s="247" t="s">
        <v>205</v>
      </c>
      <c r="BH17" s="245" t="s">
        <v>206</v>
      </c>
      <c r="BI17" s="245" t="s">
        <v>206</v>
      </c>
      <c r="BJ17" s="249" t="s">
        <v>2088</v>
      </c>
      <c r="BK17" s="250"/>
      <c r="BL17" s="244">
        <v>45782</v>
      </c>
      <c r="BM17" s="251" t="s">
        <v>207</v>
      </c>
      <c r="BN17" s="245" t="s">
        <v>228</v>
      </c>
      <c r="BO17" s="250"/>
      <c r="BP17" s="252"/>
      <c r="BQ17" s="252"/>
      <c r="BR17" s="249" t="s">
        <v>2078</v>
      </c>
      <c r="BS17" s="250"/>
      <c r="BT17" s="244">
        <v>45855</v>
      </c>
      <c r="BU17" s="245" t="s">
        <v>2531</v>
      </c>
      <c r="BV17" s="355" t="s">
        <v>2533</v>
      </c>
      <c r="BW17" s="247" t="s">
        <v>205</v>
      </c>
      <c r="BX17" s="245" t="s">
        <v>206</v>
      </c>
      <c r="BY17" s="245" t="s">
        <v>206</v>
      </c>
      <c r="BZ17" s="448" t="s">
        <v>2534</v>
      </c>
      <c r="CA17" s="250"/>
      <c r="CB17" s="450">
        <v>45869</v>
      </c>
      <c r="CC17" s="449" t="s">
        <v>215</v>
      </c>
      <c r="CD17" s="283" t="s">
        <v>231</v>
      </c>
      <c r="CE17" s="250"/>
      <c r="CF17" s="252"/>
      <c r="CG17" s="252"/>
      <c r="CH17" s="249" t="s">
        <v>2078</v>
      </c>
      <c r="CI17" s="250"/>
      <c r="CJ17" s="244">
        <v>45940</v>
      </c>
      <c r="CK17" s="245" t="s">
        <v>2531</v>
      </c>
      <c r="CL17" s="355" t="s">
        <v>2535</v>
      </c>
      <c r="CM17" s="247" t="s">
        <v>205</v>
      </c>
      <c r="CN17" s="245" t="s">
        <v>206</v>
      </c>
      <c r="CO17" s="245" t="s">
        <v>206</v>
      </c>
      <c r="CP17" s="448" t="s">
        <v>2536</v>
      </c>
      <c r="CQ17" s="250"/>
      <c r="CR17" s="257">
        <v>46000</v>
      </c>
      <c r="CS17" s="251" t="s">
        <v>207</v>
      </c>
      <c r="CT17" s="359" t="s">
        <v>233</v>
      </c>
      <c r="CU17" s="250"/>
      <c r="CV17" s="252"/>
      <c r="CW17" s="252"/>
      <c r="CX17" s="249" t="s">
        <v>2078</v>
      </c>
      <c r="CY17" s="250"/>
      <c r="CZ17" s="252"/>
      <c r="DA17" s="252"/>
      <c r="DB17" s="249" t="s">
        <v>2078</v>
      </c>
      <c r="DC17" s="247"/>
      <c r="DD17" s="248"/>
      <c r="DE17" s="253"/>
      <c r="DF17" s="249" t="s">
        <v>2088</v>
      </c>
      <c r="DG17" s="250"/>
      <c r="DH17" s="252"/>
      <c r="DI17" s="252"/>
      <c r="DJ17" s="249" t="s">
        <v>2078</v>
      </c>
      <c r="DK17" s="250"/>
      <c r="DL17" s="252"/>
      <c r="DM17" s="252"/>
      <c r="DN17" s="249" t="s">
        <v>2078</v>
      </c>
    </row>
    <row r="18" spans="1:118" s="276" customFormat="1" ht="225" customHeight="1" x14ac:dyDescent="0.2">
      <c r="A18" s="301">
        <v>8</v>
      </c>
      <c r="B18" s="316" t="s">
        <v>2519</v>
      </c>
      <c r="C18" s="316"/>
      <c r="D18" s="314" t="s">
        <v>2520</v>
      </c>
      <c r="E18" s="314" t="s">
        <v>2521</v>
      </c>
      <c r="F18" s="277" t="s">
        <v>1448</v>
      </c>
      <c r="G18" s="277" t="str">
        <f>IFERROR(INDEX('[4]Base de datos gestión'!$D$28:$D$50,MATCH(F18,'[4]Base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18" s="277" t="str">
        <f>IFERROR(INDEX('[4]Base de datos gestión'!$E$28:$E$50,MATCH(F18,'[4]Base de datos gestión'!$C$28:$C$50,0)), 0)</f>
        <v>Inicia con los requerimientos institucionales y termina con la atención de las necesidades presentadas por las diferentes áreas del INM.</v>
      </c>
      <c r="I18" s="317" t="s">
        <v>2365</v>
      </c>
      <c r="J18" s="320" t="s">
        <v>535</v>
      </c>
      <c r="K18" s="316" t="s">
        <v>2522</v>
      </c>
      <c r="L18" s="316" t="s">
        <v>2523</v>
      </c>
      <c r="M18" s="320" t="s">
        <v>535</v>
      </c>
      <c r="N18" s="314" t="s">
        <v>2524</v>
      </c>
      <c r="O18" s="323" t="s">
        <v>2525</v>
      </c>
      <c r="P18" s="324" t="s">
        <v>2264</v>
      </c>
      <c r="Q18" s="324" t="s">
        <v>762</v>
      </c>
      <c r="R18" s="301" t="str">
        <f t="shared" si="23"/>
        <v>Extremo</v>
      </c>
      <c r="S18" s="317" t="s">
        <v>2371</v>
      </c>
      <c r="T18" s="326" t="s">
        <v>2537</v>
      </c>
      <c r="U18" s="316">
        <v>2</v>
      </c>
      <c r="V18" s="317" t="s">
        <v>197</v>
      </c>
      <c r="W18" s="307" t="s">
        <v>2373</v>
      </c>
      <c r="X18" s="307" t="s">
        <v>2374</v>
      </c>
      <c r="Y18" s="307" t="s">
        <v>2375</v>
      </c>
      <c r="Z18" s="307" t="s">
        <v>2376</v>
      </c>
      <c r="AA18" s="307" t="s">
        <v>2377</v>
      </c>
      <c r="AB18" s="307" t="s">
        <v>2378</v>
      </c>
      <c r="AC18" s="307" t="s">
        <v>2379</v>
      </c>
      <c r="AD18" s="308">
        <f t="shared" si="1"/>
        <v>15</v>
      </c>
      <c r="AE18" s="308">
        <f t="shared" si="2"/>
        <v>15</v>
      </c>
      <c r="AF18" s="308">
        <f t="shared" si="3"/>
        <v>15</v>
      </c>
      <c r="AG18" s="308">
        <f>IF(Z18="Prevenir",15,IF(Z18="Detectar",10,IF(Z18="No es un Control",0,"Seleccione")))</f>
        <v>15</v>
      </c>
      <c r="AH18" s="308">
        <f t="shared" si="5"/>
        <v>15</v>
      </c>
      <c r="AI18" s="308">
        <f t="shared" si="6"/>
        <v>15</v>
      </c>
      <c r="AJ18" s="308">
        <f t="shared" si="7"/>
        <v>10</v>
      </c>
      <c r="AK18" s="308">
        <f t="shared" si="8"/>
        <v>100</v>
      </c>
      <c r="AL18" s="308" t="str">
        <f t="shared" si="13"/>
        <v>Fuerte</v>
      </c>
      <c r="AM18" s="307" t="s">
        <v>2380</v>
      </c>
      <c r="AN18" s="308" t="str">
        <f t="shared" si="14"/>
        <v>Fuerte</v>
      </c>
      <c r="AO18" s="308">
        <f t="shared" si="9"/>
        <v>100</v>
      </c>
      <c r="AP18" s="308" t="str">
        <f t="shared" si="15"/>
        <v>No</v>
      </c>
      <c r="AQ18" s="308">
        <f t="shared" si="20"/>
        <v>100</v>
      </c>
      <c r="AR18" s="308" t="str">
        <f t="shared" si="16"/>
        <v>Fuerte</v>
      </c>
      <c r="AS18" s="317" t="s">
        <v>2381</v>
      </c>
      <c r="AT18" s="317" t="s">
        <v>2381</v>
      </c>
      <c r="AU18" s="321">
        <f t="shared" si="17"/>
        <v>2</v>
      </c>
      <c r="AV18" s="321">
        <f t="shared" si="11"/>
        <v>0</v>
      </c>
      <c r="AW18" s="301" t="str">
        <f t="shared" ref="AW18:AW20" si="25">IF(OR(P18="",Q18="",AU18="Verifique",AV18="Verifique"),"",VLOOKUP(VALUE(CONCATENATE(IF((VLOOKUP(Q18,TImpacto,2,FALSE)-AV18)&lt;1,1,(VLOOKUP(Q18,TImpacto,2,FALSE)-AV18)),IF((VLOOKUP(P18,TProbabilidad,2,FALSE)-AU18)&lt;1,1,(VLOOKUP(P18,TProbabilidad,2,FALSE)-AU18)))),TMapaCalor,2,FALSE))</f>
        <v>Extremo</v>
      </c>
      <c r="AX18" s="1029"/>
      <c r="AY18" s="1029"/>
      <c r="AZ18" s="1029"/>
      <c r="BA18" s="1030"/>
      <c r="BB18" s="1029"/>
      <c r="BD18" s="244">
        <v>45756</v>
      </c>
      <c r="BE18" s="245" t="s">
        <v>1352</v>
      </c>
      <c r="BF18" s="355" t="s">
        <v>2538</v>
      </c>
      <c r="BG18" s="247" t="s">
        <v>205</v>
      </c>
      <c r="BH18" s="245" t="s">
        <v>206</v>
      </c>
      <c r="BI18" s="245" t="s">
        <v>206</v>
      </c>
      <c r="BJ18" s="249" t="s">
        <v>2088</v>
      </c>
      <c r="BK18" s="250"/>
      <c r="BL18" s="244">
        <v>45782</v>
      </c>
      <c r="BM18" s="251" t="s">
        <v>207</v>
      </c>
      <c r="BN18" s="245" t="s">
        <v>228</v>
      </c>
      <c r="BO18" s="250"/>
      <c r="BP18" s="252"/>
      <c r="BQ18" s="252"/>
      <c r="BR18" s="249" t="s">
        <v>2078</v>
      </c>
      <c r="BS18" s="250"/>
      <c r="BT18" s="244">
        <v>45854</v>
      </c>
      <c r="BU18" s="245" t="s">
        <v>2539</v>
      </c>
      <c r="BV18" s="246" t="s">
        <v>2540</v>
      </c>
      <c r="BW18" s="247" t="s">
        <v>205</v>
      </c>
      <c r="BX18" s="245" t="s">
        <v>206</v>
      </c>
      <c r="BY18" s="245" t="s">
        <v>206</v>
      </c>
      <c r="BZ18" s="448" t="s">
        <v>2541</v>
      </c>
      <c r="CA18" s="250"/>
      <c r="CB18" s="450">
        <v>45869</v>
      </c>
      <c r="CC18" s="449" t="s">
        <v>215</v>
      </c>
      <c r="CD18" s="283" t="s">
        <v>231</v>
      </c>
      <c r="CE18" s="250"/>
      <c r="CF18" s="252"/>
      <c r="CG18" s="252"/>
      <c r="CH18" s="249" t="s">
        <v>2078</v>
      </c>
      <c r="CI18" s="250"/>
      <c r="CJ18" s="244">
        <v>45940</v>
      </c>
      <c r="CK18" s="245" t="s">
        <v>2542</v>
      </c>
      <c r="CL18" s="246" t="s">
        <v>2543</v>
      </c>
      <c r="CM18" s="247" t="s">
        <v>205</v>
      </c>
      <c r="CN18" s="245" t="s">
        <v>206</v>
      </c>
      <c r="CO18" s="245" t="s">
        <v>206</v>
      </c>
      <c r="CP18" s="448" t="s">
        <v>2544</v>
      </c>
      <c r="CQ18" s="250"/>
      <c r="CR18" s="257">
        <v>46000</v>
      </c>
      <c r="CS18" s="251" t="s">
        <v>207</v>
      </c>
      <c r="CT18" s="359" t="s">
        <v>233</v>
      </c>
      <c r="CU18" s="250"/>
      <c r="CV18" s="252"/>
      <c r="CW18" s="252"/>
      <c r="CX18" s="249" t="s">
        <v>2078</v>
      </c>
      <c r="CY18" s="250"/>
      <c r="CZ18" s="252"/>
      <c r="DA18" s="252"/>
      <c r="DB18" s="249" t="s">
        <v>2078</v>
      </c>
      <c r="DC18" s="247"/>
      <c r="DD18" s="248"/>
      <c r="DE18" s="253"/>
      <c r="DF18" s="249" t="s">
        <v>2088</v>
      </c>
      <c r="DG18" s="250"/>
      <c r="DH18" s="252"/>
      <c r="DI18" s="252"/>
      <c r="DJ18" s="249" t="s">
        <v>2078</v>
      </c>
      <c r="DK18" s="250"/>
      <c r="DL18" s="252"/>
      <c r="DM18" s="252"/>
      <c r="DN18" s="249" t="s">
        <v>2078</v>
      </c>
    </row>
    <row r="19" spans="1:118" s="276" customFormat="1" ht="225" customHeight="1" x14ac:dyDescent="0.2">
      <c r="A19" s="301">
        <v>8</v>
      </c>
      <c r="B19" s="316" t="s">
        <v>2519</v>
      </c>
      <c r="C19" s="316"/>
      <c r="D19" s="314" t="s">
        <v>2520</v>
      </c>
      <c r="E19" s="314" t="s">
        <v>2521</v>
      </c>
      <c r="F19" s="277" t="s">
        <v>1448</v>
      </c>
      <c r="G19" s="277" t="str">
        <f>IFERROR(INDEX('[4]Base de datos gestión'!$D$28:$D$50,MATCH(F19,'[4]Base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19" s="277" t="str">
        <f>IFERROR(INDEX('[4]Base de datos gestión'!$E$28:$E$50,MATCH(F19,'[4]Base de datos gestión'!$C$28:$C$50,0)), 0)</f>
        <v>Inicia con los requerimientos institucionales y termina con la atención de las necesidades presentadas por las diferentes áreas del INM.</v>
      </c>
      <c r="I19" s="317" t="s">
        <v>2365</v>
      </c>
      <c r="J19" s="320" t="s">
        <v>535</v>
      </c>
      <c r="K19" s="316" t="s">
        <v>2522</v>
      </c>
      <c r="L19" s="316" t="s">
        <v>2523</v>
      </c>
      <c r="M19" s="320" t="s">
        <v>535</v>
      </c>
      <c r="N19" s="314" t="s">
        <v>2524</v>
      </c>
      <c r="O19" s="323" t="s">
        <v>2525</v>
      </c>
      <c r="P19" s="324" t="s">
        <v>2264</v>
      </c>
      <c r="Q19" s="324" t="s">
        <v>762</v>
      </c>
      <c r="R19" s="301" t="str">
        <f t="shared" si="23"/>
        <v>Extremo</v>
      </c>
      <c r="S19" s="317" t="s">
        <v>2371</v>
      </c>
      <c r="T19" s="326" t="s">
        <v>2545</v>
      </c>
      <c r="U19" s="316">
        <v>3</v>
      </c>
      <c r="V19" s="317" t="s">
        <v>269</v>
      </c>
      <c r="W19" s="307" t="s">
        <v>2373</v>
      </c>
      <c r="X19" s="307" t="s">
        <v>2374</v>
      </c>
      <c r="Y19" s="307" t="s">
        <v>2375</v>
      </c>
      <c r="Z19" s="307" t="s">
        <v>2473</v>
      </c>
      <c r="AA19" s="307" t="s">
        <v>2377</v>
      </c>
      <c r="AB19" s="307" t="s">
        <v>2378</v>
      </c>
      <c r="AC19" s="307" t="s">
        <v>2379</v>
      </c>
      <c r="AD19" s="308">
        <f t="shared" si="1"/>
        <v>15</v>
      </c>
      <c r="AE19" s="308">
        <f t="shared" si="2"/>
        <v>15</v>
      </c>
      <c r="AF19" s="308">
        <f t="shared" si="3"/>
        <v>15</v>
      </c>
      <c r="AG19" s="308">
        <f>IF(Z19="Prevenir",15,IF(Z19="Detectar",10,IF(Z19="No es un Control",0,"Seleccione")))</f>
        <v>10</v>
      </c>
      <c r="AH19" s="308">
        <f t="shared" si="5"/>
        <v>15</v>
      </c>
      <c r="AI19" s="308">
        <f t="shared" si="6"/>
        <v>15</v>
      </c>
      <c r="AJ19" s="308">
        <f t="shared" si="7"/>
        <v>10</v>
      </c>
      <c r="AK19" s="308">
        <f t="shared" si="8"/>
        <v>95</v>
      </c>
      <c r="AL19" s="308" t="str">
        <f t="shared" si="13"/>
        <v>Moderado</v>
      </c>
      <c r="AM19" s="307" t="s">
        <v>2380</v>
      </c>
      <c r="AN19" s="308" t="str">
        <f t="shared" si="14"/>
        <v>Moderado</v>
      </c>
      <c r="AO19" s="308">
        <f t="shared" si="9"/>
        <v>50</v>
      </c>
      <c r="AP19" s="308" t="str">
        <f t="shared" si="15"/>
        <v>Si</v>
      </c>
      <c r="AQ19" s="308">
        <f t="shared" si="20"/>
        <v>50</v>
      </c>
      <c r="AR19" s="308" t="str">
        <f t="shared" si="16"/>
        <v>Moderado</v>
      </c>
      <c r="AS19" s="317" t="s">
        <v>2381</v>
      </c>
      <c r="AT19" s="317" t="s">
        <v>2381</v>
      </c>
      <c r="AU19" s="321">
        <f>IF(OR(AR19="",AS19=""),"Verifique",IF(AND(AR19="Fuerte",AS19="Directamente"),2,IF(AND(AR19="Moderado",AS19="Directamente"),1,IF(AND(OR(AR19="Fuerte",AR19="Moderado"),AS19="No disminuye"),0,0))))</f>
        <v>1</v>
      </c>
      <c r="AV19" s="321">
        <f>IF(OR(AR19="",AT19=""),"Verifique",IF(OR(AND(AR19="Moderado",AT19="Indirectamente"),AT19="No disminuye",I19="Corrupción"),0,IF(OR(AND(AR19="Fuerte",AT19="Indirectamente"),AND(AR19="Moderado",AT19="Directamente")),1,IF(AND(AR19="Fuerte",AT19="Directamente"),2,0))))</f>
        <v>0</v>
      </c>
      <c r="AW19" s="301" t="str">
        <f>IF(OR(P19="",Q19="",AU19="Verifique",AV19="Verifique"),"",VLOOKUP(VALUE(CONCATENATE(IF((VLOOKUP(Q19,TImpacto,2,FALSE)-AV19)&lt;1,1,(VLOOKUP(Q19,TImpacto,2,FALSE)-AV19)),IF((VLOOKUP(P19,TProbabilidad,2,FALSE)-AU19)&lt;1,1,(VLOOKUP(P19,TProbabilidad,2,FALSE)-AU19)))),TMapaCalor,2,FALSE))</f>
        <v>Extremo</v>
      </c>
      <c r="AX19" s="1026"/>
      <c r="AY19" s="1026"/>
      <c r="AZ19" s="1026"/>
      <c r="BA19" s="1028"/>
      <c r="BB19" s="1029"/>
      <c r="BD19" s="244">
        <v>45756</v>
      </c>
      <c r="BE19" s="245" t="s">
        <v>1352</v>
      </c>
      <c r="BF19" s="355" t="s">
        <v>2538</v>
      </c>
      <c r="BG19" s="247" t="s">
        <v>205</v>
      </c>
      <c r="BH19" s="245" t="s">
        <v>206</v>
      </c>
      <c r="BI19" s="245" t="s">
        <v>206</v>
      </c>
      <c r="BJ19" s="249" t="s">
        <v>2088</v>
      </c>
      <c r="BK19" s="250"/>
      <c r="BL19" s="244">
        <v>45782</v>
      </c>
      <c r="BM19" s="251" t="s">
        <v>207</v>
      </c>
      <c r="BN19" s="245" t="s">
        <v>228</v>
      </c>
      <c r="BO19" s="250"/>
      <c r="BP19" s="252"/>
      <c r="BQ19" s="252"/>
      <c r="BR19" s="249" t="s">
        <v>2078</v>
      </c>
      <c r="BS19" s="250"/>
      <c r="BT19" s="244">
        <v>45854</v>
      </c>
      <c r="BU19" s="245" t="s">
        <v>2539</v>
      </c>
      <c r="BV19" s="355" t="s">
        <v>2546</v>
      </c>
      <c r="BW19" s="247" t="s">
        <v>205</v>
      </c>
      <c r="BX19" s="245" t="s">
        <v>206</v>
      </c>
      <c r="BY19" s="245" t="s">
        <v>206</v>
      </c>
      <c r="BZ19" s="246" t="s">
        <v>2541</v>
      </c>
      <c r="CA19" s="250"/>
      <c r="CB19" s="450">
        <v>45869</v>
      </c>
      <c r="CC19" s="449" t="s">
        <v>215</v>
      </c>
      <c r="CD19" s="283" t="s">
        <v>231</v>
      </c>
      <c r="CE19" s="250"/>
      <c r="CF19" s="252"/>
      <c r="CG19" s="252"/>
      <c r="CH19" s="249" t="s">
        <v>2078</v>
      </c>
      <c r="CI19" s="250"/>
      <c r="CJ19" s="244">
        <v>45940</v>
      </c>
      <c r="CK19" s="245" t="s">
        <v>2542</v>
      </c>
      <c r="CL19" s="355" t="s">
        <v>2547</v>
      </c>
      <c r="CM19" s="247" t="s">
        <v>205</v>
      </c>
      <c r="CN19" s="245" t="s">
        <v>206</v>
      </c>
      <c r="CO19" s="245" t="s">
        <v>206</v>
      </c>
      <c r="CP19" s="448" t="s">
        <v>2544</v>
      </c>
      <c r="CQ19" s="250"/>
      <c r="CR19" s="257">
        <v>46000</v>
      </c>
      <c r="CS19" s="251" t="s">
        <v>207</v>
      </c>
      <c r="CT19" s="359" t="s">
        <v>233</v>
      </c>
      <c r="CU19" s="250"/>
      <c r="CV19" s="252"/>
      <c r="CW19" s="252"/>
      <c r="CX19" s="249" t="s">
        <v>2078</v>
      </c>
      <c r="CY19" s="250"/>
      <c r="CZ19" s="252"/>
      <c r="DA19" s="252"/>
      <c r="DB19" s="249" t="s">
        <v>2078</v>
      </c>
      <c r="DC19" s="247"/>
      <c r="DD19" s="248"/>
      <c r="DE19" s="253"/>
      <c r="DF19" s="249" t="s">
        <v>2088</v>
      </c>
      <c r="DG19" s="250"/>
      <c r="DH19" s="252"/>
      <c r="DI19" s="252"/>
      <c r="DJ19" s="249" t="s">
        <v>2078</v>
      </c>
      <c r="DK19" s="250"/>
      <c r="DL19" s="252"/>
      <c r="DM19" s="252"/>
      <c r="DN19" s="249" t="s">
        <v>2078</v>
      </c>
    </row>
    <row r="20" spans="1:118" s="276" customFormat="1" ht="225" customHeight="1" x14ac:dyDescent="0.2">
      <c r="A20" s="301">
        <v>8</v>
      </c>
      <c r="B20" s="316" t="s">
        <v>2519</v>
      </c>
      <c r="C20" s="316"/>
      <c r="D20" s="314" t="s">
        <v>2520</v>
      </c>
      <c r="E20" s="314" t="s">
        <v>2521</v>
      </c>
      <c r="F20" s="277" t="s">
        <v>1448</v>
      </c>
      <c r="G20" s="277" t="str">
        <f>IFERROR(INDEX('[4]Base de datos gestión'!$D$28:$D$50,MATCH(F20,'[4]Base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20" s="277" t="str">
        <f>IFERROR(INDEX('[4]Base de datos gestión'!$E$28:$E$50,MATCH(F20,'[4]Base de datos gestión'!$C$28:$C$50,0)), 0)</f>
        <v>Inicia con los requerimientos institucionales y termina con la atención de las necesidades presentadas por las diferentes áreas del INM.</v>
      </c>
      <c r="I20" s="317" t="s">
        <v>2365</v>
      </c>
      <c r="J20" s="320" t="s">
        <v>535</v>
      </c>
      <c r="K20" s="316" t="s">
        <v>2522</v>
      </c>
      <c r="L20" s="316" t="s">
        <v>2523</v>
      </c>
      <c r="M20" s="320" t="s">
        <v>535</v>
      </c>
      <c r="N20" s="314" t="s">
        <v>2524</v>
      </c>
      <c r="O20" s="323" t="s">
        <v>2525</v>
      </c>
      <c r="P20" s="324" t="s">
        <v>2264</v>
      </c>
      <c r="Q20" s="324" t="s">
        <v>762</v>
      </c>
      <c r="R20" s="301" t="str">
        <f t="shared" si="23"/>
        <v>Extremo</v>
      </c>
      <c r="S20" s="317" t="s">
        <v>2371</v>
      </c>
      <c r="T20" s="315" t="s">
        <v>2548</v>
      </c>
      <c r="U20" s="316">
        <v>4</v>
      </c>
      <c r="V20" s="317" t="s">
        <v>269</v>
      </c>
      <c r="W20" s="307" t="s">
        <v>2373</v>
      </c>
      <c r="X20" s="307" t="s">
        <v>2374</v>
      </c>
      <c r="Y20" s="307" t="s">
        <v>2375</v>
      </c>
      <c r="Z20" s="307" t="s">
        <v>2473</v>
      </c>
      <c r="AA20" s="307" t="s">
        <v>2377</v>
      </c>
      <c r="AB20" s="307" t="s">
        <v>2378</v>
      </c>
      <c r="AC20" s="307" t="s">
        <v>2379</v>
      </c>
      <c r="AD20" s="308">
        <f t="shared" si="1"/>
        <v>15</v>
      </c>
      <c r="AE20" s="308">
        <f t="shared" si="2"/>
        <v>15</v>
      </c>
      <c r="AF20" s="308">
        <f t="shared" si="3"/>
        <v>15</v>
      </c>
      <c r="AG20" s="308">
        <f t="shared" ref="AG20" si="26">IF(Z20="Prevenir",15,IF(Z20="Detectar",10,IF(Z20="No es un Control",0,"Seleccione")))</f>
        <v>10</v>
      </c>
      <c r="AH20" s="308">
        <f t="shared" si="5"/>
        <v>15</v>
      </c>
      <c r="AI20" s="308">
        <f t="shared" si="6"/>
        <v>15</v>
      </c>
      <c r="AJ20" s="308">
        <f t="shared" si="7"/>
        <v>10</v>
      </c>
      <c r="AK20" s="308">
        <f t="shared" si="8"/>
        <v>95</v>
      </c>
      <c r="AL20" s="308" t="str">
        <f t="shared" si="13"/>
        <v>Moderado</v>
      </c>
      <c r="AM20" s="307" t="s">
        <v>2380</v>
      </c>
      <c r="AN20" s="308" t="str">
        <f t="shared" si="14"/>
        <v>Moderado</v>
      </c>
      <c r="AO20" s="308">
        <f t="shared" si="9"/>
        <v>50</v>
      </c>
      <c r="AP20" s="308" t="str">
        <f t="shared" si="15"/>
        <v>Si</v>
      </c>
      <c r="AQ20" s="308">
        <f t="shared" si="20"/>
        <v>50</v>
      </c>
      <c r="AR20" s="308" t="str">
        <f t="shared" si="16"/>
        <v>Moderado</v>
      </c>
      <c r="AS20" s="317" t="s">
        <v>2381</v>
      </c>
      <c r="AT20" s="317" t="s">
        <v>2381</v>
      </c>
      <c r="AU20" s="321">
        <f t="shared" si="17"/>
        <v>1</v>
      </c>
      <c r="AV20" s="321">
        <f t="shared" si="11"/>
        <v>0</v>
      </c>
      <c r="AW20" s="301" t="str">
        <f t="shared" si="25"/>
        <v>Extremo</v>
      </c>
      <c r="AX20" s="306" t="s">
        <v>2549</v>
      </c>
      <c r="AY20" s="306" t="s">
        <v>2550</v>
      </c>
      <c r="AZ20" s="306" t="s">
        <v>2529</v>
      </c>
      <c r="BA20" s="311">
        <v>46022</v>
      </c>
      <c r="BB20" s="1026"/>
      <c r="BD20" s="244">
        <v>45756</v>
      </c>
      <c r="BE20" s="245" t="s">
        <v>1352</v>
      </c>
      <c r="BF20" s="355" t="s">
        <v>2551</v>
      </c>
      <c r="BG20" s="247" t="s">
        <v>205</v>
      </c>
      <c r="BH20" s="245" t="s">
        <v>206</v>
      </c>
      <c r="BI20" s="245" t="s">
        <v>206</v>
      </c>
      <c r="BJ20" s="249" t="s">
        <v>2088</v>
      </c>
      <c r="BK20" s="250"/>
      <c r="BL20" s="244">
        <v>45782</v>
      </c>
      <c r="BM20" s="251" t="s">
        <v>207</v>
      </c>
      <c r="BN20" s="245" t="s">
        <v>228</v>
      </c>
      <c r="BO20" s="250"/>
      <c r="BP20" s="252"/>
      <c r="BQ20" s="252"/>
      <c r="BR20" s="249" t="s">
        <v>2078</v>
      </c>
      <c r="BS20" s="250"/>
      <c r="BT20" s="244">
        <v>45854</v>
      </c>
      <c r="BU20" s="245" t="s">
        <v>2539</v>
      </c>
      <c r="BV20" s="355" t="s">
        <v>2552</v>
      </c>
      <c r="BW20" s="247" t="s">
        <v>205</v>
      </c>
      <c r="BX20" s="245" t="s">
        <v>206</v>
      </c>
      <c r="BY20" s="245" t="s">
        <v>206</v>
      </c>
      <c r="BZ20" s="246" t="s">
        <v>2541</v>
      </c>
      <c r="CA20" s="250"/>
      <c r="CB20" s="450">
        <v>45869</v>
      </c>
      <c r="CC20" s="449" t="s">
        <v>215</v>
      </c>
      <c r="CD20" s="283" t="s">
        <v>231</v>
      </c>
      <c r="CE20" s="250"/>
      <c r="CF20" s="252"/>
      <c r="CG20" s="252"/>
      <c r="CH20" s="249" t="s">
        <v>2078</v>
      </c>
      <c r="CI20" s="250"/>
      <c r="CJ20" s="244">
        <v>45940</v>
      </c>
      <c r="CK20" s="245" t="s">
        <v>2542</v>
      </c>
      <c r="CL20" s="355" t="s">
        <v>2553</v>
      </c>
      <c r="CM20" s="247" t="s">
        <v>205</v>
      </c>
      <c r="CN20" s="245" t="s">
        <v>206</v>
      </c>
      <c r="CO20" s="245" t="s">
        <v>206</v>
      </c>
      <c r="CP20" s="448" t="s">
        <v>2544</v>
      </c>
      <c r="CQ20" s="250"/>
      <c r="CR20" s="257">
        <v>46000</v>
      </c>
      <c r="CS20" s="251" t="s">
        <v>207</v>
      </c>
      <c r="CT20" s="359" t="s">
        <v>233</v>
      </c>
      <c r="CU20" s="250"/>
      <c r="CV20" s="252"/>
      <c r="CW20" s="252"/>
      <c r="CX20" s="249" t="s">
        <v>2078</v>
      </c>
      <c r="CY20" s="250"/>
      <c r="CZ20" s="252"/>
      <c r="DA20" s="252"/>
      <c r="DB20" s="249" t="s">
        <v>2078</v>
      </c>
      <c r="DC20" s="247"/>
      <c r="DD20" s="248"/>
      <c r="DE20" s="253"/>
      <c r="DF20" s="249" t="s">
        <v>2088</v>
      </c>
      <c r="DG20" s="250"/>
      <c r="DH20" s="252"/>
      <c r="DI20" s="252"/>
      <c r="DJ20" s="249" t="s">
        <v>2078</v>
      </c>
      <c r="DK20" s="250"/>
      <c r="DL20" s="252"/>
      <c r="DM20" s="252"/>
      <c r="DN20" s="249" t="s">
        <v>2078</v>
      </c>
    </row>
    <row r="21" spans="1:118" s="276" customFormat="1" ht="209.25" customHeight="1" x14ac:dyDescent="0.2">
      <c r="A21" s="301">
        <v>9</v>
      </c>
      <c r="B21" s="316" t="s">
        <v>2554</v>
      </c>
      <c r="C21" s="316"/>
      <c r="D21" s="314" t="s">
        <v>2555</v>
      </c>
      <c r="E21" s="314" t="s">
        <v>2556</v>
      </c>
      <c r="F21" s="277" t="s">
        <v>1347</v>
      </c>
      <c r="G21" s="277" t="str">
        <f>IFERROR(INDEX('[4]Base de datos gestión'!$D$28:$D$50,MATCH(F21,'[4]Base de datos gestión'!$C$28:$C$50,0)), 0)</f>
        <v>Administrar permanentemente el Sistema de Gestión Documental del INM, mediante la aplicación y seguimiento de los instrumentos archivísticos, con el fin de garantizar la disponibilidad, conservación y recuperación de todos documentos y registros generados en cumplimiento de las funciones del INM.
El proceso se relaciona con el objetivo estratégico: Fortalecer la capacidad administrativa y de desempeño institucional para garantizar la eficiencia y calidad a los procesos de la entidad</v>
      </c>
      <c r="H21" s="277" t="str">
        <f>IFERROR(INDEX('[4]Base de datos gestión'!$E$28:$E$50,MATCH(F21,'[4]Base de datos gestión'!$C$28:$C$50,0)), 0)</f>
        <v>Inicia desde la producción y/o recepción de los documentos y termina con la eliminación o conservación total en un archivo permanente. Aplica al manejo de toda la documentación en medio de soporte físico o electrónico.</v>
      </c>
      <c r="I21" s="317" t="s">
        <v>2365</v>
      </c>
      <c r="J21" s="320" t="s">
        <v>2557</v>
      </c>
      <c r="K21" s="316" t="s">
        <v>2453</v>
      </c>
      <c r="L21" s="316" t="s">
        <v>2454</v>
      </c>
      <c r="M21" s="320"/>
      <c r="N21" s="314" t="s">
        <v>2558</v>
      </c>
      <c r="O21" s="314" t="s">
        <v>2559</v>
      </c>
      <c r="P21" s="317" t="s">
        <v>2264</v>
      </c>
      <c r="Q21" s="317" t="s">
        <v>2266</v>
      </c>
      <c r="R21" s="301" t="str">
        <f t="shared" si="21"/>
        <v>Alto</v>
      </c>
      <c r="S21" s="317" t="s">
        <v>2371</v>
      </c>
      <c r="T21" s="327" t="s">
        <v>2560</v>
      </c>
      <c r="U21" s="316">
        <v>1</v>
      </c>
      <c r="V21" s="317" t="s">
        <v>269</v>
      </c>
      <c r="W21" s="307" t="s">
        <v>2373</v>
      </c>
      <c r="X21" s="307" t="s">
        <v>2374</v>
      </c>
      <c r="Y21" s="307" t="s">
        <v>2375</v>
      </c>
      <c r="Z21" s="307" t="s">
        <v>2473</v>
      </c>
      <c r="AA21" s="307" t="s">
        <v>2377</v>
      </c>
      <c r="AB21" s="307" t="s">
        <v>2378</v>
      </c>
      <c r="AC21" s="307" t="s">
        <v>2379</v>
      </c>
      <c r="AD21" s="308">
        <f t="shared" si="1"/>
        <v>15</v>
      </c>
      <c r="AE21" s="308">
        <f t="shared" si="2"/>
        <v>15</v>
      </c>
      <c r="AF21" s="308">
        <f t="shared" si="3"/>
        <v>15</v>
      </c>
      <c r="AG21" s="308">
        <f t="shared" si="4"/>
        <v>10</v>
      </c>
      <c r="AH21" s="308">
        <f t="shared" si="5"/>
        <v>15</v>
      </c>
      <c r="AI21" s="308">
        <f t="shared" si="6"/>
        <v>15</v>
      </c>
      <c r="AJ21" s="308">
        <f t="shared" si="7"/>
        <v>10</v>
      </c>
      <c r="AK21" s="308">
        <f t="shared" si="8"/>
        <v>95</v>
      </c>
      <c r="AL21" s="308" t="str">
        <f t="shared" si="13"/>
        <v>Moderado</v>
      </c>
      <c r="AM21" s="307" t="s">
        <v>2380</v>
      </c>
      <c r="AN21" s="308" t="str">
        <f t="shared" si="14"/>
        <v>Moderado</v>
      </c>
      <c r="AO21" s="308">
        <f t="shared" si="9"/>
        <v>50</v>
      </c>
      <c r="AP21" s="308" t="str">
        <f t="shared" si="15"/>
        <v>Si</v>
      </c>
      <c r="AQ21" s="308">
        <f t="shared" si="20"/>
        <v>50</v>
      </c>
      <c r="AR21" s="308" t="str">
        <f t="shared" si="16"/>
        <v>Moderado</v>
      </c>
      <c r="AS21" s="317" t="s">
        <v>2381</v>
      </c>
      <c r="AT21" s="317" t="s">
        <v>2381</v>
      </c>
      <c r="AU21" s="321">
        <f t="shared" si="17"/>
        <v>1</v>
      </c>
      <c r="AV21" s="321">
        <f t="shared" si="11"/>
        <v>0</v>
      </c>
      <c r="AW21" s="301" t="str">
        <f t="shared" si="22"/>
        <v>Alto</v>
      </c>
      <c r="AX21" s="306" t="s">
        <v>2561</v>
      </c>
      <c r="AY21" s="306" t="s">
        <v>2550</v>
      </c>
      <c r="AZ21" s="306" t="s">
        <v>2562</v>
      </c>
      <c r="BA21" s="311">
        <v>46006</v>
      </c>
      <c r="BB21" s="306" t="s">
        <v>2563</v>
      </c>
      <c r="BD21" s="244">
        <v>45756</v>
      </c>
      <c r="BE21" s="256" t="s">
        <v>1352</v>
      </c>
      <c r="BF21" s="355" t="s">
        <v>2564</v>
      </c>
      <c r="BG21" s="247" t="s">
        <v>205</v>
      </c>
      <c r="BH21" s="245" t="s">
        <v>206</v>
      </c>
      <c r="BI21" s="245" t="s">
        <v>206</v>
      </c>
      <c r="BJ21" s="249" t="s">
        <v>2088</v>
      </c>
      <c r="BK21" s="250"/>
      <c r="BL21" s="244">
        <v>45782</v>
      </c>
      <c r="BM21" s="251" t="s">
        <v>207</v>
      </c>
      <c r="BN21" s="245" t="s">
        <v>228</v>
      </c>
      <c r="BO21" s="250"/>
      <c r="BP21" s="252"/>
      <c r="BQ21" s="252"/>
      <c r="BR21" s="249" t="s">
        <v>2078</v>
      </c>
      <c r="BS21" s="250"/>
      <c r="BT21" s="244">
        <v>45854</v>
      </c>
      <c r="BU21" s="245" t="s">
        <v>2539</v>
      </c>
      <c r="BV21" s="355" t="s">
        <v>2565</v>
      </c>
      <c r="BW21" s="247" t="s">
        <v>205</v>
      </c>
      <c r="BX21" s="245" t="s">
        <v>206</v>
      </c>
      <c r="BY21" s="245" t="s">
        <v>206</v>
      </c>
      <c r="BZ21" s="246" t="s">
        <v>2566</v>
      </c>
      <c r="CA21" s="250"/>
      <c r="CB21" s="450">
        <v>45869</v>
      </c>
      <c r="CC21" s="449" t="s">
        <v>215</v>
      </c>
      <c r="CD21" s="283" t="s">
        <v>231</v>
      </c>
      <c r="CE21" s="250"/>
      <c r="CF21" s="252"/>
      <c r="CG21" s="252"/>
      <c r="CH21" s="249" t="s">
        <v>2078</v>
      </c>
      <c r="CI21" s="250"/>
      <c r="CJ21" s="244">
        <v>45940</v>
      </c>
      <c r="CK21" s="245" t="s">
        <v>2539</v>
      </c>
      <c r="CL21" s="355" t="s">
        <v>2565</v>
      </c>
      <c r="CM21" s="247" t="s">
        <v>205</v>
      </c>
      <c r="CN21" s="245" t="s">
        <v>206</v>
      </c>
      <c r="CO21" s="245" t="s">
        <v>206</v>
      </c>
      <c r="CP21" s="448" t="s">
        <v>2567</v>
      </c>
      <c r="CQ21" s="250"/>
      <c r="CR21" s="257">
        <v>46000</v>
      </c>
      <c r="CS21" s="489" t="s">
        <v>215</v>
      </c>
      <c r="CT21" s="246" t="s">
        <v>233</v>
      </c>
      <c r="CU21" s="250"/>
      <c r="CV21" s="252"/>
      <c r="CW21" s="252"/>
      <c r="CX21" s="249" t="s">
        <v>2078</v>
      </c>
      <c r="CY21" s="250"/>
      <c r="CZ21" s="252"/>
      <c r="DA21" s="252"/>
      <c r="DB21" s="249" t="s">
        <v>2078</v>
      </c>
      <c r="DC21" s="247"/>
      <c r="DD21" s="248"/>
      <c r="DE21" s="253"/>
      <c r="DF21" s="249" t="s">
        <v>2088</v>
      </c>
      <c r="DG21" s="250"/>
      <c r="DH21" s="252"/>
      <c r="DI21" s="252"/>
      <c r="DJ21" s="249" t="s">
        <v>2078</v>
      </c>
      <c r="DK21" s="250"/>
      <c r="DL21" s="252"/>
      <c r="DM21" s="252"/>
      <c r="DN21" s="249" t="s">
        <v>2078</v>
      </c>
    </row>
    <row r="22" spans="1:118" s="276" customFormat="1" ht="197.25" customHeight="1" x14ac:dyDescent="0.2">
      <c r="A22" s="301">
        <v>10</v>
      </c>
      <c r="B22" s="316" t="s">
        <v>2568</v>
      </c>
      <c r="C22" s="316"/>
      <c r="D22" s="314" t="s">
        <v>2569</v>
      </c>
      <c r="E22" s="278" t="s">
        <v>2570</v>
      </c>
      <c r="F22" s="277" t="s">
        <v>1448</v>
      </c>
      <c r="G22" s="277" t="str">
        <f>IFERROR(INDEX('[4]Base de datos gestión'!$D$28:$D$50,MATCH(F22,'[4]Base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22" s="277" t="str">
        <f>IFERROR(INDEX('[4]Base de datos gestión'!$E$28:$E$50,MATCH(F22,'[4]Base de datos gestión'!$C$28:$C$50,0)), 0)</f>
        <v>Inicia con los requerimientos institucionales y termina con la atención de las necesidades presentadas por las diferentes áreas del INM.</v>
      </c>
      <c r="I22" s="317" t="s">
        <v>2365</v>
      </c>
      <c r="J22" s="320" t="s">
        <v>535</v>
      </c>
      <c r="K22" s="316" t="s">
        <v>2571</v>
      </c>
      <c r="L22" s="316" t="s">
        <v>2572</v>
      </c>
      <c r="M22" s="320" t="s">
        <v>535</v>
      </c>
      <c r="N22" s="314" t="s">
        <v>2573</v>
      </c>
      <c r="O22" s="314" t="s">
        <v>2574</v>
      </c>
      <c r="P22" s="317" t="s">
        <v>2264</v>
      </c>
      <c r="Q22" s="317" t="s">
        <v>2266</v>
      </c>
      <c r="R22" s="301" t="str">
        <f t="shared" si="21"/>
        <v>Alto</v>
      </c>
      <c r="S22" s="317" t="s">
        <v>2371</v>
      </c>
      <c r="T22" s="315" t="s">
        <v>2575</v>
      </c>
      <c r="U22" s="316">
        <v>1</v>
      </c>
      <c r="V22" s="317" t="s">
        <v>197</v>
      </c>
      <c r="W22" s="307" t="s">
        <v>2373</v>
      </c>
      <c r="X22" s="307" t="s">
        <v>2374</v>
      </c>
      <c r="Y22" s="307" t="s">
        <v>2375</v>
      </c>
      <c r="Z22" s="307" t="s">
        <v>2473</v>
      </c>
      <c r="AA22" s="307" t="s">
        <v>2377</v>
      </c>
      <c r="AB22" s="307" t="s">
        <v>2378</v>
      </c>
      <c r="AC22" s="307" t="s">
        <v>2379</v>
      </c>
      <c r="AD22" s="308">
        <f t="shared" si="1"/>
        <v>15</v>
      </c>
      <c r="AE22" s="308">
        <f t="shared" si="2"/>
        <v>15</v>
      </c>
      <c r="AF22" s="308">
        <f t="shared" si="3"/>
        <v>15</v>
      </c>
      <c r="AG22" s="308">
        <f t="shared" si="4"/>
        <v>10</v>
      </c>
      <c r="AH22" s="308">
        <f t="shared" si="5"/>
        <v>15</v>
      </c>
      <c r="AI22" s="308">
        <f t="shared" si="6"/>
        <v>15</v>
      </c>
      <c r="AJ22" s="308">
        <f t="shared" si="7"/>
        <v>10</v>
      </c>
      <c r="AK22" s="308">
        <f t="shared" si="8"/>
        <v>95</v>
      </c>
      <c r="AL22" s="308" t="str">
        <f t="shared" si="13"/>
        <v>Moderado</v>
      </c>
      <c r="AM22" s="307" t="s">
        <v>2380</v>
      </c>
      <c r="AN22" s="308" t="str">
        <f t="shared" si="14"/>
        <v>Moderado</v>
      </c>
      <c r="AO22" s="308">
        <f t="shared" si="9"/>
        <v>50</v>
      </c>
      <c r="AP22" s="308" t="str">
        <f t="shared" si="15"/>
        <v>Si</v>
      </c>
      <c r="AQ22" s="308">
        <f t="shared" si="20"/>
        <v>50</v>
      </c>
      <c r="AR22" s="308" t="str">
        <f t="shared" si="16"/>
        <v>Moderado</v>
      </c>
      <c r="AS22" s="317" t="s">
        <v>2381</v>
      </c>
      <c r="AT22" s="317" t="s">
        <v>2381</v>
      </c>
      <c r="AU22" s="321">
        <f t="shared" si="17"/>
        <v>1</v>
      </c>
      <c r="AV22" s="321">
        <f t="shared" si="11"/>
        <v>0</v>
      </c>
      <c r="AW22" s="301" t="str">
        <f t="shared" si="22"/>
        <v>Alto</v>
      </c>
      <c r="AX22" s="316" t="s">
        <v>2576</v>
      </c>
      <c r="AY22" s="316" t="s">
        <v>2550</v>
      </c>
      <c r="AZ22" s="316" t="s">
        <v>2577</v>
      </c>
      <c r="BA22" s="319">
        <v>46006</v>
      </c>
      <c r="BB22" s="316" t="s">
        <v>2578</v>
      </c>
      <c r="BD22" s="244">
        <v>45756</v>
      </c>
      <c r="BE22" s="245" t="s">
        <v>2579</v>
      </c>
      <c r="BF22" s="246" t="s">
        <v>2580</v>
      </c>
      <c r="BG22" s="247" t="s">
        <v>205</v>
      </c>
      <c r="BH22" s="245" t="s">
        <v>206</v>
      </c>
      <c r="BI22" s="245" t="s">
        <v>206</v>
      </c>
      <c r="BJ22" s="249" t="s">
        <v>2088</v>
      </c>
      <c r="BK22" s="250"/>
      <c r="BL22" s="244">
        <v>45782</v>
      </c>
      <c r="BM22" s="251" t="s">
        <v>207</v>
      </c>
      <c r="BN22" s="245" t="s">
        <v>228</v>
      </c>
      <c r="BO22" s="250"/>
      <c r="BP22" s="252"/>
      <c r="BQ22" s="252"/>
      <c r="BR22" s="249" t="s">
        <v>2078</v>
      </c>
      <c r="BS22" s="250"/>
      <c r="BT22" s="244">
        <v>45856</v>
      </c>
      <c r="BU22" s="245" t="s">
        <v>2579</v>
      </c>
      <c r="BV22" s="246" t="s">
        <v>2581</v>
      </c>
      <c r="BW22" s="247" t="s">
        <v>205</v>
      </c>
      <c r="BX22" s="245" t="s">
        <v>206</v>
      </c>
      <c r="BY22" s="245" t="s">
        <v>206</v>
      </c>
      <c r="BZ22" s="249" t="s">
        <v>2088</v>
      </c>
      <c r="CA22" s="250"/>
      <c r="CB22" s="450">
        <v>45869</v>
      </c>
      <c r="CC22" s="449" t="s">
        <v>215</v>
      </c>
      <c r="CD22" s="283" t="s">
        <v>231</v>
      </c>
      <c r="CE22" s="250"/>
      <c r="CF22" s="252"/>
      <c r="CG22" s="252"/>
      <c r="CH22" s="249" t="s">
        <v>2078</v>
      </c>
      <c r="CI22" s="250"/>
      <c r="CJ22" s="244">
        <v>45940</v>
      </c>
      <c r="CK22" s="245" t="s">
        <v>2542</v>
      </c>
      <c r="CL22" s="246" t="s">
        <v>2582</v>
      </c>
      <c r="CM22" s="247" t="s">
        <v>205</v>
      </c>
      <c r="CN22" s="245" t="s">
        <v>206</v>
      </c>
      <c r="CO22" s="245" t="s">
        <v>206</v>
      </c>
      <c r="CP22" s="246" t="s">
        <v>2583</v>
      </c>
      <c r="CQ22" s="250"/>
      <c r="CR22" s="257">
        <v>46000</v>
      </c>
      <c r="CS22" s="251" t="s">
        <v>207</v>
      </c>
      <c r="CT22" s="359" t="s">
        <v>2584</v>
      </c>
      <c r="CU22" s="250"/>
      <c r="CV22" s="252"/>
      <c r="CW22" s="252"/>
      <c r="CX22" s="249" t="s">
        <v>2078</v>
      </c>
      <c r="CY22" s="250"/>
      <c r="CZ22" s="252"/>
      <c r="DA22" s="252"/>
      <c r="DB22" s="249" t="s">
        <v>2078</v>
      </c>
      <c r="DC22" s="247"/>
      <c r="DD22" s="248"/>
      <c r="DE22" s="253"/>
      <c r="DF22" s="249" t="s">
        <v>2088</v>
      </c>
      <c r="DG22" s="250"/>
      <c r="DH22" s="252"/>
      <c r="DI22" s="252"/>
      <c r="DJ22" s="249" t="s">
        <v>2078</v>
      </c>
      <c r="DK22" s="250"/>
      <c r="DL22" s="252"/>
      <c r="DM22" s="252"/>
      <c r="DN22" s="249" t="s">
        <v>2078</v>
      </c>
    </row>
    <row r="23" spans="1:118" s="276" customFormat="1" ht="340.5" customHeight="1" x14ac:dyDescent="0.2">
      <c r="A23" s="301">
        <v>11</v>
      </c>
      <c r="B23" s="316" t="s">
        <v>2585</v>
      </c>
      <c r="C23" s="316"/>
      <c r="D23" s="328" t="s">
        <v>2586</v>
      </c>
      <c r="E23" s="329" t="s">
        <v>2587</v>
      </c>
      <c r="F23" s="277" t="s">
        <v>1448</v>
      </c>
      <c r="G23" s="277" t="str">
        <f>IFERROR(INDEX('[4]Base de datos gestión'!$D$28:$D$50,MATCH(F23,'[4]Base de datos gestión'!$C$28:$C$50,0)), 0)</f>
        <v>Gestionar los servicios administrativos, los bienes y el mantenimiento de equipos eléctricos, planta física y climatización, elaborando y gestionando la programación para cada vigencia y controlando la ejecución de las actividades relacionadas con la administración de los servicios generales y de apoyo logístico interno, los servicios de comercio exterior y actividades del Plan de Gestión Ambiental requeridos para el correcto funcionamiento del INM.
El proceso se relaciona con el objetivo estratégico: Fortalecer la capacidad administrativa y de desempeño institucional para garantizar la eficiencia y calidad a los procesos de la entidad.</v>
      </c>
      <c r="H23" s="277" t="str">
        <f>IFERROR(INDEX('[4]Base de datos gestión'!$E$28:$E$50,MATCH(F23,'[4]Base de datos gestión'!$C$28:$C$50,0)), 0)</f>
        <v>Inicia con los requerimientos institucionales y termina con la atención de las necesidades presentadas por las diferentes áreas del INM.</v>
      </c>
      <c r="I23" s="317" t="s">
        <v>2365</v>
      </c>
      <c r="J23" s="320" t="s">
        <v>535</v>
      </c>
      <c r="K23" s="316" t="s">
        <v>2571</v>
      </c>
      <c r="L23" s="316" t="s">
        <v>2572</v>
      </c>
      <c r="M23" s="320" t="s">
        <v>535</v>
      </c>
      <c r="N23" s="314" t="s">
        <v>2588</v>
      </c>
      <c r="O23" s="314" t="s">
        <v>2589</v>
      </c>
      <c r="P23" s="317" t="s">
        <v>2264</v>
      </c>
      <c r="Q23" s="317" t="s">
        <v>2266</v>
      </c>
      <c r="R23" s="301" t="str">
        <f t="shared" si="21"/>
        <v>Alto</v>
      </c>
      <c r="S23" s="317" t="s">
        <v>2371</v>
      </c>
      <c r="T23" s="327" t="s">
        <v>2590</v>
      </c>
      <c r="U23" s="316">
        <v>1</v>
      </c>
      <c r="V23" s="317" t="s">
        <v>197</v>
      </c>
      <c r="W23" s="307" t="s">
        <v>2373</v>
      </c>
      <c r="X23" s="307" t="s">
        <v>2374</v>
      </c>
      <c r="Y23" s="307" t="s">
        <v>2375</v>
      </c>
      <c r="Z23" s="307" t="s">
        <v>2473</v>
      </c>
      <c r="AA23" s="307" t="s">
        <v>2377</v>
      </c>
      <c r="AB23" s="307" t="s">
        <v>2378</v>
      </c>
      <c r="AC23" s="307" t="s">
        <v>2379</v>
      </c>
      <c r="AD23" s="308">
        <f t="shared" si="1"/>
        <v>15</v>
      </c>
      <c r="AE23" s="308">
        <f t="shared" si="2"/>
        <v>15</v>
      </c>
      <c r="AF23" s="308">
        <f t="shared" si="3"/>
        <v>15</v>
      </c>
      <c r="AG23" s="308">
        <f t="shared" si="4"/>
        <v>10</v>
      </c>
      <c r="AH23" s="308">
        <f t="shared" si="5"/>
        <v>15</v>
      </c>
      <c r="AI23" s="308">
        <f t="shared" si="6"/>
        <v>15</v>
      </c>
      <c r="AJ23" s="308">
        <f t="shared" si="7"/>
        <v>10</v>
      </c>
      <c r="AK23" s="308">
        <f t="shared" si="8"/>
        <v>95</v>
      </c>
      <c r="AL23" s="308" t="str">
        <f t="shared" si="13"/>
        <v>Moderado</v>
      </c>
      <c r="AM23" s="307" t="s">
        <v>2380</v>
      </c>
      <c r="AN23" s="308" t="str">
        <f t="shared" si="14"/>
        <v>Moderado</v>
      </c>
      <c r="AO23" s="308">
        <f t="shared" si="9"/>
        <v>50</v>
      </c>
      <c r="AP23" s="308" t="str">
        <f t="shared" si="15"/>
        <v>Si</v>
      </c>
      <c r="AQ23" s="308">
        <f t="shared" si="20"/>
        <v>50</v>
      </c>
      <c r="AR23" s="308" t="str">
        <f t="shared" si="16"/>
        <v>Moderado</v>
      </c>
      <c r="AS23" s="317" t="s">
        <v>2381</v>
      </c>
      <c r="AT23" s="317" t="s">
        <v>2381</v>
      </c>
      <c r="AU23" s="321">
        <f t="shared" si="17"/>
        <v>1</v>
      </c>
      <c r="AV23" s="321">
        <f t="shared" si="11"/>
        <v>0</v>
      </c>
      <c r="AW23" s="301" t="str">
        <f t="shared" si="22"/>
        <v>Alto</v>
      </c>
      <c r="AX23" s="316" t="s">
        <v>2418</v>
      </c>
      <c r="AY23" s="316" t="s">
        <v>2419</v>
      </c>
      <c r="AZ23" s="316" t="s">
        <v>2420</v>
      </c>
      <c r="BA23" s="319">
        <v>45869</v>
      </c>
      <c r="BB23" s="316" t="s">
        <v>2591</v>
      </c>
      <c r="BD23" s="244">
        <v>45757</v>
      </c>
      <c r="BE23" s="245" t="s">
        <v>2592</v>
      </c>
      <c r="BF23" s="248" t="s">
        <v>2593</v>
      </c>
      <c r="BG23" s="247" t="s">
        <v>205</v>
      </c>
      <c r="BH23" s="245" t="s">
        <v>206</v>
      </c>
      <c r="BI23" s="245" t="s">
        <v>206</v>
      </c>
      <c r="BJ23" s="249" t="s">
        <v>2088</v>
      </c>
      <c r="BK23" s="250"/>
      <c r="BL23" s="244">
        <v>45782</v>
      </c>
      <c r="BM23" s="251" t="s">
        <v>207</v>
      </c>
      <c r="BN23" s="245" t="s">
        <v>228</v>
      </c>
      <c r="BO23" s="250"/>
      <c r="BP23" s="252"/>
      <c r="BQ23" s="252"/>
      <c r="BR23" s="249" t="s">
        <v>2078</v>
      </c>
      <c r="BS23" s="250"/>
      <c r="BT23" s="244">
        <v>45856</v>
      </c>
      <c r="BU23" s="245" t="s">
        <v>2594</v>
      </c>
      <c r="BV23" s="488" t="s">
        <v>2595</v>
      </c>
      <c r="BW23" s="247" t="s">
        <v>205</v>
      </c>
      <c r="BX23" s="245" t="s">
        <v>206</v>
      </c>
      <c r="BY23" s="245" t="s">
        <v>206</v>
      </c>
      <c r="BZ23" s="248" t="s">
        <v>2596</v>
      </c>
      <c r="CA23" s="250"/>
      <c r="CB23" s="450">
        <v>45869</v>
      </c>
      <c r="CC23" s="449" t="s">
        <v>215</v>
      </c>
      <c r="CD23" s="283" t="s">
        <v>231</v>
      </c>
      <c r="CE23" s="250"/>
      <c r="CF23" s="252"/>
      <c r="CG23" s="252"/>
      <c r="CH23" s="249" t="s">
        <v>2078</v>
      </c>
      <c r="CI23" s="250"/>
      <c r="CJ23" s="244">
        <v>45952</v>
      </c>
      <c r="CK23" s="245" t="s">
        <v>2597</v>
      </c>
      <c r="CL23" s="248" t="s">
        <v>2598</v>
      </c>
      <c r="CM23" s="247" t="s">
        <v>205</v>
      </c>
      <c r="CN23" s="245" t="s">
        <v>206</v>
      </c>
      <c r="CO23" s="245" t="s">
        <v>206</v>
      </c>
      <c r="CP23" s="448" t="s">
        <v>2599</v>
      </c>
      <c r="CQ23" s="250"/>
      <c r="CR23" s="257">
        <v>46000</v>
      </c>
      <c r="CS23" s="251" t="s">
        <v>207</v>
      </c>
      <c r="CT23" s="359" t="s">
        <v>233</v>
      </c>
      <c r="CU23" s="250"/>
      <c r="CV23" s="252"/>
      <c r="CW23" s="252"/>
      <c r="CX23" s="249" t="s">
        <v>2078</v>
      </c>
      <c r="CY23" s="250"/>
      <c r="CZ23" s="252"/>
      <c r="DA23" s="252"/>
      <c r="DB23" s="249" t="s">
        <v>2078</v>
      </c>
      <c r="DC23" s="247"/>
      <c r="DD23" s="248"/>
      <c r="DE23" s="253"/>
      <c r="DF23" s="249" t="s">
        <v>2088</v>
      </c>
      <c r="DG23" s="250"/>
      <c r="DH23" s="252"/>
      <c r="DI23" s="252"/>
      <c r="DJ23" s="249" t="s">
        <v>2078</v>
      </c>
      <c r="DK23" s="250"/>
      <c r="DL23" s="252"/>
      <c r="DM23" s="252"/>
      <c r="DN23" s="249" t="s">
        <v>2078</v>
      </c>
    </row>
    <row r="24" spans="1:118" s="276" customFormat="1" ht="302.25" customHeight="1" x14ac:dyDescent="0.2">
      <c r="A24" s="301">
        <v>12</v>
      </c>
      <c r="B24" s="316" t="s">
        <v>2600</v>
      </c>
      <c r="C24" s="278"/>
      <c r="D24" s="328" t="s">
        <v>2601</v>
      </c>
      <c r="E24" s="330" t="s">
        <v>2602</v>
      </c>
      <c r="F24" s="277" t="s">
        <v>570</v>
      </c>
      <c r="G24" s="277" t="str">
        <f>IFERROR(INDEX('[4]Base de datos gestión'!$D$28:$D$50,MATCH(F24,'[4]Base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4" s="277" t="str">
        <f>IFERROR(INDEX('[4]Base de datos gestión'!$E$28:$E$50,MATCH(F24,'[4]Base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4" s="317" t="s">
        <v>2365</v>
      </c>
      <c r="J24" s="320" t="s">
        <v>2603</v>
      </c>
      <c r="K24" s="315" t="s">
        <v>2604</v>
      </c>
      <c r="L24" s="315" t="s">
        <v>2605</v>
      </c>
      <c r="M24" s="320" t="s">
        <v>2606</v>
      </c>
      <c r="N24" s="314" t="s">
        <v>2607</v>
      </c>
      <c r="O24" s="314" t="s">
        <v>2608</v>
      </c>
      <c r="P24" s="317" t="s">
        <v>2264</v>
      </c>
      <c r="Q24" s="317" t="s">
        <v>762</v>
      </c>
      <c r="R24" s="301" t="str">
        <f t="shared" si="21"/>
        <v>Extremo</v>
      </c>
      <c r="S24" s="317" t="s">
        <v>2371</v>
      </c>
      <c r="T24" s="492" t="s">
        <v>2609</v>
      </c>
      <c r="U24" s="316">
        <v>1</v>
      </c>
      <c r="V24" s="317" t="s">
        <v>269</v>
      </c>
      <c r="W24" s="307" t="s">
        <v>2373</v>
      </c>
      <c r="X24" s="307" t="s">
        <v>2374</v>
      </c>
      <c r="Y24" s="307" t="s">
        <v>2375</v>
      </c>
      <c r="Z24" s="307" t="s">
        <v>2473</v>
      </c>
      <c r="AA24" s="307" t="s">
        <v>2377</v>
      </c>
      <c r="AB24" s="307" t="s">
        <v>2378</v>
      </c>
      <c r="AC24" s="307" t="s">
        <v>2379</v>
      </c>
      <c r="AD24" s="308">
        <f t="shared" si="1"/>
        <v>15</v>
      </c>
      <c r="AE24" s="308">
        <f t="shared" si="2"/>
        <v>15</v>
      </c>
      <c r="AF24" s="308">
        <f t="shared" si="3"/>
        <v>15</v>
      </c>
      <c r="AG24" s="308">
        <f t="shared" si="4"/>
        <v>10</v>
      </c>
      <c r="AH24" s="308">
        <f t="shared" si="5"/>
        <v>15</v>
      </c>
      <c r="AI24" s="308">
        <f t="shared" si="6"/>
        <v>15</v>
      </c>
      <c r="AJ24" s="308">
        <f t="shared" si="7"/>
        <v>10</v>
      </c>
      <c r="AK24" s="308">
        <f t="shared" si="8"/>
        <v>95</v>
      </c>
      <c r="AL24" s="308" t="str">
        <f t="shared" si="13"/>
        <v>Moderado</v>
      </c>
      <c r="AM24" s="307" t="s">
        <v>2380</v>
      </c>
      <c r="AN24" s="308" t="str">
        <f t="shared" si="14"/>
        <v>Moderado</v>
      </c>
      <c r="AO24" s="308">
        <f t="shared" si="9"/>
        <v>50</v>
      </c>
      <c r="AP24" s="308" t="str">
        <f t="shared" si="15"/>
        <v>Si</v>
      </c>
      <c r="AQ24" s="308">
        <f t="shared" si="20"/>
        <v>50</v>
      </c>
      <c r="AR24" s="308" t="str">
        <f t="shared" si="16"/>
        <v>Moderado</v>
      </c>
      <c r="AS24" s="317" t="s">
        <v>2381</v>
      </c>
      <c r="AT24" s="317" t="s">
        <v>2381</v>
      </c>
      <c r="AU24" s="321">
        <f t="shared" si="17"/>
        <v>1</v>
      </c>
      <c r="AV24" s="321">
        <f t="shared" si="11"/>
        <v>0</v>
      </c>
      <c r="AW24" s="301" t="str">
        <f t="shared" si="22"/>
        <v>Extremo</v>
      </c>
      <c r="AX24" s="1025" t="s">
        <v>2610</v>
      </c>
      <c r="AY24" s="1025" t="s">
        <v>2611</v>
      </c>
      <c r="AZ24" s="1025" t="s">
        <v>2612</v>
      </c>
      <c r="BA24" s="1027">
        <v>46001</v>
      </c>
      <c r="BB24" s="1025" t="s">
        <v>2613</v>
      </c>
      <c r="BD24" s="357" t="s">
        <v>2614</v>
      </c>
      <c r="BE24" s="248" t="s">
        <v>2212</v>
      </c>
      <c r="BF24" s="246" t="s">
        <v>2615</v>
      </c>
      <c r="BG24" s="247" t="s">
        <v>205</v>
      </c>
      <c r="BH24" s="245" t="s">
        <v>206</v>
      </c>
      <c r="BI24" s="245" t="s">
        <v>206</v>
      </c>
      <c r="BJ24" s="358" t="s">
        <v>2616</v>
      </c>
      <c r="BK24" s="250"/>
      <c r="BL24" s="244">
        <v>45782</v>
      </c>
      <c r="BM24" s="251" t="s">
        <v>207</v>
      </c>
      <c r="BN24" s="245" t="s">
        <v>228</v>
      </c>
      <c r="BO24" s="250"/>
      <c r="BP24" s="252"/>
      <c r="BQ24" s="252"/>
      <c r="BR24" s="249" t="s">
        <v>2078</v>
      </c>
      <c r="BS24" s="250"/>
      <c r="BT24" s="466" t="s">
        <v>2617</v>
      </c>
      <c r="BU24" s="359" t="s">
        <v>784</v>
      </c>
      <c r="BV24" s="451" t="s">
        <v>2618</v>
      </c>
      <c r="BW24" s="247" t="s">
        <v>205</v>
      </c>
      <c r="BX24" s="359" t="s">
        <v>206</v>
      </c>
      <c r="BY24" s="359" t="s">
        <v>206</v>
      </c>
      <c r="BZ24" s="477" t="s">
        <v>2619</v>
      </c>
      <c r="CA24" s="250"/>
      <c r="CB24" s="450">
        <v>45869</v>
      </c>
      <c r="CC24" s="449" t="s">
        <v>215</v>
      </c>
      <c r="CD24" s="283" t="s">
        <v>231</v>
      </c>
      <c r="CE24" s="250"/>
      <c r="CF24" s="252"/>
      <c r="CG24" s="252"/>
      <c r="CH24" s="249" t="s">
        <v>2078</v>
      </c>
      <c r="CI24" s="250"/>
      <c r="CJ24" s="476">
        <v>45944</v>
      </c>
      <c r="CK24" s="471" t="s">
        <v>582</v>
      </c>
      <c r="CL24" s="246" t="s">
        <v>2620</v>
      </c>
      <c r="CM24" s="247" t="s">
        <v>205</v>
      </c>
      <c r="CN24" s="359" t="s">
        <v>206</v>
      </c>
      <c r="CO24" s="359" t="s">
        <v>206</v>
      </c>
      <c r="CP24" s="448" t="s">
        <v>2621</v>
      </c>
      <c r="CQ24" s="250"/>
      <c r="CR24" s="257">
        <v>46000</v>
      </c>
      <c r="CS24" s="245" t="s">
        <v>218</v>
      </c>
      <c r="CT24" s="246" t="s">
        <v>233</v>
      </c>
      <c r="CU24" s="250"/>
      <c r="CV24" s="252"/>
      <c r="CW24" s="252"/>
      <c r="CX24" s="249" t="s">
        <v>2078</v>
      </c>
      <c r="CY24" s="250"/>
      <c r="CZ24" s="252"/>
      <c r="DA24" s="252"/>
      <c r="DB24" s="249" t="s">
        <v>2078</v>
      </c>
      <c r="DC24" s="247"/>
      <c r="DD24" s="248"/>
      <c r="DE24" s="253"/>
      <c r="DF24" s="249" t="s">
        <v>2088</v>
      </c>
      <c r="DG24" s="250"/>
      <c r="DH24" s="252"/>
      <c r="DI24" s="252"/>
      <c r="DJ24" s="249" t="s">
        <v>2078</v>
      </c>
      <c r="DK24" s="250"/>
      <c r="DL24" s="252"/>
      <c r="DM24" s="252"/>
      <c r="DN24" s="249" t="s">
        <v>2078</v>
      </c>
    </row>
    <row r="25" spans="1:118" s="276" customFormat="1" ht="409.5" x14ac:dyDescent="0.2">
      <c r="A25" s="301">
        <v>12</v>
      </c>
      <c r="B25" s="316" t="s">
        <v>2600</v>
      </c>
      <c r="C25" s="331"/>
      <c r="D25" s="328" t="s">
        <v>2622</v>
      </c>
      <c r="E25" s="330" t="s">
        <v>2623</v>
      </c>
      <c r="F25" s="277" t="s">
        <v>570</v>
      </c>
      <c r="G25" s="277" t="str">
        <f>IFERROR(INDEX('[4]Base de datos gestión'!$D$28:$D$50,MATCH(F25,'[4]Base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5" s="277" t="str">
        <f>IFERROR(INDEX('[4]Base de datos gestión'!$E$28:$E$50,MATCH(F25,'[4]Base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5" s="317" t="s">
        <v>2365</v>
      </c>
      <c r="J25" s="320" t="s">
        <v>2603</v>
      </c>
      <c r="K25" s="315" t="s">
        <v>2604</v>
      </c>
      <c r="L25" s="315" t="s">
        <v>2605</v>
      </c>
      <c r="M25" s="320" t="s">
        <v>2606</v>
      </c>
      <c r="N25" s="314" t="s">
        <v>2607</v>
      </c>
      <c r="O25" s="314" t="s">
        <v>2608</v>
      </c>
      <c r="P25" s="317" t="s">
        <v>2264</v>
      </c>
      <c r="Q25" s="317" t="s">
        <v>762</v>
      </c>
      <c r="R25" s="278" t="str">
        <f t="shared" si="21"/>
        <v>Extremo</v>
      </c>
      <c r="S25" s="317" t="s">
        <v>2371</v>
      </c>
      <c r="T25" s="315" t="s">
        <v>2624</v>
      </c>
      <c r="U25" s="316">
        <v>2</v>
      </c>
      <c r="V25" s="317" t="s">
        <v>197</v>
      </c>
      <c r="W25" s="307" t="s">
        <v>2373</v>
      </c>
      <c r="X25" s="307" t="s">
        <v>2374</v>
      </c>
      <c r="Y25" s="307" t="s">
        <v>2375</v>
      </c>
      <c r="Z25" s="307" t="s">
        <v>2376</v>
      </c>
      <c r="AA25" s="307" t="s">
        <v>2377</v>
      </c>
      <c r="AB25" s="307" t="s">
        <v>2625</v>
      </c>
      <c r="AC25" s="307" t="s">
        <v>2379</v>
      </c>
      <c r="AD25" s="308">
        <f t="shared" si="1"/>
        <v>15</v>
      </c>
      <c r="AE25" s="308">
        <f t="shared" si="2"/>
        <v>15</v>
      </c>
      <c r="AF25" s="308">
        <f t="shared" si="3"/>
        <v>15</v>
      </c>
      <c r="AG25" s="308">
        <f t="shared" si="4"/>
        <v>15</v>
      </c>
      <c r="AH25" s="308">
        <f t="shared" si="5"/>
        <v>15</v>
      </c>
      <c r="AI25" s="308">
        <f t="shared" si="6"/>
        <v>0</v>
      </c>
      <c r="AJ25" s="308">
        <f t="shared" si="7"/>
        <v>10</v>
      </c>
      <c r="AK25" s="308">
        <f t="shared" si="8"/>
        <v>85</v>
      </c>
      <c r="AL25" s="308" t="str">
        <f t="shared" si="13"/>
        <v>Débil</v>
      </c>
      <c r="AM25" s="307" t="s">
        <v>2380</v>
      </c>
      <c r="AN25" s="308" t="str">
        <f t="shared" si="14"/>
        <v>Débil</v>
      </c>
      <c r="AO25" s="308">
        <f t="shared" si="9"/>
        <v>0</v>
      </c>
      <c r="AP25" s="308" t="str">
        <f t="shared" si="15"/>
        <v>Si</v>
      </c>
      <c r="AQ25" s="309">
        <f t="shared" ref="AQ25:AQ30" si="27">IF(AO25="Verifique respuestas","",AVERAGE(AO25:AO25))</f>
        <v>0</v>
      </c>
      <c r="AR25" s="309" t="str">
        <f>IF(AQ25="","",IF(AQ25=100,"Fuerte",IF(AND(AQ25&gt;49,AQ25&lt;100),"Moderado",IF(AND(AQ25&gt;=0,AQ25&lt;50),"Débil","Verifique"))))</f>
        <v>Débil</v>
      </c>
      <c r="AS25" s="312" t="s">
        <v>2381</v>
      </c>
      <c r="AT25" s="312" t="s">
        <v>2381</v>
      </c>
      <c r="AU25" s="310">
        <f t="shared" si="17"/>
        <v>0</v>
      </c>
      <c r="AV25" s="310">
        <f t="shared" si="11"/>
        <v>0</v>
      </c>
      <c r="AW25" s="278" t="str">
        <f t="shared" si="22"/>
        <v>Extremo</v>
      </c>
      <c r="AX25" s="1029"/>
      <c r="AY25" s="1029"/>
      <c r="AZ25" s="1029"/>
      <c r="BA25" s="1030"/>
      <c r="BB25" s="1029"/>
      <c r="BD25" s="357" t="s">
        <v>2614</v>
      </c>
      <c r="BE25" s="248" t="s">
        <v>2212</v>
      </c>
      <c r="BF25" s="246" t="s">
        <v>2626</v>
      </c>
      <c r="BG25" s="247" t="s">
        <v>205</v>
      </c>
      <c r="BH25" s="245" t="s">
        <v>206</v>
      </c>
      <c r="BI25" s="245" t="s">
        <v>206</v>
      </c>
      <c r="BJ25" s="358" t="s">
        <v>2627</v>
      </c>
      <c r="BL25" s="244">
        <v>45782</v>
      </c>
      <c r="BM25" s="251" t="s">
        <v>207</v>
      </c>
      <c r="BN25" s="245" t="s">
        <v>228</v>
      </c>
      <c r="BP25" s="252"/>
      <c r="BQ25" s="252"/>
      <c r="BR25" s="249" t="s">
        <v>2078</v>
      </c>
      <c r="BS25" s="250"/>
      <c r="BT25" s="466" t="s">
        <v>2617</v>
      </c>
      <c r="BU25" s="359" t="s">
        <v>784</v>
      </c>
      <c r="BV25" s="454" t="s">
        <v>2628</v>
      </c>
      <c r="BW25" s="452" t="s">
        <v>205</v>
      </c>
      <c r="BX25" s="453" t="s">
        <v>206</v>
      </c>
      <c r="BY25" s="453" t="s">
        <v>206</v>
      </c>
      <c r="BZ25" s="454" t="s">
        <v>2629</v>
      </c>
      <c r="CA25" s="250"/>
      <c r="CB25" s="450">
        <v>45869</v>
      </c>
      <c r="CC25" s="449" t="s">
        <v>215</v>
      </c>
      <c r="CD25" s="283" t="s">
        <v>231</v>
      </c>
      <c r="CE25" s="250"/>
      <c r="CF25" s="252"/>
      <c r="CG25" s="252"/>
      <c r="CH25" s="249" t="s">
        <v>2078</v>
      </c>
      <c r="CI25" s="250"/>
      <c r="CJ25" s="476">
        <v>45944</v>
      </c>
      <c r="CK25" s="471" t="s">
        <v>582</v>
      </c>
      <c r="CL25" s="246" t="s">
        <v>2630</v>
      </c>
      <c r="CM25" s="247" t="s">
        <v>205</v>
      </c>
      <c r="CN25" s="359" t="s">
        <v>206</v>
      </c>
      <c r="CO25" s="359" t="s">
        <v>206</v>
      </c>
      <c r="CP25" s="478" t="s">
        <v>2631</v>
      </c>
      <c r="CQ25" s="250"/>
      <c r="CR25" s="257">
        <v>46000</v>
      </c>
      <c r="CS25" s="245" t="s">
        <v>218</v>
      </c>
      <c r="CT25" s="246" t="s">
        <v>233</v>
      </c>
      <c r="CU25" s="250"/>
      <c r="CV25" s="252"/>
      <c r="CW25" s="252"/>
      <c r="CX25" s="249" t="s">
        <v>2078</v>
      </c>
      <c r="CY25" s="250"/>
      <c r="CZ25" s="252"/>
      <c r="DA25" s="252"/>
      <c r="DB25" s="249" t="s">
        <v>2078</v>
      </c>
      <c r="DC25" s="247"/>
      <c r="DD25" s="248"/>
      <c r="DE25" s="253"/>
      <c r="DF25" s="249" t="s">
        <v>2088</v>
      </c>
      <c r="DG25" s="250"/>
      <c r="DH25" s="252"/>
      <c r="DI25" s="252"/>
      <c r="DJ25" s="249" t="s">
        <v>2078</v>
      </c>
      <c r="DK25" s="250"/>
      <c r="DL25" s="252"/>
      <c r="DM25" s="252"/>
      <c r="DN25" s="249" t="s">
        <v>2078</v>
      </c>
    </row>
    <row r="26" spans="1:118" s="276" customFormat="1" ht="409.5" x14ac:dyDescent="0.2">
      <c r="A26" s="301">
        <v>12</v>
      </c>
      <c r="B26" s="316" t="s">
        <v>2600</v>
      </c>
      <c r="C26" s="331"/>
      <c r="D26" s="328" t="s">
        <v>2622</v>
      </c>
      <c r="E26" s="330" t="s">
        <v>2623</v>
      </c>
      <c r="F26" s="277" t="s">
        <v>570</v>
      </c>
      <c r="G26" s="277" t="str">
        <f>IFERROR(INDEX('[4]Base de datos gestión'!$D$28:$D$50,MATCH(F26,'[4]Base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6" s="277" t="str">
        <f>IFERROR(INDEX('[4]Base de datos gestión'!$E$28:$E$50,MATCH(F26,'[4]Base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6" s="317" t="s">
        <v>2365</v>
      </c>
      <c r="J26" s="320" t="s">
        <v>2603</v>
      </c>
      <c r="K26" s="315" t="s">
        <v>2604</v>
      </c>
      <c r="L26" s="315" t="s">
        <v>2605</v>
      </c>
      <c r="M26" s="320" t="s">
        <v>2606</v>
      </c>
      <c r="N26" s="314" t="s">
        <v>2607</v>
      </c>
      <c r="O26" s="314" t="s">
        <v>2608</v>
      </c>
      <c r="P26" s="317" t="s">
        <v>2264</v>
      </c>
      <c r="Q26" s="317" t="s">
        <v>762</v>
      </c>
      <c r="R26" s="278" t="str">
        <f>IF(OR(P26="",Q26=""),"",VLOOKUP(VALUE(CONCATENATE(VLOOKUP(Q26,TImpacto,2,FALSE),VLOOKUP(P26,TProbabilidad,2,FALSE))),TMapaCalor,2,FALSE))</f>
        <v>Extremo</v>
      </c>
      <c r="S26" s="317" t="s">
        <v>2371</v>
      </c>
      <c r="T26" s="315" t="s">
        <v>2632</v>
      </c>
      <c r="U26" s="316">
        <v>3</v>
      </c>
      <c r="V26" s="317" t="s">
        <v>197</v>
      </c>
      <c r="W26" s="307" t="s">
        <v>2373</v>
      </c>
      <c r="X26" s="307" t="s">
        <v>2374</v>
      </c>
      <c r="Y26" s="307" t="s">
        <v>2375</v>
      </c>
      <c r="Z26" s="307" t="s">
        <v>2376</v>
      </c>
      <c r="AA26" s="307" t="s">
        <v>2377</v>
      </c>
      <c r="AB26" s="307" t="s">
        <v>2378</v>
      </c>
      <c r="AC26" s="307" t="s">
        <v>2379</v>
      </c>
      <c r="AD26" s="308">
        <f>IF(W26="Asignado",15,IF(W26="No asignado",0,"Seleccione"))</f>
        <v>15</v>
      </c>
      <c r="AE26" s="308">
        <f>IF(X26="Adecuado",15,IF(X26="Inadecuado",0,"Seleccione"))</f>
        <v>15</v>
      </c>
      <c r="AF26" s="308">
        <f>IF(Y26="Oportuna",15,IF(Y26="Inoportuna",0,"Seleccione"))</f>
        <v>15</v>
      </c>
      <c r="AG26" s="308">
        <f>IF(Z26="Prevenir",15,IF(Z26="Detectar",10,IF(Z26="No es un Control",0,"Seleccione")))</f>
        <v>15</v>
      </c>
      <c r="AH26" s="308">
        <f>IF(AA26="Confiable",15,IF(AA26="No confiable",0,"Seleccione"))</f>
        <v>15</v>
      </c>
      <c r="AI26" s="308">
        <f>IF(AB26="Se investigan y resuelven oportunamente",15,IF(AB26="No se investigan y resuelven oportunamente",0,"Seleccione"))</f>
        <v>15</v>
      </c>
      <c r="AJ26" s="308">
        <f>IF(AC26="Completa",10,IF(AC26="Incompleta",5,IF(AC26="No existe",0,"Seleccione")))</f>
        <v>10</v>
      </c>
      <c r="AK26" s="308">
        <f>IF(COUNTBLANK(W26:AC26)&gt;0,"Complete las respuestas",SUM(AD26:AJ26))</f>
        <v>100</v>
      </c>
      <c r="AL26" s="308" t="str">
        <f>IF(AK26&lt;86,"Débil",IF(AND(AK26&gt;85,AK26&lt;96),"Moderado",IF(AND(AK26&gt;95,AK26&lt;101),"Fuerte","Verifique respuestas")))</f>
        <v>Fuerte</v>
      </c>
      <c r="AM26" s="307" t="s">
        <v>2380</v>
      </c>
      <c r="AN26" s="308" t="str">
        <f>IF(AND(AL26="Fuerte",AM26="Fuerte"),"Fuerte",IF(OR(AND(AL26="Fuerte",AM26="Moderado"),AND(AL26="Moderado",AM26="Fuerte"),AND(AL26="Moderado",AM26="Moderado")),"Moderado",IF(OR(AND(AL26="Fuerte",AM26="Débil"),AND(AL26="Moderado",AM26="Débil"),AND(AL26="Débil",AM26="Fuerte"),AND(AL26="Débil",AM26="Moderado"),AND(AL26="Débil",AM26="Débil")),"Débil","Verifique respuestas")))</f>
        <v>Fuerte</v>
      </c>
      <c r="AO26" s="308">
        <f>IF(AN26="Fuerte",100,IF(AN26="Moderado",50,IF(AN26="débil",0,"Verifique respuestas")))</f>
        <v>100</v>
      </c>
      <c r="AP26" s="308" t="str">
        <f>IF(AN26="Verifique respuestas","",IF(AN26="Fuerte","No","Si"))</f>
        <v>No</v>
      </c>
      <c r="AQ26" s="309">
        <f t="shared" si="27"/>
        <v>100</v>
      </c>
      <c r="AR26" s="309" t="str">
        <f>IF(AQ26="","",IF(AQ26=100,"Fuerte",IF(AND(AQ26&gt;49,AQ26&lt;100),"Moderado",IF(AND(AQ26&gt;=0,AQ26&lt;50),"Débil","Verifique"))))</f>
        <v>Fuerte</v>
      </c>
      <c r="AS26" s="312" t="s">
        <v>2381</v>
      </c>
      <c r="AT26" s="312" t="s">
        <v>2381</v>
      </c>
      <c r="AU26" s="310">
        <f>IF(OR(AR26="",AS26=""),"Verifique",IF(AND(AR26="Fuerte",AS26="Directamente"),2,IF(AND(AR26="Moderado",AS26="Directamente"),1,IF(AND(OR(AR26="Fuerte",AR26="Moderado"),AS26="No disminuye"),0,0))))</f>
        <v>2</v>
      </c>
      <c r="AV26" s="310">
        <f>IF(OR(AR26="",AT26=""),"Verifique",IF(OR(AND(AR26="Moderado",AT26="Indirectamente"),AT26="No disminuye",I26="Corrupción"),0,IF(OR(AND(AR26="Fuerte",AT26="Indirectamente"),AND(AR26="Moderado",AT26="Directamente")),1,IF(AND(AR26="Fuerte",AT26="Directamente"),2,0))))</f>
        <v>0</v>
      </c>
      <c r="AW26" s="278" t="str">
        <f>IF(OR(P26="",Q26="",AU26="Verifique",AV26="Verifique"),"",VLOOKUP(VALUE(CONCATENATE(IF((VLOOKUP(Q26,TImpacto,2,FALSE)-AV26)&lt;1,1,(VLOOKUP(Q26,TImpacto,2,FALSE)-AV26)),IF((VLOOKUP(P26,TProbabilidad,2,FALSE)-AU26)&lt;1,1,(VLOOKUP(P26,TProbabilidad,2,FALSE)-AU26)))),TMapaCalor,2,FALSE))</f>
        <v>Extremo</v>
      </c>
      <c r="AX26" s="1029"/>
      <c r="AY26" s="1029"/>
      <c r="AZ26" s="1029"/>
      <c r="BA26" s="1030"/>
      <c r="BB26" s="1029"/>
      <c r="BD26" s="357" t="s">
        <v>2614</v>
      </c>
      <c r="BE26" s="248" t="s">
        <v>2212</v>
      </c>
      <c r="BF26" s="246" t="s">
        <v>2633</v>
      </c>
      <c r="BG26" s="247" t="s">
        <v>205</v>
      </c>
      <c r="BH26" s="245" t="s">
        <v>206</v>
      </c>
      <c r="BI26" s="245" t="s">
        <v>206</v>
      </c>
      <c r="BJ26" s="358" t="s">
        <v>2634</v>
      </c>
      <c r="BL26" s="244">
        <v>45782</v>
      </c>
      <c r="BM26" s="251" t="s">
        <v>207</v>
      </c>
      <c r="BN26" s="245" t="s">
        <v>228</v>
      </c>
      <c r="BP26" s="252"/>
      <c r="BQ26" s="252"/>
      <c r="BR26" s="249" t="s">
        <v>2078</v>
      </c>
      <c r="BS26" s="250"/>
      <c r="BT26" s="466" t="s">
        <v>2617</v>
      </c>
      <c r="BU26" s="359" t="s">
        <v>784</v>
      </c>
      <c r="BV26" s="468" t="s">
        <v>2635</v>
      </c>
      <c r="BW26" s="452" t="s">
        <v>205</v>
      </c>
      <c r="BX26" s="453" t="s">
        <v>206</v>
      </c>
      <c r="BY26" s="453" t="s">
        <v>206</v>
      </c>
      <c r="BZ26" s="467" t="s">
        <v>2636</v>
      </c>
      <c r="CA26" s="250"/>
      <c r="CB26" s="450">
        <v>45869</v>
      </c>
      <c r="CC26" s="449" t="s">
        <v>215</v>
      </c>
      <c r="CD26" s="283" t="s">
        <v>231</v>
      </c>
      <c r="CE26" s="250"/>
      <c r="CF26" s="252"/>
      <c r="CG26" s="252"/>
      <c r="CH26" s="249" t="s">
        <v>2078</v>
      </c>
      <c r="CI26" s="250"/>
      <c r="CJ26" s="476">
        <v>45944</v>
      </c>
      <c r="CK26" s="471" t="s">
        <v>582</v>
      </c>
      <c r="CL26" s="246" t="s">
        <v>2637</v>
      </c>
      <c r="CM26" s="247" t="s">
        <v>205</v>
      </c>
      <c r="CN26" s="359" t="s">
        <v>206</v>
      </c>
      <c r="CO26" s="359" t="s">
        <v>206</v>
      </c>
      <c r="CP26" s="465" t="s">
        <v>2638</v>
      </c>
      <c r="CQ26" s="250"/>
      <c r="CR26" s="257">
        <v>46000</v>
      </c>
      <c r="CS26" s="245" t="s">
        <v>218</v>
      </c>
      <c r="CT26" s="246" t="s">
        <v>233</v>
      </c>
      <c r="CU26" s="250"/>
      <c r="CV26" s="252"/>
      <c r="CW26" s="252"/>
      <c r="CX26" s="249" t="s">
        <v>2078</v>
      </c>
      <c r="CY26" s="250"/>
      <c r="CZ26" s="252"/>
      <c r="DA26" s="252"/>
      <c r="DB26" s="249" t="s">
        <v>2078</v>
      </c>
      <c r="DC26" s="247"/>
      <c r="DD26" s="248"/>
      <c r="DE26" s="253"/>
      <c r="DF26" s="249" t="s">
        <v>2088</v>
      </c>
      <c r="DG26" s="250"/>
      <c r="DH26" s="252"/>
      <c r="DI26" s="252"/>
      <c r="DJ26" s="249" t="s">
        <v>2078</v>
      </c>
      <c r="DK26" s="250"/>
      <c r="DL26" s="252"/>
      <c r="DM26" s="252"/>
      <c r="DN26" s="249" t="s">
        <v>2078</v>
      </c>
    </row>
    <row r="27" spans="1:118" s="276" customFormat="1" ht="409.5" x14ac:dyDescent="0.2">
      <c r="A27" s="301">
        <v>12</v>
      </c>
      <c r="B27" s="316" t="s">
        <v>2600</v>
      </c>
      <c r="C27" s="331"/>
      <c r="D27" s="328" t="s">
        <v>2622</v>
      </c>
      <c r="E27" s="330" t="s">
        <v>2623</v>
      </c>
      <c r="F27" s="277" t="s">
        <v>570</v>
      </c>
      <c r="G27" s="277" t="str">
        <f>IFERROR(INDEX('[4]Base de datos gestión'!$D$28:$D$50,MATCH(F27,'[4]Base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7" s="277" t="str">
        <f>IFERROR(INDEX('[4]Base de datos gestión'!$E$28:$E$50,MATCH(F27,'[4]Base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7" s="317" t="s">
        <v>2365</v>
      </c>
      <c r="J27" s="320" t="s">
        <v>2603</v>
      </c>
      <c r="K27" s="315" t="s">
        <v>2604</v>
      </c>
      <c r="L27" s="315" t="s">
        <v>2605</v>
      </c>
      <c r="M27" s="320" t="s">
        <v>2606</v>
      </c>
      <c r="N27" s="314" t="s">
        <v>2607</v>
      </c>
      <c r="O27" s="314" t="s">
        <v>2608</v>
      </c>
      <c r="P27" s="317" t="s">
        <v>2264</v>
      </c>
      <c r="Q27" s="317" t="s">
        <v>762</v>
      </c>
      <c r="R27" s="278" t="str">
        <f>IF(OR(P27="",Q27=""),"",VLOOKUP(VALUE(CONCATENATE(VLOOKUP(Q27,TImpacto,2,FALSE),VLOOKUP(P27,TProbabilidad,2,FALSE))),TMapaCalor,2,FALSE))</f>
        <v>Extremo</v>
      </c>
      <c r="S27" s="317" t="s">
        <v>2371</v>
      </c>
      <c r="T27" s="315" t="s">
        <v>2639</v>
      </c>
      <c r="U27" s="316">
        <v>4</v>
      </c>
      <c r="V27" s="317" t="s">
        <v>197</v>
      </c>
      <c r="W27" s="307" t="s">
        <v>2373</v>
      </c>
      <c r="X27" s="307" t="s">
        <v>2374</v>
      </c>
      <c r="Y27" s="307" t="s">
        <v>2375</v>
      </c>
      <c r="Z27" s="307" t="s">
        <v>2376</v>
      </c>
      <c r="AA27" s="307" t="s">
        <v>2377</v>
      </c>
      <c r="AB27" s="307" t="s">
        <v>2378</v>
      </c>
      <c r="AC27" s="307" t="s">
        <v>2379</v>
      </c>
      <c r="AD27" s="308">
        <f>IF(W27="Asignado",15,IF(W27="No asignado",0,"Seleccione"))</f>
        <v>15</v>
      </c>
      <c r="AE27" s="308">
        <f>IF(X27="Adecuado",15,IF(X27="Inadecuado",0,"Seleccione"))</f>
        <v>15</v>
      </c>
      <c r="AF27" s="308">
        <f>IF(Y27="Oportuna",15,IF(Y27="Inoportuna",0,"Seleccione"))</f>
        <v>15</v>
      </c>
      <c r="AG27" s="308">
        <f>IF(Z27="Prevenir",15,IF(Z27="Detectar",10,IF(Z27="No es un Control",0,"Seleccione")))</f>
        <v>15</v>
      </c>
      <c r="AH27" s="308">
        <f>IF(AA27="Confiable",15,IF(AA27="No confiable",0,"Seleccione"))</f>
        <v>15</v>
      </c>
      <c r="AI27" s="308">
        <f>IF(AB27="Se investigan y resuelven oportunamente",15,IF(AB27="No se investigan y resuelven oportunamente",0,"Seleccione"))</f>
        <v>15</v>
      </c>
      <c r="AJ27" s="308">
        <f>IF(AC27="Completa",10,IF(AC27="Incompleta",5,IF(AC27="No existe",0,"Seleccione")))</f>
        <v>10</v>
      </c>
      <c r="AK27" s="308">
        <f>IF(COUNTBLANK(W27:AC27)&gt;0,"Complete las respuestas",SUM(AD27:AJ27))</f>
        <v>100</v>
      </c>
      <c r="AL27" s="308" t="str">
        <f>IF(AK27&lt;86,"Débil",IF(AND(AK27&gt;85,AK27&lt;96),"Moderado",IF(AND(AK27&gt;95,AK27&lt;101),"Fuerte","Verifique respuestas")))</f>
        <v>Fuerte</v>
      </c>
      <c r="AM27" s="307" t="s">
        <v>2380</v>
      </c>
      <c r="AN27" s="308" t="str">
        <f>IF(AND(AL27="Fuerte",AM27="Fuerte"),"Fuerte",IF(OR(AND(AL27="Fuerte",AM27="Moderado"),AND(AL27="Moderado",AM27="Fuerte"),AND(AL27="Moderado",AM27="Moderado")),"Moderado",IF(OR(AND(AL27="Fuerte",AM27="Débil"),AND(AL27="Moderado",AM27="Débil"),AND(AL27="Débil",AM27="Fuerte"),AND(AL27="Débil",AM27="Moderado"),AND(AL27="Débil",AM27="Débil")),"Débil","Verifique respuestas")))</f>
        <v>Fuerte</v>
      </c>
      <c r="AO27" s="308">
        <f>IF(AN27="Fuerte",100,IF(AN27="Moderado",50,IF(AN27="débil",0,"Verifique respuestas")))</f>
        <v>100</v>
      </c>
      <c r="AP27" s="308" t="str">
        <f>IF(AN27="Verifique respuestas","",IF(AN27="Fuerte","No","Si"))</f>
        <v>No</v>
      </c>
      <c r="AQ27" s="309">
        <f t="shared" si="27"/>
        <v>100</v>
      </c>
      <c r="AR27" s="309" t="str">
        <f>IF(AQ27="","",IF(AQ27=100,"Fuerte",IF(AND(AQ27&gt;49,AQ27&lt;100),"Moderado",IF(AND(AQ27&gt;=0,AQ27&lt;50),"Débil","Verifique"))))</f>
        <v>Fuerte</v>
      </c>
      <c r="AS27" s="312" t="s">
        <v>2381</v>
      </c>
      <c r="AT27" s="312" t="s">
        <v>2381</v>
      </c>
      <c r="AU27" s="310">
        <f>IF(OR(AR27="",AS27=""),"Verifique",IF(AND(AR27="Fuerte",AS27="Directamente"),2,IF(AND(AR27="Moderado",AS27="Directamente"),1,IF(AND(OR(AR27="Fuerte",AR27="Moderado"),AS27="No disminuye"),0,0))))</f>
        <v>2</v>
      </c>
      <c r="AV27" s="310">
        <f>IF(OR(AR27="",AT27=""),"Verifique",IF(OR(AND(AR27="Moderado",AT27="Indirectamente"),AT27="No disminuye",I27="Corrupción"),0,IF(OR(AND(AR27="Fuerte",AT27="Indirectamente"),AND(AR27="Moderado",AT27="Directamente")),1,IF(AND(AR27="Fuerte",AT27="Directamente"),2,0))))</f>
        <v>0</v>
      </c>
      <c r="AW27" s="278" t="str">
        <f>IF(OR(P27="",Q27="",AU27="Verifique",AV27="Verifique"),"",VLOOKUP(VALUE(CONCATENATE(IF((VLOOKUP(Q27,TImpacto,2,FALSE)-AV27)&lt;1,1,(VLOOKUP(Q27,TImpacto,2,FALSE)-AV27)),IF((VLOOKUP(P27,TProbabilidad,2,FALSE)-AU27)&lt;1,1,(VLOOKUP(P27,TProbabilidad,2,FALSE)-AU27)))),TMapaCalor,2,FALSE))</f>
        <v>Extremo</v>
      </c>
      <c r="AX27" s="1026"/>
      <c r="AY27" s="1026"/>
      <c r="AZ27" s="1026"/>
      <c r="BA27" s="1028"/>
      <c r="BB27" s="1026"/>
      <c r="BD27" s="357" t="s">
        <v>2614</v>
      </c>
      <c r="BE27" s="248" t="s">
        <v>2212</v>
      </c>
      <c r="BF27" s="246" t="s">
        <v>2640</v>
      </c>
      <c r="BG27" s="247" t="s">
        <v>205</v>
      </c>
      <c r="BH27" s="245" t="s">
        <v>206</v>
      </c>
      <c r="BI27" s="245" t="s">
        <v>206</v>
      </c>
      <c r="BJ27" s="358" t="s">
        <v>2641</v>
      </c>
      <c r="BL27" s="244">
        <v>45782</v>
      </c>
      <c r="BM27" s="251" t="s">
        <v>207</v>
      </c>
      <c r="BN27" s="245" t="s">
        <v>228</v>
      </c>
      <c r="BP27" s="252"/>
      <c r="BQ27" s="252"/>
      <c r="BR27" s="249" t="s">
        <v>2078</v>
      </c>
      <c r="BS27" s="250"/>
      <c r="BT27" s="466" t="s">
        <v>2617</v>
      </c>
      <c r="BU27" s="359" t="s">
        <v>784</v>
      </c>
      <c r="BV27" s="454" t="s">
        <v>2642</v>
      </c>
      <c r="BW27" s="452" t="s">
        <v>205</v>
      </c>
      <c r="BX27" s="453" t="s">
        <v>206</v>
      </c>
      <c r="BY27" s="453" t="s">
        <v>206</v>
      </c>
      <c r="BZ27" s="454" t="s">
        <v>2643</v>
      </c>
      <c r="CA27" s="250"/>
      <c r="CB27" s="450">
        <v>45869</v>
      </c>
      <c r="CC27" s="449" t="s">
        <v>215</v>
      </c>
      <c r="CD27" s="283" t="s">
        <v>231</v>
      </c>
      <c r="CE27" s="250"/>
      <c r="CF27" s="252"/>
      <c r="CG27" s="252"/>
      <c r="CH27" s="249" t="s">
        <v>2078</v>
      </c>
      <c r="CI27" s="250"/>
      <c r="CJ27" s="476">
        <v>45944</v>
      </c>
      <c r="CK27" s="471" t="s">
        <v>582</v>
      </c>
      <c r="CL27" s="246" t="s">
        <v>2644</v>
      </c>
      <c r="CM27" s="247" t="s">
        <v>205</v>
      </c>
      <c r="CN27" s="359" t="s">
        <v>206</v>
      </c>
      <c r="CO27" s="359" t="s">
        <v>206</v>
      </c>
      <c r="CP27" s="448" t="s">
        <v>2645</v>
      </c>
      <c r="CQ27" s="250"/>
      <c r="CR27" s="257">
        <v>46000</v>
      </c>
      <c r="CS27" s="245" t="s">
        <v>218</v>
      </c>
      <c r="CT27" s="246" t="s">
        <v>233</v>
      </c>
      <c r="CU27" s="250"/>
      <c r="CV27" s="252"/>
      <c r="CW27" s="252"/>
      <c r="CX27" s="249" t="s">
        <v>2078</v>
      </c>
      <c r="CY27" s="250"/>
      <c r="CZ27" s="252"/>
      <c r="DA27" s="252"/>
      <c r="DB27" s="249" t="s">
        <v>2078</v>
      </c>
      <c r="DC27" s="247"/>
      <c r="DD27" s="248"/>
      <c r="DE27" s="253"/>
      <c r="DF27" s="249" t="s">
        <v>2088</v>
      </c>
      <c r="DG27" s="250"/>
      <c r="DH27" s="252"/>
      <c r="DI27" s="252"/>
      <c r="DJ27" s="249" t="s">
        <v>2078</v>
      </c>
      <c r="DK27" s="250"/>
      <c r="DL27" s="252"/>
      <c r="DM27" s="252"/>
      <c r="DN27" s="249" t="s">
        <v>2078</v>
      </c>
    </row>
    <row r="28" spans="1:118" s="276" customFormat="1" ht="409.5" x14ac:dyDescent="0.2">
      <c r="A28" s="301">
        <v>13</v>
      </c>
      <c r="B28" s="301" t="s">
        <v>2646</v>
      </c>
      <c r="D28" s="278" t="s">
        <v>2647</v>
      </c>
      <c r="E28" s="332" t="s">
        <v>2648</v>
      </c>
      <c r="F28" s="277" t="s">
        <v>570</v>
      </c>
      <c r="G28" s="277" t="str">
        <f>IFERROR(INDEX('[4]Base de datos gestión'!$D$28:$D$50,MATCH(F28,'[4]Base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8" s="277" t="str">
        <f>IFERROR(INDEX('[4]Base de datos gestión'!$E$28:$E$50,MATCH(F28,'[4]Base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8" s="312" t="s">
        <v>2365</v>
      </c>
      <c r="J28" s="320" t="s">
        <v>2649</v>
      </c>
      <c r="K28" s="278" t="s">
        <v>2650</v>
      </c>
      <c r="L28" s="278" t="s">
        <v>2651</v>
      </c>
      <c r="M28" s="320" t="s">
        <v>2652</v>
      </c>
      <c r="N28" s="314" t="s">
        <v>2653</v>
      </c>
      <c r="O28" s="278" t="s">
        <v>2654</v>
      </c>
      <c r="P28" s="324" t="s">
        <v>2264</v>
      </c>
      <c r="Q28" s="324" t="s">
        <v>762</v>
      </c>
      <c r="R28" s="278" t="str">
        <f t="shared" ref="R28:R38" si="28">IF(OR(P28="",Q28=""),"",VLOOKUP(VALUE(CONCATENATE(VLOOKUP(Q28,TImpacto,2,FALSE),VLOOKUP(P28,TProbabilidad,2,FALSE))),TMapaCalor,2,FALSE))</f>
        <v>Extremo</v>
      </c>
      <c r="S28" s="312" t="s">
        <v>2371</v>
      </c>
      <c r="T28" s="318" t="s">
        <v>2655</v>
      </c>
      <c r="U28" s="316">
        <v>1</v>
      </c>
      <c r="V28" s="317" t="s">
        <v>197</v>
      </c>
      <c r="W28" s="307" t="s">
        <v>2373</v>
      </c>
      <c r="X28" s="307" t="s">
        <v>2374</v>
      </c>
      <c r="Y28" s="307" t="s">
        <v>2375</v>
      </c>
      <c r="Z28" s="307" t="s">
        <v>2376</v>
      </c>
      <c r="AA28" s="307" t="s">
        <v>2377</v>
      </c>
      <c r="AB28" s="307" t="s">
        <v>2378</v>
      </c>
      <c r="AC28" s="307" t="s">
        <v>2379</v>
      </c>
      <c r="AD28" s="308">
        <f t="shared" si="1"/>
        <v>15</v>
      </c>
      <c r="AE28" s="308">
        <f t="shared" si="2"/>
        <v>15</v>
      </c>
      <c r="AF28" s="308">
        <f t="shared" si="3"/>
        <v>15</v>
      </c>
      <c r="AG28" s="308">
        <f t="shared" si="4"/>
        <v>15</v>
      </c>
      <c r="AH28" s="308">
        <f t="shared" si="5"/>
        <v>15</v>
      </c>
      <c r="AI28" s="308">
        <f t="shared" si="6"/>
        <v>15</v>
      </c>
      <c r="AJ28" s="308">
        <f t="shared" si="7"/>
        <v>10</v>
      </c>
      <c r="AK28" s="308">
        <f t="shared" si="8"/>
        <v>100</v>
      </c>
      <c r="AL28" s="308" t="str">
        <f t="shared" si="13"/>
        <v>Fuerte</v>
      </c>
      <c r="AM28" s="307" t="s">
        <v>8</v>
      </c>
      <c r="AN28" s="308" t="str">
        <f t="shared" si="14"/>
        <v>Moderado</v>
      </c>
      <c r="AO28" s="308">
        <f t="shared" si="9"/>
        <v>50</v>
      </c>
      <c r="AP28" s="308" t="str">
        <f t="shared" si="15"/>
        <v>Si</v>
      </c>
      <c r="AQ28" s="309">
        <f t="shared" si="27"/>
        <v>50</v>
      </c>
      <c r="AR28" s="309" t="str">
        <f t="shared" si="16"/>
        <v>Moderado</v>
      </c>
      <c r="AS28" s="312" t="s">
        <v>2381</v>
      </c>
      <c r="AT28" s="312" t="s">
        <v>2381</v>
      </c>
      <c r="AU28" s="310">
        <f t="shared" si="17"/>
        <v>1</v>
      </c>
      <c r="AV28" s="310">
        <f t="shared" si="11"/>
        <v>0</v>
      </c>
      <c r="AW28" s="278" t="str">
        <f t="shared" ref="AW28:AW38" si="29">IF(OR(P28="",Q28="",AU28="Verifique",AV28="Verifique"),"",VLOOKUP(VALUE(CONCATENATE(IF((VLOOKUP(Q28,TImpacto,2,FALSE)-AV28)&lt;1,1,(VLOOKUP(Q28,TImpacto,2,FALSE)-AV28)),IF((VLOOKUP(P28,TProbabilidad,2,FALSE)-AU28)&lt;1,1,(VLOOKUP(P28,TProbabilidad,2,FALSE)-AU28)))),TMapaCalor,2,FALSE))</f>
        <v>Extremo</v>
      </c>
      <c r="AX28" s="1025" t="s">
        <v>2656</v>
      </c>
      <c r="AY28" s="1025" t="s">
        <v>2657</v>
      </c>
      <c r="AZ28" s="1025" t="s">
        <v>2658</v>
      </c>
      <c r="BA28" s="1027">
        <v>45884</v>
      </c>
      <c r="BB28" s="1025" t="s">
        <v>2613</v>
      </c>
      <c r="BD28" s="357" t="s">
        <v>2224</v>
      </c>
      <c r="BE28" s="248" t="s">
        <v>2212</v>
      </c>
      <c r="BF28" s="246" t="s">
        <v>2659</v>
      </c>
      <c r="BG28" s="247" t="s">
        <v>205</v>
      </c>
      <c r="BH28" s="245" t="s">
        <v>206</v>
      </c>
      <c r="BI28" s="245" t="s">
        <v>206</v>
      </c>
      <c r="BJ28" s="358" t="s">
        <v>2660</v>
      </c>
      <c r="BL28" s="244">
        <v>45782</v>
      </c>
      <c r="BM28" s="251" t="s">
        <v>207</v>
      </c>
      <c r="BN28" s="245" t="s">
        <v>228</v>
      </c>
      <c r="BP28" s="252"/>
      <c r="BQ28" s="252"/>
      <c r="BR28" s="249" t="s">
        <v>2078</v>
      </c>
      <c r="BS28" s="250"/>
      <c r="BT28" s="466" t="s">
        <v>2617</v>
      </c>
      <c r="BU28" s="359" t="s">
        <v>784</v>
      </c>
      <c r="BV28" s="454" t="s">
        <v>2661</v>
      </c>
      <c r="BW28" s="452" t="s">
        <v>205</v>
      </c>
      <c r="BX28" s="453" t="s">
        <v>206</v>
      </c>
      <c r="BY28" s="453" t="s">
        <v>206</v>
      </c>
      <c r="BZ28" s="454" t="s">
        <v>2662</v>
      </c>
      <c r="CA28" s="250"/>
      <c r="CB28" s="450">
        <v>45869</v>
      </c>
      <c r="CC28" s="449" t="s">
        <v>215</v>
      </c>
      <c r="CD28" s="283" t="s">
        <v>231</v>
      </c>
      <c r="CE28" s="250"/>
      <c r="CF28" s="252"/>
      <c r="CG28" s="252"/>
      <c r="CH28" s="249" t="s">
        <v>2078</v>
      </c>
      <c r="CI28" s="250"/>
      <c r="CJ28" s="476">
        <v>45944</v>
      </c>
      <c r="CK28" s="471" t="s">
        <v>582</v>
      </c>
      <c r="CL28" s="246" t="s">
        <v>2663</v>
      </c>
      <c r="CM28" s="247" t="s">
        <v>205</v>
      </c>
      <c r="CN28" s="359" t="s">
        <v>206</v>
      </c>
      <c r="CO28" s="359" t="s">
        <v>206</v>
      </c>
      <c r="CP28" s="246" t="s">
        <v>2664</v>
      </c>
      <c r="CQ28" s="250"/>
      <c r="CR28" s="257">
        <v>46000</v>
      </c>
      <c r="CS28" s="245" t="s">
        <v>218</v>
      </c>
      <c r="CT28" s="246" t="s">
        <v>233</v>
      </c>
      <c r="CU28" s="250"/>
      <c r="CV28" s="252"/>
      <c r="CW28" s="252"/>
      <c r="CX28" s="249" t="s">
        <v>2078</v>
      </c>
      <c r="CY28" s="250"/>
      <c r="CZ28" s="252"/>
      <c r="DA28" s="252"/>
      <c r="DB28" s="249" t="s">
        <v>2078</v>
      </c>
      <c r="DC28" s="247"/>
      <c r="DD28" s="248"/>
      <c r="DE28" s="253"/>
      <c r="DF28" s="249" t="s">
        <v>2088</v>
      </c>
      <c r="DG28" s="250"/>
      <c r="DH28" s="252"/>
      <c r="DI28" s="252"/>
      <c r="DJ28" s="249" t="s">
        <v>2078</v>
      </c>
      <c r="DK28" s="250"/>
      <c r="DL28" s="252"/>
      <c r="DM28" s="252"/>
      <c r="DN28" s="249" t="s">
        <v>2078</v>
      </c>
    </row>
    <row r="29" spans="1:118" s="276" customFormat="1" ht="409.5" x14ac:dyDescent="0.2">
      <c r="A29" s="301">
        <v>13</v>
      </c>
      <c r="B29" s="301" t="s">
        <v>2646</v>
      </c>
      <c r="D29" s="278" t="s">
        <v>2647</v>
      </c>
      <c r="E29" s="332" t="s">
        <v>2648</v>
      </c>
      <c r="F29" s="277" t="s">
        <v>570</v>
      </c>
      <c r="G29" s="277" t="str">
        <f>IFERROR(INDEX('[4]Base de datos gestión'!$D$28:$D$50,MATCH(F29,'[4]Base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29" s="277" t="str">
        <f>IFERROR(INDEX('[4]Base de datos gestión'!$E$28:$E$50,MATCH(F29,'[4]Base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29" s="312" t="s">
        <v>2365</v>
      </c>
      <c r="J29" s="320" t="s">
        <v>2649</v>
      </c>
      <c r="K29" s="278" t="s">
        <v>2650</v>
      </c>
      <c r="L29" s="278" t="s">
        <v>2651</v>
      </c>
      <c r="M29" s="320" t="s">
        <v>2652</v>
      </c>
      <c r="N29" s="314" t="s">
        <v>2653</v>
      </c>
      <c r="O29" s="278" t="s">
        <v>2654</v>
      </c>
      <c r="P29" s="312" t="s">
        <v>2264</v>
      </c>
      <c r="Q29" s="312" t="s">
        <v>762</v>
      </c>
      <c r="R29" s="278" t="str">
        <f t="shared" ref="R29" si="30">IF(OR(P29="",Q29=""),"",VLOOKUP(VALUE(CONCATENATE(VLOOKUP(Q29,TImpacto,2,FALSE),VLOOKUP(P29,TProbabilidad,2,FALSE))),TMapaCalor,2,FALSE))</f>
        <v>Extremo</v>
      </c>
      <c r="S29" s="312" t="s">
        <v>2371</v>
      </c>
      <c r="T29" s="333" t="s">
        <v>2665</v>
      </c>
      <c r="U29" s="316">
        <v>2</v>
      </c>
      <c r="V29" s="317" t="s">
        <v>269</v>
      </c>
      <c r="W29" s="307" t="s">
        <v>2373</v>
      </c>
      <c r="X29" s="307" t="s">
        <v>2374</v>
      </c>
      <c r="Y29" s="307" t="s">
        <v>2375</v>
      </c>
      <c r="Z29" s="307" t="s">
        <v>2473</v>
      </c>
      <c r="AA29" s="307" t="s">
        <v>2377</v>
      </c>
      <c r="AB29" s="307" t="s">
        <v>2378</v>
      </c>
      <c r="AC29" s="307" t="s">
        <v>2379</v>
      </c>
      <c r="AD29" s="308">
        <f t="shared" si="1"/>
        <v>15</v>
      </c>
      <c r="AE29" s="308">
        <f t="shared" si="2"/>
        <v>15</v>
      </c>
      <c r="AF29" s="308">
        <f t="shared" si="3"/>
        <v>15</v>
      </c>
      <c r="AG29" s="308">
        <f t="shared" si="4"/>
        <v>10</v>
      </c>
      <c r="AH29" s="308">
        <f t="shared" si="5"/>
        <v>15</v>
      </c>
      <c r="AI29" s="308">
        <f t="shared" si="6"/>
        <v>15</v>
      </c>
      <c r="AJ29" s="308">
        <f t="shared" si="7"/>
        <v>10</v>
      </c>
      <c r="AK29" s="308">
        <f t="shared" si="8"/>
        <v>95</v>
      </c>
      <c r="AL29" s="308" t="str">
        <f t="shared" si="13"/>
        <v>Moderado</v>
      </c>
      <c r="AM29" s="307" t="s">
        <v>2380</v>
      </c>
      <c r="AN29" s="308" t="str">
        <f t="shared" si="14"/>
        <v>Moderado</v>
      </c>
      <c r="AO29" s="308">
        <f t="shared" si="9"/>
        <v>50</v>
      </c>
      <c r="AP29" s="308" t="str">
        <f t="shared" si="15"/>
        <v>Si</v>
      </c>
      <c r="AQ29" s="309">
        <f t="shared" si="27"/>
        <v>50</v>
      </c>
      <c r="AR29" s="309" t="str">
        <f t="shared" si="16"/>
        <v>Moderado</v>
      </c>
      <c r="AS29" s="312" t="s">
        <v>2381</v>
      </c>
      <c r="AT29" s="312" t="s">
        <v>2381</v>
      </c>
      <c r="AU29" s="310">
        <f t="shared" si="17"/>
        <v>1</v>
      </c>
      <c r="AV29" s="310">
        <f t="shared" si="11"/>
        <v>0</v>
      </c>
      <c r="AW29" s="278" t="str">
        <f t="shared" ref="AW29" si="31">IF(OR(P29="",Q29="",AU29="Verifique",AV29="Verifique"),"",VLOOKUP(VALUE(CONCATENATE(IF((VLOOKUP(Q29,TImpacto,2,FALSE)-AV29)&lt;1,1,(VLOOKUP(Q29,TImpacto,2,FALSE)-AV29)),IF((VLOOKUP(P29,TProbabilidad,2,FALSE)-AU29)&lt;1,1,(VLOOKUP(P29,TProbabilidad,2,FALSE)-AU29)))),TMapaCalor,2,FALSE))</f>
        <v>Extremo</v>
      </c>
      <c r="AX29" s="1029"/>
      <c r="AY29" s="1029"/>
      <c r="AZ29" s="1029"/>
      <c r="BA29" s="1030"/>
      <c r="BB29" s="1029"/>
      <c r="BD29" s="357" t="s">
        <v>2224</v>
      </c>
      <c r="BE29" s="248" t="s">
        <v>2212</v>
      </c>
      <c r="BF29" s="246" t="s">
        <v>2666</v>
      </c>
      <c r="BG29" s="247" t="s">
        <v>205</v>
      </c>
      <c r="BH29" s="245" t="s">
        <v>206</v>
      </c>
      <c r="BI29" s="245" t="s">
        <v>206</v>
      </c>
      <c r="BJ29" s="246" t="s">
        <v>2667</v>
      </c>
      <c r="BL29" s="244">
        <v>45782</v>
      </c>
      <c r="BM29" s="251" t="s">
        <v>207</v>
      </c>
      <c r="BN29" s="245" t="s">
        <v>228</v>
      </c>
      <c r="BP29" s="252"/>
      <c r="BQ29" s="252"/>
      <c r="BR29" s="249" t="s">
        <v>2078</v>
      </c>
      <c r="BS29" s="250"/>
      <c r="BT29" s="466" t="s">
        <v>2617</v>
      </c>
      <c r="BU29" s="359" t="s">
        <v>784</v>
      </c>
      <c r="BV29" s="454" t="s">
        <v>2668</v>
      </c>
      <c r="BW29" s="452" t="s">
        <v>205</v>
      </c>
      <c r="BX29" s="453" t="s">
        <v>206</v>
      </c>
      <c r="BY29" s="453" t="s">
        <v>206</v>
      </c>
      <c r="BZ29" s="454" t="s">
        <v>2662</v>
      </c>
      <c r="CA29" s="250"/>
      <c r="CB29" s="450">
        <v>45869</v>
      </c>
      <c r="CC29" s="449" t="s">
        <v>215</v>
      </c>
      <c r="CD29" s="283" t="s">
        <v>231</v>
      </c>
      <c r="CE29" s="250"/>
      <c r="CF29" s="252"/>
      <c r="CG29" s="252"/>
      <c r="CH29" s="249" t="s">
        <v>2078</v>
      </c>
      <c r="CI29" s="250"/>
      <c r="CJ29" s="476">
        <v>45944</v>
      </c>
      <c r="CK29" s="471" t="s">
        <v>582</v>
      </c>
      <c r="CL29" s="246" t="s">
        <v>2669</v>
      </c>
      <c r="CM29" s="247" t="s">
        <v>205</v>
      </c>
      <c r="CN29" s="359" t="s">
        <v>206</v>
      </c>
      <c r="CO29" s="359" t="s">
        <v>206</v>
      </c>
      <c r="CP29" s="246" t="s">
        <v>2664</v>
      </c>
      <c r="CQ29" s="250"/>
      <c r="CR29" s="257">
        <v>46000</v>
      </c>
      <c r="CS29" s="245" t="s">
        <v>218</v>
      </c>
      <c r="CT29" s="246" t="s">
        <v>233</v>
      </c>
      <c r="CU29" s="250"/>
      <c r="CV29" s="252"/>
      <c r="CW29" s="252"/>
      <c r="CX29" s="249" t="s">
        <v>2078</v>
      </c>
      <c r="CY29" s="250"/>
      <c r="CZ29" s="252"/>
      <c r="DA29" s="252"/>
      <c r="DB29" s="249" t="s">
        <v>2078</v>
      </c>
      <c r="DC29" s="247"/>
      <c r="DD29" s="248"/>
      <c r="DE29" s="253"/>
      <c r="DF29" s="249" t="s">
        <v>2088</v>
      </c>
      <c r="DG29" s="250"/>
      <c r="DH29" s="252"/>
      <c r="DI29" s="252"/>
      <c r="DJ29" s="249" t="s">
        <v>2078</v>
      </c>
      <c r="DK29" s="250"/>
      <c r="DL29" s="252"/>
      <c r="DM29" s="252"/>
      <c r="DN29" s="249" t="s">
        <v>2078</v>
      </c>
    </row>
    <row r="30" spans="1:118" s="276" customFormat="1" ht="409.5" x14ac:dyDescent="0.2">
      <c r="A30" s="301">
        <v>13</v>
      </c>
      <c r="B30" s="301" t="s">
        <v>2646</v>
      </c>
      <c r="D30" s="278" t="s">
        <v>2647</v>
      </c>
      <c r="E30" s="332" t="s">
        <v>2648</v>
      </c>
      <c r="F30" s="277" t="s">
        <v>570</v>
      </c>
      <c r="G30" s="277" t="str">
        <f>IFERROR(INDEX('[4]Base de datos gestión'!$D$28:$D$50,MATCH(F30,'[4]Base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30" s="277" t="str">
        <f>IFERROR(INDEX('[4]Base de datos gestión'!$E$28:$E$50,MATCH(F30,'[4]Base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30" s="312" t="s">
        <v>2365</v>
      </c>
      <c r="J30" s="320" t="s">
        <v>2649</v>
      </c>
      <c r="K30" s="278" t="s">
        <v>2650</v>
      </c>
      <c r="L30" s="278" t="s">
        <v>2651</v>
      </c>
      <c r="M30" s="320" t="s">
        <v>2652</v>
      </c>
      <c r="N30" s="314" t="s">
        <v>2653</v>
      </c>
      <c r="O30" s="278" t="s">
        <v>2654</v>
      </c>
      <c r="P30" s="312" t="s">
        <v>2264</v>
      </c>
      <c r="Q30" s="312" t="s">
        <v>762</v>
      </c>
      <c r="R30" s="278" t="str">
        <f t="shared" ref="R30" si="32">IF(OR(P30="",Q30=""),"",VLOOKUP(VALUE(CONCATENATE(VLOOKUP(Q30,TImpacto,2,FALSE),VLOOKUP(P30,TProbabilidad,2,FALSE))),TMapaCalor,2,FALSE))</f>
        <v>Extremo</v>
      </c>
      <c r="S30" s="312" t="s">
        <v>2371</v>
      </c>
      <c r="T30" s="276" t="s">
        <v>2670</v>
      </c>
      <c r="U30" s="316">
        <v>3</v>
      </c>
      <c r="V30" s="317" t="s">
        <v>269</v>
      </c>
      <c r="W30" s="307" t="s">
        <v>2373</v>
      </c>
      <c r="X30" s="307" t="s">
        <v>2374</v>
      </c>
      <c r="Y30" s="307" t="s">
        <v>2375</v>
      </c>
      <c r="Z30" s="307" t="s">
        <v>2473</v>
      </c>
      <c r="AA30" s="307" t="s">
        <v>2377</v>
      </c>
      <c r="AB30" s="307" t="s">
        <v>2378</v>
      </c>
      <c r="AC30" s="307" t="s">
        <v>2379</v>
      </c>
      <c r="AD30" s="308">
        <f t="shared" si="1"/>
        <v>15</v>
      </c>
      <c r="AE30" s="308">
        <f t="shared" si="2"/>
        <v>15</v>
      </c>
      <c r="AF30" s="308">
        <f t="shared" si="3"/>
        <v>15</v>
      </c>
      <c r="AG30" s="308">
        <f t="shared" si="4"/>
        <v>10</v>
      </c>
      <c r="AH30" s="308">
        <f t="shared" si="5"/>
        <v>15</v>
      </c>
      <c r="AI30" s="308">
        <f t="shared" si="6"/>
        <v>15</v>
      </c>
      <c r="AJ30" s="308">
        <f t="shared" si="7"/>
        <v>10</v>
      </c>
      <c r="AK30" s="308">
        <f t="shared" si="8"/>
        <v>95</v>
      </c>
      <c r="AL30" s="308" t="str">
        <f t="shared" si="13"/>
        <v>Moderado</v>
      </c>
      <c r="AM30" s="307" t="s">
        <v>2380</v>
      </c>
      <c r="AN30" s="308" t="str">
        <f t="shared" si="14"/>
        <v>Moderado</v>
      </c>
      <c r="AO30" s="308">
        <f t="shared" si="9"/>
        <v>50</v>
      </c>
      <c r="AP30" s="308" t="str">
        <f t="shared" si="15"/>
        <v>Si</v>
      </c>
      <c r="AQ30" s="309">
        <f t="shared" si="27"/>
        <v>50</v>
      </c>
      <c r="AR30" s="309" t="str">
        <f t="shared" si="16"/>
        <v>Moderado</v>
      </c>
      <c r="AS30" s="312" t="s">
        <v>2381</v>
      </c>
      <c r="AT30" s="312" t="s">
        <v>2381</v>
      </c>
      <c r="AU30" s="310">
        <f t="shared" si="17"/>
        <v>1</v>
      </c>
      <c r="AV30" s="310">
        <f t="shared" si="11"/>
        <v>0</v>
      </c>
      <c r="AW30" s="278" t="str">
        <f t="shared" ref="AW30" si="33">IF(OR(P30="",Q30="",AU30="Verifique",AV30="Verifique"),"",VLOOKUP(VALUE(CONCATENATE(IF((VLOOKUP(Q30,TImpacto,2,FALSE)-AV30)&lt;1,1,(VLOOKUP(Q30,TImpacto,2,FALSE)-AV30)),IF((VLOOKUP(P30,TProbabilidad,2,FALSE)-AU30)&lt;1,1,(VLOOKUP(P30,TProbabilidad,2,FALSE)-AU30)))),TMapaCalor,2,FALSE))</f>
        <v>Extremo</v>
      </c>
      <c r="AX30" s="1026"/>
      <c r="AY30" s="1026"/>
      <c r="AZ30" s="1026"/>
      <c r="BA30" s="1028"/>
      <c r="BB30" s="1026"/>
      <c r="BD30" s="357" t="s">
        <v>2224</v>
      </c>
      <c r="BE30" s="248" t="s">
        <v>2212</v>
      </c>
      <c r="BF30" s="246" t="s">
        <v>2671</v>
      </c>
      <c r="BG30" s="247" t="s">
        <v>205</v>
      </c>
      <c r="BH30" s="245" t="s">
        <v>206</v>
      </c>
      <c r="BI30" s="245" t="s">
        <v>206</v>
      </c>
      <c r="BJ30" s="246" t="s">
        <v>2672</v>
      </c>
      <c r="BL30" s="244">
        <v>45782</v>
      </c>
      <c r="BM30" s="251" t="s">
        <v>207</v>
      </c>
      <c r="BN30" s="245" t="s">
        <v>228</v>
      </c>
      <c r="BP30" s="252"/>
      <c r="BQ30" s="252"/>
      <c r="BR30" s="249" t="s">
        <v>2078</v>
      </c>
      <c r="BS30" s="250"/>
      <c r="BT30" s="466" t="s">
        <v>2617</v>
      </c>
      <c r="BU30" s="359" t="s">
        <v>784</v>
      </c>
      <c r="BV30" s="454" t="s">
        <v>2673</v>
      </c>
      <c r="BW30" s="452" t="s">
        <v>205</v>
      </c>
      <c r="BX30" s="453" t="s">
        <v>206</v>
      </c>
      <c r="BY30" s="453" t="s">
        <v>206</v>
      </c>
      <c r="BZ30" s="455" t="s">
        <v>2674</v>
      </c>
      <c r="CA30" s="250"/>
      <c r="CB30" s="450">
        <v>45869</v>
      </c>
      <c r="CC30" s="449" t="s">
        <v>215</v>
      </c>
      <c r="CD30" s="283" t="s">
        <v>231</v>
      </c>
      <c r="CE30" s="250"/>
      <c r="CF30" s="252"/>
      <c r="CG30" s="252"/>
      <c r="CH30" s="249" t="s">
        <v>2078</v>
      </c>
      <c r="CI30" s="250"/>
      <c r="CJ30" s="476">
        <v>45944</v>
      </c>
      <c r="CK30" s="471" t="s">
        <v>582</v>
      </c>
      <c r="CL30" s="246" t="s">
        <v>2675</v>
      </c>
      <c r="CM30" s="247" t="s">
        <v>205</v>
      </c>
      <c r="CN30" s="359" t="s">
        <v>206</v>
      </c>
      <c r="CO30" s="359" t="s">
        <v>206</v>
      </c>
      <c r="CP30" s="246" t="s">
        <v>2664</v>
      </c>
      <c r="CQ30" s="250"/>
      <c r="CR30" s="257">
        <v>46000</v>
      </c>
      <c r="CS30" s="245" t="s">
        <v>218</v>
      </c>
      <c r="CT30" s="246" t="s">
        <v>233</v>
      </c>
      <c r="CU30" s="250"/>
      <c r="CV30" s="252"/>
      <c r="CW30" s="252"/>
      <c r="CX30" s="249" t="s">
        <v>2078</v>
      </c>
      <c r="CY30" s="250"/>
      <c r="CZ30" s="252"/>
      <c r="DA30" s="252"/>
      <c r="DB30" s="249" t="s">
        <v>2078</v>
      </c>
      <c r="DC30" s="247"/>
      <c r="DD30" s="248"/>
      <c r="DE30" s="253"/>
      <c r="DF30" s="249" t="s">
        <v>2088</v>
      </c>
      <c r="DG30" s="250"/>
      <c r="DH30" s="252"/>
      <c r="DI30" s="252"/>
      <c r="DJ30" s="249" t="s">
        <v>2078</v>
      </c>
      <c r="DK30" s="250"/>
      <c r="DL30" s="252"/>
      <c r="DM30" s="252"/>
      <c r="DN30" s="249" t="s">
        <v>2078</v>
      </c>
    </row>
    <row r="31" spans="1:118" s="276" customFormat="1" ht="409.5" x14ac:dyDescent="0.2">
      <c r="A31" s="301">
        <v>14</v>
      </c>
      <c r="B31" s="301" t="s">
        <v>2676</v>
      </c>
      <c r="C31" s="316"/>
      <c r="D31" s="328" t="s">
        <v>2677</v>
      </c>
      <c r="E31" s="330" t="s">
        <v>2678</v>
      </c>
      <c r="F31" s="277" t="s">
        <v>570</v>
      </c>
      <c r="G31" s="277" t="str">
        <f>IFERROR(INDEX('[4]Base de datos gestión'!$D$28:$D$50,MATCH(F31,'[4]Base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31" s="277" t="str">
        <f>IFERROR(INDEX('[4]Base de datos gestión'!$E$28:$E$50,MATCH(F31,'[4]Base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31" s="317" t="s">
        <v>2365</v>
      </c>
      <c r="J31" s="320" t="s">
        <v>2679</v>
      </c>
      <c r="K31" s="316" t="s">
        <v>2680</v>
      </c>
      <c r="L31" s="316" t="s">
        <v>2681</v>
      </c>
      <c r="M31" s="320" t="s">
        <v>2682</v>
      </c>
      <c r="N31" s="314" t="s">
        <v>2683</v>
      </c>
      <c r="O31" s="314" t="s">
        <v>2684</v>
      </c>
      <c r="P31" s="317" t="s">
        <v>2264</v>
      </c>
      <c r="Q31" s="317" t="s">
        <v>762</v>
      </c>
      <c r="R31" s="301" t="str">
        <f t="shared" si="28"/>
        <v>Extremo</v>
      </c>
      <c r="S31" s="317" t="s">
        <v>2371</v>
      </c>
      <c r="T31" s="327" t="s">
        <v>2685</v>
      </c>
      <c r="U31" s="316">
        <v>1</v>
      </c>
      <c r="V31" s="317" t="s">
        <v>197</v>
      </c>
      <c r="W31" s="307" t="s">
        <v>2373</v>
      </c>
      <c r="X31" s="307" t="s">
        <v>2374</v>
      </c>
      <c r="Y31" s="307" t="s">
        <v>2375</v>
      </c>
      <c r="Z31" s="307" t="s">
        <v>2376</v>
      </c>
      <c r="AA31" s="307" t="s">
        <v>2377</v>
      </c>
      <c r="AB31" s="307" t="s">
        <v>2378</v>
      </c>
      <c r="AC31" s="307" t="s">
        <v>2379</v>
      </c>
      <c r="AD31" s="308">
        <f t="shared" si="1"/>
        <v>15</v>
      </c>
      <c r="AE31" s="308">
        <f t="shared" si="2"/>
        <v>15</v>
      </c>
      <c r="AF31" s="308">
        <f t="shared" si="3"/>
        <v>15</v>
      </c>
      <c r="AG31" s="308">
        <f t="shared" si="4"/>
        <v>15</v>
      </c>
      <c r="AH31" s="308">
        <f t="shared" si="5"/>
        <v>15</v>
      </c>
      <c r="AI31" s="308">
        <f t="shared" si="6"/>
        <v>15</v>
      </c>
      <c r="AJ31" s="308">
        <f t="shared" si="7"/>
        <v>10</v>
      </c>
      <c r="AK31" s="308">
        <f t="shared" si="8"/>
        <v>100</v>
      </c>
      <c r="AL31" s="308" t="str">
        <f t="shared" si="13"/>
        <v>Fuerte</v>
      </c>
      <c r="AM31" s="307" t="s">
        <v>8</v>
      </c>
      <c r="AN31" s="308" t="str">
        <f t="shared" si="14"/>
        <v>Moderado</v>
      </c>
      <c r="AO31" s="308">
        <f t="shared" si="9"/>
        <v>50</v>
      </c>
      <c r="AP31" s="308" t="str">
        <f t="shared" si="15"/>
        <v>Si</v>
      </c>
      <c r="AQ31" s="308">
        <f>IF(AO31="Verifique respuestas","",AVERAGE(AO31))</f>
        <v>50</v>
      </c>
      <c r="AR31" s="308" t="str">
        <f t="shared" si="16"/>
        <v>Moderado</v>
      </c>
      <c r="AS31" s="317" t="s">
        <v>2381</v>
      </c>
      <c r="AT31" s="317" t="s">
        <v>2686</v>
      </c>
      <c r="AU31" s="321">
        <f t="shared" si="17"/>
        <v>1</v>
      </c>
      <c r="AV31" s="321">
        <f t="shared" si="11"/>
        <v>0</v>
      </c>
      <c r="AW31" s="301" t="str">
        <f t="shared" si="29"/>
        <v>Extremo</v>
      </c>
      <c r="AX31" s="316" t="s">
        <v>2687</v>
      </c>
      <c r="AY31" s="316" t="s">
        <v>2688</v>
      </c>
      <c r="AZ31" s="316" t="s">
        <v>2689</v>
      </c>
      <c r="BA31" s="319">
        <v>46001</v>
      </c>
      <c r="BB31" s="316" t="s">
        <v>2613</v>
      </c>
      <c r="BD31" s="357" t="s">
        <v>2224</v>
      </c>
      <c r="BE31" s="248" t="s">
        <v>2212</v>
      </c>
      <c r="BF31" s="246" t="s">
        <v>2690</v>
      </c>
      <c r="BG31" s="247" t="s">
        <v>205</v>
      </c>
      <c r="BH31" s="245" t="s">
        <v>206</v>
      </c>
      <c r="BI31" s="245" t="s">
        <v>206</v>
      </c>
      <c r="BJ31" s="358" t="s">
        <v>2691</v>
      </c>
      <c r="BL31" s="244">
        <v>45782</v>
      </c>
      <c r="BM31" s="251" t="s">
        <v>207</v>
      </c>
      <c r="BN31" s="245" t="s">
        <v>228</v>
      </c>
      <c r="BP31" s="252"/>
      <c r="BQ31" s="252"/>
      <c r="BR31" s="249" t="s">
        <v>2078</v>
      </c>
      <c r="BS31" s="250"/>
      <c r="BT31" s="466" t="s">
        <v>2692</v>
      </c>
      <c r="BU31" s="359" t="s">
        <v>784</v>
      </c>
      <c r="BV31" s="468" t="s">
        <v>2693</v>
      </c>
      <c r="BW31" s="452" t="s">
        <v>205</v>
      </c>
      <c r="BX31" s="453" t="s">
        <v>206</v>
      </c>
      <c r="BY31" s="453" t="s">
        <v>206</v>
      </c>
      <c r="BZ31" s="467" t="s">
        <v>2694</v>
      </c>
      <c r="CA31" s="250"/>
      <c r="CB31" s="450">
        <v>45869</v>
      </c>
      <c r="CC31" s="449" t="s">
        <v>215</v>
      </c>
      <c r="CD31" s="283" t="s">
        <v>231</v>
      </c>
      <c r="CE31" s="250"/>
      <c r="CF31" s="252"/>
      <c r="CG31" s="252"/>
      <c r="CH31" s="249" t="s">
        <v>2078</v>
      </c>
      <c r="CI31" s="250"/>
      <c r="CJ31" s="476">
        <v>45944</v>
      </c>
      <c r="CK31" s="471" t="s">
        <v>582</v>
      </c>
      <c r="CL31" s="246" t="s">
        <v>2695</v>
      </c>
      <c r="CM31" s="247" t="s">
        <v>205</v>
      </c>
      <c r="CN31" s="359" t="s">
        <v>206</v>
      </c>
      <c r="CO31" s="359" t="s">
        <v>206</v>
      </c>
      <c r="CP31" s="481" t="s">
        <v>2696</v>
      </c>
      <c r="CQ31" s="250"/>
      <c r="CR31" s="257">
        <v>46000</v>
      </c>
      <c r="CS31" s="245" t="s">
        <v>218</v>
      </c>
      <c r="CT31" s="246" t="s">
        <v>233</v>
      </c>
      <c r="CU31" s="250"/>
      <c r="CV31" s="252"/>
      <c r="CW31" s="252"/>
      <c r="CX31" s="249" t="s">
        <v>2078</v>
      </c>
      <c r="CY31" s="250"/>
      <c r="CZ31" s="252"/>
      <c r="DA31" s="252"/>
      <c r="DB31" s="249" t="s">
        <v>2078</v>
      </c>
      <c r="DC31" s="247"/>
      <c r="DD31" s="248"/>
      <c r="DE31" s="253"/>
      <c r="DF31" s="249" t="s">
        <v>2088</v>
      </c>
      <c r="DG31" s="250"/>
      <c r="DH31" s="252"/>
      <c r="DI31" s="252"/>
      <c r="DJ31" s="249" t="s">
        <v>2078</v>
      </c>
      <c r="DK31" s="250"/>
      <c r="DL31" s="252"/>
      <c r="DM31" s="252"/>
      <c r="DN31" s="249" t="s">
        <v>2078</v>
      </c>
    </row>
    <row r="32" spans="1:118" s="276" customFormat="1" ht="213" customHeight="1" x14ac:dyDescent="0.2">
      <c r="A32" s="301">
        <v>14</v>
      </c>
      <c r="B32" s="301" t="s">
        <v>2676</v>
      </c>
      <c r="C32" s="278"/>
      <c r="D32" s="328" t="s">
        <v>2677</v>
      </c>
      <c r="E32" s="330" t="s">
        <v>2678</v>
      </c>
      <c r="F32" s="277" t="s">
        <v>570</v>
      </c>
      <c r="G32" s="277" t="str">
        <f>IFERROR(INDEX('[4]Base de datos gestión'!$D$28:$D$50,MATCH(F32,'[4]Base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32" s="277" t="str">
        <f>IFERROR(INDEX('[4]Base de datos gestión'!$E$28:$E$50,MATCH(F32,'[4]Base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32" s="317" t="s">
        <v>2365</v>
      </c>
      <c r="J32" s="320" t="s">
        <v>2679</v>
      </c>
      <c r="K32" s="316" t="s">
        <v>2680</v>
      </c>
      <c r="L32" s="316" t="s">
        <v>2681</v>
      </c>
      <c r="M32" s="320" t="s">
        <v>2682</v>
      </c>
      <c r="N32" s="314" t="s">
        <v>2683</v>
      </c>
      <c r="O32" s="314" t="s">
        <v>2684</v>
      </c>
      <c r="P32" s="317" t="s">
        <v>2264</v>
      </c>
      <c r="Q32" s="317" t="s">
        <v>762</v>
      </c>
      <c r="R32" s="278" t="str">
        <f t="shared" si="28"/>
        <v>Extremo</v>
      </c>
      <c r="S32" s="317" t="s">
        <v>2371</v>
      </c>
      <c r="T32" s="327" t="s">
        <v>2697</v>
      </c>
      <c r="U32" s="316">
        <v>2</v>
      </c>
      <c r="V32" s="317" t="s">
        <v>269</v>
      </c>
      <c r="W32" s="307" t="s">
        <v>2373</v>
      </c>
      <c r="X32" s="307" t="s">
        <v>2374</v>
      </c>
      <c r="Y32" s="307" t="s">
        <v>2375</v>
      </c>
      <c r="Z32" s="307" t="s">
        <v>2473</v>
      </c>
      <c r="AA32" s="307" t="s">
        <v>2377</v>
      </c>
      <c r="AB32" s="307" t="s">
        <v>2378</v>
      </c>
      <c r="AC32" s="307" t="s">
        <v>2379</v>
      </c>
      <c r="AD32" s="308">
        <f t="shared" si="1"/>
        <v>15</v>
      </c>
      <c r="AE32" s="308">
        <f t="shared" si="2"/>
        <v>15</v>
      </c>
      <c r="AF32" s="308">
        <f t="shared" si="3"/>
        <v>15</v>
      </c>
      <c r="AG32" s="308">
        <f t="shared" si="4"/>
        <v>10</v>
      </c>
      <c r="AH32" s="308">
        <f t="shared" si="5"/>
        <v>15</v>
      </c>
      <c r="AI32" s="308">
        <f t="shared" si="6"/>
        <v>15</v>
      </c>
      <c r="AJ32" s="308">
        <f t="shared" si="7"/>
        <v>10</v>
      </c>
      <c r="AK32" s="308">
        <f t="shared" si="8"/>
        <v>95</v>
      </c>
      <c r="AL32" s="308" t="str">
        <f t="shared" si="13"/>
        <v>Moderado</v>
      </c>
      <c r="AM32" s="307" t="s">
        <v>8</v>
      </c>
      <c r="AN32" s="308" t="str">
        <f t="shared" si="14"/>
        <v>Moderado</v>
      </c>
      <c r="AO32" s="308">
        <f t="shared" si="9"/>
        <v>50</v>
      </c>
      <c r="AP32" s="308" t="str">
        <f t="shared" si="15"/>
        <v>Si</v>
      </c>
      <c r="AQ32" s="310">
        <f t="shared" ref="AQ32:AQ59" si="34">IF(AO32="Verifique respuestas","",AVERAGE(AO32:AO32))</f>
        <v>50</v>
      </c>
      <c r="AR32" s="309" t="str">
        <f t="shared" si="16"/>
        <v>Moderado</v>
      </c>
      <c r="AS32" s="317" t="s">
        <v>2381</v>
      </c>
      <c r="AT32" s="317" t="s">
        <v>2698</v>
      </c>
      <c r="AU32" s="310">
        <f t="shared" si="17"/>
        <v>1</v>
      </c>
      <c r="AV32" s="310">
        <f t="shared" si="11"/>
        <v>0</v>
      </c>
      <c r="AW32" s="278" t="str">
        <f t="shared" si="29"/>
        <v>Extremo</v>
      </c>
      <c r="AX32" s="278" t="s">
        <v>2699</v>
      </c>
      <c r="AY32" s="278" t="s">
        <v>2700</v>
      </c>
      <c r="AZ32" s="278" t="s">
        <v>2701</v>
      </c>
      <c r="BA32" s="319">
        <v>46001</v>
      </c>
      <c r="BB32" s="278" t="s">
        <v>2613</v>
      </c>
      <c r="BD32" s="357" t="s">
        <v>2224</v>
      </c>
      <c r="BE32" s="248" t="s">
        <v>2212</v>
      </c>
      <c r="BF32" s="246" t="s">
        <v>2702</v>
      </c>
      <c r="BG32" s="247" t="s">
        <v>205</v>
      </c>
      <c r="BH32" s="245" t="s">
        <v>206</v>
      </c>
      <c r="BI32" s="245" t="s">
        <v>206</v>
      </c>
      <c r="BJ32" s="358" t="s">
        <v>2703</v>
      </c>
      <c r="BL32" s="244">
        <v>45782</v>
      </c>
      <c r="BM32" s="251" t="s">
        <v>207</v>
      </c>
      <c r="BN32" s="245" t="s">
        <v>228</v>
      </c>
      <c r="BP32" s="252"/>
      <c r="BQ32" s="252"/>
      <c r="BR32" s="249" t="s">
        <v>2078</v>
      </c>
      <c r="BS32" s="250"/>
      <c r="BT32" s="466" t="s">
        <v>2692</v>
      </c>
      <c r="BU32" s="359" t="s">
        <v>784</v>
      </c>
      <c r="BV32" s="468" t="s">
        <v>2704</v>
      </c>
      <c r="BW32" s="456" t="s">
        <v>205</v>
      </c>
      <c r="BX32" s="454" t="s">
        <v>206</v>
      </c>
      <c r="BY32" s="454" t="s">
        <v>206</v>
      </c>
      <c r="BZ32" s="467" t="s">
        <v>2705</v>
      </c>
      <c r="CA32" s="250"/>
      <c r="CB32" s="450">
        <v>45869</v>
      </c>
      <c r="CC32" s="449" t="s">
        <v>215</v>
      </c>
      <c r="CD32" s="283" t="s">
        <v>231</v>
      </c>
      <c r="CE32" s="250"/>
      <c r="CF32" s="252"/>
      <c r="CG32" s="252"/>
      <c r="CH32" s="249" t="s">
        <v>2078</v>
      </c>
      <c r="CI32" s="250"/>
      <c r="CJ32" s="476">
        <v>45944</v>
      </c>
      <c r="CK32" s="471" t="s">
        <v>582</v>
      </c>
      <c r="CL32" s="457" t="s">
        <v>2706</v>
      </c>
      <c r="CM32" s="247" t="s">
        <v>205</v>
      </c>
      <c r="CN32" s="359" t="s">
        <v>206</v>
      </c>
      <c r="CO32" s="359" t="s">
        <v>206</v>
      </c>
      <c r="CP32" s="482" t="s">
        <v>2707</v>
      </c>
      <c r="CQ32" s="250"/>
      <c r="CR32" s="257">
        <v>46000</v>
      </c>
      <c r="CS32" s="245" t="s">
        <v>218</v>
      </c>
      <c r="CT32" s="246" t="s">
        <v>233</v>
      </c>
      <c r="CU32" s="250"/>
      <c r="CV32" s="252"/>
      <c r="CW32" s="252"/>
      <c r="CX32" s="249" t="s">
        <v>2078</v>
      </c>
      <c r="CY32" s="250"/>
      <c r="CZ32" s="252"/>
      <c r="DA32" s="252"/>
      <c r="DB32" s="249" t="s">
        <v>2078</v>
      </c>
      <c r="DC32" s="247"/>
      <c r="DD32" s="248"/>
      <c r="DE32" s="253"/>
      <c r="DF32" s="249" t="s">
        <v>2088</v>
      </c>
      <c r="DG32" s="250"/>
      <c r="DH32" s="252"/>
      <c r="DI32" s="252"/>
      <c r="DJ32" s="249" t="s">
        <v>2078</v>
      </c>
      <c r="DK32" s="250"/>
      <c r="DL32" s="252"/>
      <c r="DM32" s="252"/>
      <c r="DN32" s="249" t="s">
        <v>2078</v>
      </c>
    </row>
    <row r="33" spans="1:118" s="276" customFormat="1" ht="281.25" customHeight="1" x14ac:dyDescent="0.2">
      <c r="A33" s="301">
        <v>15</v>
      </c>
      <c r="B33" s="301" t="s">
        <v>2708</v>
      </c>
      <c r="C33" s="278"/>
      <c r="D33" s="332" t="s">
        <v>2709</v>
      </c>
      <c r="E33" s="334" t="s">
        <v>2710</v>
      </c>
      <c r="F33" s="277" t="s">
        <v>570</v>
      </c>
      <c r="G33" s="277" t="str">
        <f>IFERROR(INDEX('[4]Base de datos gestión'!$D$28:$D$50,MATCH(F33,'[4]Base de datos gestión'!$C$28:$C$50,0)), 0)</f>
        <v>Proporcionar a los clientes servicios de calibración y medición metrológica oportunos, confiables e imparciales, de acuerdo a la oferta de servicios publicada, trazables metrológicamente; mediante el cumplimiento de las condiciones establecidas con el cliente, los requisitos establecidos dentro del alcance del SIG, del CIPM-MRA, requisitos legales y otros requisitos aplicables al INM.</v>
      </c>
      <c r="H33" s="277" t="str">
        <f>IFERROR(INDEX('[4]Base de datos gestión'!$E$28:$E$50,MATCH(F33,'[4]Base de datos gestión'!$C$28:$C$50,0)), 0)</f>
        <v>Inicia con la determinación de la capacidad técnica y disponibilidad para la prestación de servicio, finalizando con la entrega del ítem o instrumento, según aplique, con su correspondiente certificado de calibración o informe de medición, al proceso gestión de servicios metrológicos.</v>
      </c>
      <c r="I33" s="312" t="s">
        <v>2365</v>
      </c>
      <c r="J33" s="313" t="s">
        <v>2711</v>
      </c>
      <c r="K33" s="278" t="s">
        <v>2712</v>
      </c>
      <c r="L33" s="278" t="s">
        <v>2713</v>
      </c>
      <c r="M33" s="313" t="s">
        <v>2714</v>
      </c>
      <c r="N33" s="314" t="s">
        <v>2715</v>
      </c>
      <c r="O33" s="278" t="s">
        <v>2457</v>
      </c>
      <c r="P33" s="312" t="s">
        <v>2261</v>
      </c>
      <c r="Q33" s="312" t="s">
        <v>762</v>
      </c>
      <c r="R33" s="278" t="str">
        <f t="shared" si="28"/>
        <v>Extremo</v>
      </c>
      <c r="S33" s="312" t="s">
        <v>2371</v>
      </c>
      <c r="T33" s="493" t="s">
        <v>2716</v>
      </c>
      <c r="U33" s="316">
        <v>1</v>
      </c>
      <c r="V33" s="317" t="s">
        <v>197</v>
      </c>
      <c r="W33" s="307" t="s">
        <v>2373</v>
      </c>
      <c r="X33" s="307" t="s">
        <v>2374</v>
      </c>
      <c r="Y33" s="307" t="s">
        <v>2375</v>
      </c>
      <c r="Z33" s="307" t="s">
        <v>2376</v>
      </c>
      <c r="AA33" s="307" t="s">
        <v>2377</v>
      </c>
      <c r="AB33" s="307" t="s">
        <v>2378</v>
      </c>
      <c r="AC33" s="307" t="s">
        <v>2379</v>
      </c>
      <c r="AD33" s="308">
        <f t="shared" si="1"/>
        <v>15</v>
      </c>
      <c r="AE33" s="308">
        <f t="shared" si="2"/>
        <v>15</v>
      </c>
      <c r="AF33" s="308">
        <f t="shared" si="3"/>
        <v>15</v>
      </c>
      <c r="AG33" s="308">
        <f t="shared" si="4"/>
        <v>15</v>
      </c>
      <c r="AH33" s="308">
        <f t="shared" si="5"/>
        <v>15</v>
      </c>
      <c r="AI33" s="308">
        <f t="shared" si="6"/>
        <v>15</v>
      </c>
      <c r="AJ33" s="308">
        <f t="shared" si="7"/>
        <v>10</v>
      </c>
      <c r="AK33" s="308">
        <f t="shared" si="8"/>
        <v>100</v>
      </c>
      <c r="AL33" s="308" t="str">
        <f t="shared" si="13"/>
        <v>Fuerte</v>
      </c>
      <c r="AM33" s="307" t="s">
        <v>2380</v>
      </c>
      <c r="AN33" s="308" t="str">
        <f t="shared" si="14"/>
        <v>Fuerte</v>
      </c>
      <c r="AO33" s="308">
        <f t="shared" si="9"/>
        <v>100</v>
      </c>
      <c r="AP33" s="308" t="str">
        <f t="shared" si="15"/>
        <v>No</v>
      </c>
      <c r="AQ33" s="309">
        <f t="shared" si="34"/>
        <v>100</v>
      </c>
      <c r="AR33" s="309" t="str">
        <f t="shared" si="16"/>
        <v>Fuerte</v>
      </c>
      <c r="AS33" s="312" t="s">
        <v>2381</v>
      </c>
      <c r="AT33" s="312" t="s">
        <v>2381</v>
      </c>
      <c r="AU33" s="310">
        <f t="shared" si="17"/>
        <v>2</v>
      </c>
      <c r="AV33" s="310">
        <f t="shared" si="11"/>
        <v>0</v>
      </c>
      <c r="AW33" s="278" t="str">
        <f t="shared" si="29"/>
        <v>Extremo</v>
      </c>
      <c r="AX33" s="316" t="s">
        <v>2717</v>
      </c>
      <c r="AY33" s="316" t="s">
        <v>2718</v>
      </c>
      <c r="AZ33" s="316" t="s">
        <v>2719</v>
      </c>
      <c r="BA33" s="311">
        <v>46001</v>
      </c>
      <c r="BB33" s="315" t="s">
        <v>2613</v>
      </c>
      <c r="BD33" s="357" t="s">
        <v>2224</v>
      </c>
      <c r="BE33" s="248" t="s">
        <v>2212</v>
      </c>
      <c r="BF33" s="246" t="s">
        <v>2720</v>
      </c>
      <c r="BG33" s="247" t="s">
        <v>205</v>
      </c>
      <c r="BH33" s="245" t="s">
        <v>206</v>
      </c>
      <c r="BI33" s="245" t="s">
        <v>206</v>
      </c>
      <c r="BJ33" s="358" t="s">
        <v>2721</v>
      </c>
      <c r="BL33" s="244">
        <v>45782</v>
      </c>
      <c r="BM33" s="251" t="s">
        <v>207</v>
      </c>
      <c r="BN33" s="245" t="s">
        <v>228</v>
      </c>
      <c r="BP33" s="252"/>
      <c r="BQ33" s="252"/>
      <c r="BR33" s="249" t="s">
        <v>2078</v>
      </c>
      <c r="BS33" s="250"/>
      <c r="BT33" s="466" t="s">
        <v>2692</v>
      </c>
      <c r="BU33" s="359" t="s">
        <v>784</v>
      </c>
      <c r="BV33" s="454" t="s">
        <v>2722</v>
      </c>
      <c r="BW33" s="456" t="s">
        <v>205</v>
      </c>
      <c r="BX33" s="454" t="s">
        <v>206</v>
      </c>
      <c r="BY33" s="454" t="s">
        <v>206</v>
      </c>
      <c r="BZ33" s="467" t="s">
        <v>2723</v>
      </c>
      <c r="CA33" s="250"/>
      <c r="CB33" s="450">
        <v>45869</v>
      </c>
      <c r="CC33" s="449" t="s">
        <v>215</v>
      </c>
      <c r="CD33" s="283" t="s">
        <v>231</v>
      </c>
      <c r="CE33" s="250"/>
      <c r="CF33" s="252"/>
      <c r="CG33" s="252"/>
      <c r="CH33" s="249" t="s">
        <v>2078</v>
      </c>
      <c r="CI33" s="250"/>
      <c r="CJ33" s="476">
        <v>45944</v>
      </c>
      <c r="CK33" s="471" t="s">
        <v>582</v>
      </c>
      <c r="CL33" s="246" t="s">
        <v>2724</v>
      </c>
      <c r="CM33" s="247" t="s">
        <v>205</v>
      </c>
      <c r="CN33" s="359" t="s">
        <v>206</v>
      </c>
      <c r="CO33" s="359" t="s">
        <v>206</v>
      </c>
      <c r="CP33" s="448" t="s">
        <v>2725</v>
      </c>
      <c r="CQ33" s="250"/>
      <c r="CR33" s="257">
        <v>46000</v>
      </c>
      <c r="CS33" s="506" t="s">
        <v>218</v>
      </c>
      <c r="CT33" s="497" t="s">
        <v>233</v>
      </c>
      <c r="CU33" s="250"/>
      <c r="CV33" s="252"/>
      <c r="CW33" s="252"/>
      <c r="CX33" s="249" t="s">
        <v>2078</v>
      </c>
      <c r="CY33" s="250"/>
      <c r="CZ33" s="252"/>
      <c r="DA33" s="252"/>
      <c r="DB33" s="249" t="s">
        <v>2078</v>
      </c>
      <c r="DC33" s="247"/>
      <c r="DD33" s="248"/>
      <c r="DE33" s="253"/>
      <c r="DF33" s="249" t="s">
        <v>2088</v>
      </c>
      <c r="DG33" s="250"/>
      <c r="DH33" s="252"/>
      <c r="DI33" s="252"/>
      <c r="DJ33" s="249" t="s">
        <v>2078</v>
      </c>
      <c r="DK33" s="250"/>
      <c r="DL33" s="252"/>
      <c r="DM33" s="252"/>
      <c r="DN33" s="249" t="s">
        <v>2078</v>
      </c>
    </row>
    <row r="34" spans="1:118" s="276" customFormat="1" ht="409.5" x14ac:dyDescent="0.2">
      <c r="A34" s="301">
        <v>16</v>
      </c>
      <c r="B34" s="301" t="s">
        <v>2726</v>
      </c>
      <c r="C34" s="278"/>
      <c r="D34" s="335" t="s">
        <v>2727</v>
      </c>
      <c r="E34" s="336" t="s">
        <v>2728</v>
      </c>
      <c r="F34" s="277" t="s">
        <v>880</v>
      </c>
      <c r="G34" s="277" t="str">
        <f>IFERROR(INDEX('[4]Base de datos gestión'!$D$28:$D$50,MATCH(F34,'[4]Base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H34" s="277" t="str">
        <f>IFERROR(INDEX('[4]Base de datos gestión'!$E$28:$E$50,MATCH(F34,'[4]Base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I34" s="312" t="s">
        <v>2365</v>
      </c>
      <c r="J34" s="313" t="s">
        <v>535</v>
      </c>
      <c r="K34" s="278" t="s">
        <v>2729</v>
      </c>
      <c r="L34" s="278" t="s">
        <v>2730</v>
      </c>
      <c r="M34" s="313" t="s">
        <v>535</v>
      </c>
      <c r="N34" s="314" t="s">
        <v>2731</v>
      </c>
      <c r="O34" s="278" t="s">
        <v>2732</v>
      </c>
      <c r="P34" s="312" t="s">
        <v>2263</v>
      </c>
      <c r="Q34" s="312" t="s">
        <v>762</v>
      </c>
      <c r="R34" s="278" t="str">
        <f t="shared" si="28"/>
        <v>Extremo</v>
      </c>
      <c r="S34" s="312" t="s">
        <v>2371</v>
      </c>
      <c r="T34" s="337" t="s">
        <v>2733</v>
      </c>
      <c r="U34" s="316">
        <v>1</v>
      </c>
      <c r="V34" s="317" t="s">
        <v>197</v>
      </c>
      <c r="W34" s="307" t="s">
        <v>2373</v>
      </c>
      <c r="X34" s="307" t="s">
        <v>2374</v>
      </c>
      <c r="Y34" s="307" t="s">
        <v>2375</v>
      </c>
      <c r="Z34" s="307" t="s">
        <v>2376</v>
      </c>
      <c r="AA34" s="307" t="s">
        <v>2377</v>
      </c>
      <c r="AB34" s="307" t="s">
        <v>2378</v>
      </c>
      <c r="AC34" s="307" t="s">
        <v>2379</v>
      </c>
      <c r="AD34" s="308">
        <f t="shared" si="1"/>
        <v>15</v>
      </c>
      <c r="AE34" s="308">
        <f t="shared" si="2"/>
        <v>15</v>
      </c>
      <c r="AF34" s="308">
        <f t="shared" si="3"/>
        <v>15</v>
      </c>
      <c r="AG34" s="308">
        <f t="shared" si="4"/>
        <v>15</v>
      </c>
      <c r="AH34" s="308">
        <f t="shared" si="5"/>
        <v>15</v>
      </c>
      <c r="AI34" s="308">
        <f t="shared" si="6"/>
        <v>15</v>
      </c>
      <c r="AJ34" s="308">
        <f t="shared" si="7"/>
        <v>10</v>
      </c>
      <c r="AK34" s="308">
        <f t="shared" si="8"/>
        <v>100</v>
      </c>
      <c r="AL34" s="308" t="str">
        <f t="shared" si="13"/>
        <v>Fuerte</v>
      </c>
      <c r="AM34" s="307" t="s">
        <v>2380</v>
      </c>
      <c r="AN34" s="308" t="str">
        <f t="shared" si="14"/>
        <v>Fuerte</v>
      </c>
      <c r="AO34" s="308">
        <f t="shared" si="9"/>
        <v>100</v>
      </c>
      <c r="AP34" s="308" t="str">
        <f t="shared" si="15"/>
        <v>No</v>
      </c>
      <c r="AQ34" s="309">
        <f t="shared" si="34"/>
        <v>100</v>
      </c>
      <c r="AR34" s="309" t="str">
        <f t="shared" si="16"/>
        <v>Fuerte</v>
      </c>
      <c r="AS34" s="312" t="s">
        <v>2381</v>
      </c>
      <c r="AT34" s="312" t="s">
        <v>2381</v>
      </c>
      <c r="AU34" s="310">
        <f t="shared" si="17"/>
        <v>2</v>
      </c>
      <c r="AV34" s="310">
        <f t="shared" si="11"/>
        <v>0</v>
      </c>
      <c r="AW34" s="278" t="str">
        <f t="shared" si="29"/>
        <v>Extremo</v>
      </c>
      <c r="AX34" s="1025" t="s">
        <v>2734</v>
      </c>
      <c r="AY34" s="1019" t="s">
        <v>2735</v>
      </c>
      <c r="AZ34" s="1025" t="s">
        <v>2736</v>
      </c>
      <c r="BA34" s="1027">
        <v>46022</v>
      </c>
      <c r="BB34" s="1025" t="s">
        <v>2737</v>
      </c>
      <c r="BD34" s="257">
        <v>45758</v>
      </c>
      <c r="BE34" s="245" t="s">
        <v>886</v>
      </c>
      <c r="BF34" s="246" t="s">
        <v>2738</v>
      </c>
      <c r="BG34" s="247" t="s">
        <v>205</v>
      </c>
      <c r="BH34" s="245" t="s">
        <v>206</v>
      </c>
      <c r="BI34" s="245" t="s">
        <v>206</v>
      </c>
      <c r="BJ34" s="358" t="s">
        <v>2739</v>
      </c>
      <c r="BL34" s="244">
        <v>45782</v>
      </c>
      <c r="BM34" s="251" t="s">
        <v>207</v>
      </c>
      <c r="BN34" s="245" t="s">
        <v>228</v>
      </c>
      <c r="BP34" s="252"/>
      <c r="BQ34" s="252"/>
      <c r="BR34" s="249" t="s">
        <v>2078</v>
      </c>
      <c r="BS34" s="250"/>
      <c r="BT34" s="257">
        <v>45855</v>
      </c>
      <c r="BU34" s="245" t="s">
        <v>886</v>
      </c>
      <c r="BV34" s="246" t="s">
        <v>2740</v>
      </c>
      <c r="BW34" s="247" t="s">
        <v>205</v>
      </c>
      <c r="BX34" s="245" t="s">
        <v>206</v>
      </c>
      <c r="BY34" s="245" t="s">
        <v>206</v>
      </c>
      <c r="BZ34" s="465" t="s">
        <v>2741</v>
      </c>
      <c r="CA34" s="250"/>
      <c r="CB34" s="450">
        <v>45869</v>
      </c>
      <c r="CC34" s="449" t="s">
        <v>215</v>
      </c>
      <c r="CD34" s="283" t="s">
        <v>231</v>
      </c>
      <c r="CE34" s="250"/>
      <c r="CF34" s="252"/>
      <c r="CG34" s="252"/>
      <c r="CH34" s="249" t="s">
        <v>2078</v>
      </c>
      <c r="CI34" s="250"/>
      <c r="CJ34" s="244">
        <v>45939</v>
      </c>
      <c r="CK34" s="245" t="s">
        <v>889</v>
      </c>
      <c r="CL34" s="246" t="s">
        <v>2742</v>
      </c>
      <c r="CM34" s="247" t="s">
        <v>205</v>
      </c>
      <c r="CN34" s="245" t="s">
        <v>206</v>
      </c>
      <c r="CO34" s="245" t="s">
        <v>206</v>
      </c>
      <c r="CP34" s="448" t="s">
        <v>2743</v>
      </c>
      <c r="CQ34" s="250"/>
      <c r="CR34" s="257">
        <v>46000</v>
      </c>
      <c r="CS34" s="501" t="s">
        <v>218</v>
      </c>
      <c r="CT34" s="505" t="s">
        <v>233</v>
      </c>
      <c r="CU34" s="250"/>
      <c r="CV34" s="252"/>
      <c r="CW34" s="252"/>
      <c r="CX34" s="249" t="s">
        <v>2078</v>
      </c>
      <c r="CY34" s="250"/>
      <c r="CZ34" s="252"/>
      <c r="DA34" s="252"/>
      <c r="DB34" s="249" t="s">
        <v>2078</v>
      </c>
      <c r="DC34" s="247"/>
      <c r="DD34" s="248"/>
      <c r="DE34" s="253"/>
      <c r="DF34" s="249" t="s">
        <v>2088</v>
      </c>
      <c r="DG34" s="250"/>
      <c r="DH34" s="252"/>
      <c r="DI34" s="252"/>
      <c r="DJ34" s="249" t="s">
        <v>2078</v>
      </c>
      <c r="DK34" s="250"/>
      <c r="DL34" s="252"/>
      <c r="DM34" s="252"/>
      <c r="DN34" s="249" t="s">
        <v>2078</v>
      </c>
    </row>
    <row r="35" spans="1:118" s="276" customFormat="1" ht="409.5" x14ac:dyDescent="0.2">
      <c r="A35" s="301">
        <v>16</v>
      </c>
      <c r="B35" s="301" t="s">
        <v>2726</v>
      </c>
      <c r="C35" s="278"/>
      <c r="D35" s="335" t="s">
        <v>2727</v>
      </c>
      <c r="E35" s="336" t="s">
        <v>2728</v>
      </c>
      <c r="F35" s="277" t="s">
        <v>880</v>
      </c>
      <c r="G35" s="277" t="str">
        <f>IFERROR(INDEX('[4]Base de datos gestión'!$D$28:$D$50,MATCH(F35,'[4]Base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H35" s="277" t="str">
        <f>IFERROR(INDEX('[4]Base de datos gestión'!$E$28:$E$50,MATCH(F35,'[4]Base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I35" s="312" t="s">
        <v>2365</v>
      </c>
      <c r="J35" s="313" t="s">
        <v>535</v>
      </c>
      <c r="K35" s="278" t="s">
        <v>2729</v>
      </c>
      <c r="L35" s="278" t="s">
        <v>2730</v>
      </c>
      <c r="M35" s="313" t="s">
        <v>535</v>
      </c>
      <c r="N35" s="314" t="s">
        <v>2731</v>
      </c>
      <c r="O35" s="278" t="s">
        <v>2732</v>
      </c>
      <c r="P35" s="312" t="s">
        <v>2263</v>
      </c>
      <c r="Q35" s="312" t="s">
        <v>762</v>
      </c>
      <c r="R35" s="278" t="str">
        <f t="shared" si="28"/>
        <v>Extremo</v>
      </c>
      <c r="S35" s="312" t="s">
        <v>2371</v>
      </c>
      <c r="T35" s="494" t="s">
        <v>2744</v>
      </c>
      <c r="U35" s="316">
        <v>2</v>
      </c>
      <c r="V35" s="317" t="s">
        <v>269</v>
      </c>
      <c r="W35" s="307" t="s">
        <v>2373</v>
      </c>
      <c r="X35" s="307" t="s">
        <v>2374</v>
      </c>
      <c r="Y35" s="307" t="s">
        <v>2375</v>
      </c>
      <c r="Z35" s="307" t="s">
        <v>2473</v>
      </c>
      <c r="AA35" s="307" t="s">
        <v>2377</v>
      </c>
      <c r="AB35" s="307" t="s">
        <v>2378</v>
      </c>
      <c r="AC35" s="307" t="s">
        <v>2379</v>
      </c>
      <c r="AD35" s="308">
        <f t="shared" si="1"/>
        <v>15</v>
      </c>
      <c r="AE35" s="308">
        <f t="shared" si="2"/>
        <v>15</v>
      </c>
      <c r="AF35" s="308">
        <f t="shared" si="3"/>
        <v>15</v>
      </c>
      <c r="AG35" s="308">
        <f t="shared" si="4"/>
        <v>10</v>
      </c>
      <c r="AH35" s="308">
        <f t="shared" si="5"/>
        <v>15</v>
      </c>
      <c r="AI35" s="308">
        <f t="shared" si="6"/>
        <v>15</v>
      </c>
      <c r="AJ35" s="308">
        <f t="shared" si="7"/>
        <v>10</v>
      </c>
      <c r="AK35" s="308">
        <f t="shared" si="8"/>
        <v>95</v>
      </c>
      <c r="AL35" s="308" t="str">
        <f t="shared" si="13"/>
        <v>Moderado</v>
      </c>
      <c r="AM35" s="307" t="s">
        <v>2380</v>
      </c>
      <c r="AN35" s="308" t="str">
        <f t="shared" si="14"/>
        <v>Moderado</v>
      </c>
      <c r="AO35" s="308">
        <f t="shared" si="9"/>
        <v>50</v>
      </c>
      <c r="AP35" s="308" t="str">
        <f t="shared" si="15"/>
        <v>Si</v>
      </c>
      <c r="AQ35" s="309">
        <f t="shared" si="34"/>
        <v>50</v>
      </c>
      <c r="AR35" s="309" t="str">
        <f t="shared" si="16"/>
        <v>Moderado</v>
      </c>
      <c r="AS35" s="312" t="s">
        <v>2381</v>
      </c>
      <c r="AT35" s="312" t="s">
        <v>2381</v>
      </c>
      <c r="AU35" s="310">
        <f t="shared" si="17"/>
        <v>1</v>
      </c>
      <c r="AV35" s="310">
        <f t="shared" si="11"/>
        <v>0</v>
      </c>
      <c r="AW35" s="278" t="str">
        <f t="shared" si="29"/>
        <v>Extremo</v>
      </c>
      <c r="AX35" s="1026"/>
      <c r="AY35" s="1020"/>
      <c r="AZ35" s="1026"/>
      <c r="BA35" s="1028"/>
      <c r="BB35" s="1026"/>
      <c r="BD35" s="257">
        <v>45762</v>
      </c>
      <c r="BE35" s="245" t="s">
        <v>886</v>
      </c>
      <c r="BF35" s="246" t="s">
        <v>2745</v>
      </c>
      <c r="BG35" s="247" t="s">
        <v>205</v>
      </c>
      <c r="BH35" s="245" t="s">
        <v>206</v>
      </c>
      <c r="BI35" s="245" t="s">
        <v>206</v>
      </c>
      <c r="BJ35" s="245" t="s">
        <v>206</v>
      </c>
      <c r="BL35" s="244">
        <v>45782</v>
      </c>
      <c r="BM35" s="251" t="s">
        <v>207</v>
      </c>
      <c r="BN35" s="245" t="s">
        <v>228</v>
      </c>
      <c r="BP35" s="252"/>
      <c r="BQ35" s="252"/>
      <c r="BR35" s="249" t="s">
        <v>2078</v>
      </c>
      <c r="BS35" s="250"/>
      <c r="BT35" s="257">
        <v>45855</v>
      </c>
      <c r="BU35" s="245" t="s">
        <v>886</v>
      </c>
      <c r="BV35" s="246" t="s">
        <v>2746</v>
      </c>
      <c r="BW35" s="247" t="s">
        <v>205</v>
      </c>
      <c r="BX35" s="245" t="s">
        <v>206</v>
      </c>
      <c r="BY35" s="245" t="s">
        <v>206</v>
      </c>
      <c r="BZ35" s="448" t="s">
        <v>2747</v>
      </c>
      <c r="CA35" s="250"/>
      <c r="CB35" s="450">
        <v>45869</v>
      </c>
      <c r="CC35" s="449" t="s">
        <v>215</v>
      </c>
      <c r="CD35" s="283" t="s">
        <v>231</v>
      </c>
      <c r="CE35" s="250"/>
      <c r="CF35" s="252"/>
      <c r="CG35" s="252"/>
      <c r="CH35" s="249" t="s">
        <v>2078</v>
      </c>
      <c r="CI35" s="250"/>
      <c r="CJ35" s="244">
        <v>45939</v>
      </c>
      <c r="CK35" s="245" t="s">
        <v>889</v>
      </c>
      <c r="CL35" s="246" t="s">
        <v>890</v>
      </c>
      <c r="CM35" s="247" t="s">
        <v>205</v>
      </c>
      <c r="CN35" s="245" t="s">
        <v>206</v>
      </c>
      <c r="CO35" s="245" t="s">
        <v>206</v>
      </c>
      <c r="CP35" s="448" t="s">
        <v>2748</v>
      </c>
      <c r="CQ35" s="250"/>
      <c r="CR35" s="257">
        <v>46000</v>
      </c>
      <c r="CS35" s="501" t="s">
        <v>218</v>
      </c>
      <c r="CT35" s="505" t="s">
        <v>233</v>
      </c>
      <c r="CU35" s="250"/>
      <c r="CV35" s="252"/>
      <c r="CW35" s="252"/>
      <c r="CX35" s="249" t="s">
        <v>2078</v>
      </c>
      <c r="CY35" s="250"/>
      <c r="CZ35" s="252"/>
      <c r="DA35" s="252"/>
      <c r="DB35" s="249" t="s">
        <v>2078</v>
      </c>
      <c r="DC35" s="247"/>
      <c r="DD35" s="248"/>
      <c r="DE35" s="253"/>
      <c r="DF35" s="249" t="s">
        <v>2088</v>
      </c>
      <c r="DG35" s="250"/>
      <c r="DH35" s="252"/>
      <c r="DI35" s="252"/>
      <c r="DJ35" s="249" t="s">
        <v>2078</v>
      </c>
      <c r="DK35" s="250"/>
      <c r="DL35" s="252"/>
      <c r="DM35" s="252"/>
      <c r="DN35" s="249" t="s">
        <v>2078</v>
      </c>
    </row>
    <row r="36" spans="1:118" s="276" customFormat="1" ht="241.5" customHeight="1" x14ac:dyDescent="0.2">
      <c r="A36" s="301">
        <v>17</v>
      </c>
      <c r="B36" s="301" t="s">
        <v>2749</v>
      </c>
      <c r="C36" s="278"/>
      <c r="D36" s="332" t="s">
        <v>2750</v>
      </c>
      <c r="E36" s="334" t="s">
        <v>2751</v>
      </c>
      <c r="F36" s="277" t="s">
        <v>880</v>
      </c>
      <c r="G36" s="277" t="str">
        <f>IFERROR(INDEX('[4]Base de datos gestión'!$D$28:$D$50,MATCH(F36,'[4]Base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H36" s="277" t="str">
        <f>IFERROR(INDEX('[4]Base de datos gestión'!$E$28:$E$50,MATCH(F36,'[4]Base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I36" s="312" t="s">
        <v>2365</v>
      </c>
      <c r="J36" s="313" t="s">
        <v>535</v>
      </c>
      <c r="K36" s="278" t="s">
        <v>2752</v>
      </c>
      <c r="L36" s="278" t="s">
        <v>2753</v>
      </c>
      <c r="M36" s="313" t="s">
        <v>535</v>
      </c>
      <c r="N36" s="278" t="s">
        <v>2754</v>
      </c>
      <c r="O36" s="278" t="s">
        <v>2755</v>
      </c>
      <c r="P36" s="312" t="s">
        <v>2264</v>
      </c>
      <c r="Q36" s="312" t="s">
        <v>2266</v>
      </c>
      <c r="R36" s="278" t="str">
        <f t="shared" si="28"/>
        <v>Alto</v>
      </c>
      <c r="S36" s="312" t="s">
        <v>2371</v>
      </c>
      <c r="T36" s="314" t="s">
        <v>2756</v>
      </c>
      <c r="U36" s="316">
        <v>1</v>
      </c>
      <c r="V36" s="317" t="s">
        <v>197</v>
      </c>
      <c r="W36" s="307" t="s">
        <v>2373</v>
      </c>
      <c r="X36" s="307" t="s">
        <v>2374</v>
      </c>
      <c r="Y36" s="307" t="s">
        <v>2375</v>
      </c>
      <c r="Z36" s="307" t="s">
        <v>2376</v>
      </c>
      <c r="AA36" s="307" t="s">
        <v>2377</v>
      </c>
      <c r="AB36" s="307" t="s">
        <v>2378</v>
      </c>
      <c r="AC36" s="307" t="s">
        <v>2379</v>
      </c>
      <c r="AD36" s="308">
        <f t="shared" si="1"/>
        <v>15</v>
      </c>
      <c r="AE36" s="308">
        <f t="shared" si="2"/>
        <v>15</v>
      </c>
      <c r="AF36" s="308">
        <f t="shared" si="3"/>
        <v>15</v>
      </c>
      <c r="AG36" s="308">
        <f t="shared" si="4"/>
        <v>15</v>
      </c>
      <c r="AH36" s="308">
        <f t="shared" si="5"/>
        <v>15</v>
      </c>
      <c r="AI36" s="308">
        <f t="shared" si="6"/>
        <v>15</v>
      </c>
      <c r="AJ36" s="308">
        <f t="shared" si="7"/>
        <v>10</v>
      </c>
      <c r="AK36" s="308">
        <f t="shared" si="8"/>
        <v>100</v>
      </c>
      <c r="AL36" s="308" t="str">
        <f t="shared" si="13"/>
        <v>Fuerte</v>
      </c>
      <c r="AM36" s="307" t="s">
        <v>2380</v>
      </c>
      <c r="AN36" s="308" t="str">
        <f t="shared" si="14"/>
        <v>Fuerte</v>
      </c>
      <c r="AO36" s="308">
        <f t="shared" si="9"/>
        <v>100</v>
      </c>
      <c r="AP36" s="308" t="str">
        <f t="shared" si="15"/>
        <v>No</v>
      </c>
      <c r="AQ36" s="309">
        <f t="shared" si="34"/>
        <v>100</v>
      </c>
      <c r="AR36" s="309" t="str">
        <f t="shared" si="16"/>
        <v>Fuerte</v>
      </c>
      <c r="AS36" s="312" t="s">
        <v>2381</v>
      </c>
      <c r="AT36" s="312" t="s">
        <v>2381</v>
      </c>
      <c r="AU36" s="310">
        <f t="shared" si="17"/>
        <v>2</v>
      </c>
      <c r="AV36" s="310">
        <f t="shared" si="11"/>
        <v>0</v>
      </c>
      <c r="AW36" s="278" t="str">
        <f t="shared" si="29"/>
        <v>Alto</v>
      </c>
      <c r="AX36" s="301" t="s">
        <v>2757</v>
      </c>
      <c r="AY36" s="301" t="s">
        <v>2758</v>
      </c>
      <c r="AZ36" s="316" t="s">
        <v>2759</v>
      </c>
      <c r="BA36" s="319">
        <v>45992</v>
      </c>
      <c r="BB36" s="316" t="s">
        <v>2737</v>
      </c>
      <c r="BD36" s="257">
        <v>45762</v>
      </c>
      <c r="BE36" s="245" t="s">
        <v>886</v>
      </c>
      <c r="BF36" s="246" t="s">
        <v>2760</v>
      </c>
      <c r="BG36" s="247" t="s">
        <v>205</v>
      </c>
      <c r="BH36" s="245" t="s">
        <v>206</v>
      </c>
      <c r="BI36" s="245" t="s">
        <v>206</v>
      </c>
      <c r="BJ36" s="358" t="s">
        <v>2761</v>
      </c>
      <c r="BL36" s="244">
        <v>45782</v>
      </c>
      <c r="BM36" s="251" t="s">
        <v>207</v>
      </c>
      <c r="BN36" s="245" t="s">
        <v>228</v>
      </c>
      <c r="BP36" s="252"/>
      <c r="BQ36" s="252"/>
      <c r="BR36" s="249" t="s">
        <v>2078</v>
      </c>
      <c r="BS36" s="250"/>
      <c r="BT36" s="257">
        <v>45855</v>
      </c>
      <c r="BU36" s="245" t="s">
        <v>886</v>
      </c>
      <c r="BV36" s="246" t="s">
        <v>2762</v>
      </c>
      <c r="BW36" s="247" t="s">
        <v>205</v>
      </c>
      <c r="BX36" s="245" t="s">
        <v>206</v>
      </c>
      <c r="BY36" s="245" t="s">
        <v>206</v>
      </c>
      <c r="BZ36" s="448" t="s">
        <v>2761</v>
      </c>
      <c r="CA36" s="250"/>
      <c r="CB36" s="450">
        <v>45869</v>
      </c>
      <c r="CC36" s="449" t="s">
        <v>215</v>
      </c>
      <c r="CD36" s="283" t="s">
        <v>231</v>
      </c>
      <c r="CE36" s="250"/>
      <c r="CF36" s="252"/>
      <c r="CG36" s="252"/>
      <c r="CH36" s="249" t="s">
        <v>2078</v>
      </c>
      <c r="CI36" s="250"/>
      <c r="CJ36" s="244">
        <v>45939</v>
      </c>
      <c r="CK36" s="245" t="s">
        <v>889</v>
      </c>
      <c r="CL36" s="246" t="s">
        <v>2763</v>
      </c>
      <c r="CM36" s="247" t="s">
        <v>205</v>
      </c>
      <c r="CN36" s="245" t="s">
        <v>206</v>
      </c>
      <c r="CO36" s="245" t="s">
        <v>206</v>
      </c>
      <c r="CP36" s="448" t="s">
        <v>2764</v>
      </c>
      <c r="CQ36" s="250"/>
      <c r="CR36" s="257">
        <v>46000</v>
      </c>
      <c r="CS36" s="501" t="s">
        <v>218</v>
      </c>
      <c r="CT36" s="505" t="s">
        <v>233</v>
      </c>
      <c r="CU36" s="250"/>
      <c r="CV36" s="252"/>
      <c r="CW36" s="252"/>
      <c r="CX36" s="249" t="s">
        <v>2078</v>
      </c>
      <c r="CY36" s="250"/>
      <c r="CZ36" s="252"/>
      <c r="DA36" s="252"/>
      <c r="DB36" s="249" t="s">
        <v>2078</v>
      </c>
      <c r="DC36" s="247"/>
      <c r="DD36" s="248"/>
      <c r="DE36" s="253"/>
      <c r="DF36" s="249" t="s">
        <v>2088</v>
      </c>
      <c r="DG36" s="250"/>
      <c r="DH36" s="252"/>
      <c r="DI36" s="252"/>
      <c r="DJ36" s="249" t="s">
        <v>2078</v>
      </c>
      <c r="DK36" s="250"/>
      <c r="DL36" s="252"/>
      <c r="DM36" s="252"/>
      <c r="DN36" s="249" t="s">
        <v>2078</v>
      </c>
    </row>
    <row r="37" spans="1:118" s="276" customFormat="1" ht="232.5" customHeight="1" x14ac:dyDescent="0.2">
      <c r="A37" s="301">
        <v>17</v>
      </c>
      <c r="B37" s="301" t="s">
        <v>2749</v>
      </c>
      <c r="C37" s="338"/>
      <c r="D37" s="339" t="s">
        <v>2750</v>
      </c>
      <c r="E37" s="334" t="s">
        <v>2751</v>
      </c>
      <c r="F37" s="277" t="s">
        <v>880</v>
      </c>
      <c r="G37" s="277" t="str">
        <f>IFERROR(INDEX('[4]Base de datos gestión'!$D$28:$D$50,MATCH(F37,'[4]Base de datos gestión'!$C$28:$C$50,0)), 0)</f>
        <v>Producir materiales de referencia y desarrollar métodos químicos analíticos que respondan a las necesidades metrológicas priorizadas del país, en el campo de la Metrología Química y Biología para el fortalecimiento de las capacidades de exportación y para el bienestar de la población, mediante el cumplimiento de los requisitos de la ISO 17034 y los correspondientes al CIPM-MRA.</v>
      </c>
      <c r="H37" s="277" t="str">
        <f>IFERROR(INDEX('[4]Base de datos gestión'!$E$28:$E$50,MATCH(F37,'[4]Base de datos gestión'!$C$28:$C$50,0)), 0)</f>
        <v>Inicia con la priorización de las necesidades para la producción de materiales de referencia/ítems de comparación y finaliza con la atención de las solicitudes relacionadas con los aspectos técnicos. Incluye las actividades de planeación, producción, certificación (cuando aplique) y aseguramiento de la trazabilidad metrológica. Se excluyen las actividades de comercialización.</v>
      </c>
      <c r="I37" s="312" t="s">
        <v>2365</v>
      </c>
      <c r="J37" s="340" t="s">
        <v>535</v>
      </c>
      <c r="K37" s="341" t="s">
        <v>2752</v>
      </c>
      <c r="L37" s="341" t="s">
        <v>2753</v>
      </c>
      <c r="M37" s="340" t="s">
        <v>535</v>
      </c>
      <c r="N37" s="341" t="s">
        <v>2754</v>
      </c>
      <c r="O37" s="341" t="s">
        <v>2755</v>
      </c>
      <c r="P37" s="312" t="s">
        <v>2264</v>
      </c>
      <c r="Q37" s="312" t="s">
        <v>2266</v>
      </c>
      <c r="R37" s="341" t="str">
        <f t="shared" si="28"/>
        <v>Alto</v>
      </c>
      <c r="S37" s="312" t="s">
        <v>2371</v>
      </c>
      <c r="T37" s="342" t="s">
        <v>2765</v>
      </c>
      <c r="U37" s="316">
        <v>2</v>
      </c>
      <c r="V37" s="343" t="s">
        <v>197</v>
      </c>
      <c r="W37" s="344" t="s">
        <v>2373</v>
      </c>
      <c r="X37" s="344" t="s">
        <v>2374</v>
      </c>
      <c r="Y37" s="344" t="s">
        <v>2375</v>
      </c>
      <c r="Z37" s="344" t="s">
        <v>2376</v>
      </c>
      <c r="AA37" s="344" t="s">
        <v>2377</v>
      </c>
      <c r="AB37" s="344" t="s">
        <v>2625</v>
      </c>
      <c r="AC37" s="344" t="s">
        <v>2379</v>
      </c>
      <c r="AD37" s="279">
        <f>IF(W37="Asignado",15,IF(W37="No asignado",0,"Seleccione"))</f>
        <v>15</v>
      </c>
      <c r="AE37" s="279">
        <f>IF(X37="Adecuado",15,IF(X37="Inadecuado",0,"Seleccione"))</f>
        <v>15</v>
      </c>
      <c r="AF37" s="279">
        <f t="shared" si="3"/>
        <v>15</v>
      </c>
      <c r="AG37" s="279">
        <f t="shared" si="4"/>
        <v>15</v>
      </c>
      <c r="AH37" s="279">
        <f t="shared" si="5"/>
        <v>15</v>
      </c>
      <c r="AI37" s="279">
        <f t="shared" si="6"/>
        <v>0</v>
      </c>
      <c r="AJ37" s="279">
        <f t="shared" si="7"/>
        <v>10</v>
      </c>
      <c r="AK37" s="279">
        <f>IF(COUNTBLANK(W37:AC37)&gt;0,"Complete las respuestas",SUM(AD37:AJ37))</f>
        <v>85</v>
      </c>
      <c r="AL37" s="279" t="str">
        <f t="shared" si="13"/>
        <v>Débil</v>
      </c>
      <c r="AM37" s="344" t="s">
        <v>2380</v>
      </c>
      <c r="AN37" s="279" t="str">
        <f t="shared" si="14"/>
        <v>Débil</v>
      </c>
      <c r="AO37" s="279">
        <f t="shared" si="9"/>
        <v>0</v>
      </c>
      <c r="AP37" s="279" t="str">
        <f t="shared" si="15"/>
        <v>Si</v>
      </c>
      <c r="AQ37" s="280">
        <f t="shared" si="34"/>
        <v>0</v>
      </c>
      <c r="AR37" s="280" t="str">
        <f t="shared" si="16"/>
        <v>Débil</v>
      </c>
      <c r="AS37" s="312" t="s">
        <v>2381</v>
      </c>
      <c r="AT37" s="312" t="s">
        <v>2381</v>
      </c>
      <c r="AU37" s="281">
        <f t="shared" si="17"/>
        <v>0</v>
      </c>
      <c r="AV37" s="281">
        <f t="shared" si="11"/>
        <v>0</v>
      </c>
      <c r="AW37" s="278" t="str">
        <f t="shared" si="29"/>
        <v>Alto</v>
      </c>
      <c r="AX37" s="345" t="s">
        <v>2766</v>
      </c>
      <c r="AY37" s="345" t="s">
        <v>2767</v>
      </c>
      <c r="AZ37" s="345" t="s">
        <v>2768</v>
      </c>
      <c r="BA37" s="346">
        <v>45992</v>
      </c>
      <c r="BB37" s="347" t="s">
        <v>2737</v>
      </c>
      <c r="BD37" s="257">
        <v>45762</v>
      </c>
      <c r="BE37" s="245" t="s">
        <v>886</v>
      </c>
      <c r="BF37" s="246" t="s">
        <v>2769</v>
      </c>
      <c r="BG37" s="247" t="s">
        <v>205</v>
      </c>
      <c r="BH37" s="245" t="s">
        <v>206</v>
      </c>
      <c r="BI37" s="245" t="s">
        <v>206</v>
      </c>
      <c r="BJ37" s="246" t="s">
        <v>2770</v>
      </c>
      <c r="BL37" s="244">
        <v>45782</v>
      </c>
      <c r="BM37" s="251" t="s">
        <v>207</v>
      </c>
      <c r="BN37" s="245" t="s">
        <v>228</v>
      </c>
      <c r="BP37" s="252"/>
      <c r="BQ37" s="252"/>
      <c r="BR37" s="249" t="s">
        <v>2078</v>
      </c>
      <c r="BS37" s="250"/>
      <c r="BT37" s="257">
        <v>45855</v>
      </c>
      <c r="BU37" s="245" t="s">
        <v>886</v>
      </c>
      <c r="BV37" s="246" t="s">
        <v>2769</v>
      </c>
      <c r="BW37" s="247" t="s">
        <v>205</v>
      </c>
      <c r="BX37" s="245" t="s">
        <v>206</v>
      </c>
      <c r="BY37" s="245" t="s">
        <v>206</v>
      </c>
      <c r="BZ37" s="246" t="s">
        <v>2770</v>
      </c>
      <c r="CA37" s="250"/>
      <c r="CB37" s="450">
        <v>45869</v>
      </c>
      <c r="CC37" s="449" t="s">
        <v>215</v>
      </c>
      <c r="CD37" s="283" t="s">
        <v>231</v>
      </c>
      <c r="CE37" s="250"/>
      <c r="CF37" s="252"/>
      <c r="CG37" s="252"/>
      <c r="CH37" s="249" t="s">
        <v>2078</v>
      </c>
      <c r="CI37" s="250"/>
      <c r="CJ37" s="244">
        <v>45939</v>
      </c>
      <c r="CK37" s="245" t="s">
        <v>889</v>
      </c>
      <c r="CL37" s="246" t="s">
        <v>2769</v>
      </c>
      <c r="CM37" s="247" t="s">
        <v>205</v>
      </c>
      <c r="CN37" s="245" t="s">
        <v>206</v>
      </c>
      <c r="CO37" s="245" t="s">
        <v>206</v>
      </c>
      <c r="CP37" s="246" t="s">
        <v>2770</v>
      </c>
      <c r="CQ37" s="250"/>
      <c r="CR37" s="257">
        <v>46000</v>
      </c>
      <c r="CS37" s="501" t="s">
        <v>218</v>
      </c>
      <c r="CT37" s="505" t="s">
        <v>233</v>
      </c>
      <c r="CU37" s="250"/>
      <c r="CV37" s="252"/>
      <c r="CW37" s="252"/>
      <c r="CX37" s="249" t="s">
        <v>2078</v>
      </c>
      <c r="CY37" s="250"/>
      <c r="CZ37" s="252"/>
      <c r="DA37" s="252"/>
      <c r="DB37" s="249" t="s">
        <v>2078</v>
      </c>
      <c r="DC37" s="247"/>
      <c r="DD37" s="248"/>
      <c r="DE37" s="253"/>
      <c r="DF37" s="249" t="s">
        <v>2088</v>
      </c>
      <c r="DG37" s="250"/>
      <c r="DH37" s="252"/>
      <c r="DI37" s="252"/>
      <c r="DJ37" s="249" t="s">
        <v>2078</v>
      </c>
      <c r="DK37" s="250"/>
      <c r="DL37" s="252"/>
      <c r="DM37" s="252"/>
      <c r="DN37" s="249" t="s">
        <v>2078</v>
      </c>
    </row>
    <row r="38" spans="1:118" s="276" customFormat="1" ht="279.75" customHeight="1" x14ac:dyDescent="0.2">
      <c r="A38" s="301">
        <v>18</v>
      </c>
      <c r="B38" s="301" t="s">
        <v>2771</v>
      </c>
      <c r="C38" s="282"/>
      <c r="D38" s="282" t="s">
        <v>2772</v>
      </c>
      <c r="E38" s="282" t="s">
        <v>2773</v>
      </c>
      <c r="F38" s="277" t="s">
        <v>1378</v>
      </c>
      <c r="G38" s="277" t="str">
        <f>IFERROR(INDEX('[4]Base de datos gestión'!$D$28:$D$50,MATCH(F38,'[4]Base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H38" s="277" t="str">
        <f>IFERROR(INDEX('[4]Base de datos gestión'!$E$28:$E$50,MATCH(F38,'[4]Base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I38" s="348" t="s">
        <v>2365</v>
      </c>
      <c r="J38" s="349" t="s">
        <v>535</v>
      </c>
      <c r="K38" s="282" t="s">
        <v>535</v>
      </c>
      <c r="L38" s="282" t="s">
        <v>2774</v>
      </c>
      <c r="M38" s="349" t="s">
        <v>535</v>
      </c>
      <c r="N38" s="282" t="s">
        <v>2775</v>
      </c>
      <c r="O38" s="282" t="s">
        <v>2776</v>
      </c>
      <c r="P38" s="348" t="s">
        <v>2261</v>
      </c>
      <c r="Q38" s="348" t="s">
        <v>762</v>
      </c>
      <c r="R38" s="282" t="str">
        <f t="shared" si="28"/>
        <v>Extremo</v>
      </c>
      <c r="S38" s="348" t="s">
        <v>2371</v>
      </c>
      <c r="T38" s="342" t="s">
        <v>2777</v>
      </c>
      <c r="U38" s="316">
        <v>1</v>
      </c>
      <c r="V38" s="343" t="s">
        <v>269</v>
      </c>
      <c r="W38" s="344" t="s">
        <v>2373</v>
      </c>
      <c r="X38" s="344" t="s">
        <v>2374</v>
      </c>
      <c r="Y38" s="344" t="s">
        <v>2375</v>
      </c>
      <c r="Z38" s="344" t="s">
        <v>2473</v>
      </c>
      <c r="AA38" s="344" t="s">
        <v>2377</v>
      </c>
      <c r="AB38" s="344" t="s">
        <v>2378</v>
      </c>
      <c r="AC38" s="344" t="s">
        <v>2379</v>
      </c>
      <c r="AD38" s="279">
        <f>IF(W38="Asignado",15,IF(W38="No asignado",0,"Seleccione"))</f>
        <v>15</v>
      </c>
      <c r="AE38" s="279">
        <f>IF(X38="Adecuado",15,IF(X38="Inadecuado",0,"Seleccione"))</f>
        <v>15</v>
      </c>
      <c r="AF38" s="279">
        <f t="shared" si="3"/>
        <v>15</v>
      </c>
      <c r="AG38" s="279">
        <f t="shared" si="4"/>
        <v>10</v>
      </c>
      <c r="AH38" s="279">
        <f t="shared" si="5"/>
        <v>15</v>
      </c>
      <c r="AI38" s="279">
        <f t="shared" si="6"/>
        <v>15</v>
      </c>
      <c r="AJ38" s="279">
        <f t="shared" si="7"/>
        <v>10</v>
      </c>
      <c r="AK38" s="279">
        <f>IF(COUNTBLANK(W38:AC38)&gt;0,"Complete las respuestas",SUM(AD38:AJ38))</f>
        <v>95</v>
      </c>
      <c r="AL38" s="279" t="str">
        <f t="shared" si="13"/>
        <v>Moderado</v>
      </c>
      <c r="AM38" s="344" t="s">
        <v>2380</v>
      </c>
      <c r="AN38" s="279" t="str">
        <f t="shared" si="14"/>
        <v>Moderado</v>
      </c>
      <c r="AO38" s="279">
        <f t="shared" si="9"/>
        <v>50</v>
      </c>
      <c r="AP38" s="279" t="str">
        <f t="shared" si="15"/>
        <v>Si</v>
      </c>
      <c r="AQ38" s="280">
        <f t="shared" si="34"/>
        <v>50</v>
      </c>
      <c r="AR38" s="280" t="str">
        <f t="shared" si="16"/>
        <v>Moderado</v>
      </c>
      <c r="AS38" s="350" t="s">
        <v>2381</v>
      </c>
      <c r="AT38" s="350" t="s">
        <v>2381</v>
      </c>
      <c r="AU38" s="281">
        <f t="shared" si="17"/>
        <v>1</v>
      </c>
      <c r="AV38" s="281">
        <f t="shared" si="11"/>
        <v>0</v>
      </c>
      <c r="AW38" s="278" t="str">
        <f t="shared" si="29"/>
        <v>Extremo</v>
      </c>
      <c r="AX38" s="1019" t="s">
        <v>2778</v>
      </c>
      <c r="AY38" s="1019" t="s">
        <v>2779</v>
      </c>
      <c r="AZ38" s="1019" t="s">
        <v>2780</v>
      </c>
      <c r="BA38" s="1021">
        <v>46022</v>
      </c>
      <c r="BB38" s="1019" t="s">
        <v>2781</v>
      </c>
      <c r="BD38" s="244">
        <v>45758</v>
      </c>
      <c r="BE38" s="251" t="s">
        <v>2782</v>
      </c>
      <c r="BF38" s="248" t="s">
        <v>2783</v>
      </c>
      <c r="BG38" s="247" t="s">
        <v>205</v>
      </c>
      <c r="BH38" s="248" t="s">
        <v>206</v>
      </c>
      <c r="BI38" s="251" t="s">
        <v>206</v>
      </c>
      <c r="BJ38" s="249" t="s">
        <v>2088</v>
      </c>
      <c r="BL38" s="244">
        <v>45782</v>
      </c>
      <c r="BM38" s="251" t="s">
        <v>207</v>
      </c>
      <c r="BN38" s="245" t="s">
        <v>228</v>
      </c>
      <c r="BP38" s="252"/>
      <c r="BQ38" s="252"/>
      <c r="BR38" s="249" t="s">
        <v>2078</v>
      </c>
      <c r="BS38" s="250"/>
      <c r="BT38" s="244">
        <v>45855</v>
      </c>
      <c r="BU38" s="245" t="s">
        <v>2784</v>
      </c>
      <c r="BV38" s="248" t="s">
        <v>2785</v>
      </c>
      <c r="BW38" s="247" t="s">
        <v>205</v>
      </c>
      <c r="BX38" s="248" t="s">
        <v>206</v>
      </c>
      <c r="BY38" s="251" t="s">
        <v>206</v>
      </c>
      <c r="BZ38" s="248" t="s">
        <v>2786</v>
      </c>
      <c r="CA38" s="250"/>
      <c r="CB38" s="450">
        <v>45869</v>
      </c>
      <c r="CC38" s="449" t="s">
        <v>215</v>
      </c>
      <c r="CD38" s="283" t="s">
        <v>231</v>
      </c>
      <c r="CE38" s="250"/>
      <c r="CF38" s="252"/>
      <c r="CG38" s="252"/>
      <c r="CH38" s="249" t="s">
        <v>2078</v>
      </c>
      <c r="CI38" s="250"/>
      <c r="CJ38" s="464">
        <v>45944</v>
      </c>
      <c r="CK38" s="245" t="s">
        <v>2782</v>
      </c>
      <c r="CL38" s="454" t="s">
        <v>2787</v>
      </c>
      <c r="CM38" s="247" t="s">
        <v>205</v>
      </c>
      <c r="CN38" s="245" t="s">
        <v>206</v>
      </c>
      <c r="CO38" s="245" t="s">
        <v>206</v>
      </c>
      <c r="CP38" s="448" t="s">
        <v>2788</v>
      </c>
      <c r="CQ38" s="250"/>
      <c r="CR38" s="257">
        <v>46000</v>
      </c>
      <c r="CS38" s="489" t="s">
        <v>215</v>
      </c>
      <c r="CT38" s="246" t="s">
        <v>233</v>
      </c>
      <c r="CU38" s="250"/>
      <c r="CV38" s="252"/>
      <c r="CW38" s="252"/>
      <c r="CX38" s="249" t="s">
        <v>2078</v>
      </c>
      <c r="CY38" s="250"/>
      <c r="CZ38" s="252"/>
      <c r="DA38" s="252"/>
      <c r="DB38" s="249" t="s">
        <v>2078</v>
      </c>
      <c r="DC38" s="247"/>
      <c r="DD38" s="248"/>
      <c r="DE38" s="253"/>
      <c r="DF38" s="249" t="s">
        <v>2088</v>
      </c>
      <c r="DG38" s="250"/>
      <c r="DH38" s="252"/>
      <c r="DI38" s="252"/>
      <c r="DJ38" s="249" t="s">
        <v>2078</v>
      </c>
      <c r="DK38" s="250"/>
      <c r="DL38" s="252"/>
      <c r="DM38" s="252"/>
      <c r="DN38" s="249" t="s">
        <v>2078</v>
      </c>
    </row>
    <row r="39" spans="1:118" s="276" customFormat="1" ht="222.75" customHeight="1" x14ac:dyDescent="0.2">
      <c r="A39" s="301">
        <v>18</v>
      </c>
      <c r="B39" s="301" t="s">
        <v>2771</v>
      </c>
      <c r="C39" s="282"/>
      <c r="D39" s="282" t="s">
        <v>2772</v>
      </c>
      <c r="E39" s="282" t="s">
        <v>2773</v>
      </c>
      <c r="F39" s="277" t="s">
        <v>1378</v>
      </c>
      <c r="G39" s="277" t="str">
        <f>IFERROR(INDEX('[4]Base de datos gestión'!$D$28:$D$50,MATCH(F39,'[4]Base de datos gestión'!$C$28:$C$50,0)), 0)</f>
        <v>Administrar de manera eficiente el talento humano al servicio del INM, mediante la realización de actividades de ingreso, desarrollo y retiro de personal para cada vigencia, que involucren la totalidad de los servidores públicos, garantizando la idoneidad y competencia, y fortaleciendo el clima y la cultura laboral.
El proceso se relaciona con el objetivo estratégico: Fortalecer la capacidad administrativa y de desempeño institucional para garantizar la eficiencia y calidad a los procesos de la entidad.</v>
      </c>
      <c r="H39" s="277" t="str">
        <f>IFERROR(INDEX('[4]Base de datos gestión'!$E$28:$E$50,MATCH(F39,'[4]Base de datos gestión'!$C$28:$C$50,0)), 0)</f>
        <v>Inicia con la selección del personal y termina con la desvinculación de los funcionarios y atención a los requerimientos posteriores a la desvinculación. Incluye todas las actividades de desarrollo laboral relacionadas con situaciones administrativas, ejecución de los planes de gestión de talento humano y las actividades del Sistema de Seguridad y Salud en el Trabajo.</v>
      </c>
      <c r="I39" s="348" t="s">
        <v>2365</v>
      </c>
      <c r="J39" s="349" t="s">
        <v>535</v>
      </c>
      <c r="K39" s="282" t="s">
        <v>535</v>
      </c>
      <c r="L39" s="282" t="s">
        <v>2774</v>
      </c>
      <c r="M39" s="349" t="s">
        <v>535</v>
      </c>
      <c r="N39" s="282" t="s">
        <v>2775</v>
      </c>
      <c r="O39" s="282" t="s">
        <v>2776</v>
      </c>
      <c r="P39" s="348" t="s">
        <v>2261</v>
      </c>
      <c r="Q39" s="348" t="s">
        <v>762</v>
      </c>
      <c r="R39" s="282" t="str">
        <f t="shared" ref="R39" si="35">IF(OR(P39="",Q39=""),"",VLOOKUP(VALUE(CONCATENATE(VLOOKUP(Q39,TImpacto,2,FALSE),VLOOKUP(P39,TProbabilidad,2,FALSE))),TMapaCalor,2,FALSE))</f>
        <v>Extremo</v>
      </c>
      <c r="S39" s="348" t="s">
        <v>2371</v>
      </c>
      <c r="T39" s="342" t="s">
        <v>2789</v>
      </c>
      <c r="U39" s="316">
        <v>2</v>
      </c>
      <c r="V39" s="343" t="s">
        <v>197</v>
      </c>
      <c r="W39" s="344" t="s">
        <v>2373</v>
      </c>
      <c r="X39" s="344" t="s">
        <v>2374</v>
      </c>
      <c r="Y39" s="344" t="s">
        <v>2375</v>
      </c>
      <c r="Z39" s="344" t="s">
        <v>2473</v>
      </c>
      <c r="AA39" s="344" t="s">
        <v>2377</v>
      </c>
      <c r="AB39" s="344" t="s">
        <v>2378</v>
      </c>
      <c r="AC39" s="344" t="s">
        <v>2379</v>
      </c>
      <c r="AD39" s="279">
        <f t="shared" ref="AD39:AD59" si="36">IF(W39="Asignado",15,IF(W39="No asignado",0,"Seleccione"))</f>
        <v>15</v>
      </c>
      <c r="AE39" s="279">
        <f t="shared" ref="AE39:AE59" si="37">IF(X39="Adecuado",15,IF(X39="Inadecuado",0,"Seleccione"))</f>
        <v>15</v>
      </c>
      <c r="AF39" s="279">
        <f t="shared" si="3"/>
        <v>15</v>
      </c>
      <c r="AG39" s="279">
        <f t="shared" si="4"/>
        <v>10</v>
      </c>
      <c r="AH39" s="279">
        <f t="shared" si="5"/>
        <v>15</v>
      </c>
      <c r="AI39" s="279">
        <f t="shared" si="6"/>
        <v>15</v>
      </c>
      <c r="AJ39" s="279">
        <f t="shared" si="7"/>
        <v>10</v>
      </c>
      <c r="AK39" s="279">
        <f t="shared" ref="AK39:AK59" si="38">IF(COUNTBLANK(W39:AC39)&gt;0,"Complete las respuestas",SUM(AD39:AJ39))</f>
        <v>95</v>
      </c>
      <c r="AL39" s="279" t="str">
        <f t="shared" si="13"/>
        <v>Moderado</v>
      </c>
      <c r="AM39" s="344" t="s">
        <v>2380</v>
      </c>
      <c r="AN39" s="279" t="str">
        <f t="shared" si="14"/>
        <v>Moderado</v>
      </c>
      <c r="AO39" s="279">
        <f t="shared" si="9"/>
        <v>50</v>
      </c>
      <c r="AP39" s="279" t="str">
        <f t="shared" si="15"/>
        <v>Si</v>
      </c>
      <c r="AQ39" s="280">
        <f t="shared" si="34"/>
        <v>50</v>
      </c>
      <c r="AR39" s="280" t="str">
        <f t="shared" si="16"/>
        <v>Moderado</v>
      </c>
      <c r="AS39" s="350" t="s">
        <v>2381</v>
      </c>
      <c r="AT39" s="350" t="s">
        <v>2381</v>
      </c>
      <c r="AU39" s="281">
        <f t="shared" si="17"/>
        <v>1</v>
      </c>
      <c r="AV39" s="281">
        <f t="shared" si="11"/>
        <v>0</v>
      </c>
      <c r="AW39" s="278" t="str">
        <f t="shared" ref="AW39:AW59" si="39">IF(OR(P39="",Q39="",AU39="Verifique",AV39="Verifique"),"",VLOOKUP(VALUE(CONCATENATE(IF((VLOOKUP(Q39,TImpacto,2,FALSE)-AV39)&lt;1,1,(VLOOKUP(Q39,TImpacto,2,FALSE)-AV39)),IF((VLOOKUP(P39,TProbabilidad,2,FALSE)-AU39)&lt;1,1,(VLOOKUP(P39,TProbabilidad,2,FALSE)-AU39)))),TMapaCalor,2,FALSE))</f>
        <v>Extremo</v>
      </c>
      <c r="AX39" s="1020"/>
      <c r="AY39" s="1020"/>
      <c r="AZ39" s="1020"/>
      <c r="BA39" s="1022"/>
      <c r="BB39" s="1020"/>
      <c r="BD39" s="244">
        <v>45758</v>
      </c>
      <c r="BE39" s="251" t="s">
        <v>2782</v>
      </c>
      <c r="BF39" s="248" t="s">
        <v>2783</v>
      </c>
      <c r="BG39" s="247" t="s">
        <v>205</v>
      </c>
      <c r="BH39" s="248" t="s">
        <v>206</v>
      </c>
      <c r="BI39" s="251" t="s">
        <v>206</v>
      </c>
      <c r="BJ39" s="249" t="s">
        <v>2088</v>
      </c>
      <c r="BL39" s="244">
        <v>45782</v>
      </c>
      <c r="BM39" s="251" t="s">
        <v>207</v>
      </c>
      <c r="BN39" s="245" t="s">
        <v>228</v>
      </c>
      <c r="BP39" s="252"/>
      <c r="BQ39" s="252"/>
      <c r="BR39" s="249" t="s">
        <v>2078</v>
      </c>
      <c r="BS39" s="250"/>
      <c r="BT39" s="244">
        <v>45855</v>
      </c>
      <c r="BU39" s="245" t="s">
        <v>2784</v>
      </c>
      <c r="BV39" s="248" t="s">
        <v>2785</v>
      </c>
      <c r="BW39" s="247" t="s">
        <v>205</v>
      </c>
      <c r="BX39" s="248" t="s">
        <v>206</v>
      </c>
      <c r="BY39" s="251" t="s">
        <v>206</v>
      </c>
      <c r="BZ39" s="248" t="s">
        <v>2786</v>
      </c>
      <c r="CA39" s="250"/>
      <c r="CB39" s="450">
        <v>45869</v>
      </c>
      <c r="CC39" s="449" t="s">
        <v>215</v>
      </c>
      <c r="CD39" s="283" t="s">
        <v>231</v>
      </c>
      <c r="CE39" s="250"/>
      <c r="CF39" s="252"/>
      <c r="CG39" s="252"/>
      <c r="CH39" s="249" t="s">
        <v>2078</v>
      </c>
      <c r="CI39" s="250"/>
      <c r="CJ39" s="464">
        <v>45944</v>
      </c>
      <c r="CK39" s="245" t="s">
        <v>2782</v>
      </c>
      <c r="CL39" s="454" t="s">
        <v>2790</v>
      </c>
      <c r="CM39" s="247" t="s">
        <v>205</v>
      </c>
      <c r="CN39" s="245" t="s">
        <v>206</v>
      </c>
      <c r="CO39" s="245" t="s">
        <v>206</v>
      </c>
      <c r="CP39" s="448" t="s">
        <v>2788</v>
      </c>
      <c r="CQ39" s="250"/>
      <c r="CR39" s="257">
        <v>46000</v>
      </c>
      <c r="CS39" s="496" t="s">
        <v>215</v>
      </c>
      <c r="CT39" s="497" t="s">
        <v>233</v>
      </c>
      <c r="CU39" s="250"/>
      <c r="CV39" s="252"/>
      <c r="CW39" s="252"/>
      <c r="CX39" s="249" t="s">
        <v>2078</v>
      </c>
      <c r="CY39" s="250"/>
      <c r="CZ39" s="252"/>
      <c r="DA39" s="252"/>
      <c r="DB39" s="249" t="s">
        <v>2078</v>
      </c>
      <c r="DC39" s="247"/>
      <c r="DD39" s="248"/>
      <c r="DE39" s="253"/>
      <c r="DF39" s="249" t="s">
        <v>2088</v>
      </c>
      <c r="DG39" s="250"/>
      <c r="DH39" s="252"/>
      <c r="DI39" s="252"/>
      <c r="DJ39" s="249" t="s">
        <v>2078</v>
      </c>
      <c r="DK39" s="250"/>
      <c r="DL39" s="252"/>
      <c r="DM39" s="252"/>
      <c r="DN39" s="249" t="s">
        <v>2078</v>
      </c>
    </row>
    <row r="40" spans="1:118" s="276" customFormat="1" ht="254.25" customHeight="1" x14ac:dyDescent="0.2">
      <c r="A40" s="301">
        <v>19</v>
      </c>
      <c r="B40" s="301" t="s">
        <v>2791</v>
      </c>
      <c r="C40" s="282"/>
      <c r="D40" s="282" t="s">
        <v>2792</v>
      </c>
      <c r="E40" s="282" t="s">
        <v>2793</v>
      </c>
      <c r="F40" s="277" t="s">
        <v>1686</v>
      </c>
      <c r="G40" s="277" t="str">
        <f>IFERROR(INDEX('[4]Base de datos gestión'!$D$28:$D$50,MATCH(F40,'[4]Base de datos gestión'!$C$28:$C$50,0)), 0)</f>
        <v>Medir la eficiencia, eficacia y economía de los demás controles, asesorando a la Alta Dirección en la continuidad del proceso administrativo, la evaluación de los planes establecidos y en la introducción de los correctivos necesarios; ejerciendo liderazgo estratégico, enfoque hacia la prevención, relación con entes externos de control, evaluación de la gestión del riesgo y evaluación y seguimiento; permanentemente; en cumplimiento del Plan Anual de Auditoría, contribuyendo con el cumplimiento de las metas u objetivos previstos por la entidad.
El proceso se relaciona con el objetivo estratégico: Fortalecer la capacidad administrativa y de desempeño institucional para garantizar la eficiencia y calidad de los procesos de la entidad.</v>
      </c>
      <c r="H40" s="277" t="str">
        <f>IFERROR(INDEX('[4]Base de datos gestión'!$E$28:$E$50,MATCH(F40,'[4]Base de datos gestión'!$C$28:$C$50,0)), 0)</f>
        <v>Inicia con el plan anual de auditorías el cual abarca actividades tales como: ejecución de auditorías internas, análisis de datos, evaluación independiente al Sistema de Control Interno y seguimiento a planes de mejoramiento, verificaciones especiales, entre otros y finaliza con la emisión de informes. Excluye le evaluación de la normatividad técnica.</v>
      </c>
      <c r="I40" s="348" t="s">
        <v>2365</v>
      </c>
      <c r="J40" s="349" t="s">
        <v>535</v>
      </c>
      <c r="K40" s="282" t="s">
        <v>2794</v>
      </c>
      <c r="L40" s="282" t="s">
        <v>2454</v>
      </c>
      <c r="M40" s="349" t="s">
        <v>535</v>
      </c>
      <c r="N40" s="282" t="s">
        <v>2795</v>
      </c>
      <c r="O40" s="282" t="s">
        <v>2457</v>
      </c>
      <c r="P40" s="348" t="s">
        <v>2264</v>
      </c>
      <c r="Q40" s="348" t="s">
        <v>762</v>
      </c>
      <c r="R40" s="282" t="str">
        <f t="shared" ref="R40:R59" si="40">IF(OR(P40="",Q40=""),"",VLOOKUP(VALUE(CONCATENATE(VLOOKUP(Q40,TImpacto,2,FALSE),VLOOKUP(P40,TProbabilidad,2,FALSE))),TMapaCalor,2,FALSE))</f>
        <v>Extremo</v>
      </c>
      <c r="S40" s="348" t="s">
        <v>2371</v>
      </c>
      <c r="T40" s="342" t="s">
        <v>2796</v>
      </c>
      <c r="U40" s="316">
        <v>1</v>
      </c>
      <c r="V40" s="343" t="s">
        <v>197</v>
      </c>
      <c r="W40" s="344" t="s">
        <v>2373</v>
      </c>
      <c r="X40" s="344" t="s">
        <v>2374</v>
      </c>
      <c r="Y40" s="344" t="s">
        <v>2375</v>
      </c>
      <c r="Z40" s="344" t="s">
        <v>2376</v>
      </c>
      <c r="AA40" s="344" t="s">
        <v>2377</v>
      </c>
      <c r="AB40" s="344" t="s">
        <v>2378</v>
      </c>
      <c r="AC40" s="344" t="s">
        <v>2379</v>
      </c>
      <c r="AD40" s="279">
        <f t="shared" si="36"/>
        <v>15</v>
      </c>
      <c r="AE40" s="279">
        <f t="shared" si="37"/>
        <v>15</v>
      </c>
      <c r="AF40" s="279">
        <f t="shared" si="3"/>
        <v>15</v>
      </c>
      <c r="AG40" s="279">
        <f t="shared" si="4"/>
        <v>15</v>
      </c>
      <c r="AH40" s="279">
        <f t="shared" si="5"/>
        <v>15</v>
      </c>
      <c r="AI40" s="279">
        <f t="shared" si="6"/>
        <v>15</v>
      </c>
      <c r="AJ40" s="279">
        <f t="shared" si="7"/>
        <v>10</v>
      </c>
      <c r="AK40" s="279">
        <f t="shared" si="38"/>
        <v>100</v>
      </c>
      <c r="AL40" s="279" t="str">
        <f t="shared" si="13"/>
        <v>Fuerte</v>
      </c>
      <c r="AM40" s="344" t="s">
        <v>2380</v>
      </c>
      <c r="AN40" s="279" t="str">
        <f t="shared" si="14"/>
        <v>Fuerte</v>
      </c>
      <c r="AO40" s="279">
        <f t="shared" si="9"/>
        <v>100</v>
      </c>
      <c r="AP40" s="279" t="str">
        <f t="shared" si="15"/>
        <v>No</v>
      </c>
      <c r="AQ40" s="280">
        <f t="shared" si="34"/>
        <v>100</v>
      </c>
      <c r="AR40" s="280" t="str">
        <f t="shared" si="16"/>
        <v>Fuerte</v>
      </c>
      <c r="AS40" s="350" t="s">
        <v>2381</v>
      </c>
      <c r="AT40" s="350" t="s">
        <v>2381</v>
      </c>
      <c r="AU40" s="281">
        <f t="shared" si="17"/>
        <v>2</v>
      </c>
      <c r="AV40" s="281">
        <f t="shared" si="11"/>
        <v>0</v>
      </c>
      <c r="AW40" s="278" t="str">
        <f t="shared" si="39"/>
        <v>Extremo</v>
      </c>
      <c r="AX40" s="345" t="s">
        <v>2797</v>
      </c>
      <c r="AY40" s="345" t="s">
        <v>2460</v>
      </c>
      <c r="AZ40" s="345" t="s">
        <v>2798</v>
      </c>
      <c r="BA40" s="351">
        <v>46022</v>
      </c>
      <c r="BB40" s="352" t="s">
        <v>2799</v>
      </c>
      <c r="BD40" s="244">
        <v>45770</v>
      </c>
      <c r="BE40" s="251" t="s">
        <v>2800</v>
      </c>
      <c r="BF40" s="248" t="s">
        <v>2801</v>
      </c>
      <c r="BG40" s="247" t="s">
        <v>205</v>
      </c>
      <c r="BH40" s="248" t="s">
        <v>206</v>
      </c>
      <c r="BI40" s="251" t="s">
        <v>206</v>
      </c>
      <c r="BJ40" s="249" t="s">
        <v>2088</v>
      </c>
      <c r="BL40" s="244">
        <v>45782</v>
      </c>
      <c r="BM40" s="251" t="s">
        <v>207</v>
      </c>
      <c r="BN40" s="245" t="s">
        <v>228</v>
      </c>
      <c r="BP40" s="252"/>
      <c r="BQ40" s="252"/>
      <c r="BR40" s="249" t="s">
        <v>2078</v>
      </c>
      <c r="BS40" s="250"/>
      <c r="BT40" s="244">
        <v>45937</v>
      </c>
      <c r="BU40" s="251" t="s">
        <v>2800</v>
      </c>
      <c r="BV40" s="246" t="s">
        <v>2802</v>
      </c>
      <c r="BW40" s="247" t="s">
        <v>205</v>
      </c>
      <c r="BX40" s="248"/>
      <c r="BY40" s="253"/>
      <c r="BZ40" s="249" t="s">
        <v>2088</v>
      </c>
      <c r="CA40" s="250"/>
      <c r="CB40" s="450">
        <v>45869</v>
      </c>
      <c r="CC40" s="449" t="s">
        <v>215</v>
      </c>
      <c r="CD40" s="283" t="s">
        <v>2803</v>
      </c>
      <c r="CE40" s="250"/>
      <c r="CF40" s="252"/>
      <c r="CG40" s="252"/>
      <c r="CH40" s="249" t="s">
        <v>2078</v>
      </c>
      <c r="CI40" s="250"/>
      <c r="CJ40" s="244">
        <v>45937</v>
      </c>
      <c r="CK40" s="251" t="s">
        <v>2800</v>
      </c>
      <c r="CL40" s="246" t="s">
        <v>2804</v>
      </c>
      <c r="CM40" s="247" t="s">
        <v>205</v>
      </c>
      <c r="CN40" s="248" t="s">
        <v>206</v>
      </c>
      <c r="CO40" s="253" t="s">
        <v>206</v>
      </c>
      <c r="CP40" s="246" t="s">
        <v>2805</v>
      </c>
      <c r="CQ40" s="250"/>
      <c r="CR40" s="257">
        <v>46000</v>
      </c>
      <c r="CS40" s="495" t="s">
        <v>207</v>
      </c>
      <c r="CT40" s="503" t="s">
        <v>233</v>
      </c>
      <c r="CU40" s="250"/>
      <c r="CV40" s="252"/>
      <c r="CW40" s="252"/>
      <c r="CX40" s="249" t="s">
        <v>2078</v>
      </c>
      <c r="CY40" s="250"/>
      <c r="CZ40" s="252"/>
      <c r="DA40" s="252"/>
      <c r="DB40" s="249" t="s">
        <v>2078</v>
      </c>
      <c r="DC40" s="247"/>
      <c r="DD40" s="248"/>
      <c r="DE40" s="253"/>
      <c r="DF40" s="249" t="s">
        <v>2088</v>
      </c>
      <c r="DG40" s="250"/>
      <c r="DH40" s="252"/>
      <c r="DI40" s="252"/>
      <c r="DJ40" s="249" t="s">
        <v>2078</v>
      </c>
      <c r="DK40" s="250"/>
      <c r="DL40" s="252"/>
      <c r="DM40" s="252"/>
      <c r="DN40" s="249" t="s">
        <v>2078</v>
      </c>
    </row>
    <row r="41" spans="1:118" s="276" customFormat="1" ht="409.5" x14ac:dyDescent="0.2">
      <c r="A41" s="301">
        <v>20</v>
      </c>
      <c r="B41" s="301" t="s">
        <v>2806</v>
      </c>
      <c r="C41" s="282"/>
      <c r="D41" s="282" t="s">
        <v>2807</v>
      </c>
      <c r="E41" s="282" t="s">
        <v>2808</v>
      </c>
      <c r="F41" s="277" t="s">
        <v>462</v>
      </c>
      <c r="G41" s="277" t="str">
        <f>IFERROR(INDEX('[4]Base de datos gestión'!$D$28:$D$50,MATCH(F41,'[4]Base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H41" s="277" t="str">
        <f>IFERROR(INDEX('[4]Base de datos gestión'!$E$28:$E$50,MATCH(F41,'[4]Base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I41" s="348" t="s">
        <v>2365</v>
      </c>
      <c r="J41" s="349" t="s">
        <v>2809</v>
      </c>
      <c r="K41" s="282" t="s">
        <v>2810</v>
      </c>
      <c r="L41" s="282" t="s">
        <v>2811</v>
      </c>
      <c r="M41" s="349" t="s">
        <v>2812</v>
      </c>
      <c r="N41" s="282" t="s">
        <v>2813</v>
      </c>
      <c r="O41" s="282" t="s">
        <v>2814</v>
      </c>
      <c r="P41" s="348" t="s">
        <v>2264</v>
      </c>
      <c r="Q41" s="348" t="s">
        <v>2266</v>
      </c>
      <c r="R41" s="282" t="str">
        <f t="shared" si="40"/>
        <v>Alto</v>
      </c>
      <c r="S41" s="348" t="s">
        <v>2371</v>
      </c>
      <c r="T41" s="342" t="s">
        <v>2815</v>
      </c>
      <c r="U41" s="316">
        <v>1</v>
      </c>
      <c r="V41" s="343" t="s">
        <v>197</v>
      </c>
      <c r="W41" s="344" t="s">
        <v>2373</v>
      </c>
      <c r="X41" s="344" t="s">
        <v>2374</v>
      </c>
      <c r="Y41" s="344" t="s">
        <v>2375</v>
      </c>
      <c r="Z41" s="344" t="s">
        <v>2376</v>
      </c>
      <c r="AA41" s="344" t="s">
        <v>2377</v>
      </c>
      <c r="AB41" s="344" t="s">
        <v>2378</v>
      </c>
      <c r="AC41" s="344" t="s">
        <v>2379</v>
      </c>
      <c r="AD41" s="279">
        <f t="shared" si="36"/>
        <v>15</v>
      </c>
      <c r="AE41" s="279">
        <f t="shared" si="37"/>
        <v>15</v>
      </c>
      <c r="AF41" s="279">
        <f t="shared" si="3"/>
        <v>15</v>
      </c>
      <c r="AG41" s="279">
        <f t="shared" si="4"/>
        <v>15</v>
      </c>
      <c r="AH41" s="279">
        <f t="shared" si="5"/>
        <v>15</v>
      </c>
      <c r="AI41" s="279">
        <f t="shared" si="6"/>
        <v>15</v>
      </c>
      <c r="AJ41" s="279">
        <f t="shared" si="7"/>
        <v>10</v>
      </c>
      <c r="AK41" s="279">
        <f t="shared" si="38"/>
        <v>100</v>
      </c>
      <c r="AL41" s="279" t="str">
        <f t="shared" si="13"/>
        <v>Fuerte</v>
      </c>
      <c r="AM41" s="344" t="s">
        <v>2380</v>
      </c>
      <c r="AN41" s="279" t="str">
        <f t="shared" si="14"/>
        <v>Fuerte</v>
      </c>
      <c r="AO41" s="279">
        <f t="shared" si="9"/>
        <v>100</v>
      </c>
      <c r="AP41" s="279" t="str">
        <f t="shared" si="15"/>
        <v>No</v>
      </c>
      <c r="AQ41" s="280">
        <f t="shared" si="34"/>
        <v>100</v>
      </c>
      <c r="AR41" s="280" t="str">
        <f t="shared" si="16"/>
        <v>Fuerte</v>
      </c>
      <c r="AS41" s="350" t="s">
        <v>2381</v>
      </c>
      <c r="AT41" s="350" t="s">
        <v>2381</v>
      </c>
      <c r="AU41" s="281">
        <f t="shared" si="17"/>
        <v>2</v>
      </c>
      <c r="AV41" s="281">
        <f t="shared" si="11"/>
        <v>0</v>
      </c>
      <c r="AW41" s="278" t="str">
        <f t="shared" si="39"/>
        <v>Alto</v>
      </c>
      <c r="AX41" s="1019" t="s">
        <v>2816</v>
      </c>
      <c r="AY41" s="1019" t="s">
        <v>2460</v>
      </c>
      <c r="AZ41" s="1019" t="s">
        <v>2817</v>
      </c>
      <c r="BA41" s="1021">
        <v>46022</v>
      </c>
      <c r="BB41" s="1019" t="s">
        <v>2818</v>
      </c>
      <c r="BD41" s="244">
        <v>45769</v>
      </c>
      <c r="BE41" s="359" t="s">
        <v>470</v>
      </c>
      <c r="BF41" s="248" t="s">
        <v>468</v>
      </c>
      <c r="BG41" s="247" t="s">
        <v>205</v>
      </c>
      <c r="BH41" s="248" t="s">
        <v>206</v>
      </c>
      <c r="BI41" s="253"/>
      <c r="BJ41" s="358" t="s">
        <v>2819</v>
      </c>
      <c r="BL41" s="244">
        <v>45782</v>
      </c>
      <c r="BM41" s="251" t="s">
        <v>207</v>
      </c>
      <c r="BN41" s="245" t="s">
        <v>228</v>
      </c>
      <c r="BP41" s="252"/>
      <c r="BQ41" s="252"/>
      <c r="BR41" s="249" t="s">
        <v>2078</v>
      </c>
      <c r="BS41" s="250"/>
      <c r="BT41" s="244">
        <v>45854</v>
      </c>
      <c r="BU41" s="359" t="s">
        <v>470</v>
      </c>
      <c r="BV41" s="248" t="s">
        <v>2820</v>
      </c>
      <c r="BW41" s="247" t="s">
        <v>205</v>
      </c>
      <c r="BX41" s="248" t="s">
        <v>206</v>
      </c>
      <c r="BY41" s="248" t="s">
        <v>206</v>
      </c>
      <c r="BZ41" s="448" t="s">
        <v>2819</v>
      </c>
      <c r="CA41" s="250"/>
      <c r="CB41" s="450">
        <v>45869</v>
      </c>
      <c r="CC41" s="449" t="s">
        <v>215</v>
      </c>
      <c r="CD41" s="283" t="s">
        <v>231</v>
      </c>
      <c r="CE41" s="250"/>
      <c r="CF41" s="252"/>
      <c r="CG41" s="252"/>
      <c r="CH41" s="249" t="s">
        <v>2078</v>
      </c>
      <c r="CI41" s="250"/>
      <c r="CJ41" s="244">
        <v>45939</v>
      </c>
      <c r="CK41" s="359" t="s">
        <v>470</v>
      </c>
      <c r="CL41" s="248" t="s">
        <v>2821</v>
      </c>
      <c r="CM41" s="247" t="s">
        <v>205</v>
      </c>
      <c r="CN41" s="248" t="s">
        <v>206</v>
      </c>
      <c r="CO41" s="248" t="s">
        <v>206</v>
      </c>
      <c r="CP41" s="448" t="s">
        <v>2819</v>
      </c>
      <c r="CQ41" s="250"/>
      <c r="CR41" s="257">
        <v>46000</v>
      </c>
      <c r="CS41" s="502" t="s">
        <v>218</v>
      </c>
      <c r="CT41" s="501" t="s">
        <v>233</v>
      </c>
      <c r="CU41" s="250"/>
      <c r="CV41" s="252"/>
      <c r="CW41" s="252"/>
      <c r="CX41" s="249" t="s">
        <v>2078</v>
      </c>
      <c r="CY41" s="250"/>
      <c r="CZ41" s="252"/>
      <c r="DA41" s="252"/>
      <c r="DB41" s="249" t="s">
        <v>2078</v>
      </c>
      <c r="DC41" s="247"/>
      <c r="DD41" s="248"/>
      <c r="DE41" s="253"/>
      <c r="DF41" s="249" t="s">
        <v>2088</v>
      </c>
      <c r="DG41" s="250"/>
      <c r="DH41" s="252"/>
      <c r="DI41" s="252"/>
      <c r="DJ41" s="249" t="s">
        <v>2078</v>
      </c>
      <c r="DK41" s="250"/>
      <c r="DL41" s="252"/>
      <c r="DM41" s="252"/>
      <c r="DN41" s="249" t="s">
        <v>2078</v>
      </c>
    </row>
    <row r="42" spans="1:118" s="276" customFormat="1" ht="409.5" x14ac:dyDescent="0.2">
      <c r="A42" s="301">
        <v>20</v>
      </c>
      <c r="B42" s="301" t="s">
        <v>2806</v>
      </c>
      <c r="C42" s="282"/>
      <c r="D42" s="282" t="s">
        <v>2807</v>
      </c>
      <c r="E42" s="282" t="s">
        <v>2808</v>
      </c>
      <c r="F42" s="277" t="s">
        <v>462</v>
      </c>
      <c r="G42" s="277" t="str">
        <f>IFERROR(INDEX('[4]Base de datos gestión'!$D$28:$D$50,MATCH(F42,'[4]Base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H42" s="277" t="str">
        <f>IFERROR(INDEX('[4]Base de datos gestión'!$E$28:$E$50,MATCH(F42,'[4]Base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I42" s="348" t="s">
        <v>2365</v>
      </c>
      <c r="J42" s="349" t="s">
        <v>2809</v>
      </c>
      <c r="K42" s="282" t="s">
        <v>2810</v>
      </c>
      <c r="L42" s="282" t="s">
        <v>2811</v>
      </c>
      <c r="M42" s="349" t="s">
        <v>2812</v>
      </c>
      <c r="N42" s="282" t="s">
        <v>2813</v>
      </c>
      <c r="O42" s="282" t="s">
        <v>2814</v>
      </c>
      <c r="P42" s="348" t="s">
        <v>2264</v>
      </c>
      <c r="Q42" s="348" t="s">
        <v>2266</v>
      </c>
      <c r="R42" s="282" t="str">
        <f t="shared" si="40"/>
        <v>Alto</v>
      </c>
      <c r="S42" s="348" t="s">
        <v>2371</v>
      </c>
      <c r="T42" s="342" t="s">
        <v>2822</v>
      </c>
      <c r="U42" s="316">
        <v>2</v>
      </c>
      <c r="V42" s="343" t="s">
        <v>269</v>
      </c>
      <c r="W42" s="344" t="s">
        <v>2373</v>
      </c>
      <c r="X42" s="344" t="s">
        <v>2374</v>
      </c>
      <c r="Y42" s="344" t="s">
        <v>2375</v>
      </c>
      <c r="Z42" s="344" t="s">
        <v>2473</v>
      </c>
      <c r="AA42" s="344" t="s">
        <v>2377</v>
      </c>
      <c r="AB42" s="344" t="s">
        <v>2378</v>
      </c>
      <c r="AC42" s="344" t="s">
        <v>2379</v>
      </c>
      <c r="AD42" s="279">
        <f t="shared" si="36"/>
        <v>15</v>
      </c>
      <c r="AE42" s="279">
        <f t="shared" si="37"/>
        <v>15</v>
      </c>
      <c r="AF42" s="279">
        <f t="shared" si="3"/>
        <v>15</v>
      </c>
      <c r="AG42" s="279">
        <f t="shared" si="4"/>
        <v>10</v>
      </c>
      <c r="AH42" s="279">
        <f t="shared" si="5"/>
        <v>15</v>
      </c>
      <c r="AI42" s="279">
        <f t="shared" si="6"/>
        <v>15</v>
      </c>
      <c r="AJ42" s="279">
        <f t="shared" si="7"/>
        <v>10</v>
      </c>
      <c r="AK42" s="279">
        <f t="shared" si="38"/>
        <v>95</v>
      </c>
      <c r="AL42" s="279" t="str">
        <f t="shared" si="13"/>
        <v>Moderado</v>
      </c>
      <c r="AM42" s="344" t="s">
        <v>2380</v>
      </c>
      <c r="AN42" s="279" t="str">
        <f t="shared" si="14"/>
        <v>Moderado</v>
      </c>
      <c r="AO42" s="279">
        <f t="shared" si="9"/>
        <v>50</v>
      </c>
      <c r="AP42" s="279" t="str">
        <f t="shared" si="15"/>
        <v>Si</v>
      </c>
      <c r="AQ42" s="280">
        <f t="shared" si="34"/>
        <v>50</v>
      </c>
      <c r="AR42" s="280" t="str">
        <f t="shared" si="16"/>
        <v>Moderado</v>
      </c>
      <c r="AS42" s="350" t="s">
        <v>2381</v>
      </c>
      <c r="AT42" s="350" t="s">
        <v>2381</v>
      </c>
      <c r="AU42" s="281">
        <f t="shared" si="17"/>
        <v>1</v>
      </c>
      <c r="AV42" s="281">
        <f t="shared" si="11"/>
        <v>0</v>
      </c>
      <c r="AW42" s="278" t="str">
        <f t="shared" si="39"/>
        <v>Alto</v>
      </c>
      <c r="AX42" s="1020"/>
      <c r="AY42" s="1020"/>
      <c r="AZ42" s="1020"/>
      <c r="BA42" s="1022"/>
      <c r="BB42" s="1023"/>
      <c r="BD42" s="244">
        <v>45769</v>
      </c>
      <c r="BE42" s="359" t="s">
        <v>470</v>
      </c>
      <c r="BF42" s="248" t="s">
        <v>468</v>
      </c>
      <c r="BG42" s="247" t="s">
        <v>205</v>
      </c>
      <c r="BH42" s="248" t="s">
        <v>206</v>
      </c>
      <c r="BI42" s="253"/>
      <c r="BJ42" s="358" t="s">
        <v>2819</v>
      </c>
      <c r="BL42" s="244">
        <v>45782</v>
      </c>
      <c r="BM42" s="251" t="s">
        <v>207</v>
      </c>
      <c r="BN42" s="245" t="s">
        <v>228</v>
      </c>
      <c r="BP42" s="252"/>
      <c r="BQ42" s="252"/>
      <c r="BR42" s="249" t="s">
        <v>2078</v>
      </c>
      <c r="BS42" s="250"/>
      <c r="BT42" s="244">
        <v>45854</v>
      </c>
      <c r="BU42" s="359" t="s">
        <v>470</v>
      </c>
      <c r="BV42" s="248" t="s">
        <v>2820</v>
      </c>
      <c r="BW42" s="247" t="s">
        <v>205</v>
      </c>
      <c r="BX42" s="248" t="s">
        <v>206</v>
      </c>
      <c r="BY42" s="248" t="s">
        <v>206</v>
      </c>
      <c r="BZ42" s="448" t="s">
        <v>2819</v>
      </c>
      <c r="CA42" s="250"/>
      <c r="CB42" s="450">
        <v>45869</v>
      </c>
      <c r="CC42" s="449" t="s">
        <v>215</v>
      </c>
      <c r="CD42" s="283" t="s">
        <v>231</v>
      </c>
      <c r="CE42" s="250"/>
      <c r="CF42" s="252"/>
      <c r="CG42" s="252"/>
      <c r="CH42" s="249" t="s">
        <v>2078</v>
      </c>
      <c r="CI42" s="250"/>
      <c r="CJ42" s="244">
        <v>45939</v>
      </c>
      <c r="CK42" s="359" t="s">
        <v>470</v>
      </c>
      <c r="CL42" s="248" t="s">
        <v>2821</v>
      </c>
      <c r="CM42" s="247" t="s">
        <v>205</v>
      </c>
      <c r="CN42" s="248" t="s">
        <v>206</v>
      </c>
      <c r="CO42" s="248" t="s">
        <v>206</v>
      </c>
      <c r="CP42" s="448" t="s">
        <v>2819</v>
      </c>
      <c r="CQ42" s="250"/>
      <c r="CR42" s="257">
        <v>46000</v>
      </c>
      <c r="CS42" s="502" t="s">
        <v>218</v>
      </c>
      <c r="CT42" s="504" t="s">
        <v>233</v>
      </c>
      <c r="CU42" s="250"/>
      <c r="CV42" s="252"/>
      <c r="CW42" s="252"/>
      <c r="CX42" s="249" t="s">
        <v>2078</v>
      </c>
      <c r="CY42" s="250"/>
      <c r="CZ42" s="252"/>
      <c r="DA42" s="252"/>
      <c r="DB42" s="249" t="s">
        <v>2078</v>
      </c>
      <c r="DC42" s="247"/>
      <c r="DD42" s="248"/>
      <c r="DE42" s="253"/>
      <c r="DF42" s="249" t="s">
        <v>2088</v>
      </c>
      <c r="DG42" s="250"/>
      <c r="DH42" s="252"/>
      <c r="DI42" s="252"/>
      <c r="DJ42" s="249" t="s">
        <v>2078</v>
      </c>
      <c r="DK42" s="250"/>
      <c r="DL42" s="252"/>
      <c r="DM42" s="252"/>
      <c r="DN42" s="249" t="s">
        <v>2078</v>
      </c>
    </row>
    <row r="43" spans="1:118" s="276" customFormat="1" ht="409.5" x14ac:dyDescent="0.2">
      <c r="A43" s="301">
        <v>20</v>
      </c>
      <c r="B43" s="301" t="s">
        <v>2806</v>
      </c>
      <c r="C43" s="282"/>
      <c r="D43" s="282" t="s">
        <v>2807</v>
      </c>
      <c r="E43" s="282" t="s">
        <v>2808</v>
      </c>
      <c r="F43" s="277" t="s">
        <v>462</v>
      </c>
      <c r="G43" s="277" t="str">
        <f>IFERROR(INDEX('[4]Base de datos gestión'!$D$28:$D$50,MATCH(F43,'[4]Base de datos gestión'!$C$28:$C$50,0)), 0)</f>
        <v>Definir políticas, estrategias, planes y acciones en materia de comunicación interna y externa de manera permanente, utilizando los canales de comunicación institucionales y estableciendo sinergias con los grupos de valor, de acuerdo con las actividades definidas en el Plan Estratégico de Comunicaciones, para buscar el logro de los objetivos estratégicos y misionales.
Este proceso esta relacionado con el objetivo estratégico Brindar herramientas que faciliten la diseminación de la trazabilidad y del conocimiento en metrología, para contribuir al aseguramiento de la calidad de los bienes y servicios que se producen y comercializan en el país y el habilitador Gestionar de manera eficaz la información con las partes interesadas.</v>
      </c>
      <c r="H43" s="277" t="str">
        <f>IFERROR(INDEX('[4]Base de datos gestión'!$E$28:$E$50,MATCH(F43,'[4]Base de datos gestión'!$C$28:$C$50,0)), 0)</f>
        <v>Este proceso tiene relación con todos los procesos del Instituto Nacional de Metrología, en cumplimiento de las estrategias de comunicaciones que impacten a los grupos de valor. Inicia con la definición de la política de comunicación del INM y finaliza con el seguimiento al Plan Estratégico de Comunicaciones (PEC) y de ser necesario, al Plan de Comunicación de Crisis.</v>
      </c>
      <c r="I43" s="348" t="s">
        <v>2365</v>
      </c>
      <c r="J43" s="349" t="s">
        <v>2809</v>
      </c>
      <c r="K43" s="282" t="s">
        <v>2810</v>
      </c>
      <c r="L43" s="282" t="s">
        <v>2811</v>
      </c>
      <c r="M43" s="349" t="s">
        <v>2812</v>
      </c>
      <c r="N43" s="282" t="s">
        <v>2813</v>
      </c>
      <c r="O43" s="282" t="s">
        <v>2814</v>
      </c>
      <c r="P43" s="348" t="s">
        <v>2264</v>
      </c>
      <c r="Q43" s="348" t="s">
        <v>2266</v>
      </c>
      <c r="R43" s="282" t="str">
        <f t="shared" si="40"/>
        <v>Alto</v>
      </c>
      <c r="S43" s="348" t="s">
        <v>2371</v>
      </c>
      <c r="T43" s="342" t="s">
        <v>2823</v>
      </c>
      <c r="U43" s="316">
        <v>3</v>
      </c>
      <c r="V43" s="343" t="s">
        <v>269</v>
      </c>
      <c r="W43" s="344" t="s">
        <v>2373</v>
      </c>
      <c r="X43" s="344" t="s">
        <v>2374</v>
      </c>
      <c r="Y43" s="344" t="s">
        <v>2375</v>
      </c>
      <c r="Z43" s="344" t="s">
        <v>2473</v>
      </c>
      <c r="AA43" s="344" t="s">
        <v>2377</v>
      </c>
      <c r="AB43" s="344" t="s">
        <v>2378</v>
      </c>
      <c r="AC43" s="344" t="s">
        <v>2379</v>
      </c>
      <c r="AD43" s="279">
        <f t="shared" si="36"/>
        <v>15</v>
      </c>
      <c r="AE43" s="279">
        <f t="shared" si="37"/>
        <v>15</v>
      </c>
      <c r="AF43" s="279">
        <f t="shared" si="3"/>
        <v>15</v>
      </c>
      <c r="AG43" s="279">
        <f t="shared" si="4"/>
        <v>10</v>
      </c>
      <c r="AH43" s="279">
        <f t="shared" si="5"/>
        <v>15</v>
      </c>
      <c r="AI43" s="279">
        <f t="shared" si="6"/>
        <v>15</v>
      </c>
      <c r="AJ43" s="279">
        <f t="shared" si="7"/>
        <v>10</v>
      </c>
      <c r="AK43" s="279">
        <f t="shared" si="38"/>
        <v>95</v>
      </c>
      <c r="AL43" s="279" t="str">
        <f t="shared" si="13"/>
        <v>Moderado</v>
      </c>
      <c r="AM43" s="344" t="s">
        <v>2380</v>
      </c>
      <c r="AN43" s="279" t="str">
        <f t="shared" si="14"/>
        <v>Moderado</v>
      </c>
      <c r="AO43" s="279">
        <f t="shared" si="9"/>
        <v>50</v>
      </c>
      <c r="AP43" s="279" t="str">
        <f t="shared" si="15"/>
        <v>Si</v>
      </c>
      <c r="AQ43" s="280">
        <f t="shared" si="34"/>
        <v>50</v>
      </c>
      <c r="AR43" s="280" t="str">
        <f t="shared" si="16"/>
        <v>Moderado</v>
      </c>
      <c r="AS43" s="350" t="s">
        <v>2381</v>
      </c>
      <c r="AT43" s="350" t="s">
        <v>2381</v>
      </c>
      <c r="AU43" s="281">
        <f t="shared" si="17"/>
        <v>1</v>
      </c>
      <c r="AV43" s="281">
        <f t="shared" si="11"/>
        <v>0</v>
      </c>
      <c r="AW43" s="278" t="str">
        <f t="shared" si="39"/>
        <v>Alto</v>
      </c>
      <c r="AX43" s="345" t="s">
        <v>2824</v>
      </c>
      <c r="AY43" s="345" t="s">
        <v>2825</v>
      </c>
      <c r="AZ43" s="345" t="s">
        <v>2826</v>
      </c>
      <c r="BA43" s="351">
        <v>46022</v>
      </c>
      <c r="BB43" s="1020"/>
      <c r="BD43" s="244">
        <v>45769</v>
      </c>
      <c r="BE43" s="359" t="s">
        <v>533</v>
      </c>
      <c r="BF43" s="248" t="s">
        <v>468</v>
      </c>
      <c r="BG43" s="247" t="s">
        <v>205</v>
      </c>
      <c r="BH43" s="248" t="s">
        <v>535</v>
      </c>
      <c r="BI43" s="359" t="s">
        <v>535</v>
      </c>
      <c r="BJ43" s="358" t="s">
        <v>2827</v>
      </c>
      <c r="BL43" s="244">
        <v>45782</v>
      </c>
      <c r="BM43" s="251" t="s">
        <v>207</v>
      </c>
      <c r="BN43" s="245" t="s">
        <v>228</v>
      </c>
      <c r="BP43" s="252"/>
      <c r="BQ43" s="252"/>
      <c r="BR43" s="249" t="s">
        <v>2078</v>
      </c>
      <c r="BS43" s="250"/>
      <c r="BT43" s="244">
        <v>45854</v>
      </c>
      <c r="BU43" s="359" t="s">
        <v>470</v>
      </c>
      <c r="BV43" s="248" t="s">
        <v>2820</v>
      </c>
      <c r="BW43" s="247" t="s">
        <v>205</v>
      </c>
      <c r="BX43" s="248" t="s">
        <v>206</v>
      </c>
      <c r="BY43" s="248" t="s">
        <v>206</v>
      </c>
      <c r="BZ43" s="248" t="s">
        <v>206</v>
      </c>
      <c r="CA43" s="250"/>
      <c r="CB43" s="450">
        <v>45869</v>
      </c>
      <c r="CC43" s="449" t="s">
        <v>215</v>
      </c>
      <c r="CD43" s="283" t="s">
        <v>231</v>
      </c>
      <c r="CE43" s="250"/>
      <c r="CF43" s="252"/>
      <c r="CG43" s="252"/>
      <c r="CH43" s="249" t="s">
        <v>2078</v>
      </c>
      <c r="CI43" s="250"/>
      <c r="CJ43" s="244">
        <v>45939</v>
      </c>
      <c r="CK43" s="359" t="s">
        <v>470</v>
      </c>
      <c r="CL43" s="248" t="s">
        <v>2821</v>
      </c>
      <c r="CM43" s="247" t="s">
        <v>205</v>
      </c>
      <c r="CN43" s="248" t="s">
        <v>206</v>
      </c>
      <c r="CO43" s="248" t="s">
        <v>206</v>
      </c>
      <c r="CP43" s="448" t="s">
        <v>2819</v>
      </c>
      <c r="CQ43" s="250"/>
      <c r="CR43" s="257">
        <v>46000</v>
      </c>
      <c r="CS43" s="502" t="s">
        <v>218</v>
      </c>
      <c r="CT43" s="501" t="s">
        <v>233</v>
      </c>
      <c r="CU43" s="250"/>
      <c r="CV43" s="252"/>
      <c r="CW43" s="252"/>
      <c r="CX43" s="249" t="s">
        <v>2078</v>
      </c>
      <c r="CY43" s="250"/>
      <c r="CZ43" s="252"/>
      <c r="DA43" s="252"/>
      <c r="DB43" s="249" t="s">
        <v>2078</v>
      </c>
      <c r="DC43" s="247"/>
      <c r="DD43" s="248"/>
      <c r="DE43" s="253"/>
      <c r="DF43" s="249" t="s">
        <v>2088</v>
      </c>
      <c r="DG43" s="250"/>
      <c r="DH43" s="252"/>
      <c r="DI43" s="252"/>
      <c r="DJ43" s="249" t="s">
        <v>2078</v>
      </c>
      <c r="DK43" s="250"/>
      <c r="DL43" s="252"/>
      <c r="DM43" s="252"/>
      <c r="DN43" s="249" t="s">
        <v>2078</v>
      </c>
    </row>
    <row r="44" spans="1:118" s="276" customFormat="1" ht="409.5" x14ac:dyDescent="0.2">
      <c r="A44" s="301">
        <v>21</v>
      </c>
      <c r="B44" s="301" t="s">
        <v>2828</v>
      </c>
      <c r="C44" s="282"/>
      <c r="D44" s="282" t="s">
        <v>2829</v>
      </c>
      <c r="E44" s="282" t="s">
        <v>2830</v>
      </c>
      <c r="F44" s="277" t="s">
        <v>1029</v>
      </c>
      <c r="G44" s="277" t="str">
        <f>IFERROR(INDEX('[4]Base de datos gestión'!$D$28:$D$50,MATCH(F44,'[4]Base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44" s="277" t="str">
        <f>IFERROR(INDEX('[4]Base de datos gestión'!$E$28:$E$50,MATCH(F44,'[4]Base de datos gestión'!$C$28:$C$50,0)), 0)</f>
        <v>El proceso inicia con la planificación de los servicios de ensayos de aptitud y estudios colaborativos (comparaciones interlaboratorios) y finaliza con la aplicación de la evaluación de la satisfacción del servicio.</v>
      </c>
      <c r="I44" s="348" t="s">
        <v>2365</v>
      </c>
      <c r="J44" s="349" t="s">
        <v>535</v>
      </c>
      <c r="K44" s="282" t="s">
        <v>2810</v>
      </c>
      <c r="L44" s="282" t="s">
        <v>2831</v>
      </c>
      <c r="M44" s="349" t="s">
        <v>535</v>
      </c>
      <c r="N44" s="282" t="s">
        <v>2832</v>
      </c>
      <c r="O44" s="282" t="s">
        <v>2833</v>
      </c>
      <c r="P44" s="348" t="s">
        <v>2264</v>
      </c>
      <c r="Q44" s="348" t="s">
        <v>762</v>
      </c>
      <c r="R44" s="282" t="str">
        <f t="shared" si="40"/>
        <v>Extremo</v>
      </c>
      <c r="S44" s="348" t="s">
        <v>2371</v>
      </c>
      <c r="T44" s="353" t="s">
        <v>2834</v>
      </c>
      <c r="U44" s="316">
        <v>1</v>
      </c>
      <c r="V44" s="343" t="s">
        <v>197</v>
      </c>
      <c r="W44" s="344" t="s">
        <v>2373</v>
      </c>
      <c r="X44" s="344" t="s">
        <v>2374</v>
      </c>
      <c r="Y44" s="344" t="s">
        <v>2375</v>
      </c>
      <c r="Z44" s="344" t="s">
        <v>2376</v>
      </c>
      <c r="AA44" s="344" t="s">
        <v>2377</v>
      </c>
      <c r="AB44" s="344" t="s">
        <v>2378</v>
      </c>
      <c r="AC44" s="344" t="s">
        <v>2379</v>
      </c>
      <c r="AD44" s="279">
        <f t="shared" si="36"/>
        <v>15</v>
      </c>
      <c r="AE44" s="279">
        <f t="shared" si="37"/>
        <v>15</v>
      </c>
      <c r="AF44" s="279">
        <f t="shared" si="3"/>
        <v>15</v>
      </c>
      <c r="AG44" s="279">
        <f t="shared" si="4"/>
        <v>15</v>
      </c>
      <c r="AH44" s="279">
        <f t="shared" si="5"/>
        <v>15</v>
      </c>
      <c r="AI44" s="279">
        <f t="shared" si="6"/>
        <v>15</v>
      </c>
      <c r="AJ44" s="279">
        <f t="shared" si="7"/>
        <v>10</v>
      </c>
      <c r="AK44" s="279">
        <f t="shared" si="38"/>
        <v>100</v>
      </c>
      <c r="AL44" s="279" t="str">
        <f t="shared" si="13"/>
        <v>Fuerte</v>
      </c>
      <c r="AM44" s="344" t="s">
        <v>2380</v>
      </c>
      <c r="AN44" s="279" t="str">
        <f t="shared" si="14"/>
        <v>Fuerte</v>
      </c>
      <c r="AO44" s="279">
        <f t="shared" si="9"/>
        <v>100</v>
      </c>
      <c r="AP44" s="279" t="str">
        <f t="shared" si="15"/>
        <v>No</v>
      </c>
      <c r="AQ44" s="280">
        <f t="shared" si="34"/>
        <v>100</v>
      </c>
      <c r="AR44" s="280" t="str">
        <f t="shared" si="16"/>
        <v>Fuerte</v>
      </c>
      <c r="AS44" s="350" t="s">
        <v>2381</v>
      </c>
      <c r="AT44" s="350" t="s">
        <v>2381</v>
      </c>
      <c r="AU44" s="281">
        <f t="shared" si="17"/>
        <v>2</v>
      </c>
      <c r="AV44" s="281">
        <f t="shared" si="11"/>
        <v>0</v>
      </c>
      <c r="AW44" s="278" t="str">
        <f t="shared" si="39"/>
        <v>Extremo</v>
      </c>
      <c r="AX44" s="1019" t="s">
        <v>2835</v>
      </c>
      <c r="AY44" s="1019" t="s">
        <v>2836</v>
      </c>
      <c r="AZ44" s="1019" t="s">
        <v>2837</v>
      </c>
      <c r="BA44" s="1021">
        <v>46022</v>
      </c>
      <c r="BB44" s="1019" t="s">
        <v>2838</v>
      </c>
      <c r="BD44" s="257">
        <v>45757</v>
      </c>
      <c r="BE44" s="359" t="s">
        <v>2839</v>
      </c>
      <c r="BF44" s="248" t="s">
        <v>2840</v>
      </c>
      <c r="BG44" s="247" t="s">
        <v>205</v>
      </c>
      <c r="BH44" s="248" t="s">
        <v>206</v>
      </c>
      <c r="BI44" s="248" t="s">
        <v>206</v>
      </c>
      <c r="BJ44" s="249" t="s">
        <v>2088</v>
      </c>
      <c r="BL44" s="244">
        <v>45782</v>
      </c>
      <c r="BM44" s="251" t="s">
        <v>207</v>
      </c>
      <c r="BN44" s="245" t="s">
        <v>228</v>
      </c>
      <c r="BP44" s="252"/>
      <c r="BQ44" s="252"/>
      <c r="BR44" s="249" t="s">
        <v>2078</v>
      </c>
      <c r="BS44" s="250"/>
      <c r="BT44" s="257">
        <v>45856</v>
      </c>
      <c r="BU44" s="359" t="s">
        <v>2839</v>
      </c>
      <c r="BV44" s="248" t="s">
        <v>2841</v>
      </c>
      <c r="BW44" s="247" t="s">
        <v>205</v>
      </c>
      <c r="BX44" s="248" t="s">
        <v>206</v>
      </c>
      <c r="BY44" s="248" t="s">
        <v>206</v>
      </c>
      <c r="BZ44" s="448" t="s">
        <v>2842</v>
      </c>
      <c r="CA44" s="250"/>
      <c r="CB44" s="450">
        <v>45869</v>
      </c>
      <c r="CC44" s="449" t="s">
        <v>215</v>
      </c>
      <c r="CD44" s="283" t="s">
        <v>231</v>
      </c>
      <c r="CE44" s="250"/>
      <c r="CF44" s="252"/>
      <c r="CG44" s="252"/>
      <c r="CH44" s="249" t="s">
        <v>2078</v>
      </c>
      <c r="CI44" s="250"/>
      <c r="CJ44" s="257">
        <v>45945</v>
      </c>
      <c r="CK44" s="359" t="s">
        <v>2839</v>
      </c>
      <c r="CL44" s="248" t="s">
        <v>2843</v>
      </c>
      <c r="CM44" s="247" t="s">
        <v>205</v>
      </c>
      <c r="CN44" s="248" t="s">
        <v>206</v>
      </c>
      <c r="CO44" s="248" t="s">
        <v>206</v>
      </c>
      <c r="CP44" s="448" t="s">
        <v>2844</v>
      </c>
      <c r="CQ44" s="250"/>
      <c r="CR44" s="257">
        <v>46000</v>
      </c>
      <c r="CS44" s="248" t="s">
        <v>218</v>
      </c>
      <c r="CT44" s="248" t="s">
        <v>233</v>
      </c>
      <c r="CU44" s="250"/>
      <c r="CV44" s="252"/>
      <c r="CW44" s="252"/>
      <c r="CX44" s="249" t="s">
        <v>2078</v>
      </c>
      <c r="CY44" s="250"/>
      <c r="CZ44" s="252"/>
      <c r="DA44" s="252"/>
      <c r="DB44" s="249" t="s">
        <v>2078</v>
      </c>
      <c r="DC44" s="247"/>
      <c r="DD44" s="248"/>
      <c r="DE44" s="253"/>
      <c r="DF44" s="249" t="s">
        <v>2088</v>
      </c>
      <c r="DG44" s="250"/>
      <c r="DH44" s="252"/>
      <c r="DI44" s="252"/>
      <c r="DJ44" s="249" t="s">
        <v>2078</v>
      </c>
      <c r="DK44" s="250"/>
      <c r="DL44" s="252"/>
      <c r="DM44" s="252"/>
      <c r="DN44" s="249" t="s">
        <v>2078</v>
      </c>
    </row>
    <row r="45" spans="1:118" s="276" customFormat="1" ht="409.5" x14ac:dyDescent="0.2">
      <c r="A45" s="301">
        <v>21</v>
      </c>
      <c r="B45" s="301" t="s">
        <v>2828</v>
      </c>
      <c r="C45" s="282"/>
      <c r="D45" s="282" t="s">
        <v>2829</v>
      </c>
      <c r="E45" s="282" t="s">
        <v>2830</v>
      </c>
      <c r="F45" s="277" t="s">
        <v>1029</v>
      </c>
      <c r="G45" s="277" t="str">
        <f>IFERROR(INDEX('[4]Base de datos gestión'!$D$28:$D$50,MATCH(F45,'[4]Base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45" s="277" t="str">
        <f>IFERROR(INDEX('[4]Base de datos gestión'!$E$28:$E$50,MATCH(F45,'[4]Base de datos gestión'!$C$28:$C$50,0)), 0)</f>
        <v>El proceso inicia con la planificación de los servicios de ensayos de aptitud y estudios colaborativos (comparaciones interlaboratorios) y finaliza con la aplicación de la evaluación de la satisfacción del servicio.</v>
      </c>
      <c r="I45" s="348" t="s">
        <v>2365</v>
      </c>
      <c r="J45" s="349" t="s">
        <v>535</v>
      </c>
      <c r="K45" s="282" t="s">
        <v>2810</v>
      </c>
      <c r="L45" s="282" t="s">
        <v>2831</v>
      </c>
      <c r="M45" s="349" t="s">
        <v>535</v>
      </c>
      <c r="N45" s="282" t="s">
        <v>2832</v>
      </c>
      <c r="O45" s="282" t="s">
        <v>2845</v>
      </c>
      <c r="P45" s="348" t="s">
        <v>2264</v>
      </c>
      <c r="Q45" s="348" t="s">
        <v>762</v>
      </c>
      <c r="R45" s="282" t="str">
        <f t="shared" si="40"/>
        <v>Extremo</v>
      </c>
      <c r="S45" s="348" t="s">
        <v>2371</v>
      </c>
      <c r="T45" s="353" t="s">
        <v>2846</v>
      </c>
      <c r="U45" s="316">
        <v>2</v>
      </c>
      <c r="V45" s="343" t="s">
        <v>197</v>
      </c>
      <c r="W45" s="344" t="s">
        <v>2373</v>
      </c>
      <c r="X45" s="344" t="s">
        <v>2374</v>
      </c>
      <c r="Y45" s="344" t="s">
        <v>2375</v>
      </c>
      <c r="Z45" s="344" t="s">
        <v>2376</v>
      </c>
      <c r="AA45" s="344" t="s">
        <v>2377</v>
      </c>
      <c r="AB45" s="344" t="s">
        <v>2378</v>
      </c>
      <c r="AC45" s="344" t="s">
        <v>2379</v>
      </c>
      <c r="AD45" s="279">
        <f t="shared" si="36"/>
        <v>15</v>
      </c>
      <c r="AE45" s="279">
        <f t="shared" si="37"/>
        <v>15</v>
      </c>
      <c r="AF45" s="279">
        <f t="shared" si="3"/>
        <v>15</v>
      </c>
      <c r="AG45" s="279">
        <f t="shared" si="4"/>
        <v>15</v>
      </c>
      <c r="AH45" s="279">
        <f t="shared" si="5"/>
        <v>15</v>
      </c>
      <c r="AI45" s="279">
        <f t="shared" si="6"/>
        <v>15</v>
      </c>
      <c r="AJ45" s="279">
        <f t="shared" si="7"/>
        <v>10</v>
      </c>
      <c r="AK45" s="279">
        <f t="shared" si="38"/>
        <v>100</v>
      </c>
      <c r="AL45" s="279" t="str">
        <f t="shared" si="13"/>
        <v>Fuerte</v>
      </c>
      <c r="AM45" s="344" t="s">
        <v>2380</v>
      </c>
      <c r="AN45" s="279" t="str">
        <f t="shared" si="14"/>
        <v>Fuerte</v>
      </c>
      <c r="AO45" s="279">
        <f t="shared" si="9"/>
        <v>100</v>
      </c>
      <c r="AP45" s="279" t="str">
        <f t="shared" si="15"/>
        <v>No</v>
      </c>
      <c r="AQ45" s="280">
        <f t="shared" si="34"/>
        <v>100</v>
      </c>
      <c r="AR45" s="280" t="str">
        <f t="shared" si="16"/>
        <v>Fuerte</v>
      </c>
      <c r="AS45" s="350" t="s">
        <v>2381</v>
      </c>
      <c r="AT45" s="350" t="s">
        <v>2381</v>
      </c>
      <c r="AU45" s="281">
        <f t="shared" si="17"/>
        <v>2</v>
      </c>
      <c r="AV45" s="281">
        <f t="shared" si="11"/>
        <v>0</v>
      </c>
      <c r="AW45" s="278" t="str">
        <f t="shared" si="39"/>
        <v>Extremo</v>
      </c>
      <c r="AX45" s="1020"/>
      <c r="AY45" s="1020"/>
      <c r="AZ45" s="1020"/>
      <c r="BA45" s="1022"/>
      <c r="BB45" s="1020"/>
      <c r="BD45" s="257">
        <v>45757</v>
      </c>
      <c r="BE45" s="359" t="s">
        <v>2839</v>
      </c>
      <c r="BF45" s="248" t="s">
        <v>2847</v>
      </c>
      <c r="BG45" s="247" t="s">
        <v>205</v>
      </c>
      <c r="BH45" s="248" t="s">
        <v>206</v>
      </c>
      <c r="BI45" s="248" t="s">
        <v>206</v>
      </c>
      <c r="BJ45" s="249" t="s">
        <v>2088</v>
      </c>
      <c r="BL45" s="244">
        <v>45782</v>
      </c>
      <c r="BM45" s="251" t="s">
        <v>207</v>
      </c>
      <c r="BN45" s="245" t="s">
        <v>228</v>
      </c>
      <c r="BP45" s="252"/>
      <c r="BQ45" s="252"/>
      <c r="BR45" s="249" t="s">
        <v>2078</v>
      </c>
      <c r="BS45" s="250"/>
      <c r="BT45" s="257">
        <v>45856</v>
      </c>
      <c r="BU45" s="359" t="s">
        <v>2839</v>
      </c>
      <c r="BV45" s="248" t="s">
        <v>2848</v>
      </c>
      <c r="BW45" s="247" t="s">
        <v>205</v>
      </c>
      <c r="BX45" s="248" t="s">
        <v>206</v>
      </c>
      <c r="BY45" s="248" t="s">
        <v>206</v>
      </c>
      <c r="BZ45" s="448" t="s">
        <v>2849</v>
      </c>
      <c r="CA45" s="250"/>
      <c r="CB45" s="450">
        <v>45869</v>
      </c>
      <c r="CC45" s="449" t="s">
        <v>215</v>
      </c>
      <c r="CD45" s="283" t="s">
        <v>231</v>
      </c>
      <c r="CE45" s="250"/>
      <c r="CF45" s="252"/>
      <c r="CG45" s="252"/>
      <c r="CH45" s="249" t="s">
        <v>2078</v>
      </c>
      <c r="CI45" s="250"/>
      <c r="CJ45" s="257">
        <v>45945</v>
      </c>
      <c r="CK45" s="359" t="s">
        <v>2839</v>
      </c>
      <c r="CL45" s="248" t="s">
        <v>2850</v>
      </c>
      <c r="CM45" s="247" t="s">
        <v>205</v>
      </c>
      <c r="CN45" s="248" t="s">
        <v>206</v>
      </c>
      <c r="CO45" s="248" t="s">
        <v>206</v>
      </c>
      <c r="CP45" s="448" t="s">
        <v>2851</v>
      </c>
      <c r="CQ45" s="250"/>
      <c r="CR45" s="257">
        <v>46000</v>
      </c>
      <c r="CS45" s="248" t="s">
        <v>218</v>
      </c>
      <c r="CT45" s="248" t="s">
        <v>233</v>
      </c>
      <c r="CU45" s="250"/>
      <c r="CV45" s="252"/>
      <c r="CW45" s="252"/>
      <c r="CX45" s="249" t="s">
        <v>2078</v>
      </c>
      <c r="CY45" s="250"/>
      <c r="CZ45" s="252"/>
      <c r="DA45" s="252"/>
      <c r="DB45" s="249" t="s">
        <v>2078</v>
      </c>
      <c r="DC45" s="247"/>
      <c r="DD45" s="248"/>
      <c r="DE45" s="253"/>
      <c r="DF45" s="249" t="s">
        <v>2088</v>
      </c>
      <c r="DG45" s="250"/>
      <c r="DH45" s="252"/>
      <c r="DI45" s="252"/>
      <c r="DJ45" s="249" t="s">
        <v>2078</v>
      </c>
      <c r="DK45" s="250"/>
      <c r="DL45" s="252"/>
      <c r="DM45" s="252"/>
      <c r="DN45" s="249" t="s">
        <v>2078</v>
      </c>
    </row>
    <row r="46" spans="1:118" s="276" customFormat="1" ht="279" customHeight="1" x14ac:dyDescent="0.2">
      <c r="A46" s="301">
        <v>22</v>
      </c>
      <c r="B46" s="301" t="s">
        <v>2852</v>
      </c>
      <c r="C46" s="282"/>
      <c r="D46" s="282" t="s">
        <v>2853</v>
      </c>
      <c r="E46" s="282" t="s">
        <v>2854</v>
      </c>
      <c r="F46" s="277" t="s">
        <v>1029</v>
      </c>
      <c r="G46" s="277" t="str">
        <f>IFERROR(INDEX('[4]Base de datos gestión'!$D$28:$D$50,MATCH(F46,'[4]Base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46" s="277" t="str">
        <f>IFERROR(INDEX('[4]Base de datos gestión'!$E$28:$E$50,MATCH(F46,'[4]Base de datos gestión'!$C$28:$C$50,0)), 0)</f>
        <v>El proceso inicia con la planificación de los servicios de ensayos de aptitud y estudios colaborativos (comparaciones interlaboratorios) y finaliza con la aplicación de la evaluación de la satisfacción del servicio.</v>
      </c>
      <c r="I46" s="348" t="s">
        <v>2365</v>
      </c>
      <c r="J46" s="349" t="s">
        <v>535</v>
      </c>
      <c r="K46" s="282" t="s">
        <v>2729</v>
      </c>
      <c r="L46" s="282" t="s">
        <v>2855</v>
      </c>
      <c r="M46" s="349" t="s">
        <v>535</v>
      </c>
      <c r="N46" s="282" t="s">
        <v>2731</v>
      </c>
      <c r="O46" s="282" t="s">
        <v>2856</v>
      </c>
      <c r="P46" s="348" t="s">
        <v>2264</v>
      </c>
      <c r="Q46" s="348" t="s">
        <v>762</v>
      </c>
      <c r="R46" s="282" t="str">
        <f t="shared" si="40"/>
        <v>Extremo</v>
      </c>
      <c r="S46" s="348" t="s">
        <v>2371</v>
      </c>
      <c r="T46" s="479" t="s">
        <v>2857</v>
      </c>
      <c r="U46" s="316">
        <v>1</v>
      </c>
      <c r="V46" s="343" t="s">
        <v>197</v>
      </c>
      <c r="W46" s="344" t="s">
        <v>2373</v>
      </c>
      <c r="X46" s="344" t="s">
        <v>2374</v>
      </c>
      <c r="Y46" s="344" t="s">
        <v>2375</v>
      </c>
      <c r="Z46" s="344" t="s">
        <v>2376</v>
      </c>
      <c r="AA46" s="344" t="s">
        <v>2377</v>
      </c>
      <c r="AB46" s="344" t="s">
        <v>2378</v>
      </c>
      <c r="AC46" s="344" t="s">
        <v>2379</v>
      </c>
      <c r="AD46" s="279">
        <f t="shared" si="36"/>
        <v>15</v>
      </c>
      <c r="AE46" s="279">
        <f t="shared" si="37"/>
        <v>15</v>
      </c>
      <c r="AF46" s="279">
        <f t="shared" si="3"/>
        <v>15</v>
      </c>
      <c r="AG46" s="279">
        <f t="shared" si="4"/>
        <v>15</v>
      </c>
      <c r="AH46" s="279">
        <f t="shared" si="5"/>
        <v>15</v>
      </c>
      <c r="AI46" s="279">
        <f t="shared" si="6"/>
        <v>15</v>
      </c>
      <c r="AJ46" s="279">
        <f t="shared" si="7"/>
        <v>10</v>
      </c>
      <c r="AK46" s="279">
        <f t="shared" si="38"/>
        <v>100</v>
      </c>
      <c r="AL46" s="279" t="str">
        <f t="shared" si="13"/>
        <v>Fuerte</v>
      </c>
      <c r="AM46" s="344" t="s">
        <v>2380</v>
      </c>
      <c r="AN46" s="279" t="str">
        <f t="shared" si="14"/>
        <v>Fuerte</v>
      </c>
      <c r="AO46" s="279">
        <f t="shared" si="9"/>
        <v>100</v>
      </c>
      <c r="AP46" s="279" t="str">
        <f t="shared" si="15"/>
        <v>No</v>
      </c>
      <c r="AQ46" s="280">
        <f t="shared" si="34"/>
        <v>100</v>
      </c>
      <c r="AR46" s="280" t="str">
        <f t="shared" si="16"/>
        <v>Fuerte</v>
      </c>
      <c r="AS46" s="350" t="s">
        <v>2381</v>
      </c>
      <c r="AT46" s="350" t="s">
        <v>2381</v>
      </c>
      <c r="AU46" s="281">
        <f t="shared" si="17"/>
        <v>2</v>
      </c>
      <c r="AV46" s="281">
        <f t="shared" si="11"/>
        <v>0</v>
      </c>
      <c r="AW46" s="278" t="str">
        <f t="shared" si="39"/>
        <v>Extremo</v>
      </c>
      <c r="AX46" s="1019" t="s">
        <v>2858</v>
      </c>
      <c r="AY46" s="1019" t="s">
        <v>2836</v>
      </c>
      <c r="AZ46" s="1019" t="s">
        <v>2837</v>
      </c>
      <c r="BA46" s="1021">
        <v>46022</v>
      </c>
      <c r="BB46" s="1019" t="s">
        <v>2838</v>
      </c>
      <c r="BD46" s="257">
        <v>45757</v>
      </c>
      <c r="BE46" s="359" t="s">
        <v>2839</v>
      </c>
      <c r="BF46" s="248" t="s">
        <v>2859</v>
      </c>
      <c r="BG46" s="247" t="s">
        <v>205</v>
      </c>
      <c r="BH46" s="248" t="s">
        <v>206</v>
      </c>
      <c r="BI46" s="248" t="s">
        <v>206</v>
      </c>
      <c r="BJ46" s="249" t="s">
        <v>2088</v>
      </c>
      <c r="BL46" s="244">
        <v>45782</v>
      </c>
      <c r="BM46" s="251" t="s">
        <v>207</v>
      </c>
      <c r="BN46" s="245" t="s">
        <v>228</v>
      </c>
      <c r="BP46" s="252"/>
      <c r="BQ46" s="252"/>
      <c r="BR46" s="249" t="s">
        <v>2078</v>
      </c>
      <c r="BS46" s="250"/>
      <c r="BT46" s="257">
        <v>45856</v>
      </c>
      <c r="BU46" s="359" t="s">
        <v>2839</v>
      </c>
      <c r="BV46" s="248" t="s">
        <v>2860</v>
      </c>
      <c r="BW46" s="247" t="s">
        <v>205</v>
      </c>
      <c r="BX46" s="248" t="s">
        <v>206</v>
      </c>
      <c r="BY46" s="248" t="s">
        <v>206</v>
      </c>
      <c r="BZ46" s="436" t="s">
        <v>206</v>
      </c>
      <c r="CA46" s="250"/>
      <c r="CB46" s="450">
        <v>45869</v>
      </c>
      <c r="CC46" s="449" t="s">
        <v>215</v>
      </c>
      <c r="CD46" s="283" t="s">
        <v>231</v>
      </c>
      <c r="CE46" s="250"/>
      <c r="CF46" s="252"/>
      <c r="CG46" s="252"/>
      <c r="CH46" s="249" t="s">
        <v>2078</v>
      </c>
      <c r="CI46" s="250"/>
      <c r="CJ46" s="257">
        <v>45945</v>
      </c>
      <c r="CK46" s="359" t="s">
        <v>2839</v>
      </c>
      <c r="CL46" s="248" t="s">
        <v>2861</v>
      </c>
      <c r="CM46" s="247" t="s">
        <v>205</v>
      </c>
      <c r="CN46" s="248" t="s">
        <v>206</v>
      </c>
      <c r="CO46" s="248" t="s">
        <v>206</v>
      </c>
      <c r="CP46" s="486" t="s">
        <v>2862</v>
      </c>
      <c r="CQ46" s="487"/>
      <c r="CR46" s="257">
        <v>46000</v>
      </c>
      <c r="CS46" s="248" t="s">
        <v>218</v>
      </c>
      <c r="CT46" s="248" t="s">
        <v>233</v>
      </c>
      <c r="CU46" s="250"/>
      <c r="CV46" s="252"/>
      <c r="CW46" s="252"/>
      <c r="CX46" s="249" t="s">
        <v>2078</v>
      </c>
      <c r="CY46" s="250"/>
      <c r="CZ46" s="252"/>
      <c r="DA46" s="252"/>
      <c r="DB46" s="249" t="s">
        <v>2078</v>
      </c>
      <c r="DC46" s="247"/>
      <c r="DD46" s="248"/>
      <c r="DE46" s="253"/>
      <c r="DF46" s="249" t="s">
        <v>2088</v>
      </c>
      <c r="DG46" s="250"/>
      <c r="DH46" s="252"/>
      <c r="DI46" s="252"/>
      <c r="DJ46" s="249" t="s">
        <v>2078</v>
      </c>
      <c r="DK46" s="250"/>
      <c r="DL46" s="252"/>
      <c r="DM46" s="252"/>
      <c r="DN46" s="249" t="s">
        <v>2078</v>
      </c>
    </row>
    <row r="47" spans="1:118" s="276" customFormat="1" ht="252" customHeight="1" x14ac:dyDescent="0.2">
      <c r="A47" s="301">
        <v>22</v>
      </c>
      <c r="B47" s="301" t="s">
        <v>2852</v>
      </c>
      <c r="C47" s="282"/>
      <c r="D47" s="282" t="s">
        <v>2853</v>
      </c>
      <c r="E47" s="282" t="s">
        <v>2854</v>
      </c>
      <c r="F47" s="277" t="s">
        <v>1029</v>
      </c>
      <c r="G47" s="277" t="str">
        <f>IFERROR(INDEX('[4]Base de datos gestión'!$D$28:$D$50,MATCH(F47,'[4]Base de datos gestión'!$C$28:$C$50,0)), 0)</f>
        <v>Planificar y desarrollar ensayos de aptitud y estudios colaborativos (comparaciones interlaboratorios) en coordinación con las Subdirecciones de Metrología Física y Metrología Química y Biología del Instituto Nacional de Metrología, de conformidad con los lineamientos institucionales y las normas técnicas que apliquen, obedeciendo a la planificación de la vigencia y según las necesidades de la demanda, para contribuir a la mejora de la calidad de vida y el desarrollo económico, científico y tecnológico del país, mediante el establecimiento, conservación y adopción de patrones nacionales de medida, la difusión del Sistema Internacional de Unidades (SI), la investigación científica, la prestación de servicios
Metrológicos.
Este proceso está alineado con el objetivo estratégico B.1 Brindar herramientas que faciliten la diseminación de la trazabilidad y del conocimiento en metrología, para contribuir al aseguramiento de la calidad de los bienes y servicios que se producen y comercializan en el país.</v>
      </c>
      <c r="H47" s="277" t="str">
        <f>IFERROR(INDEX('[4]Base de datos gestión'!$E$28:$E$50,MATCH(F47,'[4]Base de datos gestión'!$C$28:$C$50,0)), 0)</f>
        <v>El proceso inicia con la planificación de los servicios de ensayos de aptitud y estudios colaborativos (comparaciones interlaboratorios) y finaliza con la aplicación de la evaluación de la satisfacción del servicio.</v>
      </c>
      <c r="I47" s="348" t="s">
        <v>2365</v>
      </c>
      <c r="J47" s="349" t="s">
        <v>535</v>
      </c>
      <c r="K47" s="282" t="s">
        <v>2729</v>
      </c>
      <c r="L47" s="282" t="s">
        <v>2855</v>
      </c>
      <c r="M47" s="349" t="s">
        <v>535</v>
      </c>
      <c r="N47" s="282" t="s">
        <v>2731</v>
      </c>
      <c r="O47" s="282" t="s">
        <v>2856</v>
      </c>
      <c r="P47" s="348" t="s">
        <v>2264</v>
      </c>
      <c r="Q47" s="348" t="s">
        <v>762</v>
      </c>
      <c r="R47" s="282" t="str">
        <f t="shared" ref="R47" si="41">IF(OR(P47="",Q47=""),"",VLOOKUP(VALUE(CONCATENATE(VLOOKUP(Q47,TImpacto,2,FALSE),VLOOKUP(P47,TProbabilidad,2,FALSE))),TMapaCalor,2,FALSE))</f>
        <v>Extremo</v>
      </c>
      <c r="S47" s="348" t="s">
        <v>2371</v>
      </c>
      <c r="T47" s="507" t="s">
        <v>2863</v>
      </c>
      <c r="U47" s="316">
        <v>2</v>
      </c>
      <c r="V47" s="343" t="s">
        <v>197</v>
      </c>
      <c r="W47" s="344" t="s">
        <v>2373</v>
      </c>
      <c r="X47" s="344" t="s">
        <v>2374</v>
      </c>
      <c r="Y47" s="344" t="s">
        <v>2375</v>
      </c>
      <c r="Z47" s="344" t="s">
        <v>2376</v>
      </c>
      <c r="AA47" s="344" t="s">
        <v>2377</v>
      </c>
      <c r="AB47" s="344" t="s">
        <v>2378</v>
      </c>
      <c r="AC47" s="344" t="s">
        <v>2379</v>
      </c>
      <c r="AD47" s="279">
        <f t="shared" si="36"/>
        <v>15</v>
      </c>
      <c r="AE47" s="279">
        <f t="shared" si="37"/>
        <v>15</v>
      </c>
      <c r="AF47" s="279">
        <f t="shared" si="3"/>
        <v>15</v>
      </c>
      <c r="AG47" s="279">
        <f t="shared" si="4"/>
        <v>15</v>
      </c>
      <c r="AH47" s="279">
        <f t="shared" si="5"/>
        <v>15</v>
      </c>
      <c r="AI47" s="279">
        <f t="shared" si="6"/>
        <v>15</v>
      </c>
      <c r="AJ47" s="279">
        <f t="shared" si="7"/>
        <v>10</v>
      </c>
      <c r="AK47" s="279">
        <f t="shared" si="38"/>
        <v>100</v>
      </c>
      <c r="AL47" s="279" t="str">
        <f t="shared" si="13"/>
        <v>Fuerte</v>
      </c>
      <c r="AM47" s="344" t="s">
        <v>2380</v>
      </c>
      <c r="AN47" s="279" t="str">
        <f t="shared" si="14"/>
        <v>Fuerte</v>
      </c>
      <c r="AO47" s="279">
        <f t="shared" si="9"/>
        <v>100</v>
      </c>
      <c r="AP47" s="279" t="str">
        <f t="shared" si="15"/>
        <v>No</v>
      </c>
      <c r="AQ47" s="280">
        <f t="shared" si="34"/>
        <v>100</v>
      </c>
      <c r="AR47" s="280" t="str">
        <f t="shared" si="16"/>
        <v>Fuerte</v>
      </c>
      <c r="AS47" s="350" t="s">
        <v>2381</v>
      </c>
      <c r="AT47" s="350" t="s">
        <v>2381</v>
      </c>
      <c r="AU47" s="281">
        <f t="shared" si="17"/>
        <v>2</v>
      </c>
      <c r="AV47" s="281">
        <f t="shared" si="11"/>
        <v>0</v>
      </c>
      <c r="AW47" s="278" t="str">
        <f t="shared" si="39"/>
        <v>Extremo</v>
      </c>
      <c r="AX47" s="1020"/>
      <c r="AY47" s="1020"/>
      <c r="AZ47" s="1020"/>
      <c r="BA47" s="1022"/>
      <c r="BB47" s="1020"/>
      <c r="BD47" s="257">
        <v>45757</v>
      </c>
      <c r="BE47" s="359" t="s">
        <v>2839</v>
      </c>
      <c r="BF47" s="248" t="s">
        <v>2864</v>
      </c>
      <c r="BG47" s="247" t="s">
        <v>205</v>
      </c>
      <c r="BH47" s="248" t="s">
        <v>206</v>
      </c>
      <c r="BI47" s="248" t="s">
        <v>206</v>
      </c>
      <c r="BJ47" s="249" t="s">
        <v>2088</v>
      </c>
      <c r="BL47" s="244">
        <v>45782</v>
      </c>
      <c r="BM47" s="251" t="s">
        <v>207</v>
      </c>
      <c r="BN47" s="245" t="s">
        <v>228</v>
      </c>
      <c r="BP47" s="252"/>
      <c r="BQ47" s="252"/>
      <c r="BR47" s="249" t="s">
        <v>2078</v>
      </c>
      <c r="BS47" s="250"/>
      <c r="BT47" s="257">
        <v>45856</v>
      </c>
      <c r="BU47" s="359" t="s">
        <v>2839</v>
      </c>
      <c r="BV47" s="248" t="s">
        <v>2865</v>
      </c>
      <c r="BW47" s="247" t="s">
        <v>205</v>
      </c>
      <c r="BX47" s="248" t="s">
        <v>206</v>
      </c>
      <c r="BY47" s="248" t="s">
        <v>206</v>
      </c>
      <c r="BZ47" s="436" t="s">
        <v>206</v>
      </c>
      <c r="CA47" s="250"/>
      <c r="CB47" s="450">
        <v>45869</v>
      </c>
      <c r="CC47" s="449" t="s">
        <v>215</v>
      </c>
      <c r="CD47" s="283" t="s">
        <v>231</v>
      </c>
      <c r="CE47" s="250"/>
      <c r="CF47" s="252"/>
      <c r="CG47" s="252"/>
      <c r="CH47" s="249" t="s">
        <v>2078</v>
      </c>
      <c r="CI47" s="250"/>
      <c r="CJ47" s="257">
        <v>45945</v>
      </c>
      <c r="CK47" s="359" t="s">
        <v>2839</v>
      </c>
      <c r="CL47" s="480" t="s">
        <v>2866</v>
      </c>
      <c r="CM47" s="247" t="s">
        <v>205</v>
      </c>
      <c r="CN47" s="248" t="s">
        <v>206</v>
      </c>
      <c r="CO47" s="248" t="s">
        <v>206</v>
      </c>
      <c r="CP47" s="486" t="s">
        <v>2867</v>
      </c>
      <c r="CQ47" s="485"/>
      <c r="CR47" s="257">
        <v>46000</v>
      </c>
      <c r="CS47" s="248" t="s">
        <v>218</v>
      </c>
      <c r="CT47" s="248" t="s">
        <v>233</v>
      </c>
      <c r="CU47" s="250"/>
      <c r="CV47" s="252"/>
      <c r="CW47" s="252"/>
      <c r="CX47" s="249" t="s">
        <v>2078</v>
      </c>
      <c r="CY47" s="250"/>
      <c r="CZ47" s="252"/>
      <c r="DA47" s="252"/>
      <c r="DB47" s="249" t="s">
        <v>2078</v>
      </c>
      <c r="DC47" s="247"/>
      <c r="DD47" s="248"/>
      <c r="DE47" s="253"/>
      <c r="DF47" s="249" t="s">
        <v>2088</v>
      </c>
      <c r="DG47" s="250"/>
      <c r="DH47" s="252"/>
      <c r="DI47" s="252"/>
      <c r="DJ47" s="249" t="s">
        <v>2078</v>
      </c>
      <c r="DK47" s="250"/>
      <c r="DL47" s="252"/>
      <c r="DM47" s="252"/>
      <c r="DN47" s="249" t="s">
        <v>2078</v>
      </c>
    </row>
    <row r="48" spans="1:118" ht="231" customHeight="1" x14ac:dyDescent="0.25">
      <c r="A48" s="417">
        <v>23</v>
      </c>
      <c r="B48" s="417" t="s">
        <v>2868</v>
      </c>
      <c r="C48" s="418"/>
      <c r="D48" s="418" t="s">
        <v>2869</v>
      </c>
      <c r="E48" s="418" t="s">
        <v>2870</v>
      </c>
      <c r="F48" s="419" t="s">
        <v>804</v>
      </c>
      <c r="G48" s="419" t="str">
        <f>IFERROR(INDEX('[4]Base de datos gestión'!$D$28:$D$50,MATCH(F48,'[4]Base de datos gestión'!$C$28:$C$50,0)), 0)</f>
        <v>Asesorar y prestar servicios de asistencia técnica en materia de metrología científica o industrial y realizar estudios técnicos que permitan identificar las necesidades y capacidades metrológicas de productores y laboratorios del país, con el fin de fortalecer la competitividad y productividad de los procesos productivos o de medición de los usuarios.
El proceso se relaciona con el objetivo estratégico: Brindar herramientas que faciliten la diseminación de la trazabilidad y del conocimiento en metrología, para contribuir al aseguramiento de la calidad de los bienes y servicios que se desarrollan y comercializan en el país.</v>
      </c>
      <c r="H48" s="419" t="str">
        <f>IFERROR(INDEX('[4]Base de datos gestión'!$E$28:$E$50,MATCH(F48,'[4]Base de datos gestión'!$C$28:$C$50,0)), 0)</f>
        <v>Este proceso incluye la identificación de necesidades y capacidades metrológicas y las modalidades del servicio de asistencia técnica que se ajusta a la solicitud del usuario (asesoría, formación y evaluación de capacidades). Inicia con Planificar la prestación de servicio de asistencia técnica y finaliza con realizar la entrega final de los productos pactados con el cliente e identificar la percepción del cliente frente al servicio prestado.</v>
      </c>
      <c r="I48" s="420" t="s">
        <v>2365</v>
      </c>
      <c r="J48" s="421" t="s">
        <v>535</v>
      </c>
      <c r="K48" s="418" t="s">
        <v>2810</v>
      </c>
      <c r="L48" s="418" t="s">
        <v>2831</v>
      </c>
      <c r="M48" s="421" t="s">
        <v>535</v>
      </c>
      <c r="N48" s="418" t="s">
        <v>2871</v>
      </c>
      <c r="O48" s="418" t="s">
        <v>2872</v>
      </c>
      <c r="P48" s="420" t="s">
        <v>2264</v>
      </c>
      <c r="Q48" s="420" t="s">
        <v>2266</v>
      </c>
      <c r="R48" s="418" t="str">
        <f t="shared" si="40"/>
        <v>Alto</v>
      </c>
      <c r="S48" s="420" t="s">
        <v>2371</v>
      </c>
      <c r="T48" s="422" t="s">
        <v>2873</v>
      </c>
      <c r="U48" s="423">
        <v>1</v>
      </c>
      <c r="V48" s="424" t="s">
        <v>197</v>
      </c>
      <c r="W48" s="425" t="s">
        <v>2373</v>
      </c>
      <c r="X48" s="425" t="s">
        <v>2374</v>
      </c>
      <c r="Y48" s="425" t="s">
        <v>2375</v>
      </c>
      <c r="Z48" s="425" t="s">
        <v>2376</v>
      </c>
      <c r="AA48" s="425" t="s">
        <v>2377</v>
      </c>
      <c r="AB48" s="425" t="s">
        <v>2378</v>
      </c>
      <c r="AC48" s="425" t="s">
        <v>2379</v>
      </c>
      <c r="AD48" s="426">
        <f t="shared" si="36"/>
        <v>15</v>
      </c>
      <c r="AE48" s="426">
        <f t="shared" si="37"/>
        <v>15</v>
      </c>
      <c r="AF48" s="426">
        <f t="shared" si="3"/>
        <v>15</v>
      </c>
      <c r="AG48" s="426">
        <f t="shared" si="4"/>
        <v>15</v>
      </c>
      <c r="AH48" s="426">
        <f t="shared" si="5"/>
        <v>15</v>
      </c>
      <c r="AI48" s="426">
        <f t="shared" si="6"/>
        <v>15</v>
      </c>
      <c r="AJ48" s="426">
        <f t="shared" si="7"/>
        <v>10</v>
      </c>
      <c r="AK48" s="426">
        <f t="shared" si="38"/>
        <v>100</v>
      </c>
      <c r="AL48" s="426" t="str">
        <f t="shared" si="13"/>
        <v>Fuerte</v>
      </c>
      <c r="AM48" s="425" t="s">
        <v>2380</v>
      </c>
      <c r="AN48" s="426" t="str">
        <f t="shared" si="14"/>
        <v>Fuerte</v>
      </c>
      <c r="AO48" s="426">
        <f t="shared" si="9"/>
        <v>100</v>
      </c>
      <c r="AP48" s="426" t="str">
        <f t="shared" si="15"/>
        <v>No</v>
      </c>
      <c r="AQ48" s="427">
        <f t="shared" si="34"/>
        <v>100</v>
      </c>
      <c r="AR48" s="427" t="str">
        <f t="shared" si="16"/>
        <v>Fuerte</v>
      </c>
      <c r="AS48" s="428" t="s">
        <v>2381</v>
      </c>
      <c r="AT48" s="428" t="s">
        <v>2381</v>
      </c>
      <c r="AU48" s="429">
        <f t="shared" si="17"/>
        <v>2</v>
      </c>
      <c r="AV48" s="429">
        <f t="shared" si="11"/>
        <v>0</v>
      </c>
      <c r="AW48" s="430" t="str">
        <f t="shared" si="39"/>
        <v>Alto</v>
      </c>
      <c r="AX48" s="431" t="s">
        <v>2874</v>
      </c>
      <c r="AY48" s="432" t="s">
        <v>2875</v>
      </c>
      <c r="AZ48" s="404" t="s">
        <v>2876</v>
      </c>
      <c r="BA48" s="433">
        <v>46022</v>
      </c>
      <c r="BB48" s="434" t="s">
        <v>2877</v>
      </c>
      <c r="BD48" s="440">
        <v>45757</v>
      </c>
      <c r="BE48" s="441" t="s">
        <v>809</v>
      </c>
      <c r="BF48" s="442" t="s">
        <v>824</v>
      </c>
      <c r="BG48" s="446" t="s">
        <v>205</v>
      </c>
      <c r="BH48" s="442" t="s">
        <v>206</v>
      </c>
      <c r="BI48" s="442" t="s">
        <v>811</v>
      </c>
      <c r="BJ48" s="439" t="s">
        <v>2088</v>
      </c>
      <c r="BL48" s="440">
        <v>45782</v>
      </c>
      <c r="BM48" s="441" t="s">
        <v>207</v>
      </c>
      <c r="BN48" s="442" t="s">
        <v>228</v>
      </c>
      <c r="BP48" s="443"/>
      <c r="BQ48" s="443"/>
      <c r="BR48" s="439" t="s">
        <v>2078</v>
      </c>
      <c r="BS48" s="444"/>
      <c r="BT48" s="435">
        <v>45848</v>
      </c>
      <c r="BU48" s="445" t="s">
        <v>812</v>
      </c>
      <c r="BV48" s="436" t="s">
        <v>2878</v>
      </c>
      <c r="BW48" s="437" t="s">
        <v>205</v>
      </c>
      <c r="BX48" s="436" t="s">
        <v>206</v>
      </c>
      <c r="BY48" s="436" t="s">
        <v>206</v>
      </c>
      <c r="BZ48" s="436" t="s">
        <v>206</v>
      </c>
      <c r="CA48" s="444"/>
      <c r="CB48" s="450">
        <v>45869</v>
      </c>
      <c r="CC48" s="449" t="s">
        <v>215</v>
      </c>
      <c r="CD48" s="283" t="s">
        <v>231</v>
      </c>
      <c r="CE48" s="444"/>
      <c r="CF48" s="443"/>
      <c r="CG48" s="443"/>
      <c r="CH48" s="439" t="s">
        <v>2078</v>
      </c>
      <c r="CI48" s="444"/>
      <c r="CJ48" s="435">
        <v>45944</v>
      </c>
      <c r="CK48" s="445" t="s">
        <v>2879</v>
      </c>
      <c r="CL48" s="436" t="s">
        <v>826</v>
      </c>
      <c r="CM48" s="437" t="s">
        <v>206</v>
      </c>
      <c r="CN48" s="436" t="s">
        <v>206</v>
      </c>
      <c r="CO48" s="436" t="s">
        <v>206</v>
      </c>
      <c r="CP48" s="436" t="s">
        <v>2880</v>
      </c>
      <c r="CQ48" s="444"/>
      <c r="CR48" s="257">
        <v>46000</v>
      </c>
      <c r="CS48" s="248" t="s">
        <v>218</v>
      </c>
      <c r="CT48" s="248" t="s">
        <v>233</v>
      </c>
      <c r="CU48" s="444"/>
      <c r="CV48" s="443"/>
      <c r="CW48" s="443"/>
      <c r="CX48" s="439" t="s">
        <v>2078</v>
      </c>
      <c r="CY48" s="444"/>
      <c r="CZ48" s="443"/>
      <c r="DA48" s="443"/>
      <c r="DB48" s="439" t="s">
        <v>2078</v>
      </c>
      <c r="DC48" s="437"/>
      <c r="DD48" s="436"/>
      <c r="DE48" s="438"/>
      <c r="DF48" s="439" t="s">
        <v>2088</v>
      </c>
      <c r="DG48" s="444"/>
      <c r="DH48" s="443"/>
      <c r="DI48" s="443"/>
      <c r="DJ48" s="439" t="s">
        <v>2078</v>
      </c>
      <c r="DK48" s="444"/>
      <c r="DL48" s="443"/>
      <c r="DM48" s="443"/>
      <c r="DN48" s="439" t="s">
        <v>2078</v>
      </c>
    </row>
    <row r="49" spans="1:118" s="276" customFormat="1" ht="409.5" x14ac:dyDescent="0.2">
      <c r="A49" s="301">
        <v>24</v>
      </c>
      <c r="B49" s="301" t="s">
        <v>2881</v>
      </c>
      <c r="C49" s="282"/>
      <c r="D49" s="282" t="s">
        <v>2882</v>
      </c>
      <c r="E49" s="282" t="s">
        <v>2883</v>
      </c>
      <c r="F49" s="277" t="s">
        <v>528</v>
      </c>
      <c r="G49" s="277" t="str">
        <f>IFERROR(INDEX('[4]Base de datos gestión'!$D$28:$D$50,MATCH(F49,'[4]Base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H49" s="277" t="str">
        <f>IFERROR(INDEX('[4]Base de datos gestión'!$E$28:$E$50,MATCH(F49,'[4]Base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I49" s="348" t="s">
        <v>2365</v>
      </c>
      <c r="J49" s="349" t="s">
        <v>535</v>
      </c>
      <c r="K49" s="282" t="s">
        <v>2367</v>
      </c>
      <c r="L49" s="282" t="s">
        <v>2884</v>
      </c>
      <c r="M49" s="349" t="s">
        <v>535</v>
      </c>
      <c r="N49" s="282" t="s">
        <v>2885</v>
      </c>
      <c r="O49" s="282" t="s">
        <v>2814</v>
      </c>
      <c r="P49" s="348" t="s">
        <v>2263</v>
      </c>
      <c r="Q49" s="348" t="s">
        <v>762</v>
      </c>
      <c r="R49" s="282" t="str">
        <f t="shared" si="40"/>
        <v>Extremo</v>
      </c>
      <c r="S49" s="348" t="s">
        <v>2371</v>
      </c>
      <c r="T49" s="342" t="s">
        <v>2886</v>
      </c>
      <c r="U49" s="316">
        <v>1</v>
      </c>
      <c r="V49" s="343" t="s">
        <v>197</v>
      </c>
      <c r="W49" s="344" t="s">
        <v>2373</v>
      </c>
      <c r="X49" s="344" t="s">
        <v>2374</v>
      </c>
      <c r="Y49" s="344" t="s">
        <v>2375</v>
      </c>
      <c r="Z49" s="344" t="s">
        <v>2376</v>
      </c>
      <c r="AA49" s="344" t="s">
        <v>2377</v>
      </c>
      <c r="AB49" s="344" t="s">
        <v>2378</v>
      </c>
      <c r="AC49" s="344" t="s">
        <v>2379</v>
      </c>
      <c r="AD49" s="279">
        <f t="shared" si="36"/>
        <v>15</v>
      </c>
      <c r="AE49" s="279">
        <f t="shared" si="37"/>
        <v>15</v>
      </c>
      <c r="AF49" s="279">
        <f t="shared" si="3"/>
        <v>15</v>
      </c>
      <c r="AG49" s="279">
        <f t="shared" si="4"/>
        <v>15</v>
      </c>
      <c r="AH49" s="279">
        <f t="shared" si="5"/>
        <v>15</v>
      </c>
      <c r="AI49" s="279">
        <f t="shared" si="6"/>
        <v>15</v>
      </c>
      <c r="AJ49" s="279">
        <f t="shared" si="7"/>
        <v>10</v>
      </c>
      <c r="AK49" s="279">
        <f t="shared" si="38"/>
        <v>100</v>
      </c>
      <c r="AL49" s="279" t="str">
        <f t="shared" si="13"/>
        <v>Fuerte</v>
      </c>
      <c r="AM49" s="344" t="s">
        <v>2380</v>
      </c>
      <c r="AN49" s="279" t="str">
        <f t="shared" si="14"/>
        <v>Fuerte</v>
      </c>
      <c r="AO49" s="279">
        <f t="shared" si="9"/>
        <v>100</v>
      </c>
      <c r="AP49" s="279" t="str">
        <f t="shared" si="15"/>
        <v>No</v>
      </c>
      <c r="AQ49" s="281">
        <f t="shared" si="34"/>
        <v>100</v>
      </c>
      <c r="AR49" s="280" t="str">
        <f t="shared" si="16"/>
        <v>Fuerte</v>
      </c>
      <c r="AS49" s="350" t="s">
        <v>2381</v>
      </c>
      <c r="AT49" s="350" t="s">
        <v>2381</v>
      </c>
      <c r="AU49" s="281">
        <f t="shared" si="17"/>
        <v>2</v>
      </c>
      <c r="AV49" s="281">
        <f t="shared" si="11"/>
        <v>0</v>
      </c>
      <c r="AW49" s="278" t="str">
        <f t="shared" si="39"/>
        <v>Extremo</v>
      </c>
      <c r="AX49" s="1019" t="s">
        <v>2887</v>
      </c>
      <c r="AY49" s="1019" t="s">
        <v>2888</v>
      </c>
      <c r="AZ49" s="1019" t="s">
        <v>2889</v>
      </c>
      <c r="BA49" s="1021">
        <v>46022</v>
      </c>
      <c r="BB49" s="1019" t="s">
        <v>2890</v>
      </c>
      <c r="BD49" s="254">
        <v>45769</v>
      </c>
      <c r="BE49" s="360" t="s">
        <v>533</v>
      </c>
      <c r="BF49" s="248" t="s">
        <v>2891</v>
      </c>
      <c r="BG49" s="247" t="s">
        <v>205</v>
      </c>
      <c r="BH49" s="248" t="s">
        <v>206</v>
      </c>
      <c r="BI49" s="253" t="s">
        <v>206</v>
      </c>
      <c r="BJ49" s="358" t="s">
        <v>2892</v>
      </c>
      <c r="BL49" s="244">
        <v>45782</v>
      </c>
      <c r="BM49" s="251" t="s">
        <v>207</v>
      </c>
      <c r="BN49" s="245" t="s">
        <v>228</v>
      </c>
      <c r="BP49" s="252"/>
      <c r="BQ49" s="252"/>
      <c r="BR49" s="249" t="s">
        <v>2078</v>
      </c>
      <c r="BS49" s="250"/>
      <c r="BT49" s="447">
        <v>45863</v>
      </c>
      <c r="BU49" s="252" t="s">
        <v>533</v>
      </c>
      <c r="BV49" s="248" t="s">
        <v>2893</v>
      </c>
      <c r="BW49" s="247" t="s">
        <v>205</v>
      </c>
      <c r="BX49" s="248" t="s">
        <v>206</v>
      </c>
      <c r="BY49" s="253" t="s">
        <v>206</v>
      </c>
      <c r="BZ49" s="249" t="s">
        <v>2894</v>
      </c>
      <c r="CA49" s="250"/>
      <c r="CB49" s="450">
        <v>45869</v>
      </c>
      <c r="CC49" s="449" t="s">
        <v>215</v>
      </c>
      <c r="CD49" s="283" t="s">
        <v>231</v>
      </c>
      <c r="CE49" s="250"/>
      <c r="CF49" s="252"/>
      <c r="CG49" s="252"/>
      <c r="CH49" s="249" t="s">
        <v>2078</v>
      </c>
      <c r="CI49" s="250"/>
      <c r="CJ49" s="254">
        <v>45952</v>
      </c>
      <c r="CK49" s="489" t="s">
        <v>533</v>
      </c>
      <c r="CL49" s="248" t="s">
        <v>2895</v>
      </c>
      <c r="CM49" s="247" t="s">
        <v>205</v>
      </c>
      <c r="CN49" s="248" t="s">
        <v>206</v>
      </c>
      <c r="CO49" s="253" t="s">
        <v>206</v>
      </c>
      <c r="CP49" s="246" t="s">
        <v>2894</v>
      </c>
      <c r="CQ49" s="250"/>
      <c r="CR49" s="257">
        <v>46000</v>
      </c>
      <c r="CS49" s="248" t="s">
        <v>218</v>
      </c>
      <c r="CT49" s="500" t="s">
        <v>233</v>
      </c>
      <c r="CU49" s="250"/>
      <c r="CV49" s="252"/>
      <c r="CW49" s="252"/>
      <c r="CX49" s="249" t="s">
        <v>2078</v>
      </c>
      <c r="CY49" s="250"/>
      <c r="CZ49" s="252"/>
      <c r="DA49" s="252"/>
      <c r="DB49" s="249" t="s">
        <v>2078</v>
      </c>
      <c r="DC49" s="247"/>
      <c r="DD49" s="248"/>
      <c r="DE49" s="253"/>
      <c r="DF49" s="249" t="s">
        <v>2088</v>
      </c>
      <c r="DG49" s="250"/>
      <c r="DH49" s="252"/>
      <c r="DI49" s="252"/>
      <c r="DJ49" s="249" t="s">
        <v>2078</v>
      </c>
      <c r="DK49" s="250"/>
      <c r="DL49" s="252"/>
      <c r="DM49" s="252"/>
      <c r="DN49" s="249" t="s">
        <v>2078</v>
      </c>
    </row>
    <row r="50" spans="1:118" s="276" customFormat="1" ht="409.5" x14ac:dyDescent="0.2">
      <c r="A50" s="301">
        <v>24</v>
      </c>
      <c r="B50" s="301" t="s">
        <v>2881</v>
      </c>
      <c r="C50" s="282"/>
      <c r="D50" s="282" t="s">
        <v>2882</v>
      </c>
      <c r="E50" s="282" t="s">
        <v>2883</v>
      </c>
      <c r="F50" s="277" t="s">
        <v>528</v>
      </c>
      <c r="G50" s="277" t="str">
        <f>IFERROR(INDEX('[4]Base de datos gestión'!$D$28:$D$50,MATCH(F50,'[4]Base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H50" s="277" t="str">
        <f>IFERROR(INDEX('[4]Base de datos gestión'!$E$28:$E$50,MATCH(F50,'[4]Base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I50" s="348" t="s">
        <v>2365</v>
      </c>
      <c r="J50" s="349" t="s">
        <v>535</v>
      </c>
      <c r="K50" s="282" t="s">
        <v>2367</v>
      </c>
      <c r="L50" s="282" t="s">
        <v>2884</v>
      </c>
      <c r="M50" s="349" t="s">
        <v>535</v>
      </c>
      <c r="N50" s="282" t="s">
        <v>2885</v>
      </c>
      <c r="O50" s="282" t="s">
        <v>2814</v>
      </c>
      <c r="P50" s="348" t="s">
        <v>2263</v>
      </c>
      <c r="Q50" s="348" t="s">
        <v>762</v>
      </c>
      <c r="R50" s="282" t="str">
        <f t="shared" si="40"/>
        <v>Extremo</v>
      </c>
      <c r="S50" s="348" t="s">
        <v>2371</v>
      </c>
      <c r="T50" s="342" t="s">
        <v>2896</v>
      </c>
      <c r="U50" s="316">
        <v>2</v>
      </c>
      <c r="V50" s="343" t="s">
        <v>197</v>
      </c>
      <c r="W50" s="344" t="s">
        <v>2373</v>
      </c>
      <c r="X50" s="344" t="s">
        <v>2374</v>
      </c>
      <c r="Y50" s="344" t="s">
        <v>2375</v>
      </c>
      <c r="Z50" s="344" t="s">
        <v>2376</v>
      </c>
      <c r="AA50" s="344" t="s">
        <v>2377</v>
      </c>
      <c r="AB50" s="344" t="s">
        <v>2378</v>
      </c>
      <c r="AC50" s="344" t="s">
        <v>2379</v>
      </c>
      <c r="AD50" s="279">
        <f t="shared" si="36"/>
        <v>15</v>
      </c>
      <c r="AE50" s="279">
        <f t="shared" si="37"/>
        <v>15</v>
      </c>
      <c r="AF50" s="279">
        <f t="shared" si="3"/>
        <v>15</v>
      </c>
      <c r="AG50" s="279">
        <f t="shared" si="4"/>
        <v>15</v>
      </c>
      <c r="AH50" s="279">
        <f t="shared" si="5"/>
        <v>15</v>
      </c>
      <c r="AI50" s="279">
        <f t="shared" si="6"/>
        <v>15</v>
      </c>
      <c r="AJ50" s="279">
        <f t="shared" si="7"/>
        <v>10</v>
      </c>
      <c r="AK50" s="279">
        <f t="shared" si="38"/>
        <v>100</v>
      </c>
      <c r="AL50" s="279" t="str">
        <f t="shared" si="13"/>
        <v>Fuerte</v>
      </c>
      <c r="AM50" s="344" t="s">
        <v>2380</v>
      </c>
      <c r="AN50" s="279" t="str">
        <f t="shared" si="14"/>
        <v>Fuerte</v>
      </c>
      <c r="AO50" s="279">
        <f t="shared" si="9"/>
        <v>100</v>
      </c>
      <c r="AP50" s="279" t="str">
        <f t="shared" si="15"/>
        <v>No</v>
      </c>
      <c r="AQ50" s="281">
        <f t="shared" si="34"/>
        <v>100</v>
      </c>
      <c r="AR50" s="280" t="str">
        <f t="shared" si="16"/>
        <v>Fuerte</v>
      </c>
      <c r="AS50" s="350" t="s">
        <v>2381</v>
      </c>
      <c r="AT50" s="350" t="s">
        <v>2381</v>
      </c>
      <c r="AU50" s="281">
        <f t="shared" si="17"/>
        <v>2</v>
      </c>
      <c r="AV50" s="281">
        <f t="shared" si="11"/>
        <v>0</v>
      </c>
      <c r="AW50" s="278" t="str">
        <f t="shared" si="39"/>
        <v>Extremo</v>
      </c>
      <c r="AX50" s="1023"/>
      <c r="AY50" s="1023"/>
      <c r="AZ50" s="1023"/>
      <c r="BA50" s="1024"/>
      <c r="BB50" s="1023"/>
      <c r="BD50" s="254">
        <v>45769</v>
      </c>
      <c r="BE50" s="360" t="s">
        <v>533</v>
      </c>
      <c r="BF50" s="248" t="s">
        <v>2891</v>
      </c>
      <c r="BG50" s="247" t="s">
        <v>205</v>
      </c>
      <c r="BH50" s="248" t="s">
        <v>206</v>
      </c>
      <c r="BI50" s="253" t="s">
        <v>206</v>
      </c>
      <c r="BJ50" s="358" t="s">
        <v>2892</v>
      </c>
      <c r="BL50" s="244">
        <v>45782</v>
      </c>
      <c r="BM50" s="251" t="s">
        <v>207</v>
      </c>
      <c r="BN50" s="245" t="s">
        <v>228</v>
      </c>
      <c r="BP50" s="252"/>
      <c r="BQ50" s="252"/>
      <c r="BR50" s="249" t="s">
        <v>2078</v>
      </c>
      <c r="BS50" s="250"/>
      <c r="BT50" s="447">
        <v>45863</v>
      </c>
      <c r="BU50" s="252" t="s">
        <v>533</v>
      </c>
      <c r="BV50" s="248" t="s">
        <v>2893</v>
      </c>
      <c r="BW50" s="247" t="s">
        <v>205</v>
      </c>
      <c r="BX50" s="248" t="s">
        <v>206</v>
      </c>
      <c r="BY50" s="253" t="s">
        <v>206</v>
      </c>
      <c r="BZ50" s="249" t="s">
        <v>2894</v>
      </c>
      <c r="CA50" s="250"/>
      <c r="CB50" s="450">
        <v>45869</v>
      </c>
      <c r="CC50" s="449" t="s">
        <v>215</v>
      </c>
      <c r="CD50" s="283" t="s">
        <v>231</v>
      </c>
      <c r="CE50" s="250"/>
      <c r="CF50" s="252"/>
      <c r="CG50" s="252"/>
      <c r="CH50" s="249" t="s">
        <v>2078</v>
      </c>
      <c r="CI50" s="250"/>
      <c r="CJ50" s="254">
        <v>45952</v>
      </c>
      <c r="CK50" s="489" t="s">
        <v>533</v>
      </c>
      <c r="CL50" s="248" t="s">
        <v>2895</v>
      </c>
      <c r="CM50" s="247" t="s">
        <v>205</v>
      </c>
      <c r="CN50" s="248" t="s">
        <v>206</v>
      </c>
      <c r="CO50" s="253" t="s">
        <v>206</v>
      </c>
      <c r="CP50" s="249" t="s">
        <v>2894</v>
      </c>
      <c r="CQ50" s="250"/>
      <c r="CR50" s="257">
        <v>46000</v>
      </c>
      <c r="CS50" s="248" t="s">
        <v>218</v>
      </c>
      <c r="CT50" s="500" t="s">
        <v>233</v>
      </c>
      <c r="CU50" s="250"/>
      <c r="CV50" s="252"/>
      <c r="CW50" s="252"/>
      <c r="CX50" s="249" t="s">
        <v>2078</v>
      </c>
      <c r="CY50" s="250"/>
      <c r="CZ50" s="252"/>
      <c r="DA50" s="252"/>
      <c r="DB50" s="249" t="s">
        <v>2078</v>
      </c>
      <c r="DC50" s="247"/>
      <c r="DD50" s="248"/>
      <c r="DE50" s="253"/>
      <c r="DF50" s="249" t="s">
        <v>2088</v>
      </c>
      <c r="DG50" s="250"/>
      <c r="DH50" s="252"/>
      <c r="DI50" s="252"/>
      <c r="DJ50" s="249" t="s">
        <v>2078</v>
      </c>
      <c r="DK50" s="250"/>
      <c r="DL50" s="252"/>
      <c r="DM50" s="252"/>
      <c r="DN50" s="249" t="s">
        <v>2078</v>
      </c>
    </row>
    <row r="51" spans="1:118" s="276" customFormat="1" ht="409.5" x14ac:dyDescent="0.2">
      <c r="A51" s="301">
        <v>24</v>
      </c>
      <c r="B51" s="301" t="s">
        <v>2881</v>
      </c>
      <c r="C51" s="282"/>
      <c r="D51" s="282" t="s">
        <v>2882</v>
      </c>
      <c r="E51" s="282" t="s">
        <v>2883</v>
      </c>
      <c r="F51" s="277" t="s">
        <v>528</v>
      </c>
      <c r="G51" s="277" t="str">
        <f>IFERROR(INDEX('[4]Base de datos gestión'!$D$28:$D$50,MATCH(F51,'[4]Base de datos gestión'!$C$28:$C$50,0)), 0)</f>
        <v>Facilitar los mecanismos para la implementación de la política de servicio al ciudadano de la entidad, de manera articulada con las demás dependencias del INM, que incluya el cumplimiento de los tiempos y respuestas a las peticiones de los ciudadanos, así como, la medición del nivel de satisfacción en los contactos con el ciudadano y cada uno de los servicios prestados a los clientes, de forma permanente y dirigido a todos los grupos de valor del INM, para mejorar la relación Estado – Ciudadano y el entendimiento de la metrología como bien público.
Este proceso está relacionado con el Objetivo Estratégico: Brindar herramientas que faciliten la diseminación de la trazabilidad y del conocimiento en metrología, para contribuir al aseguramiento de la calidad de los bienes y servicios que se producen y comercializan en el país.</v>
      </c>
      <c r="H51" s="277" t="str">
        <f>IFERROR(INDEX('[4]Base de datos gestión'!$E$28:$E$50,MATCH(F51,'[4]Base de datos gestión'!$C$28:$C$50,0)), 0)</f>
        <v>Inicia con la definición y planificación de las estrategias que faciliten el cumplimiento de la política de servicio al ciudadano y finaliza con reportar las actividades realizadas en el proceso de Servicio al ciudadano de acuerdo con el Plan de Acción e implementar las acciones de mejoramiento detectadas en el proceso por diferentes fuentes. Incluye la evaluación a la respuesta dada y al servicio prestado y/o comercializado.</v>
      </c>
      <c r="I51" s="348" t="s">
        <v>2365</v>
      </c>
      <c r="J51" s="349" t="s">
        <v>535</v>
      </c>
      <c r="K51" s="282" t="s">
        <v>2367</v>
      </c>
      <c r="L51" s="282" t="s">
        <v>2884</v>
      </c>
      <c r="M51" s="349" t="s">
        <v>535</v>
      </c>
      <c r="N51" s="282" t="s">
        <v>2885</v>
      </c>
      <c r="O51" s="282" t="s">
        <v>2814</v>
      </c>
      <c r="P51" s="348" t="s">
        <v>2263</v>
      </c>
      <c r="Q51" s="348" t="s">
        <v>762</v>
      </c>
      <c r="R51" s="282" t="str">
        <f t="shared" si="40"/>
        <v>Extremo</v>
      </c>
      <c r="S51" s="348" t="s">
        <v>2371</v>
      </c>
      <c r="T51" s="342" t="s">
        <v>2897</v>
      </c>
      <c r="U51" s="316">
        <v>3</v>
      </c>
      <c r="V51" s="343" t="s">
        <v>197</v>
      </c>
      <c r="W51" s="344" t="s">
        <v>2373</v>
      </c>
      <c r="X51" s="344" t="s">
        <v>2374</v>
      </c>
      <c r="Y51" s="344" t="s">
        <v>2375</v>
      </c>
      <c r="Z51" s="344" t="s">
        <v>2376</v>
      </c>
      <c r="AA51" s="344" t="s">
        <v>2377</v>
      </c>
      <c r="AB51" s="344" t="s">
        <v>2378</v>
      </c>
      <c r="AC51" s="344" t="s">
        <v>2379</v>
      </c>
      <c r="AD51" s="279">
        <f t="shared" si="36"/>
        <v>15</v>
      </c>
      <c r="AE51" s="279">
        <f t="shared" si="37"/>
        <v>15</v>
      </c>
      <c r="AF51" s="279">
        <f t="shared" si="3"/>
        <v>15</v>
      </c>
      <c r="AG51" s="279">
        <f t="shared" si="4"/>
        <v>15</v>
      </c>
      <c r="AH51" s="279">
        <f t="shared" si="5"/>
        <v>15</v>
      </c>
      <c r="AI51" s="279">
        <f t="shared" si="6"/>
        <v>15</v>
      </c>
      <c r="AJ51" s="279">
        <f t="shared" si="7"/>
        <v>10</v>
      </c>
      <c r="AK51" s="279">
        <f t="shared" si="38"/>
        <v>100</v>
      </c>
      <c r="AL51" s="279" t="str">
        <f t="shared" si="13"/>
        <v>Fuerte</v>
      </c>
      <c r="AM51" s="344" t="s">
        <v>2380</v>
      </c>
      <c r="AN51" s="279" t="str">
        <f t="shared" si="14"/>
        <v>Fuerte</v>
      </c>
      <c r="AO51" s="279">
        <f t="shared" si="9"/>
        <v>100</v>
      </c>
      <c r="AP51" s="279" t="str">
        <f t="shared" si="15"/>
        <v>No</v>
      </c>
      <c r="AQ51" s="281">
        <f t="shared" si="34"/>
        <v>100</v>
      </c>
      <c r="AR51" s="280" t="str">
        <f t="shared" si="16"/>
        <v>Fuerte</v>
      </c>
      <c r="AS51" s="350" t="s">
        <v>2381</v>
      </c>
      <c r="AT51" s="350" t="s">
        <v>2381</v>
      </c>
      <c r="AU51" s="281">
        <f t="shared" si="17"/>
        <v>2</v>
      </c>
      <c r="AV51" s="281">
        <f t="shared" si="11"/>
        <v>0</v>
      </c>
      <c r="AW51" s="278" t="str">
        <f t="shared" si="39"/>
        <v>Extremo</v>
      </c>
      <c r="AX51" s="1020"/>
      <c r="AY51" s="1020"/>
      <c r="AZ51" s="1020"/>
      <c r="BA51" s="1022"/>
      <c r="BB51" s="1020"/>
      <c r="BD51" s="254">
        <v>45769</v>
      </c>
      <c r="BE51" s="360" t="s">
        <v>533</v>
      </c>
      <c r="BF51" s="248" t="s">
        <v>2891</v>
      </c>
      <c r="BG51" s="247" t="s">
        <v>205</v>
      </c>
      <c r="BH51" s="248" t="s">
        <v>206</v>
      </c>
      <c r="BI51" s="253" t="s">
        <v>206</v>
      </c>
      <c r="BJ51" s="358" t="s">
        <v>2892</v>
      </c>
      <c r="BL51" s="244">
        <v>45782</v>
      </c>
      <c r="BM51" s="251" t="s">
        <v>207</v>
      </c>
      <c r="BN51" s="245" t="s">
        <v>228</v>
      </c>
      <c r="BP51" s="252"/>
      <c r="BQ51" s="252"/>
      <c r="BR51" s="249" t="s">
        <v>2078</v>
      </c>
      <c r="BS51" s="250"/>
      <c r="BT51" s="447">
        <v>45863</v>
      </c>
      <c r="BU51" s="252" t="s">
        <v>533</v>
      </c>
      <c r="BV51" s="248" t="s">
        <v>2893</v>
      </c>
      <c r="BW51" s="247" t="s">
        <v>205</v>
      </c>
      <c r="BX51" s="248" t="s">
        <v>206</v>
      </c>
      <c r="BY51" s="253" t="s">
        <v>206</v>
      </c>
      <c r="BZ51" s="249" t="s">
        <v>2894</v>
      </c>
      <c r="CA51" s="250"/>
      <c r="CB51" s="450">
        <v>45869</v>
      </c>
      <c r="CC51" s="449" t="s">
        <v>215</v>
      </c>
      <c r="CD51" s="283" t="s">
        <v>231</v>
      </c>
      <c r="CE51" s="250"/>
      <c r="CF51" s="252"/>
      <c r="CG51" s="252"/>
      <c r="CH51" s="249" t="s">
        <v>2078</v>
      </c>
      <c r="CI51" s="250"/>
      <c r="CJ51" s="254">
        <v>45952</v>
      </c>
      <c r="CK51" s="489" t="s">
        <v>533</v>
      </c>
      <c r="CL51" s="248" t="s">
        <v>2895</v>
      </c>
      <c r="CM51" s="247" t="s">
        <v>205</v>
      </c>
      <c r="CN51" s="248" t="s">
        <v>206</v>
      </c>
      <c r="CO51" s="253" t="s">
        <v>206</v>
      </c>
      <c r="CP51" s="499" t="s">
        <v>2894</v>
      </c>
      <c r="CQ51" s="250"/>
      <c r="CR51" s="257">
        <v>46000</v>
      </c>
      <c r="CS51" s="248" t="s">
        <v>218</v>
      </c>
      <c r="CT51" s="500" t="s">
        <v>233</v>
      </c>
      <c r="CU51" s="250"/>
      <c r="CV51" s="252"/>
      <c r="CW51" s="252"/>
      <c r="CX51" s="249" t="s">
        <v>2078</v>
      </c>
      <c r="CY51" s="250"/>
      <c r="CZ51" s="252"/>
      <c r="DA51" s="252"/>
      <c r="DB51" s="249" t="s">
        <v>2078</v>
      </c>
      <c r="DC51" s="247"/>
      <c r="DD51" s="248"/>
      <c r="DE51" s="253"/>
      <c r="DF51" s="249" t="s">
        <v>2088</v>
      </c>
      <c r="DG51" s="250"/>
      <c r="DH51" s="252"/>
      <c r="DI51" s="252"/>
      <c r="DJ51" s="249" t="s">
        <v>2078</v>
      </c>
      <c r="DK51" s="250"/>
      <c r="DL51" s="252"/>
      <c r="DM51" s="252"/>
      <c r="DN51" s="249" t="s">
        <v>2078</v>
      </c>
    </row>
    <row r="52" spans="1:118" s="276" customFormat="1" ht="409.5" x14ac:dyDescent="0.2">
      <c r="A52" s="301">
        <v>25</v>
      </c>
      <c r="B52" s="301" t="s">
        <v>2898</v>
      </c>
      <c r="C52" s="282"/>
      <c r="D52" s="282" t="s">
        <v>2899</v>
      </c>
      <c r="E52" s="282" t="s">
        <v>2900</v>
      </c>
      <c r="F52" s="277" t="s">
        <v>187</v>
      </c>
      <c r="G52" s="277" t="str">
        <f>IFERROR(INDEX('[4]Base de datos gestión'!$D$28:$D$50,MATCH(F52,'[4]Base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H52" s="277" t="str">
        <f>IFERROR(INDEX('[4]Base de datos gestión'!$E$28:$E$50,MATCH(F52,'[4]Base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I52" s="348" t="s">
        <v>2365</v>
      </c>
      <c r="J52" s="349" t="s">
        <v>535</v>
      </c>
      <c r="K52" s="282" t="s">
        <v>2367</v>
      </c>
      <c r="L52" s="282" t="s">
        <v>2884</v>
      </c>
      <c r="M52" s="349" t="s">
        <v>535</v>
      </c>
      <c r="N52" s="282" t="s">
        <v>2901</v>
      </c>
      <c r="O52" s="282" t="s">
        <v>2902</v>
      </c>
      <c r="P52" s="348" t="s">
        <v>2263</v>
      </c>
      <c r="Q52" s="348" t="s">
        <v>762</v>
      </c>
      <c r="R52" s="282" t="str">
        <f t="shared" si="40"/>
        <v>Extremo</v>
      </c>
      <c r="S52" s="348" t="s">
        <v>2371</v>
      </c>
      <c r="T52" s="342" t="s">
        <v>2903</v>
      </c>
      <c r="U52" s="316">
        <v>1</v>
      </c>
      <c r="V52" s="343" t="s">
        <v>197</v>
      </c>
      <c r="W52" s="344" t="s">
        <v>2373</v>
      </c>
      <c r="X52" s="344" t="s">
        <v>2374</v>
      </c>
      <c r="Y52" s="344" t="s">
        <v>2375</v>
      </c>
      <c r="Z52" s="344" t="s">
        <v>2376</v>
      </c>
      <c r="AA52" s="344" t="s">
        <v>2377</v>
      </c>
      <c r="AB52" s="344" t="s">
        <v>2378</v>
      </c>
      <c r="AC52" s="344" t="s">
        <v>2379</v>
      </c>
      <c r="AD52" s="279">
        <f t="shared" si="36"/>
        <v>15</v>
      </c>
      <c r="AE52" s="279">
        <f t="shared" si="37"/>
        <v>15</v>
      </c>
      <c r="AF52" s="279">
        <f t="shared" si="3"/>
        <v>15</v>
      </c>
      <c r="AG52" s="279">
        <f t="shared" si="4"/>
        <v>15</v>
      </c>
      <c r="AH52" s="279">
        <f t="shared" si="5"/>
        <v>15</v>
      </c>
      <c r="AI52" s="279">
        <f t="shared" si="6"/>
        <v>15</v>
      </c>
      <c r="AJ52" s="279">
        <f t="shared" si="7"/>
        <v>10</v>
      </c>
      <c r="AK52" s="279">
        <f t="shared" si="38"/>
        <v>100</v>
      </c>
      <c r="AL52" s="279" t="str">
        <f t="shared" si="13"/>
        <v>Fuerte</v>
      </c>
      <c r="AM52" s="344" t="s">
        <v>2380</v>
      </c>
      <c r="AN52" s="279" t="str">
        <f t="shared" si="14"/>
        <v>Fuerte</v>
      </c>
      <c r="AO52" s="279">
        <f t="shared" si="9"/>
        <v>100</v>
      </c>
      <c r="AP52" s="279" t="str">
        <f t="shared" si="15"/>
        <v>No</v>
      </c>
      <c r="AQ52" s="280">
        <f t="shared" si="34"/>
        <v>100</v>
      </c>
      <c r="AR52" s="280" t="str">
        <f t="shared" si="16"/>
        <v>Fuerte</v>
      </c>
      <c r="AS52" s="350" t="s">
        <v>2381</v>
      </c>
      <c r="AT52" s="350" t="s">
        <v>2381</v>
      </c>
      <c r="AU52" s="281">
        <f t="shared" si="17"/>
        <v>2</v>
      </c>
      <c r="AV52" s="281">
        <f t="shared" si="11"/>
        <v>0</v>
      </c>
      <c r="AW52" s="278" t="str">
        <f t="shared" si="39"/>
        <v>Extremo</v>
      </c>
      <c r="AX52" s="345" t="s">
        <v>2904</v>
      </c>
      <c r="AY52" s="345" t="s">
        <v>2905</v>
      </c>
      <c r="AZ52" s="345" t="s">
        <v>210</v>
      </c>
      <c r="BA52" s="351">
        <v>46022</v>
      </c>
      <c r="BB52" s="352" t="s">
        <v>2906</v>
      </c>
      <c r="BD52" s="354">
        <v>45789</v>
      </c>
      <c r="BE52" s="345" t="s">
        <v>2907</v>
      </c>
      <c r="BF52" s="248" t="s">
        <v>2908</v>
      </c>
      <c r="BG52" s="247" t="s">
        <v>205</v>
      </c>
      <c r="BH52" s="248" t="s">
        <v>206</v>
      </c>
      <c r="BI52" s="248" t="s">
        <v>206</v>
      </c>
      <c r="BJ52" s="358" t="s">
        <v>2909</v>
      </c>
      <c r="BL52" s="244">
        <v>45782</v>
      </c>
      <c r="BM52" s="251" t="s">
        <v>207</v>
      </c>
      <c r="BN52" s="245" t="s">
        <v>366</v>
      </c>
      <c r="BP52" s="252"/>
      <c r="BQ52" s="252"/>
      <c r="BR52" s="249" t="s">
        <v>2078</v>
      </c>
      <c r="BS52" s="250"/>
      <c r="BT52" s="252"/>
      <c r="BU52" s="252"/>
      <c r="BV52" s="248" t="s">
        <v>2910</v>
      </c>
      <c r="BW52" s="247" t="s">
        <v>2911</v>
      </c>
      <c r="BX52" s="248" t="s">
        <v>206</v>
      </c>
      <c r="BY52" s="248" t="s">
        <v>206</v>
      </c>
      <c r="BZ52" s="448" t="s">
        <v>2912</v>
      </c>
      <c r="CA52" s="250"/>
      <c r="CB52" s="450">
        <v>45869</v>
      </c>
      <c r="CC52" s="449" t="s">
        <v>215</v>
      </c>
      <c r="CD52" s="283" t="s">
        <v>231</v>
      </c>
      <c r="CE52" s="250"/>
      <c r="CF52" s="252"/>
      <c r="CG52" s="252"/>
      <c r="CH52" s="249" t="s">
        <v>2078</v>
      </c>
      <c r="CI52" s="250"/>
      <c r="CJ52" s="244">
        <v>45947</v>
      </c>
      <c r="CK52" s="245" t="s">
        <v>203</v>
      </c>
      <c r="CL52" s="246" t="s">
        <v>2913</v>
      </c>
      <c r="CM52" s="247" t="s">
        <v>2911</v>
      </c>
      <c r="CN52" s="248" t="s">
        <v>206</v>
      </c>
      <c r="CO52" s="247" t="s">
        <v>206</v>
      </c>
      <c r="CP52" s="498" t="s">
        <v>2914</v>
      </c>
      <c r="CQ52" s="250"/>
      <c r="CR52" s="257">
        <v>46000</v>
      </c>
      <c r="CS52" s="248" t="s">
        <v>218</v>
      </c>
      <c r="CT52" s="246" t="s">
        <v>233</v>
      </c>
      <c r="CU52" s="250"/>
      <c r="CV52" s="252"/>
      <c r="CW52" s="252"/>
      <c r="CX52" s="249" t="s">
        <v>2078</v>
      </c>
      <c r="CY52" s="250"/>
      <c r="CZ52" s="252"/>
      <c r="DA52" s="252"/>
      <c r="DB52" s="249" t="s">
        <v>2078</v>
      </c>
      <c r="DC52" s="247"/>
      <c r="DD52" s="248"/>
      <c r="DE52" s="253"/>
      <c r="DF52" s="249" t="s">
        <v>2088</v>
      </c>
      <c r="DG52" s="250"/>
      <c r="DH52" s="252"/>
      <c r="DI52" s="252"/>
      <c r="DJ52" s="249" t="s">
        <v>2078</v>
      </c>
      <c r="DK52" s="250"/>
      <c r="DL52" s="252"/>
      <c r="DM52" s="252"/>
      <c r="DN52" s="249" t="s">
        <v>2078</v>
      </c>
    </row>
    <row r="53" spans="1:118" s="276" customFormat="1" ht="409.5" x14ac:dyDescent="0.2">
      <c r="A53" s="301">
        <v>25</v>
      </c>
      <c r="B53" s="301" t="s">
        <v>2898</v>
      </c>
      <c r="C53" s="282"/>
      <c r="D53" s="282" t="s">
        <v>2899</v>
      </c>
      <c r="E53" s="282" t="s">
        <v>2900</v>
      </c>
      <c r="F53" s="277" t="s">
        <v>187</v>
      </c>
      <c r="G53" s="277" t="str">
        <f>IFERROR(INDEX('[4]Base de datos gestión'!$D$28:$D$50,MATCH(F53,'[4]Base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H53" s="277" t="str">
        <f>IFERROR(INDEX('[4]Base de datos gestión'!$E$28:$E$50,MATCH(F53,'[4]Base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I53" s="348" t="s">
        <v>2365</v>
      </c>
      <c r="J53" s="349" t="s">
        <v>535</v>
      </c>
      <c r="K53" s="282" t="s">
        <v>2367</v>
      </c>
      <c r="L53" s="282" t="s">
        <v>2884</v>
      </c>
      <c r="M53" s="349" t="s">
        <v>535</v>
      </c>
      <c r="N53" s="282" t="s">
        <v>2901</v>
      </c>
      <c r="O53" s="282" t="s">
        <v>2902</v>
      </c>
      <c r="P53" s="348" t="s">
        <v>2263</v>
      </c>
      <c r="Q53" s="348" t="s">
        <v>762</v>
      </c>
      <c r="R53" s="282" t="str">
        <f t="shared" si="40"/>
        <v>Extremo</v>
      </c>
      <c r="S53" s="348" t="s">
        <v>2371</v>
      </c>
      <c r="T53" s="342" t="s">
        <v>2915</v>
      </c>
      <c r="U53" s="316">
        <v>2</v>
      </c>
      <c r="V53" s="343" t="s">
        <v>269</v>
      </c>
      <c r="W53" s="344" t="s">
        <v>2373</v>
      </c>
      <c r="X53" s="344" t="s">
        <v>2374</v>
      </c>
      <c r="Y53" s="344" t="s">
        <v>2375</v>
      </c>
      <c r="Z53" s="344" t="s">
        <v>2473</v>
      </c>
      <c r="AA53" s="344" t="s">
        <v>2377</v>
      </c>
      <c r="AB53" s="344" t="s">
        <v>2378</v>
      </c>
      <c r="AC53" s="344" t="s">
        <v>2379</v>
      </c>
      <c r="AD53" s="279">
        <f t="shared" si="36"/>
        <v>15</v>
      </c>
      <c r="AE53" s="279">
        <f t="shared" si="37"/>
        <v>15</v>
      </c>
      <c r="AF53" s="279">
        <f t="shared" si="3"/>
        <v>15</v>
      </c>
      <c r="AG53" s="279">
        <f t="shared" si="4"/>
        <v>10</v>
      </c>
      <c r="AH53" s="279">
        <f t="shared" si="5"/>
        <v>15</v>
      </c>
      <c r="AI53" s="279">
        <f t="shared" si="6"/>
        <v>15</v>
      </c>
      <c r="AJ53" s="279">
        <f t="shared" si="7"/>
        <v>10</v>
      </c>
      <c r="AK53" s="279">
        <f t="shared" si="38"/>
        <v>95</v>
      </c>
      <c r="AL53" s="279" t="str">
        <f t="shared" si="13"/>
        <v>Moderado</v>
      </c>
      <c r="AM53" s="344" t="s">
        <v>2380</v>
      </c>
      <c r="AN53" s="279" t="str">
        <f t="shared" si="14"/>
        <v>Moderado</v>
      </c>
      <c r="AO53" s="279">
        <f t="shared" si="9"/>
        <v>50</v>
      </c>
      <c r="AP53" s="279" t="str">
        <f t="shared" si="15"/>
        <v>Si</v>
      </c>
      <c r="AQ53" s="280">
        <f t="shared" si="34"/>
        <v>50</v>
      </c>
      <c r="AR53" s="280" t="str">
        <f t="shared" si="16"/>
        <v>Moderado</v>
      </c>
      <c r="AS53" s="350" t="s">
        <v>2381</v>
      </c>
      <c r="AT53" s="350" t="s">
        <v>2381</v>
      </c>
      <c r="AU53" s="281">
        <f t="shared" si="17"/>
        <v>1</v>
      </c>
      <c r="AV53" s="281">
        <f t="shared" si="11"/>
        <v>0</v>
      </c>
      <c r="AW53" s="278" t="str">
        <f t="shared" si="39"/>
        <v>Extremo</v>
      </c>
      <c r="AX53" s="345" t="s">
        <v>2916</v>
      </c>
      <c r="AY53" s="345" t="s">
        <v>2905</v>
      </c>
      <c r="AZ53" s="345" t="s">
        <v>210</v>
      </c>
      <c r="BA53" s="351">
        <v>46022</v>
      </c>
      <c r="BB53" s="352" t="s">
        <v>2906</v>
      </c>
      <c r="BD53" s="354">
        <v>45789</v>
      </c>
      <c r="BE53" s="345" t="s">
        <v>2907</v>
      </c>
      <c r="BF53" s="248" t="s">
        <v>2908</v>
      </c>
      <c r="BG53" s="247" t="s">
        <v>205</v>
      </c>
      <c r="BH53" s="248" t="s">
        <v>206</v>
      </c>
      <c r="BI53" s="248" t="s">
        <v>206</v>
      </c>
      <c r="BJ53" s="358" t="s">
        <v>2909</v>
      </c>
      <c r="BL53" s="244">
        <v>45782</v>
      </c>
      <c r="BM53" s="251" t="s">
        <v>207</v>
      </c>
      <c r="BN53" s="245" t="s">
        <v>366</v>
      </c>
      <c r="BP53" s="252"/>
      <c r="BQ53" s="252"/>
      <c r="BR53" s="249" t="s">
        <v>2078</v>
      </c>
      <c r="BS53" s="250"/>
      <c r="BT53" s="252"/>
      <c r="BU53" s="248" t="s">
        <v>210</v>
      </c>
      <c r="BV53" s="248" t="s">
        <v>2910</v>
      </c>
      <c r="BW53" s="247" t="s">
        <v>2911</v>
      </c>
      <c r="BX53" s="248" t="s">
        <v>206</v>
      </c>
      <c r="BY53" s="248" t="s">
        <v>206</v>
      </c>
      <c r="BZ53" s="249" t="s">
        <v>2912</v>
      </c>
      <c r="CA53" s="250"/>
      <c r="CB53" s="450">
        <v>45869</v>
      </c>
      <c r="CC53" s="449" t="s">
        <v>215</v>
      </c>
      <c r="CD53" s="283" t="s">
        <v>231</v>
      </c>
      <c r="CE53" s="250"/>
      <c r="CF53" s="252"/>
      <c r="CG53" s="252"/>
      <c r="CH53" s="249" t="s">
        <v>2078</v>
      </c>
      <c r="CI53" s="250"/>
      <c r="CJ53" s="244">
        <v>45947</v>
      </c>
      <c r="CK53" s="245" t="s">
        <v>203</v>
      </c>
      <c r="CL53" s="246" t="s">
        <v>2913</v>
      </c>
      <c r="CM53" s="247" t="s">
        <v>2911</v>
      </c>
      <c r="CN53" s="248" t="s">
        <v>206</v>
      </c>
      <c r="CO53" s="248" t="s">
        <v>206</v>
      </c>
      <c r="CP53" s="358" t="s">
        <v>2917</v>
      </c>
      <c r="CQ53" s="250"/>
      <c r="CR53" s="257">
        <v>46000</v>
      </c>
      <c r="CS53" s="248" t="s">
        <v>218</v>
      </c>
      <c r="CT53" s="246" t="s">
        <v>233</v>
      </c>
      <c r="CU53" s="250"/>
      <c r="CV53" s="252"/>
      <c r="CW53" s="252"/>
      <c r="CX53" s="249" t="s">
        <v>2078</v>
      </c>
      <c r="CY53" s="250"/>
      <c r="CZ53" s="252"/>
      <c r="DA53" s="252"/>
      <c r="DB53" s="249" t="s">
        <v>2078</v>
      </c>
      <c r="DC53" s="247"/>
      <c r="DD53" s="248"/>
      <c r="DE53" s="253"/>
      <c r="DF53" s="249" t="s">
        <v>2088</v>
      </c>
      <c r="DG53" s="250"/>
      <c r="DH53" s="252"/>
      <c r="DI53" s="252"/>
      <c r="DJ53" s="249" t="s">
        <v>2078</v>
      </c>
      <c r="DK53" s="250"/>
      <c r="DL53" s="252"/>
      <c r="DM53" s="252"/>
      <c r="DN53" s="249" t="s">
        <v>2078</v>
      </c>
    </row>
    <row r="54" spans="1:118" s="276" customFormat="1" ht="409.5" x14ac:dyDescent="0.2">
      <c r="A54" s="301">
        <v>26</v>
      </c>
      <c r="B54" s="301" t="s">
        <v>2918</v>
      </c>
      <c r="C54" s="282"/>
      <c r="D54" s="282" t="s">
        <v>2919</v>
      </c>
      <c r="E54" s="282" t="s">
        <v>2920</v>
      </c>
      <c r="F54" s="277" t="s">
        <v>187</v>
      </c>
      <c r="G54" s="277" t="str">
        <f>IFERROR(INDEX('[4]Base de datos gestión'!$D$28:$D$50,MATCH(F54,'[4]Base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H54" s="277" t="str">
        <f>IFERROR(INDEX('[4]Base de datos gestión'!$E$28:$E$50,MATCH(F54,'[4]Base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I54" s="348" t="s">
        <v>2365</v>
      </c>
      <c r="J54" s="349" t="s">
        <v>535</v>
      </c>
      <c r="K54" s="282" t="s">
        <v>2367</v>
      </c>
      <c r="L54" s="282" t="s">
        <v>2884</v>
      </c>
      <c r="M54" s="349" t="s">
        <v>535</v>
      </c>
      <c r="N54" s="282" t="s">
        <v>2901</v>
      </c>
      <c r="O54" s="282" t="s">
        <v>2902</v>
      </c>
      <c r="P54" s="348" t="s">
        <v>2263</v>
      </c>
      <c r="Q54" s="348" t="s">
        <v>762</v>
      </c>
      <c r="R54" s="282" t="str">
        <f t="shared" si="40"/>
        <v>Extremo</v>
      </c>
      <c r="S54" s="348" t="s">
        <v>2371</v>
      </c>
      <c r="T54" s="342" t="s">
        <v>2903</v>
      </c>
      <c r="U54" s="316">
        <v>1</v>
      </c>
      <c r="V54" s="343" t="s">
        <v>197</v>
      </c>
      <c r="W54" s="344" t="s">
        <v>2373</v>
      </c>
      <c r="X54" s="344" t="s">
        <v>2374</v>
      </c>
      <c r="Y54" s="344" t="s">
        <v>2375</v>
      </c>
      <c r="Z54" s="344" t="s">
        <v>2376</v>
      </c>
      <c r="AA54" s="344" t="s">
        <v>2377</v>
      </c>
      <c r="AB54" s="344" t="s">
        <v>2378</v>
      </c>
      <c r="AC54" s="344" t="s">
        <v>2379</v>
      </c>
      <c r="AD54" s="279">
        <f t="shared" si="36"/>
        <v>15</v>
      </c>
      <c r="AE54" s="279">
        <f t="shared" si="37"/>
        <v>15</v>
      </c>
      <c r="AF54" s="279">
        <f t="shared" si="3"/>
        <v>15</v>
      </c>
      <c r="AG54" s="279">
        <f t="shared" si="4"/>
        <v>15</v>
      </c>
      <c r="AH54" s="279">
        <f t="shared" si="5"/>
        <v>15</v>
      </c>
      <c r="AI54" s="279">
        <f t="shared" si="6"/>
        <v>15</v>
      </c>
      <c r="AJ54" s="279">
        <f t="shared" si="7"/>
        <v>10</v>
      </c>
      <c r="AK54" s="279">
        <f t="shared" si="38"/>
        <v>100</v>
      </c>
      <c r="AL54" s="279" t="str">
        <f t="shared" si="13"/>
        <v>Fuerte</v>
      </c>
      <c r="AM54" s="344" t="s">
        <v>2380</v>
      </c>
      <c r="AN54" s="279" t="str">
        <f t="shared" si="14"/>
        <v>Fuerte</v>
      </c>
      <c r="AO54" s="279">
        <f t="shared" si="9"/>
        <v>100</v>
      </c>
      <c r="AP54" s="279" t="str">
        <f t="shared" si="15"/>
        <v>No</v>
      </c>
      <c r="AQ54" s="280">
        <f t="shared" si="34"/>
        <v>100</v>
      </c>
      <c r="AR54" s="280" t="str">
        <f t="shared" si="16"/>
        <v>Fuerte</v>
      </c>
      <c r="AS54" s="350" t="s">
        <v>2381</v>
      </c>
      <c r="AT54" s="350" t="s">
        <v>2381</v>
      </c>
      <c r="AU54" s="281">
        <f t="shared" si="17"/>
        <v>2</v>
      </c>
      <c r="AV54" s="281">
        <f t="shared" si="11"/>
        <v>0</v>
      </c>
      <c r="AW54" s="278" t="str">
        <f t="shared" si="39"/>
        <v>Extremo</v>
      </c>
      <c r="AX54" s="345" t="s">
        <v>2904</v>
      </c>
      <c r="AY54" s="345" t="s">
        <v>2905</v>
      </c>
      <c r="AZ54" s="345" t="s">
        <v>210</v>
      </c>
      <c r="BA54" s="351">
        <v>46022</v>
      </c>
      <c r="BB54" s="352" t="s">
        <v>2921</v>
      </c>
      <c r="BD54" s="354">
        <v>45789</v>
      </c>
      <c r="BE54" s="345" t="s">
        <v>2907</v>
      </c>
      <c r="BF54" s="248" t="s">
        <v>2908</v>
      </c>
      <c r="BG54" s="247" t="s">
        <v>205</v>
      </c>
      <c r="BH54" s="248" t="s">
        <v>206</v>
      </c>
      <c r="BI54" s="248" t="s">
        <v>206</v>
      </c>
      <c r="BJ54" s="358" t="s">
        <v>2909</v>
      </c>
      <c r="BL54" s="244">
        <v>45782</v>
      </c>
      <c r="BM54" s="251" t="s">
        <v>207</v>
      </c>
      <c r="BN54" s="245" t="s">
        <v>366</v>
      </c>
      <c r="BP54" s="252"/>
      <c r="BQ54" s="252"/>
      <c r="BR54" s="249" t="s">
        <v>2078</v>
      </c>
      <c r="BS54" s="250"/>
      <c r="BT54" s="252"/>
      <c r="BU54" s="252"/>
      <c r="BV54" s="249" t="s">
        <v>2910</v>
      </c>
      <c r="BW54" s="247" t="s">
        <v>2911</v>
      </c>
      <c r="BX54" s="248" t="s">
        <v>206</v>
      </c>
      <c r="BY54" s="248" t="s">
        <v>206</v>
      </c>
      <c r="BZ54" s="249" t="s">
        <v>2912</v>
      </c>
      <c r="CA54" s="250"/>
      <c r="CB54" s="450">
        <v>45869</v>
      </c>
      <c r="CC54" s="449" t="s">
        <v>215</v>
      </c>
      <c r="CD54" s="283" t="s">
        <v>231</v>
      </c>
      <c r="CE54" s="250"/>
      <c r="CF54" s="252"/>
      <c r="CG54" s="252"/>
      <c r="CH54" s="249" t="s">
        <v>2078</v>
      </c>
      <c r="CI54" s="250"/>
      <c r="CJ54" s="244">
        <v>45947</v>
      </c>
      <c r="CK54" s="245" t="s">
        <v>203</v>
      </c>
      <c r="CL54" s="246" t="s">
        <v>2913</v>
      </c>
      <c r="CM54" s="247" t="s">
        <v>2911</v>
      </c>
      <c r="CN54" s="248" t="s">
        <v>206</v>
      </c>
      <c r="CO54" s="248" t="s">
        <v>206</v>
      </c>
      <c r="CP54" s="358" t="s">
        <v>2917</v>
      </c>
      <c r="CQ54" s="250"/>
      <c r="CR54" s="257">
        <v>46000</v>
      </c>
      <c r="CS54" s="248" t="s">
        <v>218</v>
      </c>
      <c r="CT54" s="246" t="s">
        <v>233</v>
      </c>
      <c r="CU54" s="250"/>
      <c r="CV54" s="252"/>
      <c r="CW54" s="252"/>
      <c r="CX54" s="249" t="s">
        <v>2078</v>
      </c>
      <c r="CY54" s="250"/>
      <c r="CZ54" s="252"/>
      <c r="DA54" s="252"/>
      <c r="DB54" s="249" t="s">
        <v>2078</v>
      </c>
      <c r="DC54" s="247"/>
      <c r="DD54" s="248"/>
      <c r="DE54" s="253"/>
      <c r="DF54" s="249" t="s">
        <v>2088</v>
      </c>
      <c r="DG54" s="250"/>
      <c r="DH54" s="252"/>
      <c r="DI54" s="252"/>
      <c r="DJ54" s="249" t="s">
        <v>2078</v>
      </c>
      <c r="DK54" s="250"/>
      <c r="DL54" s="252"/>
      <c r="DM54" s="252"/>
      <c r="DN54" s="249" t="s">
        <v>2078</v>
      </c>
    </row>
    <row r="55" spans="1:118" s="276" customFormat="1" ht="409.5" x14ac:dyDescent="0.2">
      <c r="A55" s="301">
        <v>26</v>
      </c>
      <c r="B55" s="301" t="s">
        <v>2918</v>
      </c>
      <c r="C55" s="282"/>
      <c r="D55" s="282" t="s">
        <v>2919</v>
      </c>
      <c r="E55" s="282" t="s">
        <v>2920</v>
      </c>
      <c r="F55" s="277" t="s">
        <v>187</v>
      </c>
      <c r="G55" s="277" t="str">
        <f>IFERROR(INDEX('[4]Base de datos gestión'!$D$28:$D$50,MATCH(F55,'[4]Base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H55" s="277" t="str">
        <f>IFERROR(INDEX('[4]Base de datos gestión'!$E$28:$E$50,MATCH(F55,'[4]Base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I55" s="348" t="s">
        <v>2365</v>
      </c>
      <c r="J55" s="349" t="s">
        <v>535</v>
      </c>
      <c r="K55" s="282" t="s">
        <v>2367</v>
      </c>
      <c r="L55" s="282" t="s">
        <v>2884</v>
      </c>
      <c r="M55" s="349" t="s">
        <v>535</v>
      </c>
      <c r="N55" s="282" t="s">
        <v>2901</v>
      </c>
      <c r="O55" s="282" t="s">
        <v>2902</v>
      </c>
      <c r="P55" s="348" t="s">
        <v>2263</v>
      </c>
      <c r="Q55" s="348" t="s">
        <v>762</v>
      </c>
      <c r="R55" s="282" t="str">
        <f t="shared" si="40"/>
        <v>Extremo</v>
      </c>
      <c r="S55" s="348" t="s">
        <v>2371</v>
      </c>
      <c r="T55" s="342" t="s">
        <v>2922</v>
      </c>
      <c r="U55" s="316">
        <v>2</v>
      </c>
      <c r="V55" s="343" t="s">
        <v>269</v>
      </c>
      <c r="W55" s="344" t="s">
        <v>2373</v>
      </c>
      <c r="X55" s="344" t="s">
        <v>2374</v>
      </c>
      <c r="Y55" s="344" t="s">
        <v>2375</v>
      </c>
      <c r="Z55" s="344" t="s">
        <v>2473</v>
      </c>
      <c r="AA55" s="344" t="s">
        <v>2377</v>
      </c>
      <c r="AB55" s="344" t="s">
        <v>2378</v>
      </c>
      <c r="AC55" s="344" t="s">
        <v>2379</v>
      </c>
      <c r="AD55" s="279">
        <f t="shared" si="36"/>
        <v>15</v>
      </c>
      <c r="AE55" s="279">
        <f t="shared" si="37"/>
        <v>15</v>
      </c>
      <c r="AF55" s="279">
        <f t="shared" si="3"/>
        <v>15</v>
      </c>
      <c r="AG55" s="279">
        <f t="shared" si="4"/>
        <v>10</v>
      </c>
      <c r="AH55" s="279">
        <f t="shared" si="5"/>
        <v>15</v>
      </c>
      <c r="AI55" s="279">
        <f t="shared" si="6"/>
        <v>15</v>
      </c>
      <c r="AJ55" s="279">
        <f t="shared" si="7"/>
        <v>10</v>
      </c>
      <c r="AK55" s="279">
        <f t="shared" si="38"/>
        <v>95</v>
      </c>
      <c r="AL55" s="279" t="str">
        <f t="shared" si="13"/>
        <v>Moderado</v>
      </c>
      <c r="AM55" s="344" t="s">
        <v>2380</v>
      </c>
      <c r="AN55" s="279" t="str">
        <f t="shared" si="14"/>
        <v>Moderado</v>
      </c>
      <c r="AO55" s="279">
        <f t="shared" si="9"/>
        <v>50</v>
      </c>
      <c r="AP55" s="279" t="str">
        <f t="shared" si="15"/>
        <v>Si</v>
      </c>
      <c r="AQ55" s="280">
        <f t="shared" si="34"/>
        <v>50</v>
      </c>
      <c r="AR55" s="280" t="str">
        <f t="shared" si="16"/>
        <v>Moderado</v>
      </c>
      <c r="AS55" s="350" t="s">
        <v>2381</v>
      </c>
      <c r="AT55" s="350" t="s">
        <v>2381</v>
      </c>
      <c r="AU55" s="281">
        <f t="shared" si="17"/>
        <v>1</v>
      </c>
      <c r="AV55" s="281">
        <f t="shared" si="11"/>
        <v>0</v>
      </c>
      <c r="AW55" s="278" t="str">
        <f t="shared" si="39"/>
        <v>Extremo</v>
      </c>
      <c r="AX55" s="1019" t="s">
        <v>2923</v>
      </c>
      <c r="AY55" s="1019" t="s">
        <v>2905</v>
      </c>
      <c r="AZ55" s="1019" t="s">
        <v>210</v>
      </c>
      <c r="BA55" s="1021">
        <v>46022</v>
      </c>
      <c r="BB55" s="1019" t="s">
        <v>2921</v>
      </c>
      <c r="BD55" s="252"/>
      <c r="BE55" s="252"/>
      <c r="BF55" s="249" t="s">
        <v>2078</v>
      </c>
      <c r="BG55" s="247"/>
      <c r="BH55" s="248"/>
      <c r="BI55" s="253"/>
      <c r="BJ55" s="249" t="s">
        <v>2088</v>
      </c>
      <c r="BL55" s="244">
        <v>45782</v>
      </c>
      <c r="BM55" s="251" t="s">
        <v>207</v>
      </c>
      <c r="BN55" s="245" t="s">
        <v>366</v>
      </c>
      <c r="BP55" s="252"/>
      <c r="BQ55" s="252"/>
      <c r="BR55" s="249" t="s">
        <v>2078</v>
      </c>
      <c r="BS55" s="250"/>
      <c r="BT55" s="252"/>
      <c r="BU55" s="248" t="s">
        <v>210</v>
      </c>
      <c r="BV55" s="248" t="s">
        <v>2924</v>
      </c>
      <c r="BW55" s="247" t="s">
        <v>2911</v>
      </c>
      <c r="BX55" s="248" t="s">
        <v>206</v>
      </c>
      <c r="BY55" s="248" t="s">
        <v>206</v>
      </c>
      <c r="BZ55" s="249"/>
      <c r="CA55" s="250"/>
      <c r="CB55" s="450">
        <v>45869</v>
      </c>
      <c r="CC55" s="449" t="s">
        <v>215</v>
      </c>
      <c r="CD55" s="283" t="s">
        <v>231</v>
      </c>
      <c r="CE55" s="250"/>
      <c r="CF55" s="252"/>
      <c r="CG55" s="252"/>
      <c r="CH55" s="249" t="s">
        <v>2078</v>
      </c>
      <c r="CI55" s="250"/>
      <c r="CJ55" s="244">
        <v>45947</v>
      </c>
      <c r="CK55" s="245" t="s">
        <v>203</v>
      </c>
      <c r="CL55" s="246" t="s">
        <v>2924</v>
      </c>
      <c r="CM55" s="247" t="s">
        <v>2911</v>
      </c>
      <c r="CN55" s="248" t="s">
        <v>206</v>
      </c>
      <c r="CO55" s="248" t="s">
        <v>206</v>
      </c>
      <c r="CP55" s="248" t="s">
        <v>206</v>
      </c>
      <c r="CQ55" s="250"/>
      <c r="CR55" s="257">
        <v>46000</v>
      </c>
      <c r="CS55" s="248" t="s">
        <v>218</v>
      </c>
      <c r="CT55" s="246" t="s">
        <v>233</v>
      </c>
      <c r="CU55" s="250"/>
      <c r="CV55" s="252"/>
      <c r="CW55" s="252"/>
      <c r="CX55" s="249" t="s">
        <v>2078</v>
      </c>
      <c r="CY55" s="250"/>
      <c r="CZ55" s="252"/>
      <c r="DA55" s="252"/>
      <c r="DB55" s="249" t="s">
        <v>2078</v>
      </c>
      <c r="DC55" s="247"/>
      <c r="DD55" s="248"/>
      <c r="DE55" s="253"/>
      <c r="DF55" s="249" t="s">
        <v>2088</v>
      </c>
      <c r="DG55" s="250"/>
      <c r="DH55" s="252"/>
      <c r="DI55" s="252"/>
      <c r="DJ55" s="249" t="s">
        <v>2078</v>
      </c>
      <c r="DK55" s="250"/>
      <c r="DL55" s="252"/>
      <c r="DM55" s="252"/>
      <c r="DN55" s="249" t="s">
        <v>2078</v>
      </c>
    </row>
    <row r="56" spans="1:118" s="276" customFormat="1" ht="409.5" x14ac:dyDescent="0.2">
      <c r="A56" s="301">
        <v>26</v>
      </c>
      <c r="B56" s="301" t="s">
        <v>2918</v>
      </c>
      <c r="C56" s="282"/>
      <c r="D56" s="282" t="s">
        <v>2919</v>
      </c>
      <c r="E56" s="282" t="s">
        <v>2920</v>
      </c>
      <c r="F56" s="277" t="s">
        <v>187</v>
      </c>
      <c r="G56" s="277" t="str">
        <f>IFERROR(INDEX('[4]Base de datos gestión'!$D$28:$D$50,MATCH(F56,'[4]Base de datos gestión'!$C$28:$C$50,0)), 0)</f>
        <v>Asesorar la formulación, hacer seguimiento y evaluar continuamente los planes y proyectos acorde a las metas establecidas, mediante los instrumentos o herramientas diseñados según los lineamientos definidos por el Gobierno Nacional y los documentos asociados al SIG, enmarcado en la misión y la visión del INM, para definir el direccionamiento estratégico y dar cumplimiento a las políticas públicas.
Vinculado con el Objetivo estratégico: Fortalecer la capacidad administrativa y de desempeño institucional para garantizar la eficiencia y calidad a los procesos de la entidad.</v>
      </c>
      <c r="H56" s="277" t="str">
        <f>IFERROR(INDEX('[4]Base de datos gestión'!$E$28:$E$50,MATCH(F56,'[4]Base de datos gestión'!$C$28:$C$50,0)), 0)</f>
        <v>Inicia con la formulación del PEI y termina con la evaluación y cierre de los Planes Institucionales que lidera la Oficina Asesora de Planeación (Plan de Acción, PAAC). Cubre la asesoría para la formulación y seguimiento de los planes institucionales liderados por los demás procesos e incorporados en el Plan de Acción. Se incluye el acompañamiento en la formulación y seguimiento de los Proyectos de Inversión.</v>
      </c>
      <c r="I56" s="348" t="s">
        <v>2365</v>
      </c>
      <c r="J56" s="349" t="s">
        <v>535</v>
      </c>
      <c r="K56" s="282" t="s">
        <v>2367</v>
      </c>
      <c r="L56" s="282" t="s">
        <v>2884</v>
      </c>
      <c r="M56" s="349" t="s">
        <v>535</v>
      </c>
      <c r="N56" s="282" t="s">
        <v>2901</v>
      </c>
      <c r="O56" s="282" t="s">
        <v>2902</v>
      </c>
      <c r="P56" s="348" t="s">
        <v>2263</v>
      </c>
      <c r="Q56" s="348" t="s">
        <v>762</v>
      </c>
      <c r="R56" s="282" t="str">
        <f t="shared" si="40"/>
        <v>Extremo</v>
      </c>
      <c r="S56" s="348" t="s">
        <v>2371</v>
      </c>
      <c r="T56" s="342" t="s">
        <v>2925</v>
      </c>
      <c r="U56" s="316">
        <v>3</v>
      </c>
      <c r="V56" s="343" t="s">
        <v>269</v>
      </c>
      <c r="W56" s="344" t="s">
        <v>2373</v>
      </c>
      <c r="X56" s="344" t="s">
        <v>2374</v>
      </c>
      <c r="Y56" s="344" t="s">
        <v>2375</v>
      </c>
      <c r="Z56" s="344" t="s">
        <v>2473</v>
      </c>
      <c r="AA56" s="344" t="s">
        <v>2377</v>
      </c>
      <c r="AB56" s="344" t="s">
        <v>2378</v>
      </c>
      <c r="AC56" s="344" t="s">
        <v>2379</v>
      </c>
      <c r="AD56" s="279">
        <f t="shared" si="36"/>
        <v>15</v>
      </c>
      <c r="AE56" s="279">
        <f t="shared" si="37"/>
        <v>15</v>
      </c>
      <c r="AF56" s="279">
        <f t="shared" si="3"/>
        <v>15</v>
      </c>
      <c r="AG56" s="279">
        <f t="shared" si="4"/>
        <v>10</v>
      </c>
      <c r="AH56" s="279">
        <f t="shared" si="5"/>
        <v>15</v>
      </c>
      <c r="AI56" s="279">
        <f t="shared" si="6"/>
        <v>15</v>
      </c>
      <c r="AJ56" s="279">
        <f t="shared" si="7"/>
        <v>10</v>
      </c>
      <c r="AK56" s="279">
        <f t="shared" si="38"/>
        <v>95</v>
      </c>
      <c r="AL56" s="279" t="str">
        <f t="shared" si="13"/>
        <v>Moderado</v>
      </c>
      <c r="AM56" s="344" t="s">
        <v>2380</v>
      </c>
      <c r="AN56" s="279" t="str">
        <f t="shared" si="14"/>
        <v>Moderado</v>
      </c>
      <c r="AO56" s="279">
        <f t="shared" si="9"/>
        <v>50</v>
      </c>
      <c r="AP56" s="279" t="str">
        <f t="shared" si="15"/>
        <v>Si</v>
      </c>
      <c r="AQ56" s="280">
        <f t="shared" si="34"/>
        <v>50</v>
      </c>
      <c r="AR56" s="280" t="str">
        <f t="shared" si="16"/>
        <v>Moderado</v>
      </c>
      <c r="AS56" s="350" t="s">
        <v>2381</v>
      </c>
      <c r="AT56" s="350" t="s">
        <v>2381</v>
      </c>
      <c r="AU56" s="281">
        <f t="shared" si="17"/>
        <v>1</v>
      </c>
      <c r="AV56" s="281">
        <f t="shared" si="11"/>
        <v>0</v>
      </c>
      <c r="AW56" s="278" t="str">
        <f t="shared" si="39"/>
        <v>Extremo</v>
      </c>
      <c r="AX56" s="1020"/>
      <c r="AY56" s="1020"/>
      <c r="AZ56" s="1020"/>
      <c r="BA56" s="1022"/>
      <c r="BB56" s="1020"/>
      <c r="BD56" s="252"/>
      <c r="BE56" s="252"/>
      <c r="BF56" s="249"/>
      <c r="BG56" s="247"/>
      <c r="BH56" s="248"/>
      <c r="BI56" s="253"/>
      <c r="BJ56" s="249" t="s">
        <v>2088</v>
      </c>
      <c r="BL56" s="244">
        <v>45782</v>
      </c>
      <c r="BM56" s="251" t="s">
        <v>207</v>
      </c>
      <c r="BN56" s="245" t="s">
        <v>366</v>
      </c>
      <c r="BP56" s="252"/>
      <c r="BQ56" s="252"/>
      <c r="BR56" s="249" t="s">
        <v>2078</v>
      </c>
      <c r="BS56" s="250"/>
      <c r="BT56" s="252"/>
      <c r="BU56" s="252"/>
      <c r="BV56" s="249" t="s">
        <v>2078</v>
      </c>
      <c r="BW56" s="247"/>
      <c r="BX56" s="248"/>
      <c r="BY56" s="253"/>
      <c r="BZ56" s="249" t="s">
        <v>2088</v>
      </c>
      <c r="CA56" s="250"/>
      <c r="CB56" s="450">
        <v>45869</v>
      </c>
      <c r="CC56" s="449" t="s">
        <v>215</v>
      </c>
      <c r="CD56" s="283" t="s">
        <v>231</v>
      </c>
      <c r="CE56" s="250"/>
      <c r="CF56" s="252"/>
      <c r="CG56" s="252"/>
      <c r="CH56" s="249" t="s">
        <v>2078</v>
      </c>
      <c r="CI56" s="250"/>
      <c r="CJ56" s="252"/>
      <c r="CK56" s="252"/>
      <c r="CL56" s="249" t="s">
        <v>2078</v>
      </c>
      <c r="CM56" s="247"/>
      <c r="CN56" s="248"/>
      <c r="CO56" s="253"/>
      <c r="CP56" s="249" t="s">
        <v>2088</v>
      </c>
      <c r="CQ56" s="250"/>
      <c r="CR56" s="257">
        <v>46000</v>
      </c>
      <c r="CS56" s="248" t="s">
        <v>218</v>
      </c>
      <c r="CT56" s="246" t="s">
        <v>2926</v>
      </c>
      <c r="CU56" s="250"/>
      <c r="CV56" s="252"/>
      <c r="CW56" s="252"/>
      <c r="CX56" s="249" t="s">
        <v>2078</v>
      </c>
      <c r="CY56" s="250"/>
      <c r="CZ56" s="252"/>
      <c r="DA56" s="252"/>
      <c r="DB56" s="249" t="s">
        <v>2078</v>
      </c>
      <c r="DC56" s="247"/>
      <c r="DD56" s="248"/>
      <c r="DE56" s="253"/>
      <c r="DF56" s="249" t="s">
        <v>2088</v>
      </c>
      <c r="DG56" s="250"/>
      <c r="DH56" s="252"/>
      <c r="DI56" s="252"/>
      <c r="DJ56" s="249" t="s">
        <v>2078</v>
      </c>
      <c r="DK56" s="250"/>
      <c r="DL56" s="252"/>
      <c r="DM56" s="252"/>
      <c r="DN56" s="249" t="s">
        <v>2078</v>
      </c>
    </row>
    <row r="57" spans="1:118" s="276" customFormat="1" ht="409.5" x14ac:dyDescent="0.2">
      <c r="A57" s="301">
        <v>27</v>
      </c>
      <c r="B57" s="301" t="s">
        <v>2927</v>
      </c>
      <c r="C57" s="282"/>
      <c r="D57" s="757" t="s">
        <v>2928</v>
      </c>
      <c r="E57" s="758" t="s">
        <v>2929</v>
      </c>
      <c r="F57" s="759" t="s">
        <v>1734</v>
      </c>
      <c r="G57" s="277" t="str">
        <f>IFERROR(INDEX('[4]Base de datos gestión'!$D$28:$D$50,MATCH(F57,'[4]Base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H57" s="277" t="str">
        <f>IFERROR(INDEX('[4]Base de datos gestión'!$E$28:$E$50,MATCH(F57,'[4]Base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I57" s="760" t="s">
        <v>2365</v>
      </c>
      <c r="J57" s="761" t="s">
        <v>2930</v>
      </c>
      <c r="K57" s="762" t="s">
        <v>2931</v>
      </c>
      <c r="L57" s="758" t="s">
        <v>2932</v>
      </c>
      <c r="M57" s="763" t="s">
        <v>2933</v>
      </c>
      <c r="N57" s="758" t="s">
        <v>2934</v>
      </c>
      <c r="O57" s="764" t="s">
        <v>2935</v>
      </c>
      <c r="P57" s="760" t="s">
        <v>2263</v>
      </c>
      <c r="Q57" s="348" t="s">
        <v>2266</v>
      </c>
      <c r="R57" s="282" t="str">
        <f t="shared" si="40"/>
        <v>Alto</v>
      </c>
      <c r="S57" s="348" t="s">
        <v>1702</v>
      </c>
      <c r="T57" s="765" t="s">
        <v>2936</v>
      </c>
      <c r="U57" s="316">
        <v>1</v>
      </c>
      <c r="V57" s="343" t="s">
        <v>197</v>
      </c>
      <c r="W57" s="344" t="s">
        <v>2373</v>
      </c>
      <c r="X57" s="344" t="s">
        <v>2374</v>
      </c>
      <c r="Y57" s="344" t="s">
        <v>2375</v>
      </c>
      <c r="Z57" s="344" t="s">
        <v>2376</v>
      </c>
      <c r="AA57" s="344" t="s">
        <v>2377</v>
      </c>
      <c r="AB57" s="344" t="s">
        <v>2378</v>
      </c>
      <c r="AC57" s="344" t="s">
        <v>2379</v>
      </c>
      <c r="AD57" s="279">
        <f t="shared" si="36"/>
        <v>15</v>
      </c>
      <c r="AE57" s="279">
        <f t="shared" si="37"/>
        <v>15</v>
      </c>
      <c r="AF57" s="279">
        <f t="shared" si="3"/>
        <v>15</v>
      </c>
      <c r="AG57" s="279">
        <f t="shared" si="4"/>
        <v>15</v>
      </c>
      <c r="AH57" s="279">
        <f t="shared" si="5"/>
        <v>15</v>
      </c>
      <c r="AI57" s="279">
        <f t="shared" si="6"/>
        <v>15</v>
      </c>
      <c r="AJ57" s="279">
        <f t="shared" si="7"/>
        <v>10</v>
      </c>
      <c r="AK57" s="279">
        <f t="shared" si="38"/>
        <v>100</v>
      </c>
      <c r="AL57" s="279" t="str">
        <f t="shared" si="13"/>
        <v>Fuerte</v>
      </c>
      <c r="AM57" s="344" t="s">
        <v>2380</v>
      </c>
      <c r="AN57" s="279" t="str">
        <f t="shared" si="14"/>
        <v>Fuerte</v>
      </c>
      <c r="AO57" s="279">
        <f t="shared" si="9"/>
        <v>100</v>
      </c>
      <c r="AP57" s="279" t="str">
        <f t="shared" si="15"/>
        <v>No</v>
      </c>
      <c r="AQ57" s="280">
        <f t="shared" si="34"/>
        <v>100</v>
      </c>
      <c r="AR57" s="280" t="str">
        <f t="shared" si="16"/>
        <v>Fuerte</v>
      </c>
      <c r="AS57" s="350" t="s">
        <v>2381</v>
      </c>
      <c r="AT57" s="350" t="s">
        <v>2686</v>
      </c>
      <c r="AU57" s="281">
        <f t="shared" si="17"/>
        <v>2</v>
      </c>
      <c r="AV57" s="281">
        <f t="shared" si="11"/>
        <v>0</v>
      </c>
      <c r="AW57" s="278" t="str">
        <f t="shared" si="39"/>
        <v>Alto</v>
      </c>
      <c r="AX57" s="333" t="s">
        <v>2937</v>
      </c>
      <c r="AY57" s="345" t="s">
        <v>2938</v>
      </c>
      <c r="AZ57" s="345" t="s">
        <v>2939</v>
      </c>
      <c r="BA57" s="766"/>
      <c r="BB57" s="352" t="s">
        <v>2940</v>
      </c>
      <c r="BD57" s="252"/>
      <c r="BE57" s="252"/>
      <c r="BF57" s="249" t="s">
        <v>2078</v>
      </c>
      <c r="BG57" s="247"/>
      <c r="BH57" s="248"/>
      <c r="BI57" s="253"/>
      <c r="BJ57" s="249" t="s">
        <v>2088</v>
      </c>
      <c r="BL57" s="244">
        <v>46000</v>
      </c>
      <c r="BM57" s="251" t="s">
        <v>207</v>
      </c>
      <c r="BN57" s="245" t="s">
        <v>2941</v>
      </c>
      <c r="BP57" s="252"/>
      <c r="BQ57" s="252"/>
      <c r="BR57" s="249" t="s">
        <v>2078</v>
      </c>
      <c r="BS57" s="250"/>
      <c r="BT57" s="252"/>
      <c r="BU57" s="252"/>
      <c r="BV57" s="249" t="s">
        <v>2078</v>
      </c>
      <c r="BW57" s="247"/>
      <c r="BX57" s="248"/>
      <c r="BY57" s="253"/>
      <c r="BZ57" s="249" t="s">
        <v>2088</v>
      </c>
      <c r="CB57" s="244">
        <v>46000</v>
      </c>
      <c r="CC57" s="251" t="s">
        <v>207</v>
      </c>
      <c r="CD57" s="245" t="s">
        <v>2941</v>
      </c>
      <c r="CF57" s="252"/>
      <c r="CG57" s="252"/>
      <c r="CH57" s="249" t="s">
        <v>2078</v>
      </c>
      <c r="CI57" s="250"/>
      <c r="CJ57" s="252"/>
      <c r="CK57" s="252"/>
      <c r="CL57" s="249" t="s">
        <v>2078</v>
      </c>
      <c r="CM57" s="247"/>
      <c r="CN57" s="248"/>
      <c r="CO57" s="253"/>
      <c r="CP57" s="249" t="s">
        <v>2088</v>
      </c>
      <c r="CR57" s="244">
        <v>46000</v>
      </c>
      <c r="CS57" s="251" t="s">
        <v>207</v>
      </c>
      <c r="CT57" s="245" t="s">
        <v>2941</v>
      </c>
      <c r="CV57" s="252"/>
      <c r="CW57" s="252"/>
      <c r="CX57" s="249" t="s">
        <v>2078</v>
      </c>
      <c r="CY57" s="250"/>
      <c r="CZ57" s="252"/>
      <c r="DA57" s="252"/>
      <c r="DB57" s="249" t="s">
        <v>2078</v>
      </c>
      <c r="DC57" s="247"/>
      <c r="DD57" s="248"/>
      <c r="DE57" s="253"/>
      <c r="DF57" s="249" t="s">
        <v>2088</v>
      </c>
      <c r="DH57" s="252"/>
      <c r="DI57" s="252"/>
      <c r="DJ57" s="249" t="s">
        <v>2078</v>
      </c>
      <c r="DL57" s="252"/>
      <c r="DM57" s="252"/>
      <c r="DN57" s="249" t="s">
        <v>2078</v>
      </c>
    </row>
    <row r="58" spans="1:118" s="276" customFormat="1" ht="409.5" x14ac:dyDescent="0.2">
      <c r="A58" s="301">
        <v>28</v>
      </c>
      <c r="B58" s="301" t="s">
        <v>2942</v>
      </c>
      <c r="C58" s="282" t="s">
        <v>2943</v>
      </c>
      <c r="D58" s="282" t="s">
        <v>2944</v>
      </c>
      <c r="E58" s="282" t="s">
        <v>2945</v>
      </c>
      <c r="F58" s="759" t="s">
        <v>1734</v>
      </c>
      <c r="G58" s="277" t="str">
        <f>IFERROR(INDEX('[4]Base de datos gestión'!$D$28:$D$50,MATCH(F58,'[4]Base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H58" s="277" t="str">
        <f>IFERROR(INDEX('[4]Base de datos gestión'!$E$28:$E$50,MATCH(F58,'[4]Base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I58" s="760" t="s">
        <v>2365</v>
      </c>
      <c r="J58" s="761" t="s">
        <v>2946</v>
      </c>
      <c r="K58" s="764" t="s">
        <v>2947</v>
      </c>
      <c r="L58" s="762" t="s">
        <v>2948</v>
      </c>
      <c r="M58" s="763" t="s">
        <v>2949</v>
      </c>
      <c r="N58" s="764" t="s">
        <v>2950</v>
      </c>
      <c r="O58" s="764" t="s">
        <v>2951</v>
      </c>
      <c r="P58" s="348" t="s">
        <v>2264</v>
      </c>
      <c r="Q58" s="348" t="s">
        <v>762</v>
      </c>
      <c r="R58" s="282" t="str">
        <f t="shared" si="40"/>
        <v>Extremo</v>
      </c>
      <c r="S58" s="348" t="s">
        <v>1702</v>
      </c>
      <c r="T58" s="767" t="s">
        <v>2952</v>
      </c>
      <c r="U58" s="316">
        <v>1</v>
      </c>
      <c r="V58" s="343" t="s">
        <v>197</v>
      </c>
      <c r="W58" s="344" t="s">
        <v>2373</v>
      </c>
      <c r="X58" s="344" t="s">
        <v>2374</v>
      </c>
      <c r="Y58" s="344" t="s">
        <v>2375</v>
      </c>
      <c r="Z58" s="344" t="s">
        <v>2376</v>
      </c>
      <c r="AA58" s="344" t="s">
        <v>2377</v>
      </c>
      <c r="AB58" s="344" t="s">
        <v>2378</v>
      </c>
      <c r="AC58" s="344" t="s">
        <v>2379</v>
      </c>
      <c r="AD58" s="279">
        <f t="shared" si="36"/>
        <v>15</v>
      </c>
      <c r="AE58" s="279">
        <f t="shared" si="37"/>
        <v>15</v>
      </c>
      <c r="AF58" s="279">
        <f t="shared" si="3"/>
        <v>15</v>
      </c>
      <c r="AG58" s="279">
        <f t="shared" si="4"/>
        <v>15</v>
      </c>
      <c r="AH58" s="279">
        <f t="shared" si="5"/>
        <v>15</v>
      </c>
      <c r="AI58" s="279">
        <f t="shared" si="6"/>
        <v>15</v>
      </c>
      <c r="AJ58" s="279">
        <f t="shared" si="7"/>
        <v>10</v>
      </c>
      <c r="AK58" s="279">
        <f t="shared" si="38"/>
        <v>100</v>
      </c>
      <c r="AL58" s="279" t="str">
        <f t="shared" si="13"/>
        <v>Fuerte</v>
      </c>
      <c r="AM58" s="344" t="s">
        <v>2380</v>
      </c>
      <c r="AN58" s="279" t="str">
        <f t="shared" si="14"/>
        <v>Fuerte</v>
      </c>
      <c r="AO58" s="279">
        <f t="shared" si="9"/>
        <v>100</v>
      </c>
      <c r="AP58" s="279" t="str">
        <f t="shared" si="15"/>
        <v>No</v>
      </c>
      <c r="AQ58" s="280">
        <f t="shared" si="34"/>
        <v>100</v>
      </c>
      <c r="AR58" s="280" t="str">
        <f t="shared" si="16"/>
        <v>Fuerte</v>
      </c>
      <c r="AS58" s="350" t="s">
        <v>2381</v>
      </c>
      <c r="AT58" s="350" t="s">
        <v>2686</v>
      </c>
      <c r="AU58" s="281">
        <f t="shared" si="17"/>
        <v>2</v>
      </c>
      <c r="AV58" s="281">
        <f t="shared" si="11"/>
        <v>0</v>
      </c>
      <c r="AW58" s="278" t="str">
        <f t="shared" si="39"/>
        <v>Extremo</v>
      </c>
      <c r="AX58" s="333" t="s">
        <v>2953</v>
      </c>
      <c r="AY58" s="345" t="s">
        <v>2954</v>
      </c>
      <c r="AZ58" s="345" t="s">
        <v>2955</v>
      </c>
      <c r="BA58" s="766"/>
      <c r="BB58" s="768" t="s">
        <v>2956</v>
      </c>
      <c r="BD58" s="252"/>
      <c r="BE58" s="252"/>
      <c r="BF58" s="249" t="s">
        <v>2078</v>
      </c>
      <c r="BG58" s="247"/>
      <c r="BH58" s="248"/>
      <c r="BI58" s="253"/>
      <c r="BJ58" s="249" t="s">
        <v>2088</v>
      </c>
      <c r="BL58" s="244">
        <v>46000</v>
      </c>
      <c r="BM58" s="251" t="s">
        <v>207</v>
      </c>
      <c r="BN58" s="245" t="s">
        <v>2957</v>
      </c>
      <c r="BP58" s="252"/>
      <c r="BQ58" s="252"/>
      <c r="BR58" s="249" t="s">
        <v>2078</v>
      </c>
      <c r="BS58" s="250"/>
      <c r="BT58" s="252"/>
      <c r="BU58" s="252"/>
      <c r="BV58" s="249" t="s">
        <v>2078</v>
      </c>
      <c r="BW58" s="247"/>
      <c r="BX58" s="248"/>
      <c r="BY58" s="253"/>
      <c r="BZ58" s="249" t="s">
        <v>2088</v>
      </c>
      <c r="CB58" s="244">
        <v>46000</v>
      </c>
      <c r="CC58" s="251" t="s">
        <v>207</v>
      </c>
      <c r="CD58" s="245" t="s">
        <v>2957</v>
      </c>
      <c r="CF58" s="252"/>
      <c r="CG58" s="252"/>
      <c r="CH58" s="249" t="s">
        <v>2078</v>
      </c>
      <c r="CI58" s="250"/>
      <c r="CJ58" s="252"/>
      <c r="CK58" s="252"/>
      <c r="CL58" s="249" t="s">
        <v>2078</v>
      </c>
      <c r="CM58" s="247"/>
      <c r="CN58" s="248"/>
      <c r="CO58" s="253"/>
      <c r="CP58" s="249" t="s">
        <v>2088</v>
      </c>
      <c r="CR58" s="244">
        <v>46000</v>
      </c>
      <c r="CS58" s="251" t="s">
        <v>207</v>
      </c>
      <c r="CT58" s="245" t="s">
        <v>2957</v>
      </c>
      <c r="CV58" s="252"/>
      <c r="CW58" s="252"/>
      <c r="CX58" s="249" t="s">
        <v>2078</v>
      </c>
      <c r="CZ58" s="252"/>
      <c r="DA58" s="252"/>
      <c r="DB58" s="249" t="s">
        <v>2078</v>
      </c>
      <c r="DC58" s="247"/>
      <c r="DD58" s="248"/>
      <c r="DE58" s="253"/>
      <c r="DF58" s="249" t="s">
        <v>2088</v>
      </c>
      <c r="DH58" s="252"/>
      <c r="DI58" s="252"/>
      <c r="DJ58" s="249" t="s">
        <v>2078</v>
      </c>
      <c r="DL58" s="252"/>
      <c r="DM58" s="252"/>
      <c r="DN58" s="249" t="s">
        <v>2078</v>
      </c>
    </row>
    <row r="59" spans="1:118" s="276" customFormat="1" ht="409.5" x14ac:dyDescent="0.2">
      <c r="A59" s="301">
        <v>28</v>
      </c>
      <c r="B59" s="301" t="s">
        <v>2942</v>
      </c>
      <c r="C59" s="282"/>
      <c r="D59" s="282" t="s">
        <v>2944</v>
      </c>
      <c r="E59" s="282" t="s">
        <v>2945</v>
      </c>
      <c r="F59" s="759" t="s">
        <v>1734</v>
      </c>
      <c r="G59" s="277" t="str">
        <f>IFERROR(INDEX('[4]Base de datos gestión'!$D$28:$D$50,MATCH(F59,'[4]Base de datos gestión'!$C$28:$C$50,0)), 0)</f>
        <v>Definir, implementar, evaluar y mejorar continuamente la gestión de Tecnologías de la Información, a través del cumplimiento de los lineamientos y estándares establecidos en las Políticas de Gobierno y Seguridad Digital, de acuerdo con las directrices emitidas por MinTIC, mediante la ejecución de planes y proyectos de inversión social e institucional, que fortalezcan de manera estratégica y operativa los procesos de la entidad.
Se relaciona con los Objetivos Estratégicos:
1. Posicionar las actividades de ciencia, tecnología e innovación en metrología que contribuyan a la competitividad, productividad y el bienestar de la población
2. Fortalecer la capacidad administrativa y de desempeño institucional para garantizar la eficiencia y calidad de los procesos de la entidad
3. Gestionar de manera eficaz la información con las partes interesadas</v>
      </c>
      <c r="H59" s="277" t="str">
        <f>IFERROR(INDEX('[4]Base de datos gestión'!$E$28:$E$50,MATCH(F59,'[4]Base de datos gestión'!$C$28:$C$50,0)), 0)</f>
        <v>Inicia con la identificación de necesidades estratégicas y tecnológicas relacionadas con la prestación de los servicios del INM, el respectivo análisis de brechas y la definición de los diferentes planes de acción.
Su desarrollo se realiza con la implementación de los Planes Institucionales asociados a las Tecnologías de la Información.
Se finaliza con el análisis y evaluación de las acciones tomadas e implementadas.</v>
      </c>
      <c r="I59" s="760" t="s">
        <v>2365</v>
      </c>
      <c r="J59" s="761" t="s">
        <v>2946</v>
      </c>
      <c r="K59" s="764" t="s">
        <v>2947</v>
      </c>
      <c r="L59" s="762" t="s">
        <v>2948</v>
      </c>
      <c r="M59" s="763" t="s">
        <v>2949</v>
      </c>
      <c r="N59" s="764" t="s">
        <v>2950</v>
      </c>
      <c r="O59" s="764" t="s">
        <v>2951</v>
      </c>
      <c r="P59" s="348" t="s">
        <v>2264</v>
      </c>
      <c r="Q59" s="348" t="s">
        <v>762</v>
      </c>
      <c r="R59" s="282" t="str">
        <f t="shared" si="40"/>
        <v>Extremo</v>
      </c>
      <c r="S59" s="348" t="s">
        <v>1702</v>
      </c>
      <c r="T59" s="767" t="s">
        <v>2958</v>
      </c>
      <c r="U59" s="316">
        <v>2</v>
      </c>
      <c r="V59" s="343" t="s">
        <v>197</v>
      </c>
      <c r="W59" s="344" t="s">
        <v>2373</v>
      </c>
      <c r="X59" s="344" t="s">
        <v>2374</v>
      </c>
      <c r="Y59" s="344" t="s">
        <v>2375</v>
      </c>
      <c r="Z59" s="344" t="s">
        <v>2376</v>
      </c>
      <c r="AA59" s="344" t="s">
        <v>2377</v>
      </c>
      <c r="AB59" s="344" t="s">
        <v>2378</v>
      </c>
      <c r="AC59" s="344" t="s">
        <v>2379</v>
      </c>
      <c r="AD59" s="279">
        <f t="shared" si="36"/>
        <v>15</v>
      </c>
      <c r="AE59" s="279">
        <f t="shared" si="37"/>
        <v>15</v>
      </c>
      <c r="AF59" s="279">
        <f t="shared" si="3"/>
        <v>15</v>
      </c>
      <c r="AG59" s="279">
        <f t="shared" si="4"/>
        <v>15</v>
      </c>
      <c r="AH59" s="279">
        <f t="shared" si="5"/>
        <v>15</v>
      </c>
      <c r="AI59" s="279">
        <f t="shared" si="6"/>
        <v>15</v>
      </c>
      <c r="AJ59" s="279">
        <f t="shared" si="7"/>
        <v>10</v>
      </c>
      <c r="AK59" s="279">
        <f t="shared" si="38"/>
        <v>100</v>
      </c>
      <c r="AL59" s="279" t="str">
        <f t="shared" si="13"/>
        <v>Fuerte</v>
      </c>
      <c r="AM59" s="344" t="s">
        <v>2380</v>
      </c>
      <c r="AN59" s="279" t="str">
        <f t="shared" si="14"/>
        <v>Fuerte</v>
      </c>
      <c r="AO59" s="279">
        <f t="shared" si="9"/>
        <v>100</v>
      </c>
      <c r="AP59" s="279" t="str">
        <f t="shared" si="15"/>
        <v>No</v>
      </c>
      <c r="AQ59" s="280">
        <f t="shared" si="34"/>
        <v>100</v>
      </c>
      <c r="AR59" s="280" t="str">
        <f t="shared" si="16"/>
        <v>Fuerte</v>
      </c>
      <c r="AS59" s="350" t="s">
        <v>2381</v>
      </c>
      <c r="AT59" s="350" t="s">
        <v>2686</v>
      </c>
      <c r="AU59" s="281">
        <f t="shared" si="17"/>
        <v>2</v>
      </c>
      <c r="AV59" s="281">
        <f t="shared" si="11"/>
        <v>0</v>
      </c>
      <c r="AW59" s="278" t="str">
        <f t="shared" si="39"/>
        <v>Extremo</v>
      </c>
      <c r="AX59" s="333" t="s">
        <v>2959</v>
      </c>
      <c r="AY59" s="345" t="s">
        <v>2960</v>
      </c>
      <c r="AZ59" s="345" t="s">
        <v>2961</v>
      </c>
      <c r="BA59" s="766"/>
      <c r="BB59" s="768" t="s">
        <v>2962</v>
      </c>
      <c r="BD59" s="252"/>
      <c r="BE59" s="252"/>
      <c r="BF59" s="249" t="s">
        <v>2078</v>
      </c>
      <c r="BG59" s="247"/>
      <c r="BH59" s="248"/>
      <c r="BI59" s="253"/>
      <c r="BJ59" s="249" t="s">
        <v>2088</v>
      </c>
      <c r="BL59" s="244">
        <v>46000</v>
      </c>
      <c r="BM59" s="251" t="s">
        <v>207</v>
      </c>
      <c r="BN59" s="245" t="s">
        <v>2957</v>
      </c>
      <c r="BP59" s="252"/>
      <c r="BQ59" s="252"/>
      <c r="BR59" s="249" t="s">
        <v>2078</v>
      </c>
      <c r="BS59" s="250"/>
      <c r="BT59" s="252"/>
      <c r="BU59" s="252"/>
      <c r="BV59" s="249" t="s">
        <v>2078</v>
      </c>
      <c r="BW59" s="247"/>
      <c r="BX59" s="248"/>
      <c r="BY59" s="253"/>
      <c r="BZ59" s="249" t="s">
        <v>2088</v>
      </c>
      <c r="CB59" s="244">
        <v>46000</v>
      </c>
      <c r="CC59" s="251" t="s">
        <v>207</v>
      </c>
      <c r="CD59" s="245" t="s">
        <v>2957</v>
      </c>
      <c r="CF59" s="252"/>
      <c r="CG59" s="252"/>
      <c r="CH59" s="249" t="s">
        <v>2078</v>
      </c>
      <c r="CI59" s="250"/>
      <c r="CJ59" s="252"/>
      <c r="CK59" s="252"/>
      <c r="CL59" s="249" t="s">
        <v>2078</v>
      </c>
      <c r="CM59" s="247"/>
      <c r="CN59" s="248"/>
      <c r="CO59" s="253"/>
      <c r="CP59" s="249" t="s">
        <v>2088</v>
      </c>
      <c r="CR59" s="244">
        <v>46000</v>
      </c>
      <c r="CS59" s="251" t="s">
        <v>207</v>
      </c>
      <c r="CT59" s="245" t="s">
        <v>2957</v>
      </c>
      <c r="CV59" s="252"/>
      <c r="CW59" s="252"/>
      <c r="CX59" s="249" t="s">
        <v>2078</v>
      </c>
      <c r="CZ59" s="252"/>
      <c r="DA59" s="252"/>
      <c r="DB59" s="249" t="s">
        <v>2078</v>
      </c>
      <c r="DC59" s="247"/>
      <c r="DD59" s="248"/>
      <c r="DE59" s="253"/>
      <c r="DF59" s="249" t="s">
        <v>2088</v>
      </c>
      <c r="DH59" s="252"/>
      <c r="DI59" s="252"/>
      <c r="DJ59" s="249" t="s">
        <v>2078</v>
      </c>
      <c r="DL59" s="252"/>
      <c r="DM59" s="252"/>
      <c r="DN59" s="249" t="s">
        <v>2078</v>
      </c>
    </row>
  </sheetData>
  <sheetProtection algorithmName="SHA-512" hashValue="E8Crfg7EdCGBBc+REirLnxxXIRBkjFm4Mo4pNx4t0IMjM+nY8cJY77wqh7MSmx/+ngLNcshNsEciiNmtqs96yA==" saltValue="LDYwfB2IzYKnZGSqKxCHiA==" spinCount="100000" sheet="1" objects="1" scenarios="1" formatCells="0" formatColumns="0" formatRows="0" insertHyperlinks="0" sort="0" autoFilter="0"/>
  <protectedRanges>
    <protectedRange sqref="CZ1:DN59" name="DICIEMBRE"/>
  </protectedRanges>
  <autoFilter ref="A2:DN59" xr:uid="{00000000-0001-0000-0800-000000000000}"/>
  <mergeCells count="77">
    <mergeCell ref="DL1:DN1"/>
    <mergeCell ref="BD1:BJ1"/>
    <mergeCell ref="BL1:BN1"/>
    <mergeCell ref="BP1:BR1"/>
    <mergeCell ref="BT1:BZ1"/>
    <mergeCell ref="CB1:CD1"/>
    <mergeCell ref="CF1:CH1"/>
    <mergeCell ref="CJ1:CP1"/>
    <mergeCell ref="CR1:CT1"/>
    <mergeCell ref="CV1:CX1"/>
    <mergeCell ref="CZ1:DF1"/>
    <mergeCell ref="DH1:DJ1"/>
    <mergeCell ref="AX12:AX13"/>
    <mergeCell ref="AY12:AY13"/>
    <mergeCell ref="AZ12:AZ13"/>
    <mergeCell ref="BA12:BA13"/>
    <mergeCell ref="BB12:BB13"/>
    <mergeCell ref="AX6:AX7"/>
    <mergeCell ref="AY6:AY7"/>
    <mergeCell ref="AZ6:AZ7"/>
    <mergeCell ref="BA6:BA7"/>
    <mergeCell ref="BB6:BB7"/>
    <mergeCell ref="AX17:AX19"/>
    <mergeCell ref="AY17:AY19"/>
    <mergeCell ref="AZ17:AZ19"/>
    <mergeCell ref="BA17:BA19"/>
    <mergeCell ref="BB17:BB20"/>
    <mergeCell ref="AX14:AX16"/>
    <mergeCell ref="AY14:AY16"/>
    <mergeCell ref="AZ14:AZ16"/>
    <mergeCell ref="BA14:BA16"/>
    <mergeCell ref="BB14:BB16"/>
    <mergeCell ref="AX28:AX30"/>
    <mergeCell ref="AY28:AY30"/>
    <mergeCell ref="AZ28:AZ30"/>
    <mergeCell ref="BA28:BA30"/>
    <mergeCell ref="BB28:BB30"/>
    <mergeCell ref="AX24:AX27"/>
    <mergeCell ref="AY24:AY27"/>
    <mergeCell ref="AZ24:AZ27"/>
    <mergeCell ref="BA24:BA27"/>
    <mergeCell ref="BB24:BB27"/>
    <mergeCell ref="AX38:AX39"/>
    <mergeCell ref="AY38:AY39"/>
    <mergeCell ref="AZ38:AZ39"/>
    <mergeCell ref="BA38:BA39"/>
    <mergeCell ref="BB38:BB39"/>
    <mergeCell ref="AX34:AX35"/>
    <mergeCell ref="AY34:AY35"/>
    <mergeCell ref="AZ34:AZ35"/>
    <mergeCell ref="BA34:BA35"/>
    <mergeCell ref="BB34:BB35"/>
    <mergeCell ref="AX44:AX45"/>
    <mergeCell ref="AY44:AY45"/>
    <mergeCell ref="AZ44:AZ45"/>
    <mergeCell ref="BA44:BA45"/>
    <mergeCell ref="BB44:BB45"/>
    <mergeCell ref="AX41:AX42"/>
    <mergeCell ref="AY41:AY42"/>
    <mergeCell ref="AZ41:AZ42"/>
    <mergeCell ref="BA41:BA42"/>
    <mergeCell ref="BB41:BB43"/>
    <mergeCell ref="AX49:AX51"/>
    <mergeCell ref="AY49:AY51"/>
    <mergeCell ref="AZ49:AZ51"/>
    <mergeCell ref="BA49:BA51"/>
    <mergeCell ref="BB49:BB51"/>
    <mergeCell ref="AX46:AX47"/>
    <mergeCell ref="AY46:AY47"/>
    <mergeCell ref="AZ46:AZ47"/>
    <mergeCell ref="BA46:BA47"/>
    <mergeCell ref="BB46:BB47"/>
    <mergeCell ref="AX55:AX56"/>
    <mergeCell ref="AY55:AY56"/>
    <mergeCell ref="AZ55:AZ56"/>
    <mergeCell ref="BA55:BA56"/>
    <mergeCell ref="BB55:BB56"/>
  </mergeCells>
  <conditionalFormatting sqref="R3:R59 AW3:AW59">
    <cfRule type="cellIs" dxfId="140" priority="123" operator="equal">
      <formula>"Extremo"</formula>
    </cfRule>
    <cfRule type="cellIs" dxfId="139" priority="124" operator="equal">
      <formula>"Alto"</formula>
    </cfRule>
    <cfRule type="cellIs" dxfId="138" priority="125" operator="equal">
      <formula>"Moderado"</formula>
    </cfRule>
    <cfRule type="cellIs" dxfId="137" priority="126" operator="equal">
      <formula>"Bajo"</formula>
    </cfRule>
  </conditionalFormatting>
  <conditionalFormatting sqref="BG3:BG59 BW3:BW59">
    <cfRule type="containsText" dxfId="136" priority="121" operator="containsText" text="NO">
      <formula>NOT(ISERROR(SEARCH("NO",BG3)))</formula>
    </cfRule>
    <cfRule type="containsText" dxfId="135" priority="122" operator="containsText" text="SI">
      <formula>NOT(ISERROR(SEARCH("SI",BG3)))</formula>
    </cfRule>
  </conditionalFormatting>
  <conditionalFormatting sqref="BX10:BY16">
    <cfRule type="containsText" dxfId="134" priority="101" operator="containsText" text="NO">
      <formula>NOT(ISERROR(SEARCH("NO",BX10)))</formula>
    </cfRule>
    <cfRule type="containsText" dxfId="133" priority="102" operator="containsText" text="SI">
      <formula>NOT(ISERROR(SEARCH("SI",BX10)))</formula>
    </cfRule>
  </conditionalFormatting>
  <conditionalFormatting sqref="BX24:BY33 BX40:BY40 BY49:BY51 BX56:BY59">
    <cfRule type="containsText" dxfId="132" priority="119" operator="containsText" text="NO">
      <formula>NOT(ISERROR(SEARCH("NO",BX24)))</formula>
    </cfRule>
    <cfRule type="containsText" dxfId="131" priority="120" operator="containsText" text="SI">
      <formula>NOT(ISERROR(SEARCH("SI",BX24)))</formula>
    </cfRule>
  </conditionalFormatting>
  <conditionalFormatting sqref="CM3:CM9">
    <cfRule type="containsText" dxfId="130" priority="37" operator="containsText" text="NO">
      <formula>NOT(ISERROR(SEARCH("NO",CM3)))</formula>
    </cfRule>
    <cfRule type="containsText" dxfId="129" priority="38" operator="containsText" text="SI">
      <formula>NOT(ISERROR(SEARCH("SI",CM3)))</formula>
    </cfRule>
  </conditionalFormatting>
  <conditionalFormatting sqref="CM17:CM37">
    <cfRule type="containsText" dxfId="128" priority="75" operator="containsText" text="NO">
      <formula>NOT(ISERROR(SEARCH("NO",CM17)))</formula>
    </cfRule>
    <cfRule type="containsText" dxfId="127" priority="76" operator="containsText" text="SI">
      <formula>NOT(ISERROR(SEARCH("SI",CM17)))</formula>
    </cfRule>
  </conditionalFormatting>
  <conditionalFormatting sqref="CM41:CM55">
    <cfRule type="containsText" dxfId="126" priority="13" operator="containsText" text="NO">
      <formula>NOT(ISERROR(SEARCH("NO",CM41)))</formula>
    </cfRule>
    <cfRule type="containsText" dxfId="125" priority="14" operator="containsText" text="SI">
      <formula>NOT(ISERROR(SEARCH("SI",CM41)))</formula>
    </cfRule>
  </conditionalFormatting>
  <conditionalFormatting sqref="CM10:CO16">
    <cfRule type="containsText" dxfId="124" priority="1" operator="containsText" text="NO">
      <formula>NOT(ISERROR(SEARCH("NO",CM10)))</formula>
    </cfRule>
    <cfRule type="containsText" dxfId="123" priority="2" operator="containsText" text="SI">
      <formula>NOT(ISERROR(SEARCH("SI",CM10)))</formula>
    </cfRule>
  </conditionalFormatting>
  <conditionalFormatting sqref="CM38:CO40">
    <cfRule type="containsText" dxfId="122" priority="99" operator="containsText" text="NO">
      <formula>NOT(ISERROR(SEARCH("NO",CM38)))</formula>
    </cfRule>
    <cfRule type="containsText" dxfId="121" priority="100" operator="containsText" text="SI">
      <formula>NOT(ISERROR(SEARCH("SI",CM38)))</formula>
    </cfRule>
  </conditionalFormatting>
  <conditionalFormatting sqref="CM56:CO59">
    <cfRule type="containsText" dxfId="120" priority="9" operator="containsText" text="NO">
      <formula>NOT(ISERROR(SEARCH("NO",CM56)))</formula>
    </cfRule>
    <cfRule type="containsText" dxfId="119" priority="10" operator="containsText" text="SI">
      <formula>NOT(ISERROR(SEARCH("SI",CM56)))</formula>
    </cfRule>
  </conditionalFormatting>
  <conditionalFormatting sqref="CN21:CO21">
    <cfRule type="containsText" dxfId="118" priority="11" operator="containsText" text="NO">
      <formula>NOT(ISERROR(SEARCH("NO",CN21)))</formula>
    </cfRule>
    <cfRule type="containsText" dxfId="117" priority="12" operator="containsText" text="SI">
      <formula>NOT(ISERROR(SEARCH("SI",CN21)))</formula>
    </cfRule>
  </conditionalFormatting>
  <conditionalFormatting sqref="CN24:CO33">
    <cfRule type="containsText" dxfId="116" priority="53" operator="containsText" text="NO">
      <formula>NOT(ISERROR(SEARCH("NO",CN24)))</formula>
    </cfRule>
    <cfRule type="containsText" dxfId="115" priority="54" operator="containsText" text="SI">
      <formula>NOT(ISERROR(SEARCH("SI",CN24)))</formula>
    </cfRule>
  </conditionalFormatting>
  <conditionalFormatting sqref="CO49:CO51">
    <cfRule type="containsText" dxfId="114" priority="21" operator="containsText" text="NO">
      <formula>NOT(ISERROR(SEARCH("NO",CO49)))</formula>
    </cfRule>
    <cfRule type="containsText" dxfId="113" priority="22" operator="containsText" text="SI">
      <formula>NOT(ISERROR(SEARCH("SI",CO49)))</formula>
    </cfRule>
  </conditionalFormatting>
  <conditionalFormatting sqref="DC3:DC59">
    <cfRule type="containsText" dxfId="112" priority="113" operator="containsText" text="NO">
      <formula>NOT(ISERROR(SEARCH("NO",DC3)))</formula>
    </cfRule>
    <cfRule type="containsText" dxfId="111" priority="114" operator="containsText" text="SI">
      <formula>NOT(ISERROR(SEARCH("SI",DC3)))</formula>
    </cfRule>
  </conditionalFormatting>
  <conditionalFormatting sqref="DD5:DE59">
    <cfRule type="containsText" dxfId="110" priority="5" operator="containsText" text="NO">
      <formula>NOT(ISERROR(SEARCH("NO",DD5)))</formula>
    </cfRule>
    <cfRule type="containsText" dxfId="109" priority="6" operator="containsText" text="SI">
      <formula>NOT(ISERROR(SEARCH("SI",DD5)))</formula>
    </cfRule>
  </conditionalFormatting>
  <dataValidations count="15">
    <dataValidation type="list" allowBlank="1" showInputMessage="1" showErrorMessage="1" sqref="S3:S59" xr:uid="{5CFD7895-012A-4B5E-8CA1-EB062C842FBC}">
      <formula1>Tratamiento_R</formula1>
    </dataValidation>
    <dataValidation type="list" allowBlank="1" showInputMessage="1" showErrorMessage="1" sqref="P3:P59" xr:uid="{E23194D0-A971-45B9-A641-D38B6F309BA1}">
      <formula1>N_Probabilidad</formula1>
    </dataValidation>
    <dataValidation type="list" allowBlank="1" showInputMessage="1" showErrorMessage="1" sqref="AS3:AS59" xr:uid="{B679F3B4-9B76-474F-B0C1-4240C643632A}">
      <formula1>Influencia_CP</formula1>
    </dataValidation>
    <dataValidation type="list" allowBlank="1" showInputMessage="1" showErrorMessage="1" sqref="AT3:AT59" xr:uid="{4BD24576-4CCB-4412-8887-6A685FA7EF5A}">
      <formula1>Influencia_C</formula1>
    </dataValidation>
    <dataValidation type="list" allowBlank="1" showInputMessage="1" showErrorMessage="1" sqref="V3:V59" xr:uid="{E49B368C-3D86-4CB6-BC92-6A40422AF8F8}">
      <formula1>T_Control</formula1>
    </dataValidation>
    <dataValidation type="list" allowBlank="1" showInputMessage="1" showErrorMessage="1" promptTitle="Seleccione entre las opciones" prompt="Fuerte: El control se ejecuta de manera consistente por parte del responsable._x000a_Moderado: El control se ejecuta algunas veces por parte del responsable._x000a_Débil: El control no se ejecuta por parte del responsable." sqref="AM3:AM59" xr:uid="{7360A7EA-8560-4E65-962D-02E5CE80B168}">
      <formula1>P_ejecución</formula1>
    </dataValidation>
    <dataValidation type="list" allowBlank="1" showInputMessage="1" showErrorMessage="1" sqref="AC3:AC59" xr:uid="{9723AC26-6C7E-43CF-ADA7-50B2E8F4AD03}">
      <formula1>Evidencia</formula1>
    </dataValidation>
    <dataValidation type="list" allowBlank="1" showInputMessage="1" showErrorMessage="1" sqref="AB3:AB59" xr:uid="{DDAC6EC2-04E3-40D8-8B2F-4F9CC80766B5}">
      <formula1>Desviaciones</formula1>
    </dataValidation>
    <dataValidation type="list" allowBlank="1" showInputMessage="1" showErrorMessage="1" sqref="AA3:AA59" xr:uid="{EE646ADA-56F6-461F-A071-1120737535E7}">
      <formula1>Act_control</formula1>
    </dataValidation>
    <dataValidation type="list" allowBlank="1" showInputMessage="1" showErrorMessage="1" sqref="Z3:Z59" xr:uid="{A55A6EC3-6B2A-4D9D-B008-5949BA249419}">
      <formula1>Propósito</formula1>
    </dataValidation>
    <dataValidation type="list" allowBlank="1" showInputMessage="1" showErrorMessage="1" sqref="Y3:Y59" xr:uid="{6B9EEE41-0DA4-4CEE-AF87-18168E3484D0}">
      <formula1>Periodicidad</formula1>
    </dataValidation>
    <dataValidation type="list" allowBlank="1" showInputMessage="1" showErrorMessage="1" sqref="X3:X59" xr:uid="{8D8F0F41-896D-47A6-878D-55B488C8E422}">
      <formula1>S_responsable</formula1>
    </dataValidation>
    <dataValidation type="list" allowBlank="1" showInputMessage="1" showErrorMessage="1" sqref="W3:W59" xr:uid="{B0327396-47C4-466A-B9CB-59A57A0093B3}">
      <formula1>A_responsable</formula1>
    </dataValidation>
    <dataValidation type="list" allowBlank="1" showInputMessage="1" showErrorMessage="1" sqref="F3:F59" xr:uid="{13F43FC9-3CAB-459B-801D-0C1255598576}">
      <formula1>Proceso</formula1>
    </dataValidation>
    <dataValidation type="list" allowBlank="1" showInputMessage="1" showErrorMessage="1" sqref="Q3:Q59" xr:uid="{DD286647-27BA-4706-A8F3-D723322DB8CA}">
      <formula1>IF(I3="Corrupción",N_ImpactoC,N_Impacto)</formula1>
    </dataValidation>
  </dataValidations>
  <hyperlinks>
    <hyperlink ref="BJ24" r:id="rId1" xr:uid="{ABA87F95-AC11-444F-A9A4-803A3642E692}"/>
    <hyperlink ref="BJ26" r:id="rId2" xr:uid="{BA564071-8680-40AA-81A4-7C12819E667A}"/>
    <hyperlink ref="BJ31" r:id="rId3" xr:uid="{E5B4A98C-95AA-4A7C-A78B-53BD84BE8D78}"/>
    <hyperlink ref="BJ25" r:id="rId4" xr:uid="{C6A787C1-8BAD-419A-9003-B573B49B3124}"/>
    <hyperlink ref="BJ27" r:id="rId5" xr:uid="{4CD1C0A3-ECFF-4FD7-B98C-F26BD90F9D91}"/>
    <hyperlink ref="BJ28" r:id="rId6" xr:uid="{D2385D2A-FE45-4C1E-857C-9D823202A002}"/>
    <hyperlink ref="BJ32" r:id="rId7" xr:uid="{7BBE9ED6-C701-488B-A250-75D825F94A99}"/>
    <hyperlink ref="BJ34" r:id="rId8" xr:uid="{D580D58A-DCBA-46B6-86A7-AD14095B62B6}"/>
    <hyperlink ref="BJ36" r:id="rId9" xr:uid="{68CF6FBB-3924-4155-B04B-3F7F2730FB30}"/>
    <hyperlink ref="BJ33" r:id="rId10" xr:uid="{5BFC5A02-8CE1-4250-9705-2A919B3CEFF4}"/>
    <hyperlink ref="BJ49" r:id="rId11" xr:uid="{3992824C-8991-480E-B2DA-635377074438}"/>
    <hyperlink ref="BJ50" r:id="rId12" xr:uid="{A50D8CC6-DA1D-4709-97EF-3A01CE494327}"/>
    <hyperlink ref="BJ51" r:id="rId13" xr:uid="{D8501BB8-9A27-43C4-8AD6-9A4BC0BE467F}"/>
    <hyperlink ref="BJ43" r:id="rId14" xr:uid="{4A0F5746-F3B4-4989-9488-429075293F27}"/>
    <hyperlink ref="BJ41" r:id="rId15" xr:uid="{12B88E9B-F5E0-4863-B8B9-C55B3967F812}"/>
    <hyperlink ref="BJ42" r:id="rId16" xr:uid="{7D9FC5B8-CBD3-4362-AD35-F6AC72BD326B}"/>
    <hyperlink ref="BJ52" r:id="rId17" xr:uid="{FF988C8C-4514-4E6D-AC2F-1FB772D3A4FD}"/>
    <hyperlink ref="BJ53" r:id="rId18" xr:uid="{7765331B-7B8E-432D-8E5F-337C6026EFB5}"/>
    <hyperlink ref="BJ54" r:id="rId19" xr:uid="{07C3CFD1-39BC-4F5B-BBB5-23E662949203}"/>
    <hyperlink ref="BZ34" r:id="rId20" xr:uid="{DCFA2AC1-18B1-4707-A271-62AD023AA978}"/>
    <hyperlink ref="BZ35" r:id="rId21" xr:uid="{8FF56DFB-4B81-4CEC-A03E-653F8818A502}"/>
    <hyperlink ref="BZ36" r:id="rId22" xr:uid="{4754C7BA-34E9-42E9-932D-9BDF2E765146}"/>
    <hyperlink ref="BZ33" r:id="rId23" display="https://metrologiainm.sharepoint.com/sites/OAP/Documentos%20compartidos/Forms/AllItems.aspx?id=%2Fsites%2FOAP%2FDocumentos%20compartidos%2FSIG%2FGesti%C3%B3n%20del%20riesgo%2F2025%2F4%2E%20Seguimientos%20trimestrales%2FEvidencias%20de%20ejecuci%C3%B3n%20de%20controles%2FEvidencias%20riesgos%20de%20corrupci%C3%B3n%2FServicios%20de%20Calibraci%C3%B3n%20y%20medici%C3%B3n%20metrol%C3%B3gica%2FM01%2DRC04%2FSegundo%20trimestre&amp;viewid=231582db%2D4441%2D4e1e%2D91ad%2D7c568c565fce&amp;p=true&amp;ct=1753135163812&amp;or=OWA%2DNT%2DMail&amp;cid=9e60ef36%2D6242%2D45b1%2D6ee3%2D2a5437302ec7&amp;ga=1" xr:uid="{5B1A9B2A-B038-4F49-B81A-E99E12B7C3D3}"/>
    <hyperlink ref="BZ26" r:id="rId24" xr:uid="{2B0F08A9-2507-4467-9321-C6C30D5CD271}"/>
    <hyperlink ref="BZ3" r:id="rId25" xr:uid="{6A560C39-8373-4F0F-845D-C7F797C26469}"/>
    <hyperlink ref="BZ4" r:id="rId26" xr:uid="{96D5A978-3D7C-414C-B569-A4BF1A9432A0}"/>
    <hyperlink ref="BZ5" r:id="rId27" xr:uid="{323B4A74-A04A-4AC0-901E-877F8F70ED35}"/>
    <hyperlink ref="BZ6" r:id="rId28" xr:uid="{03DAF3B5-3587-499C-A9BA-77180F71FF38}"/>
    <hyperlink ref="BZ7" r:id="rId29" xr:uid="{4798BB2A-9A90-4DE3-8181-D30CD8A06471}"/>
    <hyperlink ref="BZ8" r:id="rId30" xr:uid="{0F05E632-527B-4476-9729-164BD3516C03}"/>
    <hyperlink ref="BZ9" r:id="rId31" xr:uid="{43E08480-D06B-48EC-9EEE-FA20AF25FC07}"/>
    <hyperlink ref="CP34" r:id="rId32" display="https://metrologiainm.sharepoint.com/:x:/s/OAP/EXUJC_5ol61DoC_SxugFrGwBpN8GErAfc9aHjb2e2M2foQ?e=qWrdNj" xr:uid="{9791DE22-A23C-432F-B642-524EC15933F7}"/>
    <hyperlink ref="CP35" r:id="rId33" display="https://metrologiainm.sharepoint.com/:x:/s/OAP/EWq_VaV7_exBhHNtzchUV2EBTTReT1Xk_ma6BSi03AeAhg?e=8uSW59" xr:uid="{5A21FDA6-885E-40E1-ACB1-6655EAEF830B}"/>
    <hyperlink ref="CP36" r:id="rId34" xr:uid="{C0BEA27D-BD9E-4727-91C9-086B8BCCF454}"/>
    <hyperlink ref="BZ18" r:id="rId35" xr:uid="{9E12E28E-9D88-4F28-9FF2-C6108F465E1F}"/>
    <hyperlink ref="BZ17" r:id="rId36" xr:uid="{93A2CC95-1A2F-425C-B0B1-2A1AABB34A82}"/>
    <hyperlink ref="CP17" r:id="rId37" xr:uid="{1C9C8BCB-3AB2-45C3-8E5C-44947E0366F4}"/>
    <hyperlink ref="CP18" r:id="rId38" xr:uid="{C4A2A8F8-A85F-45C2-93E5-46004DC275AA}"/>
    <hyperlink ref="CP19" r:id="rId39" xr:uid="{3476DAAF-AA2A-474F-8471-7DE73EDEF80B}"/>
    <hyperlink ref="CP20" r:id="rId40" xr:uid="{13435019-0EFB-463C-B908-9310C7821ACA}"/>
    <hyperlink ref="CP21" r:id="rId41" xr:uid="{A252BF8A-B1AF-4377-9AC3-E5F2C5BEB507}"/>
    <hyperlink ref="BZ24" r:id="rId42" xr:uid="{0162CA3C-ABF3-480D-9FE5-C5959BE57536}"/>
    <hyperlink ref="CP24" r:id="rId43" xr:uid="{7C023B7A-6E90-4F2D-8D0A-723881293728}"/>
    <hyperlink ref="CP25" r:id="rId44" xr:uid="{83E93BB5-BB9F-4745-9F97-F2C45041B4E1}"/>
    <hyperlink ref="CP27" r:id="rId45" xr:uid="{D674122D-632D-494C-B7B8-1C009EBA740E}"/>
    <hyperlink ref="CP33" r:id="rId46" xr:uid="{78D7F577-0088-4768-90FB-3C4EDFBCEECD}"/>
    <hyperlink ref="CP26" r:id="rId47" xr:uid="{A7AB8891-F75C-4D95-BF9D-02A1521475B4}"/>
    <hyperlink ref="CP38" r:id="rId48" xr:uid="{D3DB018F-E57A-4394-92A2-0FE3667BAFE0}"/>
    <hyperlink ref="CP39" r:id="rId49" xr:uid="{555820B7-6611-47C5-B349-F922B90B9848}"/>
    <hyperlink ref="CP4" r:id="rId50" xr:uid="{8B73E51D-3CF6-45B1-BDFF-2FEDD43CD4B5}"/>
    <hyperlink ref="CP5" r:id="rId51" xr:uid="{FAFD50CE-63D4-42EC-93B6-C8417ED2156A}"/>
    <hyperlink ref="CP3" r:id="rId52" xr:uid="{403CBEC0-8667-4378-A3D4-BA136200F785}"/>
    <hyperlink ref="BZ31" r:id="rId53" xr:uid="{EAD2C132-C8E5-4F94-A16F-7E3DF8C0C6E0}"/>
    <hyperlink ref="BZ32" r:id="rId54" xr:uid="{605121FD-1217-4CDC-9A20-09F3EC55E5CE}"/>
    <hyperlink ref="CP32" r:id="rId55" xr:uid="{90E71AD1-4918-4970-95B1-1C0B682C772B}"/>
    <hyperlink ref="CP31" r:id="rId56" xr:uid="{BD770DCB-CE70-4203-9CB5-4B524912B640}"/>
    <hyperlink ref="CP6" r:id="rId57" xr:uid="{91C5B728-CF18-4E19-8E04-AE0386DA1B59}"/>
    <hyperlink ref="CP7" r:id="rId58" xr:uid="{AE5617C7-4E4C-4E9E-9A49-461A96BD796F}"/>
    <hyperlink ref="CP8" r:id="rId59" xr:uid="{8ADA89CD-D838-4EF1-AF49-2F9A334D2B36}"/>
    <hyperlink ref="CP54" r:id="rId60" xr:uid="{7D44428D-60B5-4D06-B00F-EC88B269B246}"/>
    <hyperlink ref="BZ44" r:id="rId61" xr:uid="{2A7BF55A-15B7-4209-B7AC-558910FD6620}"/>
    <hyperlink ref="BZ45" r:id="rId62" xr:uid="{34B22756-89C0-4D8F-875D-C3EAE3AEA003}"/>
    <hyperlink ref="CP44" r:id="rId63" xr:uid="{CA119F44-9947-4F59-9001-7456A9ED03C0}"/>
    <hyperlink ref="CP45" r:id="rId64" xr:uid="{A35CA73D-E79F-4BFC-B441-32AA97CFA3BE}"/>
    <hyperlink ref="CP46" r:id="rId65" xr:uid="{1E00277D-1CDA-4FC8-AA96-7A927DDF8351}"/>
    <hyperlink ref="CP47" r:id="rId66" xr:uid="{279A8BB6-550C-456B-A3DD-7963CEC7D286}"/>
    <hyperlink ref="CP23" r:id="rId67" xr:uid="{AAA53514-7412-4DB4-B0D7-EDA0EDEB9EA5}"/>
    <hyperlink ref="BZ41" r:id="rId68" xr:uid="{34371350-CB62-484D-82E5-1E5BC89E9F34}"/>
    <hyperlink ref="CP41" r:id="rId69" xr:uid="{7303119E-37FA-4515-9167-677DC3DC91B0}"/>
    <hyperlink ref="CP42" r:id="rId70" xr:uid="{57B49AA2-14A6-4730-B8E8-D390A84AC4C4}"/>
    <hyperlink ref="CP43" r:id="rId71" xr:uid="{5C7AA901-82A8-4E20-B570-ED59E4B3B7F1}"/>
    <hyperlink ref="BZ52" r:id="rId72" xr:uid="{20E593CC-1131-47EA-9F2B-AC9F5ED034E3}"/>
    <hyperlink ref="CP52" r:id="rId73" xr:uid="{0BF99332-7A45-4FB7-9F15-0F1D7751012A}"/>
    <hyperlink ref="CP53" r:id="rId74" xr:uid="{4CEA5CD3-2BB6-4A08-B700-A9A745436254}"/>
    <hyperlink ref="BJ10" r:id="rId75" xr:uid="{F4144431-65A4-4F14-AA83-08C5A615FB19}"/>
    <hyperlink ref="BJ11" r:id="rId76" xr:uid="{911D67DB-D681-4A85-AA84-4875C3E6A727}"/>
    <hyperlink ref="BZ10" r:id="rId77" xr:uid="{970795F9-B932-45CF-A4FA-1FC05239E534}"/>
    <hyperlink ref="BZ11" r:id="rId78" xr:uid="{FA3D0C5E-C7D4-4D6B-8F96-678DA8CA0B2E}"/>
    <hyperlink ref="CP10" r:id="rId79" xr:uid="{B6DCA267-B72E-4F02-A1E8-7397423B5BFA}"/>
    <hyperlink ref="CP11" r:id="rId80" xr:uid="{91A9DAE5-8507-4799-924E-1DA4B3DC7494}"/>
  </hyperlinks>
  <pageMargins left="0.23622047244094491" right="0.23622047244094491" top="0.51181102362204722" bottom="0.35433070866141736" header="0.31496062992125984" footer="0.23622047244094491"/>
  <pageSetup paperSize="5" scale="10" fitToWidth="0" fitToHeight="0" pageOrder="overThenDown" orientation="landscape" horizontalDpi="4294967294" verticalDpi="4294967294" r:id="rId81"/>
  <headerFooter>
    <oddHeader>&amp;L&amp;G&amp;C&amp;"Arial Narrow,Negrita"&amp;10
&amp;"Arial,Negrita"&amp;11MATRIZ DE RIESGOS</oddHeader>
    <oddFooter>&amp;RCódigo:E-02-F-014
Versión: 5 
Fecha: Ver Isolución</oddFooter>
  </headerFooter>
  <legacyDrawing r:id="rId82"/>
  <legacyDrawingHF r:id="rId8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W203"/>
  <sheetViews>
    <sheetView showGridLines="0" zoomScaleNormal="100" workbookViewId="0">
      <pane ySplit="1" topLeftCell="A2" activePane="bottomLeft" state="frozen"/>
      <selection pane="bottomLeft" activeCell="J1" sqref="J1"/>
    </sheetView>
  </sheetViews>
  <sheetFormatPr baseColWidth="10" defaultColWidth="10" defaultRowHeight="11.25" x14ac:dyDescent="0.2"/>
  <cols>
    <col min="1" max="1" width="7.5" style="78" customWidth="1"/>
    <col min="2" max="2" width="20.375" style="78" customWidth="1"/>
    <col min="3" max="3" width="8.375" style="78" bestFit="1" customWidth="1"/>
    <col min="4" max="4" width="9.5" style="78" bestFit="1" customWidth="1"/>
    <col min="5" max="6" width="9.5" style="78" customWidth="1"/>
    <col min="7" max="7" width="8.375" style="78" customWidth="1"/>
    <col min="8" max="8" width="8.625" style="78" bestFit="1" customWidth="1"/>
    <col min="9" max="9" width="8" style="78" customWidth="1"/>
    <col min="10" max="10" width="10" style="78"/>
    <col min="11" max="11" width="8" style="78" customWidth="1"/>
    <col min="12" max="12" width="8.625" style="78" customWidth="1"/>
    <col min="13" max="13" width="9.75" style="78" bestFit="1" customWidth="1"/>
    <col min="14" max="14" width="8.875" style="78" customWidth="1"/>
    <col min="15" max="16" width="6.75" style="78" customWidth="1"/>
    <col min="17" max="17" width="8.25" style="78" customWidth="1"/>
    <col min="18" max="18" width="7.5" style="78" bestFit="1" customWidth="1"/>
    <col min="19" max="20" width="6.625" style="78" customWidth="1"/>
    <col min="21" max="21" width="8" style="78" customWidth="1"/>
    <col min="22" max="22" width="4.25" style="78" bestFit="1" customWidth="1"/>
    <col min="23" max="23" width="16.25" style="78" customWidth="1"/>
    <col min="24" max="16384" width="10" style="78"/>
  </cols>
  <sheetData>
    <row r="1" spans="1:23" ht="101.25" x14ac:dyDescent="0.2">
      <c r="A1" s="769" t="s">
        <v>2053</v>
      </c>
      <c r="B1" s="769" t="s">
        <v>2963</v>
      </c>
      <c r="C1" s="770" t="s">
        <v>2964</v>
      </c>
      <c r="D1" s="770" t="s">
        <v>2965</v>
      </c>
      <c r="E1" s="770" t="s">
        <v>2966</v>
      </c>
      <c r="F1" s="770" t="s">
        <v>2967</v>
      </c>
      <c r="G1" s="770" t="s">
        <v>2968</v>
      </c>
      <c r="H1" s="770" t="s">
        <v>2969</v>
      </c>
      <c r="I1" s="770" t="s">
        <v>2970</v>
      </c>
      <c r="J1" s="770" t="s">
        <v>2971</v>
      </c>
      <c r="K1" s="770" t="s">
        <v>2972</v>
      </c>
      <c r="L1" s="770" t="s">
        <v>2973</v>
      </c>
      <c r="M1" s="770" t="s">
        <v>2974</v>
      </c>
      <c r="N1" s="770" t="s">
        <v>2975</v>
      </c>
      <c r="O1" s="770" t="s">
        <v>2976</v>
      </c>
      <c r="P1" s="770" t="s">
        <v>2977</v>
      </c>
      <c r="Q1" s="770" t="s">
        <v>2978</v>
      </c>
      <c r="R1" s="771" t="s">
        <v>2979</v>
      </c>
      <c r="S1" s="770" t="s">
        <v>2980</v>
      </c>
      <c r="T1" s="770" t="s">
        <v>2981</v>
      </c>
      <c r="U1" s="770" t="s">
        <v>2982</v>
      </c>
      <c r="V1" s="769" t="s">
        <v>2983</v>
      </c>
      <c r="W1" s="769" t="s">
        <v>2984</v>
      </c>
    </row>
    <row r="2" spans="1:23" ht="56.25" x14ac:dyDescent="0.2">
      <c r="A2" s="772" t="s">
        <v>2362</v>
      </c>
      <c r="B2" s="773" t="s">
        <v>2363</v>
      </c>
      <c r="C2" s="772" t="s">
        <v>2985</v>
      </c>
      <c r="D2" s="772" t="s">
        <v>2986</v>
      </c>
      <c r="E2" s="772" t="s">
        <v>2986</v>
      </c>
      <c r="F2" s="772" t="s">
        <v>2986</v>
      </c>
      <c r="G2" s="772" t="s">
        <v>2985</v>
      </c>
      <c r="H2" s="772" t="s">
        <v>2985</v>
      </c>
      <c r="I2" s="772" t="s">
        <v>2986</v>
      </c>
      <c r="J2" s="772" t="s">
        <v>2986</v>
      </c>
      <c r="K2" s="772" t="s">
        <v>2985</v>
      </c>
      <c r="L2" s="772" t="s">
        <v>2985</v>
      </c>
      <c r="M2" s="772" t="s">
        <v>2985</v>
      </c>
      <c r="N2" s="772" t="s">
        <v>2985</v>
      </c>
      <c r="O2" s="772" t="s">
        <v>2985</v>
      </c>
      <c r="P2" s="772" t="s">
        <v>2985</v>
      </c>
      <c r="Q2" s="772" t="s">
        <v>2986</v>
      </c>
      <c r="R2" s="772" t="s">
        <v>2986</v>
      </c>
      <c r="S2" s="772" t="s">
        <v>2986</v>
      </c>
      <c r="T2" s="772" t="s">
        <v>2986</v>
      </c>
      <c r="U2" s="772" t="s">
        <v>2986</v>
      </c>
      <c r="V2" s="774">
        <f>COUNTIF(C2:U2,"SI")</f>
        <v>9</v>
      </c>
      <c r="W2" s="77" t="str">
        <f>IF(COUNTBLANK(C2:U2)&gt;0,"Complete todas las preguntas",IF(R2="SI",'Base corrupción'!$C$2,IF(V2&lt;6,'Base corrupción'!$C$4,IF(AND(V2&gt;5,V2&lt;12),'Base corrupción'!$C$3,IF(AND(V2&gt;11,V2&lt;20),'Base corrupción'!$C$2,"Revisar fórmula")))))</f>
        <v>Mayor</v>
      </c>
    </row>
    <row r="3" spans="1:23" ht="90" x14ac:dyDescent="0.2">
      <c r="A3" s="772" t="s">
        <v>2391</v>
      </c>
      <c r="B3" s="773" t="s">
        <v>2392</v>
      </c>
      <c r="C3" s="775" t="s">
        <v>2985</v>
      </c>
      <c r="D3" s="775" t="s">
        <v>2985</v>
      </c>
      <c r="E3" s="775" t="s">
        <v>2985</v>
      </c>
      <c r="F3" s="775" t="s">
        <v>2985</v>
      </c>
      <c r="G3" s="775" t="s">
        <v>2985</v>
      </c>
      <c r="H3" s="775" t="s">
        <v>2985</v>
      </c>
      <c r="I3" s="775" t="s">
        <v>2985</v>
      </c>
      <c r="J3" s="775" t="s">
        <v>2985</v>
      </c>
      <c r="K3" s="775" t="s">
        <v>2986</v>
      </c>
      <c r="L3" s="775" t="s">
        <v>2985</v>
      </c>
      <c r="M3" s="775" t="s">
        <v>2985</v>
      </c>
      <c r="N3" s="775" t="s">
        <v>2985</v>
      </c>
      <c r="O3" s="775" t="s">
        <v>2985</v>
      </c>
      <c r="P3" s="775" t="s">
        <v>2985</v>
      </c>
      <c r="Q3" s="775" t="s">
        <v>2985</v>
      </c>
      <c r="R3" s="775" t="s">
        <v>2986</v>
      </c>
      <c r="S3" s="775" t="s">
        <v>2985</v>
      </c>
      <c r="T3" s="775" t="s">
        <v>2985</v>
      </c>
      <c r="U3" s="775" t="s">
        <v>2986</v>
      </c>
      <c r="V3" s="774">
        <f t="shared" ref="V3:V25" si="0">COUNTIF(C3:U3,"SI")</f>
        <v>16</v>
      </c>
      <c r="W3" s="77" t="str">
        <f>IF(COUNTBLANK(C3:U3)&gt;0,"Complete todas las preguntas",IF(R3="SI",'Base corrupción'!$C$2,IF(V3&lt;6,'Base corrupción'!$C$4,IF(AND(V3&gt;5,V3&lt;12),'Base corrupción'!$C$3,IF(AND(V3&gt;11,V3&lt;20),'Base corrupción'!$C$2,"Revisar fórmula")))))</f>
        <v>Catastrófico</v>
      </c>
    </row>
    <row r="4" spans="1:23" ht="67.5" x14ac:dyDescent="0.2">
      <c r="A4" s="772" t="s">
        <v>2433</v>
      </c>
      <c r="B4" s="773" t="s">
        <v>2434</v>
      </c>
      <c r="C4" s="775" t="s">
        <v>2985</v>
      </c>
      <c r="D4" s="775" t="s">
        <v>2985</v>
      </c>
      <c r="E4" s="775" t="s">
        <v>2985</v>
      </c>
      <c r="F4" s="775" t="s">
        <v>2985</v>
      </c>
      <c r="G4" s="775" t="s">
        <v>2985</v>
      </c>
      <c r="H4" s="775" t="s">
        <v>2985</v>
      </c>
      <c r="I4" s="775" t="s">
        <v>2985</v>
      </c>
      <c r="J4" s="775" t="s">
        <v>2985</v>
      </c>
      <c r="K4" s="775" t="s">
        <v>2986</v>
      </c>
      <c r="L4" s="775" t="s">
        <v>2985</v>
      </c>
      <c r="M4" s="775" t="s">
        <v>2985</v>
      </c>
      <c r="N4" s="775" t="s">
        <v>2985</v>
      </c>
      <c r="O4" s="775" t="s">
        <v>2985</v>
      </c>
      <c r="P4" s="775" t="s">
        <v>2985</v>
      </c>
      <c r="Q4" s="775" t="s">
        <v>2985</v>
      </c>
      <c r="R4" s="775" t="s">
        <v>2986</v>
      </c>
      <c r="S4" s="775" t="s">
        <v>2986</v>
      </c>
      <c r="T4" s="775" t="s">
        <v>2985</v>
      </c>
      <c r="U4" s="775" t="s">
        <v>2986</v>
      </c>
      <c r="V4" s="774">
        <f t="shared" si="0"/>
        <v>15</v>
      </c>
      <c r="W4" s="77" t="str">
        <f>IF(COUNTBLANK(C4:U4)&gt;0,"Complete todas las preguntas",IF(R4="SI",'Base corrupción'!$C$2,IF(V4&lt;6,'Base corrupción'!$C$4,IF(AND(V4&gt;5,V4&lt;12),'Base corrupción'!$C$3,IF(AND(V4&gt;11,V4&lt;20),'Base corrupción'!$C$2,"Revisar fórmula")))))</f>
        <v>Catastrófico</v>
      </c>
    </row>
    <row r="5" spans="1:23" ht="78.75" x14ac:dyDescent="0.2">
      <c r="A5" s="772" t="s">
        <v>2449</v>
      </c>
      <c r="B5" s="773" t="s">
        <v>2450</v>
      </c>
      <c r="C5" s="772" t="s">
        <v>2985</v>
      </c>
      <c r="D5" s="772" t="s">
        <v>2985</v>
      </c>
      <c r="E5" s="772" t="s">
        <v>2985</v>
      </c>
      <c r="F5" s="772" t="s">
        <v>2985</v>
      </c>
      <c r="G5" s="772" t="s">
        <v>2985</v>
      </c>
      <c r="H5" s="772" t="s">
        <v>2985</v>
      </c>
      <c r="I5" s="772" t="s">
        <v>2985</v>
      </c>
      <c r="J5" s="772" t="s">
        <v>2986</v>
      </c>
      <c r="K5" s="772" t="s">
        <v>2986</v>
      </c>
      <c r="L5" s="772" t="s">
        <v>2985</v>
      </c>
      <c r="M5" s="772" t="s">
        <v>2985</v>
      </c>
      <c r="N5" s="772" t="s">
        <v>2985</v>
      </c>
      <c r="O5" s="772" t="s">
        <v>2985</v>
      </c>
      <c r="P5" s="772" t="s">
        <v>2986</v>
      </c>
      <c r="Q5" s="772" t="s">
        <v>2985</v>
      </c>
      <c r="R5" s="772" t="s">
        <v>2986</v>
      </c>
      <c r="S5" s="772" t="s">
        <v>2985</v>
      </c>
      <c r="T5" s="772" t="s">
        <v>2985</v>
      </c>
      <c r="U5" s="772" t="s">
        <v>2986</v>
      </c>
      <c r="V5" s="774">
        <f t="shared" si="0"/>
        <v>14</v>
      </c>
      <c r="W5" s="77" t="str">
        <f>IF(COUNTBLANK(C5:U5)&gt;0,"Complete todas las preguntas",IF(R5="SI",'Base corrupción'!$C$2,IF(V5&lt;6,'Base corrupción'!$C$4,IF(AND(V5&gt;5,V5&lt;12),'Base corrupción'!$C$3,IF(AND(V5&gt;11,V5&lt;20),'Base corrupción'!$C$2,"Revisar fórmula")))))</f>
        <v>Catastrófico</v>
      </c>
    </row>
    <row r="6" spans="1:23" ht="101.25" x14ac:dyDescent="0.2">
      <c r="A6" s="772" t="s">
        <v>2476</v>
      </c>
      <c r="B6" s="773" t="s">
        <v>2477</v>
      </c>
      <c r="C6" s="775" t="s">
        <v>2985</v>
      </c>
      <c r="D6" s="775" t="s">
        <v>2985</v>
      </c>
      <c r="E6" s="775" t="s">
        <v>2986</v>
      </c>
      <c r="F6" s="775" t="s">
        <v>2986</v>
      </c>
      <c r="G6" s="775" t="s">
        <v>2985</v>
      </c>
      <c r="H6" s="775" t="s">
        <v>2985</v>
      </c>
      <c r="I6" s="775" t="s">
        <v>2985</v>
      </c>
      <c r="J6" s="775" t="s">
        <v>2986</v>
      </c>
      <c r="K6" s="775" t="s">
        <v>2986</v>
      </c>
      <c r="L6" s="775" t="s">
        <v>2985</v>
      </c>
      <c r="M6" s="775" t="s">
        <v>2985</v>
      </c>
      <c r="N6" s="775" t="s">
        <v>2985</v>
      </c>
      <c r="O6" s="775" t="s">
        <v>2986</v>
      </c>
      <c r="P6" s="775" t="s">
        <v>2986</v>
      </c>
      <c r="Q6" s="775" t="s">
        <v>2985</v>
      </c>
      <c r="R6" s="775" t="s">
        <v>2986</v>
      </c>
      <c r="S6" s="775" t="s">
        <v>2985</v>
      </c>
      <c r="T6" s="775" t="s">
        <v>2985</v>
      </c>
      <c r="U6" s="775" t="s">
        <v>2986</v>
      </c>
      <c r="V6" s="774">
        <f t="shared" si="0"/>
        <v>11</v>
      </c>
      <c r="W6" s="77" t="str">
        <f>IF(COUNTBLANK(C6:U6)&gt;0,"Complete todas las preguntas",IF(R6="SI",'Base corrupción'!$C$2,IF(V6&lt;6,'Base corrupción'!$C$4,IF(AND(V6&gt;5,V6&lt;12),'Base corrupción'!$C$3,IF(AND(V6&gt;11,V6&lt;20),'Base corrupción'!$C$2,"Revisar fórmula")))))</f>
        <v>Mayor</v>
      </c>
    </row>
    <row r="7" spans="1:23" ht="123.75" x14ac:dyDescent="0.2">
      <c r="A7" s="772" t="s">
        <v>2497</v>
      </c>
      <c r="B7" s="773" t="s">
        <v>2498</v>
      </c>
      <c r="C7" s="775" t="s">
        <v>2985</v>
      </c>
      <c r="D7" s="775" t="s">
        <v>2985</v>
      </c>
      <c r="E7" s="775" t="s">
        <v>2986</v>
      </c>
      <c r="F7" s="775" t="s">
        <v>2986</v>
      </c>
      <c r="G7" s="775" t="s">
        <v>2985</v>
      </c>
      <c r="H7" s="775" t="s">
        <v>2985</v>
      </c>
      <c r="I7" s="775" t="s">
        <v>2985</v>
      </c>
      <c r="J7" s="775" t="s">
        <v>2986</v>
      </c>
      <c r="K7" s="775" t="s">
        <v>2986</v>
      </c>
      <c r="L7" s="775" t="s">
        <v>2985</v>
      </c>
      <c r="M7" s="775" t="s">
        <v>2986</v>
      </c>
      <c r="N7" s="775" t="s">
        <v>2985</v>
      </c>
      <c r="O7" s="775" t="s">
        <v>2985</v>
      </c>
      <c r="P7" s="775" t="s">
        <v>2985</v>
      </c>
      <c r="Q7" s="775" t="s">
        <v>2985</v>
      </c>
      <c r="R7" s="775" t="s">
        <v>2986</v>
      </c>
      <c r="S7" s="775" t="s">
        <v>2985</v>
      </c>
      <c r="T7" s="775" t="s">
        <v>2985</v>
      </c>
      <c r="U7" s="775" t="s">
        <v>2986</v>
      </c>
      <c r="V7" s="774">
        <f t="shared" si="0"/>
        <v>12</v>
      </c>
      <c r="W7" s="77" t="str">
        <f>IF(COUNTBLANK(C7:U7)&gt;0,"Complete todas las preguntas",IF(R7="SI",'Base corrupción'!$C$2,IF(V7&lt;6,'Base corrupción'!$C$4,IF(AND(V7&gt;5,V7&lt;12),'Base corrupción'!$C$3,IF(AND(V7&gt;11,V7&lt;20),'Base corrupción'!$C$2,"Revisar fórmula")))))</f>
        <v>Catastrófico</v>
      </c>
    </row>
    <row r="8" spans="1:23" ht="56.25" x14ac:dyDescent="0.2">
      <c r="A8" s="772" t="s">
        <v>2519</v>
      </c>
      <c r="B8" s="773" t="s">
        <v>2520</v>
      </c>
      <c r="C8" s="772" t="s">
        <v>2985</v>
      </c>
      <c r="D8" s="772" t="s">
        <v>2985</v>
      </c>
      <c r="E8" s="772" t="s">
        <v>2985</v>
      </c>
      <c r="F8" s="772" t="s">
        <v>2985</v>
      </c>
      <c r="G8" s="772" t="s">
        <v>2985</v>
      </c>
      <c r="H8" s="772" t="s">
        <v>2985</v>
      </c>
      <c r="I8" s="772" t="s">
        <v>2985</v>
      </c>
      <c r="J8" s="772" t="s">
        <v>2985</v>
      </c>
      <c r="K8" s="772" t="s">
        <v>2985</v>
      </c>
      <c r="L8" s="772" t="s">
        <v>2985</v>
      </c>
      <c r="M8" s="772" t="s">
        <v>2985</v>
      </c>
      <c r="N8" s="772" t="s">
        <v>2985</v>
      </c>
      <c r="O8" s="772" t="s">
        <v>2985</v>
      </c>
      <c r="P8" s="772" t="s">
        <v>2985</v>
      </c>
      <c r="Q8" s="772" t="s">
        <v>2985</v>
      </c>
      <c r="R8" s="772" t="s">
        <v>2986</v>
      </c>
      <c r="S8" s="772" t="s">
        <v>2985</v>
      </c>
      <c r="T8" s="772" t="s">
        <v>2985</v>
      </c>
      <c r="U8" s="772" t="s">
        <v>2986</v>
      </c>
      <c r="V8" s="774">
        <f t="shared" si="0"/>
        <v>17</v>
      </c>
      <c r="W8" s="77" t="str">
        <f>IF(COUNTBLANK(C8:U8)&gt;0,"Complete todas las preguntas",IF(R8="SI",'Base corrupción'!$C$2,IF(V8&lt;6,'Base corrupción'!$C$4,IF(AND(V8&gt;5,V8&lt;12),'Base corrupción'!$C$3,IF(AND(V8&gt;11,V8&lt;20),'Base corrupción'!$C$2,"Revisar fórmula")))))</f>
        <v>Catastrófico</v>
      </c>
    </row>
    <row r="9" spans="1:23" ht="112.5" x14ac:dyDescent="0.2">
      <c r="A9" s="772" t="s">
        <v>2554</v>
      </c>
      <c r="B9" s="773" t="s">
        <v>2987</v>
      </c>
      <c r="C9" s="772" t="s">
        <v>2985</v>
      </c>
      <c r="D9" s="772" t="s">
        <v>2985</v>
      </c>
      <c r="E9" s="772" t="s">
        <v>2985</v>
      </c>
      <c r="F9" s="772" t="s">
        <v>2986</v>
      </c>
      <c r="G9" s="772" t="s">
        <v>2985</v>
      </c>
      <c r="H9" s="772" t="s">
        <v>2985</v>
      </c>
      <c r="I9" s="772" t="s">
        <v>2986</v>
      </c>
      <c r="J9" s="772" t="s">
        <v>2986</v>
      </c>
      <c r="K9" s="772" t="s">
        <v>2985</v>
      </c>
      <c r="L9" s="772" t="s">
        <v>2985</v>
      </c>
      <c r="M9" s="772" t="s">
        <v>2985</v>
      </c>
      <c r="N9" s="772" t="s">
        <v>2985</v>
      </c>
      <c r="O9" s="772" t="s">
        <v>2986</v>
      </c>
      <c r="P9" s="772" t="s">
        <v>2986</v>
      </c>
      <c r="Q9" s="772" t="s">
        <v>2985</v>
      </c>
      <c r="R9" s="772" t="s">
        <v>2986</v>
      </c>
      <c r="S9" s="772" t="s">
        <v>2986</v>
      </c>
      <c r="T9" s="772" t="s">
        <v>2985</v>
      </c>
      <c r="U9" s="772" t="s">
        <v>2986</v>
      </c>
      <c r="V9" s="774">
        <f t="shared" si="0"/>
        <v>11</v>
      </c>
      <c r="W9" s="77" t="str">
        <f>IF(COUNTBLANK(C9:U9)&gt;0,"Complete todas las preguntas",IF(R9="SI",'Base corrupción'!$C$2,IF(V9&lt;6,'Base corrupción'!$C$4,IF(AND(V9&gt;5,V9&lt;12),'Base corrupción'!$C$3,IF(AND(V9&gt;11,V9&lt;20),'Base corrupción'!$C$2,"Revisar fórmula")))))</f>
        <v>Mayor</v>
      </c>
    </row>
    <row r="10" spans="1:23" ht="56.25" x14ac:dyDescent="0.2">
      <c r="A10" s="772" t="s">
        <v>2519</v>
      </c>
      <c r="B10" s="773" t="s">
        <v>2520</v>
      </c>
      <c r="C10" s="775" t="s">
        <v>2985</v>
      </c>
      <c r="D10" s="775" t="s">
        <v>2985</v>
      </c>
      <c r="E10" s="775" t="s">
        <v>2985</v>
      </c>
      <c r="F10" s="775" t="s">
        <v>2985</v>
      </c>
      <c r="G10" s="775" t="s">
        <v>2985</v>
      </c>
      <c r="H10" s="775" t="s">
        <v>2985</v>
      </c>
      <c r="I10" s="775" t="s">
        <v>2985</v>
      </c>
      <c r="J10" s="775" t="s">
        <v>2985</v>
      </c>
      <c r="K10" s="775" t="s">
        <v>2985</v>
      </c>
      <c r="L10" s="775" t="s">
        <v>2985</v>
      </c>
      <c r="M10" s="775" t="s">
        <v>2985</v>
      </c>
      <c r="N10" s="775" t="s">
        <v>2985</v>
      </c>
      <c r="O10" s="775" t="s">
        <v>2985</v>
      </c>
      <c r="P10" s="775" t="s">
        <v>2985</v>
      </c>
      <c r="Q10" s="775" t="s">
        <v>2985</v>
      </c>
      <c r="R10" s="775" t="s">
        <v>2986</v>
      </c>
      <c r="S10" s="775" t="s">
        <v>2985</v>
      </c>
      <c r="T10" s="775" t="s">
        <v>2985</v>
      </c>
      <c r="U10" s="775" t="s">
        <v>2986</v>
      </c>
      <c r="V10" s="774">
        <f>COUNTIF(C10:U10,"SI")</f>
        <v>17</v>
      </c>
      <c r="W10" s="77" t="str">
        <f>IF(COUNTBLANK(C10:U10)&gt;0,"Complete todas las preguntas",IF(R10="SI",'Base corrupción'!$C$2,IF(V10&lt;6,'Base corrupción'!$C$4,IF(AND(V10&gt;5,V10&lt;12),'Base corrupción'!$C$3,IF(AND(V10&gt;11,V10&lt;20),'Base corrupción'!$C$2,"Revisar fórmula")))))</f>
        <v>Catastrófico</v>
      </c>
    </row>
    <row r="11" spans="1:23" ht="90" x14ac:dyDescent="0.2">
      <c r="A11" s="772" t="s">
        <v>2568</v>
      </c>
      <c r="B11" s="773" t="s">
        <v>2569</v>
      </c>
      <c r="C11" s="772" t="s">
        <v>2985</v>
      </c>
      <c r="D11" s="772" t="s">
        <v>2985</v>
      </c>
      <c r="E11" s="772" t="s">
        <v>2985</v>
      </c>
      <c r="F11" s="772" t="s">
        <v>2986</v>
      </c>
      <c r="G11" s="772" t="s">
        <v>2985</v>
      </c>
      <c r="H11" s="772" t="s">
        <v>2985</v>
      </c>
      <c r="I11" s="772" t="s">
        <v>2986</v>
      </c>
      <c r="J11" s="772" t="s">
        <v>2986</v>
      </c>
      <c r="K11" s="772" t="s">
        <v>2985</v>
      </c>
      <c r="L11" s="772" t="s">
        <v>2985</v>
      </c>
      <c r="M11" s="772" t="s">
        <v>2985</v>
      </c>
      <c r="N11" s="772" t="s">
        <v>2985</v>
      </c>
      <c r="O11" s="772" t="s">
        <v>2986</v>
      </c>
      <c r="P11" s="772" t="s">
        <v>2986</v>
      </c>
      <c r="Q11" s="772" t="s">
        <v>2985</v>
      </c>
      <c r="R11" s="772" t="s">
        <v>2986</v>
      </c>
      <c r="S11" s="772" t="s">
        <v>2986</v>
      </c>
      <c r="T11" s="772" t="s">
        <v>2985</v>
      </c>
      <c r="U11" s="772" t="s">
        <v>2986</v>
      </c>
      <c r="V11" s="774">
        <f t="shared" si="0"/>
        <v>11</v>
      </c>
      <c r="W11" s="77" t="str">
        <f>IF(COUNTBLANK(C11:U11)&gt;0,"Complete todas las preguntas",IF(R11="SI",'Base corrupción'!$C$2,IF(V11&lt;6,'Base corrupción'!$C$4,IF(AND(V11&gt;5,V11&lt;12),'Base corrupción'!$C$3,IF(AND(V11&gt;11,V11&lt;20),'Base corrupción'!$C$2,"Revisar fórmula")))))</f>
        <v>Mayor</v>
      </c>
    </row>
    <row r="12" spans="1:23" ht="101.25" x14ac:dyDescent="0.2">
      <c r="A12" s="772" t="s">
        <v>2585</v>
      </c>
      <c r="B12" s="773" t="s">
        <v>2586</v>
      </c>
      <c r="C12" s="772" t="s">
        <v>2985</v>
      </c>
      <c r="D12" s="772" t="s">
        <v>2985</v>
      </c>
      <c r="E12" s="772" t="s">
        <v>2985</v>
      </c>
      <c r="F12" s="772" t="s">
        <v>2986</v>
      </c>
      <c r="G12" s="772" t="s">
        <v>2985</v>
      </c>
      <c r="H12" s="772" t="s">
        <v>2985</v>
      </c>
      <c r="I12" s="772" t="s">
        <v>2986</v>
      </c>
      <c r="J12" s="772" t="s">
        <v>2986</v>
      </c>
      <c r="K12" s="772" t="s">
        <v>2985</v>
      </c>
      <c r="L12" s="772" t="s">
        <v>2985</v>
      </c>
      <c r="M12" s="772" t="s">
        <v>2985</v>
      </c>
      <c r="N12" s="772" t="s">
        <v>2985</v>
      </c>
      <c r="O12" s="772" t="s">
        <v>2986</v>
      </c>
      <c r="P12" s="772" t="s">
        <v>2986</v>
      </c>
      <c r="Q12" s="772" t="s">
        <v>2985</v>
      </c>
      <c r="R12" s="772" t="s">
        <v>2986</v>
      </c>
      <c r="S12" s="772" t="s">
        <v>2986</v>
      </c>
      <c r="T12" s="772" t="s">
        <v>2985</v>
      </c>
      <c r="U12" s="772" t="s">
        <v>2986</v>
      </c>
      <c r="V12" s="774">
        <f t="shared" si="0"/>
        <v>11</v>
      </c>
      <c r="W12" s="77" t="str">
        <f>IF(COUNTBLANK(C12:U12)&gt;0,"Complete todas las preguntas",IF(R12="SI",'Base corrupción'!$C$2,IF(V12&lt;6,'Base corrupción'!$C$4,IF(AND(V12&gt;5,V12&lt;12),'Base corrupción'!$C$3,IF(AND(V12&gt;11,V12&lt;20),'Base corrupción'!$C$2,"Revisar fórmula")))))</f>
        <v>Mayor</v>
      </c>
    </row>
    <row r="13" spans="1:23" ht="101.25" x14ac:dyDescent="0.2">
      <c r="A13" s="772" t="s">
        <v>2600</v>
      </c>
      <c r="B13" s="773" t="s">
        <v>2622</v>
      </c>
      <c r="C13" s="772" t="s">
        <v>2985</v>
      </c>
      <c r="D13" s="772" t="s">
        <v>2985</v>
      </c>
      <c r="E13" s="772" t="s">
        <v>2985</v>
      </c>
      <c r="F13" s="772" t="s">
        <v>2985</v>
      </c>
      <c r="G13" s="772" t="s">
        <v>2985</v>
      </c>
      <c r="H13" s="772" t="s">
        <v>2985</v>
      </c>
      <c r="I13" s="772" t="s">
        <v>2985</v>
      </c>
      <c r="J13" s="772" t="s">
        <v>2985</v>
      </c>
      <c r="K13" s="772" t="s">
        <v>2986</v>
      </c>
      <c r="L13" s="772" t="s">
        <v>2985</v>
      </c>
      <c r="M13" s="772" t="s">
        <v>2985</v>
      </c>
      <c r="N13" s="772" t="s">
        <v>2985</v>
      </c>
      <c r="O13" s="772" t="s">
        <v>2985</v>
      </c>
      <c r="P13" s="772" t="s">
        <v>2985</v>
      </c>
      <c r="Q13" s="772" t="s">
        <v>2985</v>
      </c>
      <c r="R13" s="772" t="s">
        <v>2985</v>
      </c>
      <c r="S13" s="772" t="s">
        <v>2985</v>
      </c>
      <c r="T13" s="772" t="s">
        <v>2985</v>
      </c>
      <c r="U13" s="772" t="s">
        <v>2985</v>
      </c>
      <c r="V13" s="774">
        <f t="shared" si="0"/>
        <v>18</v>
      </c>
      <c r="W13" s="77" t="str">
        <f>IF(COUNTBLANK(C13:U13)&gt;0,"Complete todas las preguntas",IF(R13="SI",'Base corrupción'!$C$2,IF(V13&lt;6,'Base corrupción'!$C$4,IF(AND(V13&gt;5,V13&lt;12),'Base corrupción'!$C$3,IF(AND(V13&gt;11,V13&lt;20),'Base corrupción'!$C$2,"Revisar fórmula")))))</f>
        <v>Catastrófico</v>
      </c>
    </row>
    <row r="14" spans="1:23" ht="112.5" x14ac:dyDescent="0.2">
      <c r="A14" s="772" t="s">
        <v>2646</v>
      </c>
      <c r="B14" s="773" t="s">
        <v>2647</v>
      </c>
      <c r="C14" s="772" t="s">
        <v>2985</v>
      </c>
      <c r="D14" s="772" t="s">
        <v>2985</v>
      </c>
      <c r="E14" s="772" t="s">
        <v>2985</v>
      </c>
      <c r="F14" s="772" t="s">
        <v>2985</v>
      </c>
      <c r="G14" s="772" t="s">
        <v>2985</v>
      </c>
      <c r="H14" s="772" t="s">
        <v>2986</v>
      </c>
      <c r="I14" s="772" t="s">
        <v>2985</v>
      </c>
      <c r="J14" s="772" t="s">
        <v>2985</v>
      </c>
      <c r="K14" s="772" t="s">
        <v>2986</v>
      </c>
      <c r="L14" s="772" t="s">
        <v>2985</v>
      </c>
      <c r="M14" s="772" t="s">
        <v>2985</v>
      </c>
      <c r="N14" s="772" t="s">
        <v>2985</v>
      </c>
      <c r="O14" s="772" t="s">
        <v>2985</v>
      </c>
      <c r="P14" s="772" t="s">
        <v>2985</v>
      </c>
      <c r="Q14" s="772" t="s">
        <v>2985</v>
      </c>
      <c r="R14" s="772" t="s">
        <v>2985</v>
      </c>
      <c r="S14" s="772" t="s">
        <v>2985</v>
      </c>
      <c r="T14" s="772" t="s">
        <v>2985</v>
      </c>
      <c r="U14" s="772" t="s">
        <v>2985</v>
      </c>
      <c r="V14" s="774">
        <f t="shared" si="0"/>
        <v>17</v>
      </c>
      <c r="W14" s="77" t="str">
        <f>IF(COUNTBLANK(C14:U14)&gt;0,"Complete todas las preguntas",IF(R14="SI",'Base corrupción'!$C$2,IF(V14&lt;6,'Base corrupción'!$C$4,IF(AND(V14&gt;5,V14&lt;12),'Base corrupción'!$C$3,IF(AND(V14&gt;11,V14&lt;20),'Base corrupción'!$C$2,"Revisar fórmula")))))</f>
        <v>Catastrófico</v>
      </c>
    </row>
    <row r="15" spans="1:23" ht="67.5" x14ac:dyDescent="0.2">
      <c r="A15" s="772" t="s">
        <v>2676</v>
      </c>
      <c r="B15" s="773" t="s">
        <v>2677</v>
      </c>
      <c r="C15" s="772" t="s">
        <v>2985</v>
      </c>
      <c r="D15" s="772" t="s">
        <v>2985</v>
      </c>
      <c r="E15" s="772" t="s">
        <v>2985</v>
      </c>
      <c r="F15" s="772" t="s">
        <v>2985</v>
      </c>
      <c r="G15" s="772" t="s">
        <v>2985</v>
      </c>
      <c r="H15" s="772" t="s">
        <v>2985</v>
      </c>
      <c r="I15" s="772" t="s">
        <v>2985</v>
      </c>
      <c r="J15" s="772" t="s">
        <v>2985</v>
      </c>
      <c r="K15" s="772" t="s">
        <v>2985</v>
      </c>
      <c r="L15" s="772" t="s">
        <v>2985</v>
      </c>
      <c r="M15" s="772" t="s">
        <v>2985</v>
      </c>
      <c r="N15" s="772" t="s">
        <v>2985</v>
      </c>
      <c r="O15" s="772" t="s">
        <v>2985</v>
      </c>
      <c r="P15" s="772" t="s">
        <v>2986</v>
      </c>
      <c r="Q15" s="772" t="s">
        <v>2985</v>
      </c>
      <c r="R15" s="772" t="s">
        <v>2986</v>
      </c>
      <c r="S15" s="772" t="s">
        <v>2985</v>
      </c>
      <c r="T15" s="772" t="s">
        <v>2985</v>
      </c>
      <c r="U15" s="772" t="s">
        <v>2986</v>
      </c>
      <c r="V15" s="774">
        <f t="shared" si="0"/>
        <v>16</v>
      </c>
      <c r="W15" s="77" t="str">
        <f>IF(COUNTBLANK(C15:U15)&gt;0,"Complete todas las preguntas",IF(R15="SI",'Base corrupción'!$C$2,IF(V15&lt;6,'Base corrupción'!$C$4,IF(AND(V15&gt;5,V15&lt;12),'Base corrupción'!$C$3,IF(AND(V15&gt;11,V15&lt;20),'Base corrupción'!$C$2,"Revisar fórmula")))))</f>
        <v>Catastrófico</v>
      </c>
    </row>
    <row r="16" spans="1:23" ht="67.5" x14ac:dyDescent="0.2">
      <c r="A16" s="772" t="s">
        <v>2708</v>
      </c>
      <c r="B16" s="773" t="s">
        <v>2709</v>
      </c>
      <c r="C16" s="772" t="s">
        <v>2985</v>
      </c>
      <c r="D16" s="772" t="s">
        <v>2985</v>
      </c>
      <c r="E16" s="772" t="s">
        <v>2985</v>
      </c>
      <c r="F16" s="772" t="s">
        <v>2985</v>
      </c>
      <c r="G16" s="772" t="s">
        <v>2985</v>
      </c>
      <c r="H16" s="772" t="s">
        <v>2985</v>
      </c>
      <c r="I16" s="772" t="s">
        <v>2985</v>
      </c>
      <c r="J16" s="772" t="s">
        <v>2986</v>
      </c>
      <c r="K16" s="772" t="s">
        <v>2986</v>
      </c>
      <c r="L16" s="772" t="s">
        <v>2985</v>
      </c>
      <c r="M16" s="772" t="s">
        <v>2985</v>
      </c>
      <c r="N16" s="772" t="s">
        <v>2985</v>
      </c>
      <c r="O16" s="772" t="s">
        <v>2986</v>
      </c>
      <c r="P16" s="772" t="s">
        <v>2986</v>
      </c>
      <c r="Q16" s="772" t="s">
        <v>2985</v>
      </c>
      <c r="R16" s="772" t="s">
        <v>2986</v>
      </c>
      <c r="S16" s="772" t="s">
        <v>2986</v>
      </c>
      <c r="T16" s="772" t="s">
        <v>2985</v>
      </c>
      <c r="U16" s="772" t="s">
        <v>2986</v>
      </c>
      <c r="V16" s="774">
        <f t="shared" si="0"/>
        <v>12</v>
      </c>
      <c r="W16" s="77" t="str">
        <f>IF(COUNTBLANK(C16:U16)&gt;0,"Complete todas las preguntas",IF(R16="SI",'Base corrupción'!$C$2,IF(V16&lt;6,'Base corrupción'!$C$4,IF(AND(V16&gt;5,V16&lt;12),'Base corrupción'!$C$3,IF(AND(V16&gt;11,V16&lt;20),'Base corrupción'!$C$2,"Revisar fórmula")))))</f>
        <v>Catastrófico</v>
      </c>
    </row>
    <row r="17" spans="1:23" ht="67.5" x14ac:dyDescent="0.2">
      <c r="A17" s="772" t="s">
        <v>2726</v>
      </c>
      <c r="B17" s="773" t="s">
        <v>2727</v>
      </c>
      <c r="C17" s="772" t="s">
        <v>2985</v>
      </c>
      <c r="D17" s="772" t="s">
        <v>2985</v>
      </c>
      <c r="E17" s="772" t="s">
        <v>2985</v>
      </c>
      <c r="F17" s="772" t="s">
        <v>2985</v>
      </c>
      <c r="G17" s="772" t="s">
        <v>2985</v>
      </c>
      <c r="H17" s="772" t="s">
        <v>2985</v>
      </c>
      <c r="I17" s="772" t="s">
        <v>2985</v>
      </c>
      <c r="J17" s="772" t="s">
        <v>2986</v>
      </c>
      <c r="K17" s="772" t="s">
        <v>2986</v>
      </c>
      <c r="L17" s="772" t="s">
        <v>2985</v>
      </c>
      <c r="M17" s="772" t="s">
        <v>2985</v>
      </c>
      <c r="N17" s="772" t="s">
        <v>2985</v>
      </c>
      <c r="O17" s="772" t="s">
        <v>2986</v>
      </c>
      <c r="P17" s="772" t="s">
        <v>2986</v>
      </c>
      <c r="Q17" s="772" t="s">
        <v>2985</v>
      </c>
      <c r="R17" s="772" t="s">
        <v>2986</v>
      </c>
      <c r="S17" s="772" t="s">
        <v>2985</v>
      </c>
      <c r="T17" s="772" t="s">
        <v>2985</v>
      </c>
      <c r="U17" s="772" t="s">
        <v>2986</v>
      </c>
      <c r="V17" s="774">
        <f t="shared" si="0"/>
        <v>13</v>
      </c>
      <c r="W17" s="77" t="str">
        <f>IF(COUNTBLANK(C17:U17)&gt;0,"Complete todas las preguntas",IF(R17="SI",'Base corrupción'!$C$2,IF(V17&lt;6,'Base corrupción'!$C$4,IF(AND(V17&gt;5,V17&lt;12),'Base corrupción'!$C$3,IF(AND(V17&gt;11,V17&lt;20),'Base corrupción'!$C$2,"Revisar fórmula")))))</f>
        <v>Catastrófico</v>
      </c>
    </row>
    <row r="18" spans="1:23" ht="78.75" x14ac:dyDescent="0.2">
      <c r="A18" s="772" t="s">
        <v>2749</v>
      </c>
      <c r="B18" s="773" t="s">
        <v>2750</v>
      </c>
      <c r="C18" s="772" t="s">
        <v>2985</v>
      </c>
      <c r="D18" s="772" t="s">
        <v>2985</v>
      </c>
      <c r="E18" s="772" t="s">
        <v>2985</v>
      </c>
      <c r="F18" s="772" t="s">
        <v>2985</v>
      </c>
      <c r="G18" s="772" t="s">
        <v>2985</v>
      </c>
      <c r="H18" s="772" t="s">
        <v>2985</v>
      </c>
      <c r="I18" s="772" t="s">
        <v>2985</v>
      </c>
      <c r="J18" s="772" t="s">
        <v>2986</v>
      </c>
      <c r="K18" s="772" t="s">
        <v>2986</v>
      </c>
      <c r="L18" s="772" t="s">
        <v>2985</v>
      </c>
      <c r="M18" s="772" t="s">
        <v>2985</v>
      </c>
      <c r="N18" s="772" t="s">
        <v>2985</v>
      </c>
      <c r="O18" s="772" t="s">
        <v>2986</v>
      </c>
      <c r="P18" s="772" t="s">
        <v>2986</v>
      </c>
      <c r="Q18" s="772" t="s">
        <v>2986</v>
      </c>
      <c r="R18" s="772" t="s">
        <v>2986</v>
      </c>
      <c r="S18" s="772" t="s">
        <v>2986</v>
      </c>
      <c r="T18" s="772" t="s">
        <v>2986</v>
      </c>
      <c r="U18" s="772" t="s">
        <v>2986</v>
      </c>
      <c r="V18" s="774">
        <f t="shared" si="0"/>
        <v>10</v>
      </c>
      <c r="W18" s="77" t="str">
        <f>IF(COUNTBLANK(C18:U18)&gt;0,"Complete todas las preguntas",IF(R18="SI",'Base corrupción'!$C$2,IF(V18&lt;6,'Base corrupción'!$C$4,IF(AND(V18&gt;5,V18&lt;12),'Base corrupción'!$C$3,IF(AND(V18&gt;11,V18&lt;20),'Base corrupción'!$C$2,"Revisar fórmula")))))</f>
        <v>Mayor</v>
      </c>
    </row>
    <row r="19" spans="1:23" ht="101.25" x14ac:dyDescent="0.2">
      <c r="A19" s="772" t="s">
        <v>2771</v>
      </c>
      <c r="B19" s="773" t="s">
        <v>2772</v>
      </c>
      <c r="C19" s="772" t="s">
        <v>2985</v>
      </c>
      <c r="D19" s="772" t="s">
        <v>2985</v>
      </c>
      <c r="E19" s="772" t="s">
        <v>2985</v>
      </c>
      <c r="F19" s="772" t="s">
        <v>2985</v>
      </c>
      <c r="G19" s="772" t="s">
        <v>2985</v>
      </c>
      <c r="H19" s="772" t="s">
        <v>2985</v>
      </c>
      <c r="I19" s="772" t="s">
        <v>2985</v>
      </c>
      <c r="J19" s="772" t="s">
        <v>2985</v>
      </c>
      <c r="K19" s="772" t="s">
        <v>2986</v>
      </c>
      <c r="L19" s="772" t="s">
        <v>2985</v>
      </c>
      <c r="M19" s="772" t="s">
        <v>2985</v>
      </c>
      <c r="N19" s="772" t="s">
        <v>2985</v>
      </c>
      <c r="O19" s="772" t="s">
        <v>2985</v>
      </c>
      <c r="P19" s="772" t="s">
        <v>2986</v>
      </c>
      <c r="Q19" s="772" t="s">
        <v>2985</v>
      </c>
      <c r="R19" s="772" t="s">
        <v>2986</v>
      </c>
      <c r="S19" s="772" t="s">
        <v>2985</v>
      </c>
      <c r="T19" s="772" t="s">
        <v>2985</v>
      </c>
      <c r="U19" s="772" t="s">
        <v>2986</v>
      </c>
      <c r="V19" s="774">
        <f t="shared" si="0"/>
        <v>15</v>
      </c>
      <c r="W19" s="77" t="str">
        <f>IF(COUNTBLANK(C19:U19)&gt;0,"Complete todas las preguntas",IF(R19="SI",'Base corrupción'!$C$2,IF(V19&lt;6,'Base corrupción'!$C$4,IF(AND(V19&gt;5,V19&lt;12),'Base corrupción'!$C$3,IF(AND(V19&gt;11,V19&lt;20),'Base corrupción'!$C$2,"Revisar fórmula")))))</f>
        <v>Catastrófico</v>
      </c>
    </row>
    <row r="20" spans="1:23" ht="67.5" x14ac:dyDescent="0.2">
      <c r="A20" s="772" t="s">
        <v>2791</v>
      </c>
      <c r="B20" s="773" t="s">
        <v>2792</v>
      </c>
      <c r="C20" s="775" t="s">
        <v>2985</v>
      </c>
      <c r="D20" s="775" t="s">
        <v>2985</v>
      </c>
      <c r="E20" s="775" t="s">
        <v>2985</v>
      </c>
      <c r="F20" s="775" t="s">
        <v>2985</v>
      </c>
      <c r="G20" s="775" t="s">
        <v>2985</v>
      </c>
      <c r="H20" s="775" t="s">
        <v>2985</v>
      </c>
      <c r="I20" s="775" t="s">
        <v>2985</v>
      </c>
      <c r="J20" s="775" t="s">
        <v>2985</v>
      </c>
      <c r="K20" s="775" t="s">
        <v>2986</v>
      </c>
      <c r="L20" s="775" t="s">
        <v>2985</v>
      </c>
      <c r="M20" s="775" t="s">
        <v>2985</v>
      </c>
      <c r="N20" s="775" t="s">
        <v>2985</v>
      </c>
      <c r="O20" s="775" t="s">
        <v>2985</v>
      </c>
      <c r="P20" s="775" t="s">
        <v>2985</v>
      </c>
      <c r="Q20" s="775" t="s">
        <v>2985</v>
      </c>
      <c r="R20" s="775" t="s">
        <v>2985</v>
      </c>
      <c r="S20" s="775" t="s">
        <v>2985</v>
      </c>
      <c r="T20" s="775" t="s">
        <v>2985</v>
      </c>
      <c r="U20" s="775" t="s">
        <v>2985</v>
      </c>
      <c r="V20" s="776">
        <v>18</v>
      </c>
      <c r="W20" s="77" t="str">
        <f>IF(COUNTBLANK(C20:U20)&gt;0,"Complete todas las preguntas",IF(R20="SI",'Base corrupción'!$C$2,IF(V20&lt;6,'Base corrupción'!$C$4,IF(AND(V20&gt;5,V20&lt;12),'Base corrupción'!$C$3,IF(AND(V20&gt;11,V20&lt;20),'Base corrupción'!$C$2,"Revisar fórmula")))))</f>
        <v>Catastrófico</v>
      </c>
    </row>
    <row r="21" spans="1:23" ht="67.5" x14ac:dyDescent="0.2">
      <c r="A21" s="772" t="s">
        <v>2806</v>
      </c>
      <c r="B21" s="773" t="s">
        <v>2807</v>
      </c>
      <c r="C21" s="772" t="s">
        <v>2985</v>
      </c>
      <c r="D21" s="772" t="s">
        <v>2985</v>
      </c>
      <c r="E21" s="772" t="s">
        <v>2985</v>
      </c>
      <c r="F21" s="772" t="s">
        <v>2986</v>
      </c>
      <c r="G21" s="772" t="s">
        <v>2985</v>
      </c>
      <c r="H21" s="772" t="s">
        <v>2986</v>
      </c>
      <c r="I21" s="772" t="s">
        <v>2986</v>
      </c>
      <c r="J21" s="772" t="s">
        <v>2986</v>
      </c>
      <c r="K21" s="772" t="s">
        <v>2985</v>
      </c>
      <c r="L21" s="772" t="s">
        <v>2985</v>
      </c>
      <c r="M21" s="772" t="s">
        <v>2985</v>
      </c>
      <c r="N21" s="772" t="s">
        <v>2985</v>
      </c>
      <c r="O21" s="772" t="s">
        <v>2986</v>
      </c>
      <c r="P21" s="772" t="s">
        <v>2986</v>
      </c>
      <c r="Q21" s="772" t="s">
        <v>2985</v>
      </c>
      <c r="R21" s="772" t="s">
        <v>2986</v>
      </c>
      <c r="S21" s="772" t="s">
        <v>2985</v>
      </c>
      <c r="T21" s="772" t="s">
        <v>2985</v>
      </c>
      <c r="U21" s="772" t="s">
        <v>2986</v>
      </c>
      <c r="V21" s="774">
        <f t="shared" si="0"/>
        <v>11</v>
      </c>
      <c r="W21" s="77" t="str">
        <f>IF(COUNTBLANK(C21:U21)&gt;0,"Complete todas las preguntas",IF(R21="SI",'Base corrupción'!$C$2,IF(V21&lt;6,'Base corrupción'!$C$4,IF(AND(V21&gt;5,V21&lt;12),'Base corrupción'!$C$3,IF(AND(V21&gt;11,V21&lt;20),'Base corrupción'!$C$2,"Revisar fórmula")))))</f>
        <v>Mayor</v>
      </c>
    </row>
    <row r="22" spans="1:23" ht="90" x14ac:dyDescent="0.2">
      <c r="A22" s="772" t="s">
        <v>2828</v>
      </c>
      <c r="B22" s="773" t="s">
        <v>2829</v>
      </c>
      <c r="C22" s="772" t="s">
        <v>2985</v>
      </c>
      <c r="D22" s="772" t="s">
        <v>2985</v>
      </c>
      <c r="E22" s="772" t="s">
        <v>2985</v>
      </c>
      <c r="F22" s="772" t="s">
        <v>2985</v>
      </c>
      <c r="G22" s="772" t="s">
        <v>2985</v>
      </c>
      <c r="H22" s="772" t="s">
        <v>2985</v>
      </c>
      <c r="I22" s="772" t="s">
        <v>2985</v>
      </c>
      <c r="J22" s="772" t="s">
        <v>2985</v>
      </c>
      <c r="K22" s="772" t="s">
        <v>2985</v>
      </c>
      <c r="L22" s="772" t="s">
        <v>2985</v>
      </c>
      <c r="M22" s="772" t="s">
        <v>2985</v>
      </c>
      <c r="N22" s="772" t="s">
        <v>2985</v>
      </c>
      <c r="O22" s="772" t="s">
        <v>2986</v>
      </c>
      <c r="P22" s="772" t="s">
        <v>2986</v>
      </c>
      <c r="Q22" s="772" t="s">
        <v>2985</v>
      </c>
      <c r="R22" s="772" t="s">
        <v>2986</v>
      </c>
      <c r="S22" s="772" t="s">
        <v>2986</v>
      </c>
      <c r="T22" s="772" t="s">
        <v>2985</v>
      </c>
      <c r="U22" s="772" t="s">
        <v>2986</v>
      </c>
      <c r="V22" s="774">
        <f t="shared" si="0"/>
        <v>14</v>
      </c>
      <c r="W22" s="77" t="str">
        <f>IF(COUNTBLANK(C22:U22)&gt;0,"Complete todas las preguntas",IF(R22="SI",'Base corrupción'!$C$2,IF(V22&lt;6,'Base corrupción'!$C$4,IF(AND(V22&gt;5,V22&lt;12),'Base corrupción'!$C$3,IF(AND(V22&gt;11,V22&lt;20),'Base corrupción'!$C$2,"Revisar fórmula")))))</f>
        <v>Catastrófico</v>
      </c>
    </row>
    <row r="23" spans="1:23" ht="67.5" x14ac:dyDescent="0.2">
      <c r="A23" s="772" t="s">
        <v>2852</v>
      </c>
      <c r="B23" s="773" t="s">
        <v>2853</v>
      </c>
      <c r="C23" s="772" t="s">
        <v>2985</v>
      </c>
      <c r="D23" s="772" t="s">
        <v>2985</v>
      </c>
      <c r="E23" s="772" t="s">
        <v>2985</v>
      </c>
      <c r="F23" s="772" t="s">
        <v>2985</v>
      </c>
      <c r="G23" s="772" t="s">
        <v>2985</v>
      </c>
      <c r="H23" s="772" t="s">
        <v>2985</v>
      </c>
      <c r="I23" s="772" t="s">
        <v>2985</v>
      </c>
      <c r="J23" s="772" t="s">
        <v>2985</v>
      </c>
      <c r="K23" s="772" t="s">
        <v>2986</v>
      </c>
      <c r="L23" s="772" t="s">
        <v>2985</v>
      </c>
      <c r="M23" s="772" t="s">
        <v>2985</v>
      </c>
      <c r="N23" s="772" t="s">
        <v>2985</v>
      </c>
      <c r="O23" s="772" t="s">
        <v>2985</v>
      </c>
      <c r="P23" s="772" t="s">
        <v>2986</v>
      </c>
      <c r="Q23" s="772" t="s">
        <v>2985</v>
      </c>
      <c r="R23" s="772" t="s">
        <v>2986</v>
      </c>
      <c r="S23" s="772" t="s">
        <v>2986</v>
      </c>
      <c r="T23" s="772" t="s">
        <v>2985</v>
      </c>
      <c r="U23" s="772" t="s">
        <v>2986</v>
      </c>
      <c r="V23" s="774">
        <f t="shared" si="0"/>
        <v>14</v>
      </c>
      <c r="W23" s="77" t="str">
        <f>IF(COUNTBLANK(C23:U23)&gt;0,"Complete todas las preguntas",IF(R23="SI",'Base corrupción'!$C$2,IF(V23&lt;6,'Base corrupción'!$C$4,IF(AND(V23&gt;5,V23&lt;12),'Base corrupción'!$C$3,IF(AND(V23&gt;11,V23&lt;20),'Base corrupción'!$C$2,"Revisar fórmula")))))</f>
        <v>Catastrófico</v>
      </c>
    </row>
    <row r="24" spans="1:23" ht="90" x14ac:dyDescent="0.2">
      <c r="A24" s="772" t="s">
        <v>2868</v>
      </c>
      <c r="B24" s="773" t="s">
        <v>2869</v>
      </c>
      <c r="C24" s="772" t="s">
        <v>2985</v>
      </c>
      <c r="D24" s="772" t="s">
        <v>2985</v>
      </c>
      <c r="E24" s="772" t="s">
        <v>2985</v>
      </c>
      <c r="F24" s="772" t="s">
        <v>2986</v>
      </c>
      <c r="G24" s="772" t="s">
        <v>2985</v>
      </c>
      <c r="H24" s="772" t="s">
        <v>2985</v>
      </c>
      <c r="I24" s="772" t="s">
        <v>2985</v>
      </c>
      <c r="J24" s="772" t="s">
        <v>2986</v>
      </c>
      <c r="K24" s="772" t="s">
        <v>2986</v>
      </c>
      <c r="L24" s="772" t="s">
        <v>2986</v>
      </c>
      <c r="M24" s="772" t="s">
        <v>2986</v>
      </c>
      <c r="N24" s="772" t="s">
        <v>2985</v>
      </c>
      <c r="O24" s="772" t="s">
        <v>2986</v>
      </c>
      <c r="P24" s="772" t="s">
        <v>2986</v>
      </c>
      <c r="Q24" s="772" t="s">
        <v>2985</v>
      </c>
      <c r="R24" s="772" t="s">
        <v>2986</v>
      </c>
      <c r="S24" s="772" t="s">
        <v>2985</v>
      </c>
      <c r="T24" s="772" t="s">
        <v>2986</v>
      </c>
      <c r="U24" s="772" t="s">
        <v>2986</v>
      </c>
      <c r="V24" s="774">
        <f t="shared" si="0"/>
        <v>9</v>
      </c>
      <c r="W24" s="77" t="str">
        <f>IF(COUNTBLANK(C24:U24)&gt;0,"Complete todas las preguntas",IF(R24="SI",'Base corrupción'!$C$2,IF(V24&lt;6,'Base corrupción'!$C$4,IF(AND(V24&gt;5,V24&lt;12),'Base corrupción'!$C$3,IF(AND(V24&gt;11,V24&lt;20),'Base corrupción'!$C$2,"Revisar fórmula")))))</f>
        <v>Mayor</v>
      </c>
    </row>
    <row r="25" spans="1:23" ht="112.5" x14ac:dyDescent="0.2">
      <c r="A25" s="772" t="s">
        <v>2881</v>
      </c>
      <c r="B25" s="773" t="s">
        <v>2882</v>
      </c>
      <c r="C25" s="772" t="s">
        <v>2985</v>
      </c>
      <c r="D25" s="772" t="s">
        <v>2985</v>
      </c>
      <c r="E25" s="772" t="s">
        <v>2985</v>
      </c>
      <c r="F25" s="772" t="s">
        <v>2986</v>
      </c>
      <c r="G25" s="772" t="s">
        <v>2985</v>
      </c>
      <c r="H25" s="772" t="s">
        <v>2986</v>
      </c>
      <c r="I25" s="772" t="s">
        <v>2985</v>
      </c>
      <c r="J25" s="772" t="s">
        <v>2986</v>
      </c>
      <c r="K25" s="772" t="s">
        <v>2985</v>
      </c>
      <c r="L25" s="772" t="s">
        <v>2985</v>
      </c>
      <c r="M25" s="772" t="s">
        <v>2985</v>
      </c>
      <c r="N25" s="772" t="s">
        <v>2985</v>
      </c>
      <c r="O25" s="772" t="s">
        <v>2985</v>
      </c>
      <c r="P25" s="772" t="s">
        <v>2986</v>
      </c>
      <c r="Q25" s="772" t="s">
        <v>2986</v>
      </c>
      <c r="R25" s="772" t="s">
        <v>2986</v>
      </c>
      <c r="S25" s="772" t="s">
        <v>2985</v>
      </c>
      <c r="T25" s="772" t="s">
        <v>2985</v>
      </c>
      <c r="U25" s="772" t="s">
        <v>2985</v>
      </c>
      <c r="V25" s="774">
        <f t="shared" si="0"/>
        <v>13</v>
      </c>
      <c r="W25" s="77" t="str">
        <f>IF(COUNTBLANK(C25:U25)&gt;0,"Complete todas las preguntas",IF(R25="SI",'Base corrupción'!$C$2,IF(V25&lt;6,'Base corrupción'!$C$4,IF(AND(V25&gt;5,V25&lt;12),'Base corrupción'!$C$3,IF(AND(V25&gt;11,V25&lt;20),'Base corrupción'!$C$2,"Revisar fórmula")))))</f>
        <v>Catastrófico</v>
      </c>
    </row>
    <row r="26" spans="1:23" ht="78.75" x14ac:dyDescent="0.2">
      <c r="A26" s="777" t="s">
        <v>2898</v>
      </c>
      <c r="B26" s="77" t="s">
        <v>2899</v>
      </c>
      <c r="C26" s="775" t="s">
        <v>2985</v>
      </c>
      <c r="D26" s="775" t="s">
        <v>2985</v>
      </c>
      <c r="E26" s="775" t="s">
        <v>2986</v>
      </c>
      <c r="F26" s="775" t="s">
        <v>2986</v>
      </c>
      <c r="G26" s="775" t="s">
        <v>2985</v>
      </c>
      <c r="H26" s="775" t="s">
        <v>2985</v>
      </c>
      <c r="I26" s="775" t="s">
        <v>2986</v>
      </c>
      <c r="J26" s="775" t="s">
        <v>2986</v>
      </c>
      <c r="K26" s="775" t="s">
        <v>2986</v>
      </c>
      <c r="L26" s="775" t="s">
        <v>2985</v>
      </c>
      <c r="M26" s="775" t="s">
        <v>2985</v>
      </c>
      <c r="N26" s="775" t="s">
        <v>2985</v>
      </c>
      <c r="O26" s="775" t="s">
        <v>2985</v>
      </c>
      <c r="P26" s="775" t="s">
        <v>2985</v>
      </c>
      <c r="Q26" s="775" t="s">
        <v>2985</v>
      </c>
      <c r="R26" s="775" t="s">
        <v>2986</v>
      </c>
      <c r="S26" s="775" t="s">
        <v>2985</v>
      </c>
      <c r="T26" s="775" t="s">
        <v>2985</v>
      </c>
      <c r="U26" s="775" t="s">
        <v>2986</v>
      </c>
      <c r="V26" s="81">
        <f t="shared" ref="V26:V42" si="1">COUNTIF(C26:U26,"SI")</f>
        <v>12</v>
      </c>
      <c r="W26" s="77" t="str">
        <f>IF(COUNTBLANK(C26:U26)&gt;0,"Complete todas las preguntas",IF(R26="SI",'Base corrupción'!$C$2,IF(V26&lt;6,'Base corrupción'!$C$4,IF(AND(V26&gt;5,V26&lt;12),'Base corrupción'!$C$3,IF(AND(V26&gt;11,V26&lt;20),'Base corrupción'!$C$2,"Revisar fórmula")))))</f>
        <v>Catastrófico</v>
      </c>
    </row>
    <row r="27" spans="1:23" ht="90" x14ac:dyDescent="0.2">
      <c r="A27" s="777" t="s">
        <v>2918</v>
      </c>
      <c r="B27" s="77" t="s">
        <v>2919</v>
      </c>
      <c r="C27" s="775" t="s">
        <v>2985</v>
      </c>
      <c r="D27" s="775" t="s">
        <v>2985</v>
      </c>
      <c r="E27" s="775" t="s">
        <v>2986</v>
      </c>
      <c r="F27" s="775" t="s">
        <v>2986</v>
      </c>
      <c r="G27" s="775" t="s">
        <v>2985</v>
      </c>
      <c r="H27" s="775" t="s">
        <v>2985</v>
      </c>
      <c r="I27" s="775" t="s">
        <v>2986</v>
      </c>
      <c r="J27" s="775" t="s">
        <v>2986</v>
      </c>
      <c r="K27" s="775" t="s">
        <v>2986</v>
      </c>
      <c r="L27" s="775" t="s">
        <v>2985</v>
      </c>
      <c r="M27" s="775" t="s">
        <v>2985</v>
      </c>
      <c r="N27" s="775" t="s">
        <v>2985</v>
      </c>
      <c r="O27" s="775" t="s">
        <v>2985</v>
      </c>
      <c r="P27" s="775" t="s">
        <v>2985</v>
      </c>
      <c r="Q27" s="775" t="s">
        <v>2985</v>
      </c>
      <c r="R27" s="775" t="s">
        <v>2986</v>
      </c>
      <c r="S27" s="775" t="s">
        <v>2985</v>
      </c>
      <c r="T27" s="775" t="s">
        <v>2985</v>
      </c>
      <c r="U27" s="775" t="s">
        <v>2986</v>
      </c>
      <c r="V27" s="81">
        <f t="shared" si="1"/>
        <v>12</v>
      </c>
      <c r="W27" s="77" t="str">
        <f>IF(COUNTBLANK(C27:U27)&gt;0,"Complete todas las preguntas",IF(R27="SI",'Base corrupción'!$C$2,IF(V27&lt;6,'Base corrupción'!$C$4,IF(AND(V27&gt;5,V27&lt;12),'Base corrupción'!$C$3,IF(AND(V27&gt;11,V27&lt;20),'Base corrupción'!$C$2,"Revisar fórmula")))))</f>
        <v>Catastrófico</v>
      </c>
    </row>
    <row r="28" spans="1:23" ht="74.25" customHeight="1" x14ac:dyDescent="0.2">
      <c r="A28" s="777" t="s">
        <v>2927</v>
      </c>
      <c r="B28" s="77" t="s">
        <v>2928</v>
      </c>
      <c r="C28" s="778" t="s">
        <v>2985</v>
      </c>
      <c r="D28" s="778" t="s">
        <v>2985</v>
      </c>
      <c r="E28" s="778" t="s">
        <v>2986</v>
      </c>
      <c r="F28" s="778" t="s">
        <v>2986</v>
      </c>
      <c r="G28" s="778" t="s">
        <v>2986</v>
      </c>
      <c r="H28" s="778" t="s">
        <v>2985</v>
      </c>
      <c r="I28" s="778" t="s">
        <v>2986</v>
      </c>
      <c r="J28" s="778" t="s">
        <v>2985</v>
      </c>
      <c r="K28" s="778" t="s">
        <v>2985</v>
      </c>
      <c r="L28" s="778" t="s">
        <v>2986</v>
      </c>
      <c r="M28" s="778" t="s">
        <v>2986</v>
      </c>
      <c r="N28" s="778" t="s">
        <v>2985</v>
      </c>
      <c r="O28" s="778" t="s">
        <v>2986</v>
      </c>
      <c r="P28" s="778" t="s">
        <v>2985</v>
      </c>
      <c r="Q28" s="778" t="s">
        <v>2986</v>
      </c>
      <c r="R28" s="778" t="s">
        <v>2986</v>
      </c>
      <c r="S28" s="778" t="s">
        <v>2986</v>
      </c>
      <c r="T28" s="778" t="s">
        <v>2986</v>
      </c>
      <c r="U28" s="778" t="s">
        <v>2986</v>
      </c>
      <c r="V28" s="81">
        <f t="shared" si="1"/>
        <v>7</v>
      </c>
      <c r="W28" s="77" t="str">
        <f>IF(COUNTBLANK(C28:U28)&gt;0,"Complete todas las preguntas",IF(R28="SI",'Base corrupción'!$C$2,IF(V28&lt;6,'Base corrupción'!$C$4,IF(AND(V28&gt;5,V28&lt;12),'Base corrupción'!$C$3,IF(AND(V28&gt;11,V28&lt;20),'Base corrupción'!$C$2,"Revisar fórmula")))))</f>
        <v>Mayor</v>
      </c>
    </row>
    <row r="29" spans="1:23" ht="56.25" x14ac:dyDescent="0.2">
      <c r="A29" s="777" t="s">
        <v>2942</v>
      </c>
      <c r="B29" s="77" t="s">
        <v>2944</v>
      </c>
      <c r="C29" s="778" t="s">
        <v>2985</v>
      </c>
      <c r="D29" s="778" t="s">
        <v>2985</v>
      </c>
      <c r="E29" s="778" t="s">
        <v>2985</v>
      </c>
      <c r="F29" s="778" t="s">
        <v>2985</v>
      </c>
      <c r="G29" s="778" t="s">
        <v>2985</v>
      </c>
      <c r="H29" s="778" t="s">
        <v>2985</v>
      </c>
      <c r="I29" s="778" t="s">
        <v>2985</v>
      </c>
      <c r="J29" s="778" t="s">
        <v>2986</v>
      </c>
      <c r="K29" s="778" t="s">
        <v>2985</v>
      </c>
      <c r="L29" s="778" t="s">
        <v>2985</v>
      </c>
      <c r="M29" s="778" t="s">
        <v>2985</v>
      </c>
      <c r="N29" s="778" t="s">
        <v>2985</v>
      </c>
      <c r="O29" s="778" t="s">
        <v>2986</v>
      </c>
      <c r="P29" s="778" t="s">
        <v>2985</v>
      </c>
      <c r="Q29" s="778" t="s">
        <v>2985</v>
      </c>
      <c r="R29" s="778" t="s">
        <v>2986</v>
      </c>
      <c r="S29" s="778" t="s">
        <v>2986</v>
      </c>
      <c r="T29" s="778" t="s">
        <v>2985</v>
      </c>
      <c r="U29" s="778" t="s">
        <v>2986</v>
      </c>
      <c r="V29" s="81">
        <f t="shared" si="1"/>
        <v>14</v>
      </c>
      <c r="W29" s="77" t="str">
        <f>IF(COUNTBLANK(C29:U29)&gt;0,"Complete todas las preguntas",IF(R29="SI",'Base corrupción'!$C$2,IF(V29&lt;6,'Base corrupción'!$C$4,IF(AND(V29&gt;5,V29&lt;12),'Base corrupción'!$C$3,IF(AND(V29&gt;11,V29&lt;20),'Base corrupción'!$C$2,"Revisar fórmula")))))</f>
        <v>Catastrófico</v>
      </c>
    </row>
    <row r="30" spans="1:23" ht="22.5" x14ac:dyDescent="0.2">
      <c r="A30" s="777"/>
      <c r="B30" s="77"/>
      <c r="C30" s="777"/>
      <c r="D30" s="777"/>
      <c r="E30" s="777"/>
      <c r="F30" s="777"/>
      <c r="G30" s="777"/>
      <c r="H30" s="777"/>
      <c r="I30" s="777"/>
      <c r="J30" s="777"/>
      <c r="K30" s="777"/>
      <c r="L30" s="777"/>
      <c r="M30" s="777"/>
      <c r="N30" s="777"/>
      <c r="O30" s="777"/>
      <c r="P30" s="777"/>
      <c r="Q30" s="777"/>
      <c r="R30" s="777"/>
      <c r="S30" s="777"/>
      <c r="T30" s="777"/>
      <c r="U30" s="777"/>
      <c r="V30" s="81">
        <f t="shared" si="1"/>
        <v>0</v>
      </c>
      <c r="W30" s="77" t="str">
        <f>IF(COUNTBLANK(C30:U30)&gt;0,"Complete todas las preguntas",IF(R30="SI",'Base corrupción'!$C$2,IF(V30&lt;6,'Base corrupción'!$C$4,IF(AND(V30&gt;5,V30&lt;12),'Base corrupción'!$C$3,IF(AND(V30&gt;11,V30&lt;20),'Base corrupción'!$C$2,"Revisar fórmula")))))</f>
        <v>Complete todas las preguntas</v>
      </c>
    </row>
    <row r="31" spans="1:23" ht="22.5" x14ac:dyDescent="0.2">
      <c r="A31" s="777"/>
      <c r="B31" s="77"/>
      <c r="C31" s="777"/>
      <c r="D31" s="777"/>
      <c r="E31" s="777"/>
      <c r="F31" s="777"/>
      <c r="G31" s="777"/>
      <c r="H31" s="777"/>
      <c r="I31" s="777"/>
      <c r="J31" s="777"/>
      <c r="K31" s="777"/>
      <c r="L31" s="777"/>
      <c r="M31" s="777"/>
      <c r="N31" s="777"/>
      <c r="O31" s="777"/>
      <c r="P31" s="777"/>
      <c r="Q31" s="777"/>
      <c r="R31" s="777"/>
      <c r="S31" s="777"/>
      <c r="T31" s="777"/>
      <c r="U31" s="777"/>
      <c r="V31" s="81">
        <f t="shared" si="1"/>
        <v>0</v>
      </c>
      <c r="W31" s="77" t="str">
        <f>IF(COUNTBLANK(C31:U31)&gt;0,"Complete todas las preguntas",IF(R31="SI",'Base corrupción'!$C$2,IF(V31&lt;6,'Base corrupción'!$C$4,IF(AND(V31&gt;5,V31&lt;12),'Base corrupción'!$C$3,IF(AND(V31&gt;11,V31&lt;20),'Base corrupción'!$C$2,"Revisar fórmula")))))</f>
        <v>Complete todas las preguntas</v>
      </c>
    </row>
    <row r="32" spans="1:23" ht="22.5" x14ac:dyDescent="0.2">
      <c r="A32" s="777"/>
      <c r="B32" s="77"/>
      <c r="C32" s="777"/>
      <c r="D32" s="777"/>
      <c r="E32" s="777"/>
      <c r="F32" s="777"/>
      <c r="G32" s="777"/>
      <c r="H32" s="777"/>
      <c r="I32" s="777"/>
      <c r="J32" s="777"/>
      <c r="K32" s="777"/>
      <c r="L32" s="777"/>
      <c r="M32" s="777"/>
      <c r="N32" s="777"/>
      <c r="O32" s="777"/>
      <c r="P32" s="777"/>
      <c r="Q32" s="777"/>
      <c r="R32" s="777"/>
      <c r="S32" s="777"/>
      <c r="T32" s="777"/>
      <c r="U32" s="777"/>
      <c r="V32" s="81">
        <f t="shared" si="1"/>
        <v>0</v>
      </c>
      <c r="W32" s="77" t="str">
        <f>IF(COUNTBLANK(C32:U32)&gt;0,"Complete todas las preguntas",IF(R32="SI",'Base corrupción'!$C$2,IF(V32&lt;6,'Base corrupción'!$C$4,IF(AND(V32&gt;5,V32&lt;12),'Base corrupción'!$C$3,IF(AND(V32&gt;11,V32&lt;20),'Base corrupción'!$C$2,"Revisar fórmula")))))</f>
        <v>Complete todas las preguntas</v>
      </c>
    </row>
    <row r="33" spans="1:23" ht="22.5" x14ac:dyDescent="0.2">
      <c r="A33" s="777"/>
      <c r="B33" s="77"/>
      <c r="C33" s="777"/>
      <c r="D33" s="777"/>
      <c r="E33" s="777"/>
      <c r="F33" s="777"/>
      <c r="G33" s="777"/>
      <c r="H33" s="777"/>
      <c r="I33" s="777"/>
      <c r="J33" s="777"/>
      <c r="K33" s="777"/>
      <c r="L33" s="777"/>
      <c r="M33" s="777"/>
      <c r="N33" s="777"/>
      <c r="O33" s="777"/>
      <c r="P33" s="777"/>
      <c r="Q33" s="777"/>
      <c r="R33" s="777"/>
      <c r="S33" s="777"/>
      <c r="T33" s="777"/>
      <c r="U33" s="777"/>
      <c r="V33" s="81">
        <f t="shared" si="1"/>
        <v>0</v>
      </c>
      <c r="W33" s="77" t="str">
        <f>IF(COUNTBLANK(C33:U33)&gt;0,"Complete todas las preguntas",IF(R33="SI",'Base corrupción'!$C$2,IF(V33&lt;6,'Base corrupción'!$C$4,IF(AND(V33&gt;5,V33&lt;12),'Base corrupción'!$C$3,IF(AND(V33&gt;11,V33&lt;20),'Base corrupción'!$C$2,"Revisar fórmula")))))</f>
        <v>Complete todas las preguntas</v>
      </c>
    </row>
    <row r="34" spans="1:23" ht="22.5" x14ac:dyDescent="0.2">
      <c r="A34" s="777"/>
      <c r="B34" s="77"/>
      <c r="C34" s="777"/>
      <c r="D34" s="777"/>
      <c r="E34" s="777"/>
      <c r="F34" s="777"/>
      <c r="G34" s="777"/>
      <c r="H34" s="777"/>
      <c r="I34" s="777"/>
      <c r="J34" s="777"/>
      <c r="K34" s="777"/>
      <c r="L34" s="777"/>
      <c r="M34" s="777"/>
      <c r="N34" s="777"/>
      <c r="O34" s="777"/>
      <c r="P34" s="777"/>
      <c r="Q34" s="777"/>
      <c r="R34" s="777"/>
      <c r="S34" s="777"/>
      <c r="T34" s="777"/>
      <c r="U34" s="777"/>
      <c r="V34" s="81">
        <f t="shared" si="1"/>
        <v>0</v>
      </c>
      <c r="W34" s="77" t="str">
        <f>IF(COUNTBLANK(C34:U34)&gt;0,"Complete todas las preguntas",IF(R34="SI",'Base corrupción'!$C$2,IF(V34&lt;6,'Base corrupción'!$C$4,IF(AND(V34&gt;5,V34&lt;12),'Base corrupción'!$C$3,IF(AND(V34&gt;11,V34&lt;20),'Base corrupción'!$C$2,"Revisar fórmula")))))</f>
        <v>Complete todas las preguntas</v>
      </c>
    </row>
    <row r="35" spans="1:23" ht="22.5" x14ac:dyDescent="0.2">
      <c r="A35" s="777"/>
      <c r="B35" s="77"/>
      <c r="C35" s="777"/>
      <c r="D35" s="777"/>
      <c r="E35" s="777"/>
      <c r="F35" s="777"/>
      <c r="G35" s="777"/>
      <c r="H35" s="777"/>
      <c r="I35" s="777"/>
      <c r="J35" s="777"/>
      <c r="K35" s="777"/>
      <c r="L35" s="777"/>
      <c r="M35" s="777"/>
      <c r="N35" s="777"/>
      <c r="O35" s="777"/>
      <c r="P35" s="777"/>
      <c r="Q35" s="777"/>
      <c r="R35" s="777"/>
      <c r="S35" s="777"/>
      <c r="T35" s="777"/>
      <c r="U35" s="777"/>
      <c r="V35" s="81">
        <f t="shared" si="1"/>
        <v>0</v>
      </c>
      <c r="W35" s="77" t="str">
        <f>IF(COUNTBLANK(C35:U35)&gt;0,"Complete todas las preguntas",IF(R35="SI",'Base corrupción'!$C$2,IF(V35&lt;6,'Base corrupción'!$C$4,IF(AND(V35&gt;5,V35&lt;12),'Base corrupción'!$C$3,IF(AND(V35&gt;11,V35&lt;20),'Base corrupción'!$C$2,"Revisar fórmula")))))</f>
        <v>Complete todas las preguntas</v>
      </c>
    </row>
    <row r="36" spans="1:23" ht="22.5" x14ac:dyDescent="0.2">
      <c r="A36" s="777"/>
      <c r="B36" s="77"/>
      <c r="C36" s="777"/>
      <c r="D36" s="777"/>
      <c r="E36" s="777"/>
      <c r="F36" s="777"/>
      <c r="G36" s="777"/>
      <c r="H36" s="777"/>
      <c r="I36" s="777"/>
      <c r="J36" s="777"/>
      <c r="K36" s="777"/>
      <c r="L36" s="777"/>
      <c r="M36" s="777"/>
      <c r="N36" s="777"/>
      <c r="O36" s="777"/>
      <c r="P36" s="777"/>
      <c r="Q36" s="777"/>
      <c r="R36" s="777"/>
      <c r="S36" s="777"/>
      <c r="T36" s="777"/>
      <c r="U36" s="777"/>
      <c r="V36" s="81">
        <f t="shared" si="1"/>
        <v>0</v>
      </c>
      <c r="W36" s="77" t="str">
        <f>IF(COUNTBLANK(C36:U36)&gt;0,"Complete todas las preguntas",IF(R36="SI",'Base corrupción'!$C$2,IF(V36&lt;6,'Base corrupción'!$C$4,IF(AND(V36&gt;5,V36&lt;12),'Base corrupción'!$C$3,IF(AND(V36&gt;11,V36&lt;20),'Base corrupción'!$C$2,"Revisar fórmula")))))</f>
        <v>Complete todas las preguntas</v>
      </c>
    </row>
    <row r="37" spans="1:23" ht="22.5" x14ac:dyDescent="0.2">
      <c r="A37" s="777"/>
      <c r="B37" s="77"/>
      <c r="C37" s="777"/>
      <c r="D37" s="777"/>
      <c r="E37" s="777"/>
      <c r="F37" s="777"/>
      <c r="G37" s="777"/>
      <c r="H37" s="777"/>
      <c r="I37" s="777"/>
      <c r="J37" s="777"/>
      <c r="K37" s="777"/>
      <c r="L37" s="777"/>
      <c r="M37" s="777"/>
      <c r="N37" s="777"/>
      <c r="O37" s="777"/>
      <c r="P37" s="777"/>
      <c r="Q37" s="777"/>
      <c r="R37" s="777"/>
      <c r="S37" s="777"/>
      <c r="T37" s="777"/>
      <c r="U37" s="777"/>
      <c r="V37" s="81">
        <f t="shared" si="1"/>
        <v>0</v>
      </c>
      <c r="W37" s="77" t="str">
        <f>IF(COUNTBLANK(C37:U37)&gt;0,"Complete todas las preguntas",IF(R37="SI",'Base corrupción'!$C$2,IF(V37&lt;6,'Base corrupción'!$C$4,IF(AND(V37&gt;5,V37&lt;12),'Base corrupción'!$C$3,IF(AND(V37&gt;11,V37&lt;20),'Base corrupción'!$C$2,"Revisar fórmula")))))</f>
        <v>Complete todas las preguntas</v>
      </c>
    </row>
    <row r="38" spans="1:23" ht="22.5" x14ac:dyDescent="0.2">
      <c r="A38" s="777"/>
      <c r="B38" s="77"/>
      <c r="C38" s="777"/>
      <c r="D38" s="777"/>
      <c r="E38" s="777"/>
      <c r="F38" s="777"/>
      <c r="G38" s="777"/>
      <c r="H38" s="777"/>
      <c r="I38" s="777"/>
      <c r="J38" s="777"/>
      <c r="K38" s="777"/>
      <c r="L38" s="777"/>
      <c r="M38" s="777"/>
      <c r="N38" s="777"/>
      <c r="O38" s="777"/>
      <c r="P38" s="777"/>
      <c r="Q38" s="777"/>
      <c r="R38" s="777"/>
      <c r="S38" s="777"/>
      <c r="T38" s="777"/>
      <c r="U38" s="777"/>
      <c r="V38" s="81">
        <f t="shared" si="1"/>
        <v>0</v>
      </c>
      <c r="W38" s="77" t="str">
        <f>IF(COUNTBLANK(C38:U38)&gt;0,"Complete todas las preguntas",IF(R38="SI",'Base corrupción'!$C$2,IF(V38&lt;6,'Base corrupción'!$C$4,IF(AND(V38&gt;5,V38&lt;12),'Base corrupción'!$C$3,IF(AND(V38&gt;11,V38&lt;20),'Base corrupción'!$C$2,"Revisar fórmula")))))</f>
        <v>Complete todas las preguntas</v>
      </c>
    </row>
    <row r="39" spans="1:23" ht="22.5" x14ac:dyDescent="0.2">
      <c r="A39" s="79"/>
      <c r="B39" s="80"/>
      <c r="C39" s="79"/>
      <c r="D39" s="79"/>
      <c r="E39" s="79"/>
      <c r="F39" s="79"/>
      <c r="G39" s="79"/>
      <c r="H39" s="79"/>
      <c r="I39" s="79"/>
      <c r="J39" s="79"/>
      <c r="K39" s="79"/>
      <c r="L39" s="79"/>
      <c r="M39" s="79"/>
      <c r="N39" s="79"/>
      <c r="O39" s="79"/>
      <c r="P39" s="79"/>
      <c r="Q39" s="79"/>
      <c r="R39" s="79"/>
      <c r="S39" s="79"/>
      <c r="T39" s="79"/>
      <c r="U39" s="79"/>
      <c r="V39" s="81">
        <f t="shared" si="1"/>
        <v>0</v>
      </c>
      <c r="W39" s="77" t="str">
        <f>IF(COUNTBLANK(C39:U39)&gt;0,"Complete todas las preguntas",IF(R39="SI",'Base corrupción'!$C$2,IF(V39&lt;6,'Base corrupción'!$C$4,IF(AND(V39&gt;5,V39&lt;12),'Base corrupción'!$C$3,IF(AND(V39&gt;11,V39&lt;20),'Base corrupción'!$C$2,"Revisar fórmula")))))</f>
        <v>Complete todas las preguntas</v>
      </c>
    </row>
    <row r="40" spans="1:23" ht="22.5" x14ac:dyDescent="0.2">
      <c r="A40" s="79"/>
      <c r="B40" s="80"/>
      <c r="C40" s="79"/>
      <c r="D40" s="79"/>
      <c r="E40" s="79"/>
      <c r="F40" s="79"/>
      <c r="G40" s="79"/>
      <c r="H40" s="79"/>
      <c r="I40" s="79"/>
      <c r="J40" s="79"/>
      <c r="K40" s="79"/>
      <c r="L40" s="79"/>
      <c r="M40" s="79"/>
      <c r="N40" s="79"/>
      <c r="O40" s="79"/>
      <c r="P40" s="79"/>
      <c r="Q40" s="79"/>
      <c r="R40" s="79"/>
      <c r="S40" s="79"/>
      <c r="T40" s="79"/>
      <c r="U40" s="79"/>
      <c r="V40" s="81">
        <f t="shared" si="1"/>
        <v>0</v>
      </c>
      <c r="W40" s="77" t="str">
        <f>IF(COUNTBLANK(C40:U40)&gt;0,"Complete todas las preguntas",IF(R40="SI",'Base corrupción'!$C$2,IF(V40&lt;6,'Base corrupción'!$C$4,IF(AND(V40&gt;5,V40&lt;12),'Base corrupción'!$C$3,IF(AND(V40&gt;11,V40&lt;20),'Base corrupción'!$C$2,"Revisar fórmula")))))</f>
        <v>Complete todas las preguntas</v>
      </c>
    </row>
    <row r="41" spans="1:23" ht="22.5" x14ac:dyDescent="0.2">
      <c r="A41" s="79"/>
      <c r="B41" s="80"/>
      <c r="C41" s="79"/>
      <c r="D41" s="79"/>
      <c r="E41" s="79"/>
      <c r="F41" s="79"/>
      <c r="G41" s="79"/>
      <c r="H41" s="79"/>
      <c r="I41" s="79"/>
      <c r="J41" s="79"/>
      <c r="K41" s="79"/>
      <c r="L41" s="79"/>
      <c r="M41" s="79"/>
      <c r="N41" s="79"/>
      <c r="O41" s="79"/>
      <c r="P41" s="79"/>
      <c r="Q41" s="79"/>
      <c r="R41" s="79"/>
      <c r="S41" s="79"/>
      <c r="T41" s="79"/>
      <c r="U41" s="79"/>
      <c r="V41" s="81">
        <f t="shared" si="1"/>
        <v>0</v>
      </c>
      <c r="W41" s="77" t="str">
        <f>IF(COUNTBLANK(C41:U41)&gt;0,"Complete todas las preguntas",IF(R41="SI",'Base corrupción'!$C$2,IF(V41&lt;6,'Base corrupción'!$C$4,IF(AND(V41&gt;5,V41&lt;12),'Base corrupción'!$C$3,IF(AND(V41&gt;11,V41&lt;20),'Base corrupción'!$C$2,"Revisar fórmula")))))</f>
        <v>Complete todas las preguntas</v>
      </c>
    </row>
    <row r="42" spans="1:23" ht="22.5" x14ac:dyDescent="0.2">
      <c r="A42" s="79"/>
      <c r="B42" s="80"/>
      <c r="C42" s="79"/>
      <c r="D42" s="79"/>
      <c r="E42" s="79"/>
      <c r="F42" s="79"/>
      <c r="G42" s="79"/>
      <c r="H42" s="79"/>
      <c r="I42" s="79"/>
      <c r="J42" s="79"/>
      <c r="K42" s="79"/>
      <c r="L42" s="79"/>
      <c r="M42" s="79"/>
      <c r="N42" s="79"/>
      <c r="O42" s="79"/>
      <c r="P42" s="79"/>
      <c r="Q42" s="79"/>
      <c r="R42" s="79"/>
      <c r="S42" s="79"/>
      <c r="T42" s="79"/>
      <c r="U42" s="79"/>
      <c r="V42" s="81">
        <f t="shared" si="1"/>
        <v>0</v>
      </c>
      <c r="W42" s="77" t="str">
        <f>IF(COUNTBLANK(C42:U42)&gt;0,"Complete todas las preguntas",IF(R42="SI",'Base corrupción'!$C$2,IF(V42&lt;6,'Base corrupción'!$C$4,IF(AND(V42&gt;5,V42&lt;12),'Base corrupción'!$C$3,IF(AND(V42&gt;11,V42&lt;20),'Base corrupción'!$C$2,"Revisar fórmula")))))</f>
        <v>Complete todas las preguntas</v>
      </c>
    </row>
    <row r="43" spans="1:23" x14ac:dyDescent="0.2">
      <c r="C43" s="82"/>
      <c r="D43" s="82"/>
      <c r="E43" s="82"/>
      <c r="F43" s="82"/>
      <c r="G43" s="82"/>
      <c r="H43" s="82"/>
      <c r="I43" s="82"/>
      <c r="J43" s="82"/>
      <c r="K43" s="82"/>
      <c r="L43" s="82"/>
      <c r="M43" s="82"/>
      <c r="N43" s="82"/>
      <c r="O43" s="82"/>
      <c r="P43" s="82"/>
      <c r="Q43" s="82"/>
      <c r="R43" s="82"/>
      <c r="S43" s="82"/>
      <c r="T43" s="82"/>
      <c r="U43" s="82"/>
    </row>
    <row r="44" spans="1:23" x14ac:dyDescent="0.2">
      <c r="C44" s="82"/>
      <c r="D44" s="82"/>
      <c r="E44" s="82"/>
      <c r="F44" s="82"/>
      <c r="G44" s="82"/>
      <c r="H44" s="82"/>
      <c r="I44" s="82"/>
      <c r="J44" s="82"/>
      <c r="K44" s="82"/>
      <c r="L44" s="82"/>
      <c r="M44" s="82"/>
      <c r="N44" s="82"/>
      <c r="O44" s="82"/>
      <c r="P44" s="82"/>
      <c r="Q44" s="82"/>
      <c r="R44" s="82"/>
      <c r="S44" s="82"/>
      <c r="T44" s="82"/>
      <c r="U44" s="82"/>
    </row>
    <row r="45" spans="1:23" x14ac:dyDescent="0.2">
      <c r="C45" s="82"/>
      <c r="D45" s="82"/>
      <c r="E45" s="82"/>
      <c r="F45" s="82"/>
      <c r="G45" s="82"/>
      <c r="H45" s="82"/>
      <c r="I45" s="82"/>
      <c r="J45" s="82"/>
      <c r="K45" s="82"/>
      <c r="L45" s="82"/>
      <c r="M45" s="82"/>
      <c r="N45" s="82"/>
      <c r="O45" s="82"/>
      <c r="P45" s="82"/>
      <c r="Q45" s="82"/>
      <c r="R45" s="82"/>
      <c r="S45" s="82"/>
      <c r="T45" s="82"/>
      <c r="U45" s="82"/>
    </row>
    <row r="46" spans="1:23" x14ac:dyDescent="0.2">
      <c r="C46" s="82"/>
      <c r="D46" s="82"/>
      <c r="E46" s="82"/>
      <c r="F46" s="82"/>
      <c r="G46" s="82"/>
      <c r="H46" s="82"/>
      <c r="I46" s="82"/>
      <c r="J46" s="82"/>
      <c r="K46" s="82"/>
      <c r="L46" s="82"/>
      <c r="M46" s="82"/>
      <c r="N46" s="82"/>
      <c r="O46" s="82"/>
      <c r="P46" s="82"/>
      <c r="Q46" s="82"/>
      <c r="R46" s="82"/>
      <c r="S46" s="82"/>
      <c r="T46" s="82"/>
      <c r="U46" s="82"/>
    </row>
    <row r="47" spans="1:23" x14ac:dyDescent="0.2">
      <c r="C47" s="82"/>
      <c r="D47" s="82"/>
      <c r="E47" s="82"/>
      <c r="F47" s="82"/>
      <c r="G47" s="82"/>
      <c r="H47" s="82"/>
      <c r="I47" s="82"/>
      <c r="J47" s="82"/>
      <c r="K47" s="82"/>
      <c r="L47" s="82"/>
      <c r="M47" s="82"/>
      <c r="N47" s="82"/>
      <c r="O47" s="82"/>
      <c r="P47" s="82"/>
      <c r="Q47" s="82"/>
      <c r="R47" s="82"/>
      <c r="S47" s="82"/>
      <c r="T47" s="82"/>
      <c r="U47" s="82"/>
    </row>
    <row r="48" spans="1:23" x14ac:dyDescent="0.2">
      <c r="C48" s="82"/>
      <c r="D48" s="82"/>
      <c r="E48" s="82"/>
      <c r="F48" s="82"/>
      <c r="G48" s="82"/>
      <c r="H48" s="82"/>
      <c r="I48" s="82"/>
      <c r="J48" s="82"/>
      <c r="K48" s="82"/>
      <c r="L48" s="82"/>
      <c r="M48" s="82"/>
      <c r="N48" s="82"/>
      <c r="O48" s="82"/>
      <c r="P48" s="82"/>
      <c r="Q48" s="82"/>
      <c r="R48" s="82"/>
      <c r="S48" s="82"/>
      <c r="T48" s="82"/>
      <c r="U48" s="82"/>
    </row>
    <row r="49" spans="3:21" x14ac:dyDescent="0.2">
      <c r="C49" s="82"/>
      <c r="D49" s="82"/>
      <c r="E49" s="82"/>
      <c r="F49" s="82"/>
      <c r="G49" s="82"/>
      <c r="H49" s="82"/>
      <c r="I49" s="82"/>
      <c r="J49" s="82"/>
      <c r="K49" s="82"/>
      <c r="L49" s="82"/>
      <c r="M49" s="82"/>
      <c r="N49" s="82"/>
      <c r="O49" s="82"/>
      <c r="P49" s="82"/>
      <c r="Q49" s="82"/>
      <c r="R49" s="82"/>
      <c r="S49" s="82"/>
      <c r="T49" s="82"/>
      <c r="U49" s="82"/>
    </row>
    <row r="50" spans="3:21" x14ac:dyDescent="0.2">
      <c r="C50" s="82"/>
      <c r="D50" s="82"/>
      <c r="E50" s="82"/>
      <c r="F50" s="82"/>
      <c r="G50" s="82"/>
      <c r="H50" s="82"/>
      <c r="I50" s="82"/>
      <c r="J50" s="82"/>
      <c r="K50" s="82"/>
      <c r="L50" s="82"/>
      <c r="M50" s="82"/>
      <c r="N50" s="82"/>
      <c r="O50" s="82"/>
      <c r="P50" s="82"/>
      <c r="Q50" s="82"/>
      <c r="R50" s="82"/>
      <c r="S50" s="82"/>
      <c r="T50" s="82"/>
      <c r="U50" s="82"/>
    </row>
    <row r="51" spans="3:21" x14ac:dyDescent="0.2">
      <c r="C51" s="82"/>
      <c r="D51" s="82"/>
      <c r="E51" s="82"/>
      <c r="F51" s="82"/>
      <c r="G51" s="82"/>
      <c r="H51" s="82"/>
      <c r="I51" s="82"/>
      <c r="J51" s="82"/>
      <c r="K51" s="82"/>
      <c r="L51" s="82"/>
      <c r="M51" s="82"/>
      <c r="N51" s="82"/>
      <c r="O51" s="82"/>
      <c r="P51" s="82"/>
      <c r="Q51" s="82"/>
      <c r="R51" s="82"/>
      <c r="S51" s="82"/>
      <c r="T51" s="82"/>
      <c r="U51" s="82"/>
    </row>
    <row r="52" spans="3:21" x14ac:dyDescent="0.2">
      <c r="C52" s="82"/>
      <c r="D52" s="82"/>
      <c r="E52" s="82"/>
      <c r="F52" s="82"/>
      <c r="G52" s="82"/>
      <c r="H52" s="82"/>
      <c r="I52" s="82"/>
      <c r="J52" s="82"/>
      <c r="K52" s="82"/>
      <c r="L52" s="82"/>
      <c r="M52" s="82"/>
      <c r="N52" s="82"/>
      <c r="O52" s="82"/>
      <c r="P52" s="82"/>
      <c r="Q52" s="82"/>
      <c r="R52" s="82"/>
      <c r="S52" s="82"/>
      <c r="T52" s="82"/>
      <c r="U52" s="82"/>
    </row>
    <row r="53" spans="3:21" x14ac:dyDescent="0.2">
      <c r="C53" s="82"/>
      <c r="D53" s="82"/>
      <c r="E53" s="82"/>
      <c r="F53" s="82"/>
      <c r="G53" s="82"/>
      <c r="H53" s="82"/>
      <c r="I53" s="82"/>
      <c r="J53" s="82"/>
      <c r="K53" s="82"/>
      <c r="L53" s="82"/>
      <c r="M53" s="82"/>
      <c r="N53" s="82"/>
      <c r="O53" s="82"/>
      <c r="P53" s="82"/>
      <c r="Q53" s="82"/>
      <c r="R53" s="82"/>
      <c r="S53" s="82"/>
      <c r="T53" s="82"/>
      <c r="U53" s="82"/>
    </row>
    <row r="54" spans="3:21" x14ac:dyDescent="0.2">
      <c r="C54" s="82"/>
      <c r="D54" s="82"/>
      <c r="E54" s="82"/>
      <c r="F54" s="82"/>
      <c r="G54" s="82"/>
      <c r="H54" s="82"/>
      <c r="I54" s="82"/>
      <c r="J54" s="82"/>
      <c r="K54" s="82"/>
      <c r="L54" s="82"/>
      <c r="M54" s="82"/>
      <c r="N54" s="82"/>
      <c r="O54" s="82"/>
      <c r="P54" s="82"/>
      <c r="Q54" s="82"/>
      <c r="R54" s="82"/>
      <c r="S54" s="82"/>
      <c r="T54" s="82"/>
      <c r="U54" s="82"/>
    </row>
    <row r="55" spans="3:21" x14ac:dyDescent="0.2">
      <c r="C55" s="82"/>
      <c r="D55" s="82"/>
      <c r="E55" s="82"/>
      <c r="F55" s="82"/>
      <c r="G55" s="82"/>
      <c r="H55" s="82"/>
      <c r="I55" s="82"/>
      <c r="J55" s="82"/>
      <c r="K55" s="82"/>
      <c r="L55" s="82"/>
      <c r="M55" s="82"/>
      <c r="N55" s="82"/>
      <c r="O55" s="82"/>
      <c r="P55" s="82"/>
      <c r="Q55" s="82"/>
      <c r="R55" s="82"/>
      <c r="S55" s="82"/>
      <c r="T55" s="82"/>
      <c r="U55" s="82"/>
    </row>
    <row r="56" spans="3:21" x14ac:dyDescent="0.2">
      <c r="C56" s="82"/>
      <c r="D56" s="82"/>
      <c r="E56" s="82"/>
      <c r="F56" s="82"/>
      <c r="G56" s="82"/>
      <c r="H56" s="82"/>
      <c r="I56" s="82"/>
      <c r="J56" s="82"/>
      <c r="K56" s="82"/>
      <c r="L56" s="82"/>
      <c r="M56" s="82"/>
      <c r="N56" s="82"/>
      <c r="O56" s="82"/>
      <c r="P56" s="82"/>
      <c r="Q56" s="82"/>
      <c r="R56" s="82"/>
      <c r="S56" s="82"/>
      <c r="T56" s="82"/>
      <c r="U56" s="82"/>
    </row>
    <row r="57" spans="3:21" x14ac:dyDescent="0.2">
      <c r="C57" s="82"/>
      <c r="D57" s="82"/>
      <c r="E57" s="82"/>
      <c r="F57" s="82"/>
      <c r="G57" s="82"/>
      <c r="H57" s="82"/>
      <c r="I57" s="82"/>
      <c r="J57" s="82"/>
      <c r="K57" s="82"/>
      <c r="L57" s="82"/>
      <c r="M57" s="82"/>
      <c r="N57" s="82"/>
      <c r="O57" s="82"/>
      <c r="P57" s="82"/>
      <c r="Q57" s="82"/>
      <c r="R57" s="82"/>
      <c r="S57" s="82"/>
      <c r="T57" s="82"/>
      <c r="U57" s="82"/>
    </row>
    <row r="58" spans="3:21" x14ac:dyDescent="0.2">
      <c r="C58" s="82"/>
      <c r="D58" s="82"/>
      <c r="E58" s="82"/>
      <c r="F58" s="82"/>
      <c r="G58" s="82"/>
      <c r="H58" s="82"/>
      <c r="I58" s="82"/>
      <c r="J58" s="82"/>
      <c r="K58" s="82"/>
      <c r="L58" s="82"/>
      <c r="M58" s="82"/>
      <c r="N58" s="82"/>
      <c r="O58" s="82"/>
      <c r="P58" s="82"/>
      <c r="Q58" s="82"/>
      <c r="R58" s="82"/>
      <c r="S58" s="82"/>
      <c r="T58" s="82"/>
      <c r="U58" s="82"/>
    </row>
    <row r="59" spans="3:21" x14ac:dyDescent="0.2">
      <c r="C59" s="82"/>
      <c r="D59" s="82"/>
      <c r="E59" s="82"/>
      <c r="F59" s="82"/>
      <c r="G59" s="82"/>
      <c r="H59" s="82"/>
      <c r="I59" s="82"/>
      <c r="J59" s="82"/>
      <c r="K59" s="82"/>
      <c r="L59" s="82"/>
      <c r="M59" s="82"/>
      <c r="N59" s="82"/>
      <c r="O59" s="82"/>
      <c r="P59" s="82"/>
      <c r="Q59" s="82"/>
      <c r="R59" s="82"/>
      <c r="S59" s="82"/>
      <c r="T59" s="82"/>
      <c r="U59" s="82"/>
    </row>
    <row r="60" spans="3:21" x14ac:dyDescent="0.2">
      <c r="C60" s="82"/>
      <c r="D60" s="82"/>
      <c r="E60" s="82"/>
      <c r="F60" s="82"/>
      <c r="G60" s="82"/>
      <c r="H60" s="82"/>
      <c r="I60" s="82"/>
      <c r="J60" s="82"/>
      <c r="K60" s="82"/>
      <c r="L60" s="82"/>
      <c r="M60" s="82"/>
      <c r="N60" s="82"/>
      <c r="O60" s="82"/>
      <c r="P60" s="82"/>
      <c r="Q60" s="82"/>
      <c r="R60" s="82"/>
      <c r="S60" s="82"/>
      <c r="T60" s="82"/>
      <c r="U60" s="82"/>
    </row>
    <row r="61" spans="3:21" x14ac:dyDescent="0.2">
      <c r="C61" s="82"/>
      <c r="D61" s="82"/>
      <c r="E61" s="82"/>
      <c r="F61" s="82"/>
      <c r="G61" s="82"/>
      <c r="H61" s="82"/>
      <c r="I61" s="82"/>
      <c r="J61" s="82"/>
      <c r="K61" s="82"/>
      <c r="L61" s="82"/>
      <c r="M61" s="82"/>
      <c r="N61" s="82"/>
      <c r="O61" s="82"/>
      <c r="P61" s="82"/>
      <c r="Q61" s="82"/>
      <c r="R61" s="82"/>
      <c r="S61" s="82"/>
      <c r="T61" s="82"/>
      <c r="U61" s="82"/>
    </row>
    <row r="62" spans="3:21" x14ac:dyDescent="0.2">
      <c r="C62" s="82"/>
      <c r="D62" s="82"/>
      <c r="E62" s="82"/>
      <c r="F62" s="82"/>
      <c r="G62" s="82"/>
      <c r="H62" s="82"/>
      <c r="I62" s="82"/>
      <c r="J62" s="82"/>
      <c r="K62" s="82"/>
      <c r="L62" s="82"/>
      <c r="M62" s="82"/>
      <c r="N62" s="82"/>
      <c r="O62" s="82"/>
      <c r="P62" s="82"/>
      <c r="Q62" s="82"/>
      <c r="R62" s="82"/>
      <c r="S62" s="82"/>
      <c r="T62" s="82"/>
      <c r="U62" s="82"/>
    </row>
    <row r="63" spans="3:21" x14ac:dyDescent="0.2">
      <c r="C63" s="82"/>
      <c r="D63" s="82"/>
      <c r="E63" s="82"/>
      <c r="F63" s="82"/>
      <c r="G63" s="82"/>
      <c r="H63" s="82"/>
      <c r="I63" s="82"/>
      <c r="J63" s="82"/>
      <c r="K63" s="82"/>
      <c r="L63" s="82"/>
      <c r="M63" s="82"/>
      <c r="N63" s="82"/>
      <c r="O63" s="82"/>
      <c r="P63" s="82"/>
      <c r="Q63" s="82"/>
      <c r="R63" s="82"/>
      <c r="S63" s="82"/>
      <c r="T63" s="82"/>
      <c r="U63" s="82"/>
    </row>
    <row r="64" spans="3:21" x14ac:dyDescent="0.2">
      <c r="C64" s="82"/>
      <c r="D64" s="82"/>
      <c r="E64" s="82"/>
      <c r="F64" s="82"/>
      <c r="G64" s="82"/>
      <c r="H64" s="82"/>
      <c r="I64" s="82"/>
      <c r="J64" s="82"/>
      <c r="K64" s="82"/>
      <c r="L64" s="82"/>
      <c r="M64" s="82"/>
      <c r="N64" s="82"/>
      <c r="O64" s="82"/>
      <c r="P64" s="82"/>
      <c r="Q64" s="82"/>
      <c r="R64" s="82"/>
      <c r="S64" s="82"/>
      <c r="T64" s="82"/>
      <c r="U64" s="82"/>
    </row>
    <row r="65" spans="3:21" x14ac:dyDescent="0.2">
      <c r="C65" s="82"/>
      <c r="D65" s="82"/>
      <c r="E65" s="82"/>
      <c r="F65" s="82"/>
      <c r="G65" s="82"/>
      <c r="H65" s="82"/>
      <c r="I65" s="82"/>
      <c r="J65" s="82"/>
      <c r="K65" s="82"/>
      <c r="L65" s="82"/>
      <c r="M65" s="82"/>
      <c r="N65" s="82"/>
      <c r="O65" s="82"/>
      <c r="P65" s="82"/>
      <c r="Q65" s="82"/>
      <c r="R65" s="82"/>
      <c r="S65" s="82"/>
      <c r="T65" s="82"/>
      <c r="U65" s="82"/>
    </row>
    <row r="66" spans="3:21" x14ac:dyDescent="0.2">
      <c r="C66" s="82"/>
      <c r="D66" s="82"/>
      <c r="E66" s="82"/>
      <c r="F66" s="82"/>
      <c r="G66" s="82"/>
      <c r="H66" s="82"/>
      <c r="I66" s="82"/>
      <c r="J66" s="82"/>
      <c r="K66" s="82"/>
      <c r="L66" s="82"/>
      <c r="M66" s="82"/>
      <c r="N66" s="82"/>
      <c r="O66" s="82"/>
      <c r="P66" s="82"/>
      <c r="Q66" s="82"/>
      <c r="R66" s="82"/>
      <c r="S66" s="82"/>
      <c r="T66" s="82"/>
      <c r="U66" s="82"/>
    </row>
    <row r="67" spans="3:21" x14ac:dyDescent="0.2">
      <c r="C67" s="82"/>
      <c r="D67" s="82"/>
      <c r="E67" s="82"/>
      <c r="F67" s="82"/>
      <c r="G67" s="82"/>
      <c r="H67" s="82"/>
      <c r="I67" s="82"/>
      <c r="J67" s="82"/>
      <c r="K67" s="82"/>
      <c r="L67" s="82"/>
      <c r="M67" s="82"/>
      <c r="N67" s="82"/>
      <c r="O67" s="82"/>
      <c r="P67" s="82"/>
      <c r="Q67" s="82"/>
      <c r="R67" s="82"/>
      <c r="S67" s="82"/>
      <c r="T67" s="82"/>
      <c r="U67" s="82"/>
    </row>
    <row r="68" spans="3:21" x14ac:dyDescent="0.2">
      <c r="C68" s="82"/>
      <c r="D68" s="82"/>
      <c r="E68" s="82"/>
      <c r="F68" s="82"/>
      <c r="G68" s="82"/>
      <c r="H68" s="82"/>
      <c r="I68" s="82"/>
      <c r="J68" s="82"/>
      <c r="K68" s="82"/>
      <c r="L68" s="82"/>
      <c r="M68" s="82"/>
      <c r="N68" s="82"/>
      <c r="O68" s="82"/>
      <c r="P68" s="82"/>
      <c r="Q68" s="82"/>
      <c r="R68" s="82"/>
      <c r="S68" s="82"/>
      <c r="T68" s="82"/>
      <c r="U68" s="82"/>
    </row>
    <row r="69" spans="3:21" x14ac:dyDescent="0.2">
      <c r="C69" s="82"/>
      <c r="D69" s="82"/>
      <c r="E69" s="82"/>
      <c r="F69" s="82"/>
      <c r="G69" s="82"/>
      <c r="H69" s="82"/>
      <c r="I69" s="82"/>
      <c r="J69" s="82"/>
      <c r="K69" s="82"/>
      <c r="L69" s="82"/>
      <c r="M69" s="82"/>
      <c r="N69" s="82"/>
      <c r="O69" s="82"/>
      <c r="P69" s="82"/>
      <c r="Q69" s="82"/>
      <c r="R69" s="82"/>
      <c r="S69" s="82"/>
      <c r="T69" s="82"/>
      <c r="U69" s="82"/>
    </row>
    <row r="70" spans="3:21" x14ac:dyDescent="0.2">
      <c r="C70" s="82"/>
      <c r="D70" s="82"/>
      <c r="E70" s="82"/>
      <c r="F70" s="82"/>
      <c r="G70" s="82"/>
      <c r="H70" s="82"/>
      <c r="I70" s="82"/>
      <c r="J70" s="82"/>
      <c r="K70" s="82"/>
      <c r="L70" s="82"/>
      <c r="M70" s="82"/>
      <c r="N70" s="82"/>
      <c r="O70" s="82"/>
      <c r="P70" s="82"/>
      <c r="Q70" s="82"/>
      <c r="R70" s="82"/>
      <c r="S70" s="82"/>
      <c r="T70" s="82"/>
      <c r="U70" s="82"/>
    </row>
    <row r="71" spans="3:21" x14ac:dyDescent="0.2">
      <c r="C71" s="82"/>
      <c r="D71" s="82"/>
      <c r="E71" s="82"/>
      <c r="F71" s="82"/>
      <c r="G71" s="82"/>
      <c r="H71" s="82"/>
      <c r="I71" s="82"/>
      <c r="J71" s="82"/>
      <c r="K71" s="82"/>
      <c r="L71" s="82"/>
      <c r="M71" s="82"/>
      <c r="N71" s="82"/>
      <c r="O71" s="82"/>
      <c r="P71" s="82"/>
      <c r="Q71" s="82"/>
      <c r="R71" s="82"/>
      <c r="S71" s="82"/>
      <c r="T71" s="82"/>
      <c r="U71" s="82"/>
    </row>
    <row r="72" spans="3:21" x14ac:dyDescent="0.2">
      <c r="C72" s="82"/>
      <c r="D72" s="82"/>
      <c r="E72" s="82"/>
      <c r="F72" s="82"/>
      <c r="G72" s="82"/>
      <c r="H72" s="82"/>
      <c r="I72" s="82"/>
      <c r="J72" s="82"/>
      <c r="K72" s="82"/>
      <c r="L72" s="82"/>
      <c r="M72" s="82"/>
      <c r="N72" s="82"/>
      <c r="O72" s="82"/>
      <c r="P72" s="82"/>
      <c r="Q72" s="82"/>
      <c r="R72" s="82"/>
      <c r="S72" s="82"/>
      <c r="T72" s="82"/>
      <c r="U72" s="82"/>
    </row>
    <row r="73" spans="3:21" x14ac:dyDescent="0.2">
      <c r="C73" s="82"/>
      <c r="D73" s="82"/>
      <c r="E73" s="82"/>
      <c r="F73" s="82"/>
      <c r="G73" s="82"/>
      <c r="H73" s="82"/>
      <c r="I73" s="82"/>
      <c r="J73" s="82"/>
      <c r="K73" s="82"/>
      <c r="L73" s="82"/>
      <c r="M73" s="82"/>
      <c r="N73" s="82"/>
      <c r="O73" s="82"/>
      <c r="P73" s="82"/>
      <c r="Q73" s="82"/>
      <c r="R73" s="82"/>
      <c r="S73" s="82"/>
      <c r="T73" s="82"/>
      <c r="U73" s="82"/>
    </row>
    <row r="74" spans="3:21" x14ac:dyDescent="0.2">
      <c r="C74" s="82"/>
      <c r="D74" s="82"/>
      <c r="E74" s="82"/>
      <c r="F74" s="82"/>
      <c r="G74" s="82"/>
      <c r="H74" s="82"/>
      <c r="I74" s="82"/>
      <c r="J74" s="82"/>
      <c r="K74" s="82"/>
      <c r="L74" s="82"/>
      <c r="M74" s="82"/>
      <c r="N74" s="82"/>
      <c r="O74" s="82"/>
      <c r="P74" s="82"/>
      <c r="Q74" s="82"/>
      <c r="R74" s="82"/>
      <c r="S74" s="82"/>
      <c r="T74" s="82"/>
      <c r="U74" s="82"/>
    </row>
    <row r="75" spans="3:21" x14ac:dyDescent="0.2">
      <c r="C75" s="82"/>
      <c r="D75" s="82"/>
      <c r="E75" s="82"/>
      <c r="F75" s="82"/>
      <c r="G75" s="82"/>
      <c r="H75" s="82"/>
      <c r="I75" s="82"/>
      <c r="J75" s="82"/>
      <c r="K75" s="82"/>
      <c r="L75" s="82"/>
      <c r="M75" s="82"/>
      <c r="N75" s="82"/>
      <c r="O75" s="82"/>
      <c r="P75" s="82"/>
      <c r="Q75" s="82"/>
      <c r="R75" s="82"/>
      <c r="S75" s="82"/>
      <c r="T75" s="82"/>
      <c r="U75" s="82"/>
    </row>
    <row r="76" spans="3:21" x14ac:dyDescent="0.2">
      <c r="C76" s="82"/>
      <c r="D76" s="82"/>
      <c r="E76" s="82"/>
      <c r="F76" s="82"/>
      <c r="G76" s="82"/>
      <c r="H76" s="82"/>
      <c r="I76" s="82"/>
      <c r="J76" s="82"/>
      <c r="K76" s="82"/>
      <c r="L76" s="82"/>
      <c r="M76" s="82"/>
      <c r="N76" s="82"/>
      <c r="O76" s="82"/>
      <c r="P76" s="82"/>
      <c r="Q76" s="82"/>
      <c r="R76" s="82"/>
      <c r="S76" s="82"/>
      <c r="T76" s="82"/>
      <c r="U76" s="82"/>
    </row>
    <row r="77" spans="3:21" x14ac:dyDescent="0.2">
      <c r="C77" s="82"/>
      <c r="D77" s="82"/>
      <c r="E77" s="82"/>
      <c r="F77" s="82"/>
      <c r="G77" s="82"/>
      <c r="H77" s="82"/>
      <c r="I77" s="82"/>
      <c r="J77" s="82"/>
      <c r="K77" s="82"/>
      <c r="L77" s="82"/>
      <c r="M77" s="82"/>
      <c r="N77" s="82"/>
      <c r="O77" s="82"/>
      <c r="P77" s="82"/>
      <c r="Q77" s="82"/>
      <c r="R77" s="82"/>
      <c r="S77" s="82"/>
      <c r="T77" s="82"/>
      <c r="U77" s="82"/>
    </row>
    <row r="78" spans="3:21" x14ac:dyDescent="0.2">
      <c r="C78" s="82"/>
      <c r="D78" s="82"/>
      <c r="E78" s="82"/>
      <c r="F78" s="82"/>
      <c r="G78" s="82"/>
      <c r="H78" s="82"/>
      <c r="I78" s="82"/>
      <c r="J78" s="82"/>
      <c r="K78" s="82"/>
      <c r="L78" s="82"/>
      <c r="M78" s="82"/>
      <c r="N78" s="82"/>
      <c r="O78" s="82"/>
      <c r="P78" s="82"/>
      <c r="Q78" s="82"/>
      <c r="R78" s="82"/>
      <c r="S78" s="82"/>
      <c r="T78" s="82"/>
      <c r="U78" s="82"/>
    </row>
    <row r="79" spans="3:21" x14ac:dyDescent="0.2">
      <c r="C79" s="82"/>
      <c r="D79" s="82"/>
      <c r="E79" s="82"/>
      <c r="F79" s="82"/>
      <c r="G79" s="82"/>
      <c r="H79" s="82"/>
      <c r="I79" s="82"/>
      <c r="J79" s="82"/>
      <c r="K79" s="82"/>
      <c r="L79" s="82"/>
      <c r="M79" s="82"/>
      <c r="N79" s="82"/>
      <c r="O79" s="82"/>
      <c r="P79" s="82"/>
      <c r="Q79" s="82"/>
      <c r="R79" s="82"/>
      <c r="S79" s="82"/>
      <c r="T79" s="82"/>
      <c r="U79" s="82"/>
    </row>
    <row r="80" spans="3:21" x14ac:dyDescent="0.2">
      <c r="C80" s="82"/>
      <c r="D80" s="82"/>
      <c r="E80" s="82"/>
      <c r="F80" s="82"/>
      <c r="G80" s="82"/>
      <c r="H80" s="82"/>
      <c r="I80" s="82"/>
      <c r="J80" s="82"/>
      <c r="K80" s="82"/>
      <c r="L80" s="82"/>
      <c r="M80" s="82"/>
      <c r="N80" s="82"/>
      <c r="O80" s="82"/>
      <c r="P80" s="82"/>
      <c r="Q80" s="82"/>
      <c r="R80" s="82"/>
      <c r="S80" s="82"/>
      <c r="T80" s="82"/>
      <c r="U80" s="82"/>
    </row>
    <row r="81" spans="3:21" x14ac:dyDescent="0.2">
      <c r="C81" s="82"/>
      <c r="D81" s="82"/>
      <c r="E81" s="82"/>
      <c r="F81" s="82"/>
      <c r="G81" s="82"/>
      <c r="H81" s="82"/>
      <c r="I81" s="82"/>
      <c r="J81" s="82"/>
      <c r="K81" s="82"/>
      <c r="L81" s="82"/>
      <c r="M81" s="82"/>
      <c r="N81" s="82"/>
      <c r="O81" s="82"/>
      <c r="P81" s="82"/>
      <c r="Q81" s="82"/>
      <c r="R81" s="82"/>
      <c r="S81" s="82"/>
      <c r="T81" s="82"/>
      <c r="U81" s="82"/>
    </row>
    <row r="82" spans="3:21" x14ac:dyDescent="0.2">
      <c r="C82" s="82"/>
      <c r="D82" s="82"/>
      <c r="E82" s="82"/>
      <c r="F82" s="82"/>
      <c r="G82" s="82"/>
      <c r="H82" s="82"/>
      <c r="I82" s="82"/>
      <c r="J82" s="82"/>
      <c r="K82" s="82"/>
      <c r="L82" s="82"/>
      <c r="M82" s="82"/>
      <c r="N82" s="82"/>
      <c r="O82" s="82"/>
      <c r="P82" s="82"/>
      <c r="Q82" s="82"/>
      <c r="R82" s="82"/>
      <c r="S82" s="82"/>
      <c r="T82" s="82"/>
      <c r="U82" s="82"/>
    </row>
    <row r="83" spans="3:21" x14ac:dyDescent="0.2">
      <c r="C83" s="82"/>
      <c r="D83" s="82"/>
      <c r="E83" s="82"/>
      <c r="F83" s="82"/>
      <c r="G83" s="82"/>
      <c r="H83" s="82"/>
      <c r="I83" s="82"/>
      <c r="J83" s="82"/>
      <c r="K83" s="82"/>
      <c r="L83" s="82"/>
      <c r="M83" s="82"/>
      <c r="N83" s="82"/>
      <c r="O83" s="82"/>
      <c r="P83" s="82"/>
      <c r="Q83" s="82"/>
      <c r="R83" s="82"/>
      <c r="S83" s="82"/>
      <c r="T83" s="82"/>
      <c r="U83" s="82"/>
    </row>
    <row r="84" spans="3:21" x14ac:dyDescent="0.2">
      <c r="C84" s="82"/>
      <c r="D84" s="82"/>
      <c r="E84" s="82"/>
      <c r="F84" s="82"/>
      <c r="G84" s="82"/>
      <c r="H84" s="82"/>
      <c r="I84" s="82"/>
      <c r="J84" s="82"/>
      <c r="K84" s="82"/>
      <c r="L84" s="82"/>
      <c r="M84" s="82"/>
      <c r="N84" s="82"/>
      <c r="O84" s="82"/>
      <c r="P84" s="82"/>
      <c r="Q84" s="82"/>
      <c r="R84" s="82"/>
      <c r="S84" s="82"/>
      <c r="T84" s="82"/>
      <c r="U84" s="82"/>
    </row>
    <row r="85" spans="3:21" x14ac:dyDescent="0.2">
      <c r="C85" s="82"/>
      <c r="D85" s="82"/>
      <c r="E85" s="82"/>
      <c r="F85" s="82"/>
      <c r="G85" s="82"/>
      <c r="H85" s="82"/>
      <c r="I85" s="82"/>
      <c r="J85" s="82"/>
      <c r="K85" s="82"/>
      <c r="L85" s="82"/>
      <c r="M85" s="82"/>
      <c r="N85" s="82"/>
      <c r="O85" s="82"/>
      <c r="P85" s="82"/>
      <c r="Q85" s="82"/>
      <c r="R85" s="82"/>
      <c r="S85" s="82"/>
      <c r="T85" s="82"/>
      <c r="U85" s="82"/>
    </row>
    <row r="86" spans="3:21" x14ac:dyDescent="0.2">
      <c r="C86" s="82"/>
      <c r="D86" s="82"/>
      <c r="E86" s="82"/>
      <c r="F86" s="82"/>
      <c r="G86" s="82"/>
      <c r="H86" s="82"/>
      <c r="I86" s="82"/>
      <c r="J86" s="82"/>
      <c r="K86" s="82"/>
      <c r="L86" s="82"/>
      <c r="M86" s="82"/>
      <c r="N86" s="82"/>
      <c r="O86" s="82"/>
      <c r="P86" s="82"/>
      <c r="Q86" s="82"/>
      <c r="R86" s="82"/>
      <c r="S86" s="82"/>
      <c r="T86" s="82"/>
      <c r="U86" s="82"/>
    </row>
    <row r="87" spans="3:21" x14ac:dyDescent="0.2">
      <c r="C87" s="82"/>
      <c r="D87" s="82"/>
      <c r="E87" s="82"/>
      <c r="F87" s="82"/>
      <c r="G87" s="82"/>
      <c r="H87" s="82"/>
      <c r="I87" s="82"/>
      <c r="J87" s="82"/>
      <c r="K87" s="82"/>
      <c r="L87" s="82"/>
      <c r="M87" s="82"/>
      <c r="N87" s="82"/>
      <c r="O87" s="82"/>
      <c r="P87" s="82"/>
      <c r="Q87" s="82"/>
      <c r="R87" s="82"/>
      <c r="S87" s="82"/>
      <c r="T87" s="82"/>
      <c r="U87" s="82"/>
    </row>
    <row r="88" spans="3:21" x14ac:dyDescent="0.2">
      <c r="C88" s="82"/>
      <c r="D88" s="82"/>
      <c r="E88" s="82"/>
      <c r="F88" s="82"/>
      <c r="G88" s="82"/>
      <c r="H88" s="82"/>
      <c r="I88" s="82"/>
      <c r="J88" s="82"/>
      <c r="K88" s="82"/>
      <c r="L88" s="82"/>
      <c r="M88" s="82"/>
      <c r="N88" s="82"/>
      <c r="O88" s="82"/>
      <c r="P88" s="82"/>
      <c r="Q88" s="82"/>
      <c r="R88" s="82"/>
      <c r="S88" s="82"/>
      <c r="T88" s="82"/>
      <c r="U88" s="82"/>
    </row>
    <row r="89" spans="3:21" x14ac:dyDescent="0.2">
      <c r="C89" s="82"/>
      <c r="D89" s="82"/>
      <c r="E89" s="82"/>
      <c r="F89" s="82"/>
      <c r="G89" s="82"/>
      <c r="H89" s="82"/>
      <c r="I89" s="82"/>
      <c r="J89" s="82"/>
      <c r="K89" s="82"/>
      <c r="L89" s="82"/>
      <c r="M89" s="82"/>
      <c r="N89" s="82"/>
      <c r="O89" s="82"/>
      <c r="P89" s="82"/>
      <c r="Q89" s="82"/>
      <c r="R89" s="82"/>
      <c r="S89" s="82"/>
      <c r="T89" s="82"/>
      <c r="U89" s="82"/>
    </row>
    <row r="90" spans="3:21" x14ac:dyDescent="0.2">
      <c r="C90" s="82"/>
      <c r="D90" s="82"/>
      <c r="E90" s="82"/>
      <c r="F90" s="82"/>
      <c r="G90" s="82"/>
      <c r="H90" s="82"/>
      <c r="I90" s="82"/>
      <c r="J90" s="82"/>
      <c r="K90" s="82"/>
      <c r="L90" s="82"/>
      <c r="M90" s="82"/>
      <c r="N90" s="82"/>
      <c r="O90" s="82"/>
      <c r="P90" s="82"/>
      <c r="Q90" s="82"/>
      <c r="R90" s="82"/>
      <c r="S90" s="82"/>
      <c r="T90" s="82"/>
      <c r="U90" s="82"/>
    </row>
    <row r="91" spans="3:21" x14ac:dyDescent="0.2">
      <c r="C91" s="82"/>
      <c r="D91" s="82"/>
      <c r="E91" s="82"/>
      <c r="F91" s="82"/>
      <c r="G91" s="82"/>
      <c r="H91" s="82"/>
      <c r="I91" s="82"/>
      <c r="J91" s="82"/>
      <c r="K91" s="82"/>
      <c r="L91" s="82"/>
      <c r="M91" s="82"/>
      <c r="N91" s="82"/>
      <c r="O91" s="82"/>
      <c r="P91" s="82"/>
      <c r="Q91" s="82"/>
      <c r="R91" s="82"/>
      <c r="S91" s="82"/>
      <c r="T91" s="82"/>
      <c r="U91" s="82"/>
    </row>
    <row r="92" spans="3:21" x14ac:dyDescent="0.2">
      <c r="C92" s="82"/>
      <c r="D92" s="82"/>
      <c r="E92" s="82"/>
      <c r="F92" s="82"/>
      <c r="G92" s="82"/>
      <c r="H92" s="82"/>
      <c r="I92" s="82"/>
      <c r="J92" s="82"/>
      <c r="K92" s="82"/>
      <c r="L92" s="82"/>
      <c r="M92" s="82"/>
      <c r="N92" s="82"/>
      <c r="O92" s="82"/>
      <c r="P92" s="82"/>
      <c r="Q92" s="82"/>
      <c r="R92" s="82"/>
      <c r="S92" s="82"/>
      <c r="T92" s="82"/>
      <c r="U92" s="82"/>
    </row>
    <row r="93" spans="3:21" x14ac:dyDescent="0.2">
      <c r="C93" s="82"/>
      <c r="D93" s="82"/>
      <c r="E93" s="82"/>
      <c r="F93" s="82"/>
      <c r="G93" s="82"/>
      <c r="H93" s="82"/>
      <c r="I93" s="82"/>
      <c r="J93" s="82"/>
      <c r="K93" s="82"/>
      <c r="L93" s="82"/>
      <c r="M93" s="82"/>
      <c r="N93" s="82"/>
      <c r="O93" s="82"/>
      <c r="P93" s="82"/>
      <c r="Q93" s="82"/>
      <c r="R93" s="82"/>
      <c r="S93" s="82"/>
      <c r="T93" s="82"/>
      <c r="U93" s="82"/>
    </row>
    <row r="94" spans="3:21" x14ac:dyDescent="0.2">
      <c r="C94" s="82"/>
      <c r="D94" s="82"/>
      <c r="E94" s="82"/>
      <c r="F94" s="82"/>
      <c r="G94" s="82"/>
      <c r="H94" s="82"/>
      <c r="I94" s="82"/>
      <c r="J94" s="82"/>
      <c r="K94" s="82"/>
      <c r="L94" s="82"/>
      <c r="M94" s="82"/>
      <c r="N94" s="82"/>
      <c r="O94" s="82"/>
      <c r="P94" s="82"/>
      <c r="Q94" s="82"/>
      <c r="R94" s="82"/>
      <c r="S94" s="82"/>
      <c r="T94" s="82"/>
      <c r="U94" s="82"/>
    </row>
    <row r="95" spans="3:21" x14ac:dyDescent="0.2">
      <c r="C95" s="82"/>
      <c r="D95" s="82"/>
      <c r="E95" s="82"/>
      <c r="F95" s="82"/>
      <c r="G95" s="82"/>
      <c r="H95" s="82"/>
      <c r="I95" s="82"/>
      <c r="J95" s="82"/>
      <c r="K95" s="82"/>
      <c r="L95" s="82"/>
      <c r="M95" s="82"/>
      <c r="N95" s="82"/>
      <c r="O95" s="82"/>
      <c r="P95" s="82"/>
      <c r="Q95" s="82"/>
      <c r="R95" s="82"/>
      <c r="S95" s="82"/>
      <c r="T95" s="82"/>
      <c r="U95" s="82"/>
    </row>
    <row r="96" spans="3:21" x14ac:dyDescent="0.2">
      <c r="C96" s="82"/>
      <c r="D96" s="82"/>
      <c r="E96" s="82"/>
      <c r="F96" s="82"/>
      <c r="G96" s="82"/>
      <c r="H96" s="82"/>
      <c r="I96" s="82"/>
      <c r="J96" s="82"/>
      <c r="K96" s="82"/>
      <c r="L96" s="82"/>
      <c r="M96" s="82"/>
      <c r="N96" s="82"/>
      <c r="O96" s="82"/>
      <c r="P96" s="82"/>
      <c r="Q96" s="82"/>
      <c r="R96" s="82"/>
      <c r="S96" s="82"/>
      <c r="T96" s="82"/>
      <c r="U96" s="82"/>
    </row>
    <row r="97" spans="3:21" x14ac:dyDescent="0.2">
      <c r="C97" s="82"/>
      <c r="D97" s="82"/>
      <c r="E97" s="82"/>
      <c r="F97" s="82"/>
      <c r="G97" s="82"/>
      <c r="H97" s="82"/>
      <c r="I97" s="82"/>
      <c r="J97" s="82"/>
      <c r="K97" s="82"/>
      <c r="L97" s="82"/>
      <c r="M97" s="82"/>
      <c r="N97" s="82"/>
      <c r="O97" s="82"/>
      <c r="P97" s="82"/>
      <c r="Q97" s="82"/>
      <c r="R97" s="82"/>
      <c r="S97" s="82"/>
      <c r="T97" s="82"/>
      <c r="U97" s="82"/>
    </row>
    <row r="98" spans="3:21" x14ac:dyDescent="0.2">
      <c r="C98" s="82"/>
      <c r="D98" s="82"/>
      <c r="E98" s="82"/>
      <c r="F98" s="82"/>
      <c r="G98" s="82"/>
      <c r="H98" s="82"/>
      <c r="I98" s="82"/>
      <c r="J98" s="82"/>
      <c r="K98" s="82"/>
      <c r="L98" s="82"/>
      <c r="M98" s="82"/>
      <c r="N98" s="82"/>
      <c r="O98" s="82"/>
      <c r="P98" s="82"/>
      <c r="Q98" s="82"/>
      <c r="R98" s="82"/>
      <c r="S98" s="82"/>
      <c r="T98" s="82"/>
      <c r="U98" s="82"/>
    </row>
    <row r="99" spans="3:21" x14ac:dyDescent="0.2">
      <c r="C99" s="82"/>
      <c r="D99" s="82"/>
      <c r="E99" s="82"/>
      <c r="F99" s="82"/>
      <c r="G99" s="82"/>
      <c r="H99" s="82"/>
      <c r="I99" s="82"/>
      <c r="J99" s="82"/>
      <c r="K99" s="82"/>
      <c r="L99" s="82"/>
      <c r="M99" s="82"/>
      <c r="N99" s="82"/>
      <c r="O99" s="82"/>
      <c r="P99" s="82"/>
      <c r="Q99" s="82"/>
      <c r="R99" s="82"/>
      <c r="S99" s="82"/>
      <c r="T99" s="82"/>
      <c r="U99" s="82"/>
    </row>
    <row r="100" spans="3:21" x14ac:dyDescent="0.2">
      <c r="C100" s="82"/>
      <c r="D100" s="82"/>
      <c r="E100" s="82"/>
      <c r="F100" s="82"/>
      <c r="G100" s="82"/>
      <c r="H100" s="82"/>
      <c r="I100" s="82"/>
      <c r="J100" s="82"/>
      <c r="K100" s="82"/>
      <c r="L100" s="82"/>
      <c r="M100" s="82"/>
      <c r="N100" s="82"/>
      <c r="O100" s="82"/>
      <c r="P100" s="82"/>
      <c r="Q100" s="82"/>
      <c r="R100" s="82"/>
      <c r="S100" s="82"/>
      <c r="T100" s="82"/>
      <c r="U100" s="82"/>
    </row>
    <row r="101" spans="3:21" x14ac:dyDescent="0.2">
      <c r="C101" s="82"/>
      <c r="D101" s="82"/>
      <c r="E101" s="82"/>
      <c r="F101" s="82"/>
      <c r="G101" s="82"/>
      <c r="H101" s="82"/>
      <c r="I101" s="82"/>
      <c r="J101" s="82"/>
      <c r="K101" s="82"/>
      <c r="L101" s="82"/>
      <c r="M101" s="82"/>
      <c r="N101" s="82"/>
      <c r="O101" s="82"/>
      <c r="P101" s="82"/>
      <c r="Q101" s="82"/>
      <c r="R101" s="82"/>
      <c r="S101" s="82"/>
      <c r="T101" s="82"/>
      <c r="U101" s="82"/>
    </row>
    <row r="102" spans="3:21" x14ac:dyDescent="0.2">
      <c r="C102" s="82"/>
      <c r="D102" s="82"/>
      <c r="E102" s="82"/>
      <c r="F102" s="82"/>
      <c r="G102" s="82"/>
      <c r="H102" s="82"/>
      <c r="I102" s="82"/>
      <c r="J102" s="82"/>
      <c r="K102" s="82"/>
      <c r="L102" s="82"/>
      <c r="M102" s="82"/>
      <c r="N102" s="82"/>
      <c r="O102" s="82"/>
      <c r="P102" s="82"/>
      <c r="Q102" s="82"/>
      <c r="R102" s="82"/>
      <c r="S102" s="82"/>
      <c r="T102" s="82"/>
      <c r="U102" s="82"/>
    </row>
    <row r="103" spans="3:21" x14ac:dyDescent="0.2">
      <c r="C103" s="82"/>
      <c r="D103" s="82"/>
      <c r="E103" s="82"/>
      <c r="F103" s="82"/>
      <c r="G103" s="82"/>
      <c r="H103" s="82"/>
      <c r="I103" s="82"/>
      <c r="J103" s="82"/>
      <c r="K103" s="82"/>
      <c r="L103" s="82"/>
      <c r="M103" s="82"/>
      <c r="N103" s="82"/>
      <c r="O103" s="82"/>
      <c r="P103" s="82"/>
      <c r="Q103" s="82"/>
      <c r="R103" s="82"/>
      <c r="S103" s="82"/>
      <c r="T103" s="82"/>
      <c r="U103" s="82"/>
    </row>
    <row r="104" spans="3:21" x14ac:dyDescent="0.2">
      <c r="C104" s="82"/>
      <c r="D104" s="82"/>
      <c r="E104" s="82"/>
      <c r="F104" s="82"/>
      <c r="G104" s="82"/>
      <c r="H104" s="82"/>
      <c r="I104" s="82"/>
      <c r="J104" s="82"/>
      <c r="K104" s="82"/>
      <c r="L104" s="82"/>
      <c r="M104" s="82"/>
      <c r="N104" s="82"/>
      <c r="O104" s="82"/>
      <c r="P104" s="82"/>
      <c r="Q104" s="82"/>
      <c r="R104" s="82"/>
      <c r="S104" s="82"/>
      <c r="T104" s="82"/>
      <c r="U104" s="82"/>
    </row>
    <row r="105" spans="3:21" x14ac:dyDescent="0.2">
      <c r="C105" s="82"/>
      <c r="D105" s="82"/>
      <c r="E105" s="82"/>
      <c r="F105" s="82"/>
      <c r="G105" s="82"/>
      <c r="H105" s="82"/>
      <c r="I105" s="82"/>
      <c r="J105" s="82"/>
      <c r="K105" s="82"/>
      <c r="L105" s="82"/>
      <c r="M105" s="82"/>
      <c r="N105" s="82"/>
      <c r="O105" s="82"/>
      <c r="P105" s="82"/>
      <c r="Q105" s="82"/>
      <c r="R105" s="82"/>
      <c r="S105" s="82"/>
      <c r="T105" s="82"/>
      <c r="U105" s="82"/>
    </row>
    <row r="106" spans="3:21" x14ac:dyDescent="0.2">
      <c r="C106" s="82"/>
      <c r="D106" s="82"/>
      <c r="E106" s="82"/>
      <c r="F106" s="82"/>
      <c r="G106" s="82"/>
      <c r="H106" s="82"/>
      <c r="I106" s="82"/>
      <c r="J106" s="82"/>
      <c r="K106" s="82"/>
      <c r="L106" s="82"/>
      <c r="M106" s="82"/>
      <c r="N106" s="82"/>
      <c r="O106" s="82"/>
      <c r="P106" s="82"/>
      <c r="Q106" s="82"/>
      <c r="R106" s="82"/>
      <c r="S106" s="82"/>
      <c r="T106" s="82"/>
      <c r="U106" s="82"/>
    </row>
    <row r="107" spans="3:21" x14ac:dyDescent="0.2">
      <c r="C107" s="82"/>
      <c r="D107" s="82"/>
      <c r="E107" s="82"/>
      <c r="F107" s="82"/>
      <c r="G107" s="82"/>
      <c r="H107" s="82"/>
      <c r="I107" s="82"/>
      <c r="J107" s="82"/>
      <c r="K107" s="82"/>
      <c r="L107" s="82"/>
      <c r="M107" s="82"/>
      <c r="N107" s="82"/>
      <c r="O107" s="82"/>
      <c r="P107" s="82"/>
      <c r="Q107" s="82"/>
      <c r="R107" s="82"/>
      <c r="S107" s="82"/>
      <c r="T107" s="82"/>
      <c r="U107" s="82"/>
    </row>
    <row r="108" spans="3:21" x14ac:dyDescent="0.2">
      <c r="C108" s="82"/>
      <c r="D108" s="82"/>
      <c r="E108" s="82"/>
      <c r="F108" s="82"/>
      <c r="G108" s="82"/>
      <c r="H108" s="82"/>
      <c r="I108" s="82"/>
      <c r="J108" s="82"/>
      <c r="K108" s="82"/>
      <c r="L108" s="82"/>
      <c r="M108" s="82"/>
      <c r="N108" s="82"/>
      <c r="O108" s="82"/>
      <c r="P108" s="82"/>
      <c r="Q108" s="82"/>
      <c r="R108" s="82"/>
      <c r="S108" s="82"/>
      <c r="T108" s="82"/>
      <c r="U108" s="82"/>
    </row>
    <row r="109" spans="3:21" x14ac:dyDescent="0.2">
      <c r="C109" s="82"/>
      <c r="D109" s="82"/>
      <c r="E109" s="82"/>
      <c r="F109" s="82"/>
      <c r="G109" s="82"/>
      <c r="H109" s="82"/>
      <c r="I109" s="82"/>
      <c r="J109" s="82"/>
      <c r="K109" s="82"/>
      <c r="L109" s="82"/>
      <c r="M109" s="82"/>
      <c r="N109" s="82"/>
      <c r="O109" s="82"/>
      <c r="P109" s="82"/>
      <c r="Q109" s="82"/>
      <c r="R109" s="82"/>
      <c r="S109" s="82"/>
      <c r="T109" s="82"/>
      <c r="U109" s="82"/>
    </row>
    <row r="110" spans="3:21" x14ac:dyDescent="0.2">
      <c r="C110" s="82"/>
      <c r="D110" s="82"/>
      <c r="E110" s="82"/>
      <c r="F110" s="82"/>
      <c r="G110" s="82"/>
      <c r="H110" s="82"/>
      <c r="I110" s="82"/>
      <c r="J110" s="82"/>
      <c r="K110" s="82"/>
      <c r="L110" s="82"/>
      <c r="M110" s="82"/>
      <c r="N110" s="82"/>
      <c r="O110" s="82"/>
      <c r="P110" s="82"/>
      <c r="Q110" s="82"/>
      <c r="R110" s="82"/>
      <c r="S110" s="82"/>
      <c r="T110" s="82"/>
      <c r="U110" s="82"/>
    </row>
    <row r="111" spans="3:21" x14ac:dyDescent="0.2">
      <c r="C111" s="82"/>
      <c r="D111" s="82"/>
      <c r="E111" s="82"/>
      <c r="F111" s="82"/>
      <c r="G111" s="82"/>
      <c r="H111" s="82"/>
      <c r="I111" s="82"/>
      <c r="J111" s="82"/>
      <c r="K111" s="82"/>
      <c r="L111" s="82"/>
      <c r="M111" s="82"/>
      <c r="N111" s="82"/>
      <c r="O111" s="82"/>
      <c r="P111" s="82"/>
      <c r="Q111" s="82"/>
      <c r="R111" s="82"/>
      <c r="S111" s="82"/>
      <c r="T111" s="82"/>
      <c r="U111" s="82"/>
    </row>
    <row r="112" spans="3:21" x14ac:dyDescent="0.2">
      <c r="C112" s="82"/>
      <c r="D112" s="82"/>
      <c r="E112" s="82"/>
      <c r="F112" s="82"/>
      <c r="G112" s="82"/>
      <c r="H112" s="82"/>
      <c r="I112" s="82"/>
      <c r="J112" s="82"/>
      <c r="K112" s="82"/>
      <c r="L112" s="82"/>
      <c r="M112" s="82"/>
      <c r="N112" s="82"/>
      <c r="O112" s="82"/>
      <c r="P112" s="82"/>
      <c r="Q112" s="82"/>
      <c r="R112" s="82"/>
      <c r="S112" s="82"/>
      <c r="T112" s="82"/>
      <c r="U112" s="82"/>
    </row>
    <row r="113" spans="3:21" x14ac:dyDescent="0.2">
      <c r="C113" s="82"/>
      <c r="D113" s="82"/>
      <c r="E113" s="82"/>
      <c r="F113" s="82"/>
      <c r="G113" s="82"/>
      <c r="H113" s="82"/>
      <c r="I113" s="82"/>
      <c r="J113" s="82"/>
      <c r="K113" s="82"/>
      <c r="L113" s="82"/>
      <c r="M113" s="82"/>
      <c r="N113" s="82"/>
      <c r="O113" s="82"/>
      <c r="P113" s="82"/>
      <c r="Q113" s="82"/>
      <c r="R113" s="82"/>
      <c r="S113" s="82"/>
      <c r="T113" s="82"/>
      <c r="U113" s="82"/>
    </row>
    <row r="114" spans="3:21" x14ac:dyDescent="0.2">
      <c r="C114" s="82"/>
      <c r="D114" s="82"/>
      <c r="E114" s="82"/>
      <c r="F114" s="82"/>
      <c r="G114" s="82"/>
      <c r="H114" s="82"/>
      <c r="I114" s="82"/>
      <c r="J114" s="82"/>
      <c r="K114" s="82"/>
      <c r="L114" s="82"/>
      <c r="M114" s="82"/>
      <c r="N114" s="82"/>
      <c r="O114" s="82"/>
      <c r="P114" s="82"/>
      <c r="Q114" s="82"/>
      <c r="R114" s="82"/>
      <c r="S114" s="82"/>
      <c r="T114" s="82"/>
      <c r="U114" s="82"/>
    </row>
    <row r="115" spans="3:21" x14ac:dyDescent="0.2">
      <c r="C115" s="82"/>
      <c r="D115" s="82"/>
      <c r="E115" s="82"/>
      <c r="F115" s="82"/>
      <c r="G115" s="82"/>
      <c r="H115" s="82"/>
      <c r="I115" s="82"/>
      <c r="J115" s="82"/>
      <c r="K115" s="82"/>
      <c r="L115" s="82"/>
      <c r="M115" s="82"/>
      <c r="N115" s="82"/>
      <c r="O115" s="82"/>
      <c r="P115" s="82"/>
      <c r="Q115" s="82"/>
      <c r="R115" s="82"/>
      <c r="S115" s="82"/>
      <c r="T115" s="82"/>
      <c r="U115" s="82"/>
    </row>
    <row r="116" spans="3:21" x14ac:dyDescent="0.2">
      <c r="C116" s="82"/>
      <c r="D116" s="82"/>
      <c r="E116" s="82"/>
      <c r="F116" s="82"/>
      <c r="G116" s="82"/>
      <c r="H116" s="82"/>
      <c r="I116" s="82"/>
      <c r="J116" s="82"/>
      <c r="K116" s="82"/>
      <c r="L116" s="82"/>
      <c r="M116" s="82"/>
      <c r="N116" s="82"/>
      <c r="O116" s="82"/>
      <c r="P116" s="82"/>
      <c r="Q116" s="82"/>
      <c r="R116" s="82"/>
      <c r="S116" s="82"/>
      <c r="T116" s="82"/>
      <c r="U116" s="82"/>
    </row>
    <row r="117" spans="3:21" x14ac:dyDescent="0.2">
      <c r="C117" s="82"/>
      <c r="D117" s="82"/>
      <c r="E117" s="82"/>
      <c r="F117" s="82"/>
      <c r="G117" s="82"/>
      <c r="H117" s="82"/>
      <c r="I117" s="82"/>
      <c r="J117" s="82"/>
      <c r="K117" s="82"/>
      <c r="L117" s="82"/>
      <c r="M117" s="82"/>
      <c r="N117" s="82"/>
      <c r="O117" s="82"/>
      <c r="P117" s="82"/>
      <c r="Q117" s="82"/>
      <c r="R117" s="82"/>
      <c r="S117" s="82"/>
      <c r="T117" s="82"/>
      <c r="U117" s="82"/>
    </row>
    <row r="118" spans="3:21" x14ac:dyDescent="0.2">
      <c r="C118" s="82"/>
      <c r="D118" s="82"/>
      <c r="E118" s="82"/>
      <c r="F118" s="82"/>
      <c r="G118" s="82"/>
      <c r="H118" s="82"/>
      <c r="I118" s="82"/>
      <c r="J118" s="82"/>
      <c r="K118" s="82"/>
      <c r="L118" s="82"/>
      <c r="M118" s="82"/>
      <c r="N118" s="82"/>
      <c r="O118" s="82"/>
      <c r="P118" s="82"/>
      <c r="Q118" s="82"/>
      <c r="R118" s="82"/>
      <c r="S118" s="82"/>
      <c r="T118" s="82"/>
      <c r="U118" s="82"/>
    </row>
    <row r="119" spans="3:21" x14ac:dyDescent="0.2">
      <c r="C119" s="82"/>
      <c r="D119" s="82"/>
      <c r="E119" s="82"/>
      <c r="F119" s="82"/>
      <c r="G119" s="82"/>
      <c r="H119" s="82"/>
      <c r="I119" s="82"/>
      <c r="J119" s="82"/>
      <c r="K119" s="82"/>
      <c r="L119" s="82"/>
      <c r="M119" s="82"/>
      <c r="N119" s="82"/>
      <c r="O119" s="82"/>
      <c r="P119" s="82"/>
      <c r="Q119" s="82"/>
      <c r="R119" s="82"/>
      <c r="S119" s="82"/>
      <c r="T119" s="82"/>
      <c r="U119" s="82"/>
    </row>
    <row r="120" spans="3:21" x14ac:dyDescent="0.2">
      <c r="C120" s="82"/>
      <c r="D120" s="82"/>
      <c r="E120" s="82"/>
      <c r="F120" s="82"/>
      <c r="G120" s="82"/>
      <c r="H120" s="82"/>
      <c r="I120" s="82"/>
      <c r="J120" s="82"/>
      <c r="K120" s="82"/>
      <c r="L120" s="82"/>
      <c r="M120" s="82"/>
      <c r="N120" s="82"/>
      <c r="O120" s="82"/>
      <c r="P120" s="82"/>
      <c r="Q120" s="82"/>
      <c r="R120" s="82"/>
      <c r="S120" s="82"/>
      <c r="T120" s="82"/>
      <c r="U120" s="82"/>
    </row>
    <row r="121" spans="3:21" x14ac:dyDescent="0.2">
      <c r="C121" s="82"/>
      <c r="D121" s="82"/>
      <c r="E121" s="82"/>
      <c r="F121" s="82"/>
      <c r="G121" s="82"/>
      <c r="H121" s="82"/>
      <c r="I121" s="82"/>
      <c r="J121" s="82"/>
      <c r="K121" s="82"/>
      <c r="L121" s="82"/>
      <c r="M121" s="82"/>
      <c r="N121" s="82"/>
      <c r="O121" s="82"/>
      <c r="P121" s="82"/>
      <c r="Q121" s="82"/>
      <c r="R121" s="82"/>
      <c r="S121" s="82"/>
      <c r="T121" s="82"/>
      <c r="U121" s="82"/>
    </row>
    <row r="122" spans="3:21" x14ac:dyDescent="0.2">
      <c r="C122" s="82"/>
      <c r="D122" s="82"/>
      <c r="E122" s="82"/>
      <c r="F122" s="82"/>
      <c r="G122" s="82"/>
      <c r="H122" s="82"/>
      <c r="I122" s="82"/>
      <c r="J122" s="82"/>
      <c r="K122" s="82"/>
      <c r="L122" s="82"/>
      <c r="M122" s="82"/>
      <c r="N122" s="82"/>
      <c r="O122" s="82"/>
      <c r="P122" s="82"/>
      <c r="Q122" s="82"/>
      <c r="R122" s="82"/>
      <c r="S122" s="82"/>
      <c r="T122" s="82"/>
      <c r="U122" s="82"/>
    </row>
    <row r="123" spans="3:21" x14ac:dyDescent="0.2">
      <c r="C123" s="82"/>
      <c r="D123" s="82"/>
      <c r="E123" s="82"/>
      <c r="F123" s="82"/>
      <c r="G123" s="82"/>
      <c r="H123" s="82"/>
      <c r="I123" s="82"/>
      <c r="J123" s="82"/>
      <c r="K123" s="82"/>
      <c r="L123" s="82"/>
      <c r="M123" s="82"/>
      <c r="N123" s="82"/>
      <c r="O123" s="82"/>
      <c r="P123" s="82"/>
      <c r="Q123" s="82"/>
      <c r="R123" s="82"/>
      <c r="S123" s="82"/>
      <c r="T123" s="82"/>
      <c r="U123" s="82"/>
    </row>
    <row r="124" spans="3:21" x14ac:dyDescent="0.2">
      <c r="C124" s="82"/>
      <c r="D124" s="82"/>
      <c r="E124" s="82"/>
      <c r="F124" s="82"/>
      <c r="G124" s="82"/>
      <c r="H124" s="82"/>
      <c r="I124" s="82"/>
      <c r="J124" s="82"/>
      <c r="K124" s="82"/>
      <c r="L124" s="82"/>
      <c r="M124" s="82"/>
      <c r="N124" s="82"/>
      <c r="O124" s="82"/>
      <c r="P124" s="82"/>
      <c r="Q124" s="82"/>
      <c r="R124" s="82"/>
      <c r="S124" s="82"/>
      <c r="T124" s="82"/>
      <c r="U124" s="82"/>
    </row>
    <row r="125" spans="3:21" x14ac:dyDescent="0.2">
      <c r="C125" s="82"/>
      <c r="D125" s="82"/>
      <c r="E125" s="82"/>
      <c r="F125" s="82"/>
      <c r="G125" s="82"/>
      <c r="H125" s="82"/>
      <c r="I125" s="82"/>
      <c r="J125" s="82"/>
      <c r="K125" s="82"/>
      <c r="L125" s="82"/>
      <c r="M125" s="82"/>
      <c r="N125" s="82"/>
      <c r="O125" s="82"/>
      <c r="P125" s="82"/>
      <c r="Q125" s="82"/>
      <c r="R125" s="82"/>
      <c r="S125" s="82"/>
      <c r="T125" s="82"/>
      <c r="U125" s="82"/>
    </row>
    <row r="126" spans="3:21" x14ac:dyDescent="0.2">
      <c r="C126" s="82"/>
      <c r="D126" s="82"/>
      <c r="E126" s="82"/>
      <c r="F126" s="82"/>
      <c r="G126" s="82"/>
      <c r="H126" s="82"/>
      <c r="I126" s="82"/>
      <c r="J126" s="82"/>
      <c r="K126" s="82"/>
      <c r="L126" s="82"/>
      <c r="M126" s="82"/>
      <c r="N126" s="82"/>
      <c r="O126" s="82"/>
      <c r="P126" s="82"/>
      <c r="Q126" s="82"/>
      <c r="R126" s="82"/>
      <c r="S126" s="82"/>
      <c r="T126" s="82"/>
      <c r="U126" s="82"/>
    </row>
    <row r="127" spans="3:21" x14ac:dyDescent="0.2">
      <c r="C127" s="82"/>
      <c r="D127" s="82"/>
      <c r="E127" s="82"/>
      <c r="F127" s="82"/>
      <c r="G127" s="82"/>
      <c r="H127" s="82"/>
      <c r="I127" s="82"/>
      <c r="J127" s="82"/>
      <c r="K127" s="82"/>
      <c r="L127" s="82"/>
      <c r="M127" s="82"/>
      <c r="N127" s="82"/>
      <c r="O127" s="82"/>
      <c r="P127" s="82"/>
      <c r="Q127" s="82"/>
      <c r="R127" s="82"/>
      <c r="S127" s="82"/>
      <c r="T127" s="82"/>
      <c r="U127" s="82"/>
    </row>
    <row r="128" spans="3:21" x14ac:dyDescent="0.2">
      <c r="C128" s="82"/>
      <c r="D128" s="82"/>
      <c r="E128" s="82"/>
      <c r="F128" s="82"/>
      <c r="G128" s="82"/>
      <c r="H128" s="82"/>
      <c r="I128" s="82"/>
      <c r="J128" s="82"/>
      <c r="K128" s="82"/>
      <c r="L128" s="82"/>
      <c r="M128" s="82"/>
      <c r="N128" s="82"/>
      <c r="O128" s="82"/>
      <c r="P128" s="82"/>
      <c r="Q128" s="82"/>
      <c r="R128" s="82"/>
      <c r="S128" s="82"/>
      <c r="T128" s="82"/>
      <c r="U128" s="82"/>
    </row>
    <row r="129" spans="3:21" x14ac:dyDescent="0.2">
      <c r="C129" s="82"/>
      <c r="D129" s="82"/>
      <c r="E129" s="82"/>
      <c r="F129" s="82"/>
      <c r="G129" s="82"/>
      <c r="H129" s="82"/>
      <c r="I129" s="82"/>
      <c r="J129" s="82"/>
      <c r="K129" s="82"/>
      <c r="L129" s="82"/>
      <c r="M129" s="82"/>
      <c r="N129" s="82"/>
      <c r="O129" s="82"/>
      <c r="P129" s="82"/>
      <c r="Q129" s="82"/>
      <c r="R129" s="82"/>
      <c r="S129" s="82"/>
      <c r="T129" s="82"/>
      <c r="U129" s="82"/>
    </row>
    <row r="130" spans="3:21" x14ac:dyDescent="0.2">
      <c r="C130" s="82"/>
      <c r="D130" s="82"/>
      <c r="E130" s="82"/>
      <c r="F130" s="82"/>
      <c r="G130" s="82"/>
      <c r="H130" s="82"/>
      <c r="I130" s="82"/>
      <c r="J130" s="82"/>
      <c r="K130" s="82"/>
      <c r="L130" s="82"/>
      <c r="M130" s="82"/>
      <c r="N130" s="82"/>
      <c r="O130" s="82"/>
      <c r="P130" s="82"/>
      <c r="Q130" s="82"/>
      <c r="R130" s="82"/>
      <c r="S130" s="82"/>
      <c r="T130" s="82"/>
      <c r="U130" s="82"/>
    </row>
    <row r="131" spans="3:21" x14ac:dyDescent="0.2">
      <c r="C131" s="82"/>
      <c r="D131" s="82"/>
      <c r="E131" s="82"/>
      <c r="F131" s="82"/>
      <c r="G131" s="82"/>
      <c r="H131" s="82"/>
      <c r="I131" s="82"/>
      <c r="J131" s="82"/>
      <c r="K131" s="82"/>
      <c r="L131" s="82"/>
      <c r="M131" s="82"/>
      <c r="N131" s="82"/>
      <c r="O131" s="82"/>
      <c r="P131" s="82"/>
      <c r="Q131" s="82"/>
      <c r="R131" s="82"/>
      <c r="S131" s="82"/>
      <c r="T131" s="82"/>
      <c r="U131" s="82"/>
    </row>
    <row r="132" spans="3:21" x14ac:dyDescent="0.2">
      <c r="C132" s="82"/>
      <c r="D132" s="82"/>
      <c r="E132" s="82"/>
      <c r="F132" s="82"/>
      <c r="G132" s="82"/>
      <c r="H132" s="82"/>
      <c r="I132" s="82"/>
      <c r="J132" s="82"/>
      <c r="K132" s="82"/>
      <c r="L132" s="82"/>
      <c r="M132" s="82"/>
      <c r="N132" s="82"/>
      <c r="O132" s="82"/>
      <c r="P132" s="82"/>
      <c r="Q132" s="82"/>
      <c r="R132" s="82"/>
      <c r="S132" s="82"/>
      <c r="T132" s="82"/>
      <c r="U132" s="82"/>
    </row>
    <row r="133" spans="3:21" x14ac:dyDescent="0.2">
      <c r="C133" s="82"/>
      <c r="D133" s="82"/>
      <c r="E133" s="82"/>
      <c r="F133" s="82"/>
      <c r="G133" s="82"/>
      <c r="H133" s="82"/>
      <c r="I133" s="82"/>
      <c r="J133" s="82"/>
      <c r="K133" s="82"/>
      <c r="L133" s="82"/>
      <c r="M133" s="82"/>
      <c r="N133" s="82"/>
      <c r="O133" s="82"/>
      <c r="P133" s="82"/>
      <c r="Q133" s="82"/>
      <c r="R133" s="82"/>
      <c r="S133" s="82"/>
      <c r="T133" s="82"/>
      <c r="U133" s="82"/>
    </row>
    <row r="134" spans="3:21" x14ac:dyDescent="0.2">
      <c r="C134" s="82"/>
      <c r="D134" s="82"/>
      <c r="E134" s="82"/>
      <c r="F134" s="82"/>
      <c r="G134" s="82"/>
      <c r="H134" s="82"/>
      <c r="I134" s="82"/>
      <c r="J134" s="82"/>
      <c r="K134" s="82"/>
      <c r="L134" s="82"/>
      <c r="M134" s="82"/>
      <c r="N134" s="82"/>
      <c r="O134" s="82"/>
      <c r="P134" s="82"/>
      <c r="Q134" s="82"/>
      <c r="R134" s="82"/>
      <c r="S134" s="82"/>
      <c r="T134" s="82"/>
      <c r="U134" s="82"/>
    </row>
    <row r="135" spans="3:21" x14ac:dyDescent="0.2">
      <c r="C135" s="82"/>
      <c r="D135" s="82"/>
      <c r="E135" s="82"/>
      <c r="F135" s="82"/>
      <c r="G135" s="82"/>
      <c r="H135" s="82"/>
      <c r="I135" s="82"/>
      <c r="J135" s="82"/>
      <c r="K135" s="82"/>
      <c r="L135" s="82"/>
      <c r="M135" s="82"/>
      <c r="N135" s="82"/>
      <c r="O135" s="82"/>
      <c r="P135" s="82"/>
      <c r="Q135" s="82"/>
      <c r="R135" s="82"/>
      <c r="S135" s="82"/>
      <c r="T135" s="82"/>
      <c r="U135" s="82"/>
    </row>
    <row r="136" spans="3:21" x14ac:dyDescent="0.2">
      <c r="C136" s="82"/>
      <c r="D136" s="82"/>
      <c r="E136" s="82"/>
      <c r="F136" s="82"/>
      <c r="G136" s="82"/>
      <c r="H136" s="82"/>
      <c r="I136" s="82"/>
      <c r="J136" s="82"/>
      <c r="K136" s="82"/>
      <c r="L136" s="82"/>
      <c r="M136" s="82"/>
      <c r="N136" s="82"/>
      <c r="O136" s="82"/>
      <c r="P136" s="82"/>
      <c r="Q136" s="82"/>
      <c r="R136" s="82"/>
      <c r="S136" s="82"/>
      <c r="T136" s="82"/>
      <c r="U136" s="82"/>
    </row>
    <row r="137" spans="3:21" x14ac:dyDescent="0.2">
      <c r="C137" s="82"/>
      <c r="D137" s="82"/>
      <c r="E137" s="82"/>
      <c r="F137" s="82"/>
      <c r="G137" s="82"/>
      <c r="H137" s="82"/>
      <c r="I137" s="82"/>
      <c r="J137" s="82"/>
      <c r="K137" s="82"/>
      <c r="L137" s="82"/>
      <c r="M137" s="82"/>
      <c r="N137" s="82"/>
      <c r="O137" s="82"/>
      <c r="P137" s="82"/>
      <c r="Q137" s="82"/>
      <c r="R137" s="82"/>
      <c r="S137" s="82"/>
      <c r="T137" s="82"/>
      <c r="U137" s="82"/>
    </row>
    <row r="138" spans="3:21" x14ac:dyDescent="0.2">
      <c r="C138" s="82"/>
      <c r="D138" s="82"/>
      <c r="E138" s="82"/>
      <c r="F138" s="82"/>
      <c r="G138" s="82"/>
      <c r="H138" s="82"/>
      <c r="I138" s="82"/>
      <c r="J138" s="82"/>
      <c r="K138" s="82"/>
      <c r="L138" s="82"/>
      <c r="M138" s="82"/>
      <c r="N138" s="82"/>
      <c r="O138" s="82"/>
      <c r="P138" s="82"/>
      <c r="Q138" s="82"/>
      <c r="R138" s="82"/>
      <c r="S138" s="82"/>
      <c r="T138" s="82"/>
      <c r="U138" s="82"/>
    </row>
    <row r="139" spans="3:21" x14ac:dyDescent="0.2">
      <c r="C139" s="82"/>
      <c r="D139" s="82"/>
      <c r="E139" s="82"/>
      <c r="F139" s="82"/>
      <c r="G139" s="82"/>
      <c r="H139" s="82"/>
      <c r="I139" s="82"/>
      <c r="J139" s="82"/>
      <c r="K139" s="82"/>
      <c r="L139" s="82"/>
      <c r="M139" s="82"/>
      <c r="N139" s="82"/>
      <c r="O139" s="82"/>
      <c r="P139" s="82"/>
      <c r="Q139" s="82"/>
      <c r="R139" s="82"/>
      <c r="S139" s="82"/>
      <c r="T139" s="82"/>
      <c r="U139" s="82"/>
    </row>
    <row r="140" spans="3:21" x14ac:dyDescent="0.2">
      <c r="C140" s="82"/>
      <c r="D140" s="82"/>
      <c r="E140" s="82"/>
      <c r="F140" s="82"/>
      <c r="G140" s="82"/>
      <c r="H140" s="82"/>
      <c r="I140" s="82"/>
      <c r="J140" s="82"/>
      <c r="K140" s="82"/>
      <c r="L140" s="82"/>
      <c r="M140" s="82"/>
      <c r="N140" s="82"/>
      <c r="O140" s="82"/>
      <c r="P140" s="82"/>
      <c r="Q140" s="82"/>
      <c r="R140" s="82"/>
      <c r="S140" s="82"/>
      <c r="T140" s="82"/>
      <c r="U140" s="82"/>
    </row>
    <row r="141" spans="3:21" x14ac:dyDescent="0.2">
      <c r="C141" s="82"/>
      <c r="D141" s="82"/>
      <c r="E141" s="82"/>
      <c r="F141" s="82"/>
      <c r="G141" s="82"/>
      <c r="H141" s="82"/>
      <c r="I141" s="82"/>
      <c r="J141" s="82"/>
      <c r="K141" s="82"/>
      <c r="L141" s="82"/>
      <c r="M141" s="82"/>
      <c r="N141" s="82"/>
      <c r="O141" s="82"/>
      <c r="P141" s="82"/>
      <c r="Q141" s="82"/>
      <c r="R141" s="82"/>
      <c r="S141" s="82"/>
      <c r="T141" s="82"/>
      <c r="U141" s="82"/>
    </row>
    <row r="142" spans="3:21" x14ac:dyDescent="0.2">
      <c r="C142" s="82"/>
      <c r="D142" s="82"/>
      <c r="E142" s="82"/>
      <c r="F142" s="82"/>
      <c r="G142" s="82"/>
      <c r="H142" s="82"/>
      <c r="I142" s="82"/>
      <c r="J142" s="82"/>
      <c r="K142" s="82"/>
      <c r="L142" s="82"/>
      <c r="M142" s="82"/>
      <c r="N142" s="82"/>
      <c r="O142" s="82"/>
      <c r="P142" s="82"/>
      <c r="Q142" s="82"/>
      <c r="R142" s="82"/>
      <c r="S142" s="82"/>
      <c r="T142" s="82"/>
      <c r="U142" s="82"/>
    </row>
    <row r="143" spans="3:21" x14ac:dyDescent="0.2">
      <c r="C143" s="82"/>
      <c r="D143" s="82"/>
      <c r="E143" s="82"/>
      <c r="F143" s="82"/>
      <c r="G143" s="82"/>
      <c r="H143" s="82"/>
      <c r="I143" s="82"/>
      <c r="J143" s="82"/>
      <c r="K143" s="82"/>
      <c r="L143" s="82"/>
      <c r="M143" s="82"/>
      <c r="N143" s="82"/>
      <c r="O143" s="82"/>
      <c r="P143" s="82"/>
      <c r="Q143" s="82"/>
      <c r="R143" s="82"/>
      <c r="S143" s="82"/>
      <c r="T143" s="82"/>
      <c r="U143" s="82"/>
    </row>
    <row r="144" spans="3:21" x14ac:dyDescent="0.2">
      <c r="C144" s="82"/>
      <c r="D144" s="82"/>
      <c r="E144" s="82"/>
      <c r="F144" s="82"/>
      <c r="G144" s="82"/>
      <c r="H144" s="82"/>
      <c r="I144" s="82"/>
      <c r="J144" s="82"/>
      <c r="K144" s="82"/>
      <c r="L144" s="82"/>
      <c r="M144" s="82"/>
      <c r="N144" s="82"/>
      <c r="O144" s="82"/>
      <c r="P144" s="82"/>
      <c r="Q144" s="82"/>
      <c r="R144" s="82"/>
      <c r="S144" s="82"/>
      <c r="T144" s="82"/>
      <c r="U144" s="82"/>
    </row>
    <row r="145" spans="3:21" x14ac:dyDescent="0.2">
      <c r="C145" s="82"/>
      <c r="D145" s="82"/>
      <c r="E145" s="82"/>
      <c r="F145" s="82"/>
      <c r="G145" s="82"/>
      <c r="H145" s="82"/>
      <c r="I145" s="82"/>
      <c r="J145" s="82"/>
      <c r="K145" s="82"/>
      <c r="L145" s="82"/>
      <c r="M145" s="82"/>
      <c r="N145" s="82"/>
      <c r="O145" s="82"/>
      <c r="P145" s="82"/>
      <c r="Q145" s="82"/>
      <c r="R145" s="82"/>
      <c r="S145" s="82"/>
      <c r="T145" s="82"/>
      <c r="U145" s="82"/>
    </row>
    <row r="146" spans="3:21" x14ac:dyDescent="0.2">
      <c r="C146" s="82"/>
      <c r="D146" s="82"/>
      <c r="E146" s="82"/>
      <c r="F146" s="82"/>
      <c r="G146" s="82"/>
      <c r="H146" s="82"/>
      <c r="I146" s="82"/>
      <c r="J146" s="82"/>
      <c r="K146" s="82"/>
      <c r="L146" s="82"/>
      <c r="M146" s="82"/>
      <c r="N146" s="82"/>
      <c r="O146" s="82"/>
      <c r="P146" s="82"/>
      <c r="Q146" s="82"/>
      <c r="R146" s="82"/>
      <c r="S146" s="82"/>
      <c r="T146" s="82"/>
      <c r="U146" s="82"/>
    </row>
    <row r="147" spans="3:21" x14ac:dyDescent="0.2">
      <c r="C147" s="82"/>
      <c r="D147" s="82"/>
      <c r="E147" s="82"/>
      <c r="F147" s="82"/>
      <c r="G147" s="82"/>
      <c r="H147" s="82"/>
      <c r="I147" s="82"/>
      <c r="J147" s="82"/>
      <c r="K147" s="82"/>
      <c r="L147" s="82"/>
      <c r="M147" s="82"/>
      <c r="N147" s="82"/>
      <c r="O147" s="82"/>
      <c r="P147" s="82"/>
      <c r="Q147" s="82"/>
      <c r="R147" s="82"/>
      <c r="S147" s="82"/>
      <c r="T147" s="82"/>
      <c r="U147" s="82"/>
    </row>
    <row r="148" spans="3:21" x14ac:dyDescent="0.2">
      <c r="C148" s="82"/>
      <c r="D148" s="82"/>
      <c r="E148" s="82"/>
      <c r="F148" s="82"/>
      <c r="G148" s="82"/>
      <c r="H148" s="82"/>
      <c r="I148" s="82"/>
      <c r="J148" s="82"/>
      <c r="K148" s="82"/>
      <c r="L148" s="82"/>
      <c r="M148" s="82"/>
      <c r="N148" s="82"/>
      <c r="O148" s="82"/>
      <c r="P148" s="82"/>
      <c r="Q148" s="82"/>
      <c r="R148" s="82"/>
      <c r="S148" s="82"/>
      <c r="T148" s="82"/>
      <c r="U148" s="82"/>
    </row>
    <row r="149" spans="3:21" x14ac:dyDescent="0.2">
      <c r="C149" s="82"/>
      <c r="D149" s="82"/>
      <c r="E149" s="82"/>
      <c r="F149" s="82"/>
      <c r="G149" s="82"/>
      <c r="H149" s="82"/>
      <c r="I149" s="82"/>
      <c r="J149" s="82"/>
      <c r="K149" s="82"/>
      <c r="L149" s="82"/>
      <c r="M149" s="82"/>
      <c r="N149" s="82"/>
      <c r="O149" s="82"/>
      <c r="P149" s="82"/>
      <c r="Q149" s="82"/>
      <c r="R149" s="82"/>
      <c r="S149" s="82"/>
      <c r="T149" s="82"/>
      <c r="U149" s="82"/>
    </row>
    <row r="150" spans="3:21" x14ac:dyDescent="0.2">
      <c r="C150" s="82"/>
      <c r="D150" s="82"/>
      <c r="E150" s="82"/>
      <c r="F150" s="82"/>
      <c r="G150" s="82"/>
      <c r="H150" s="82"/>
      <c r="I150" s="82"/>
      <c r="J150" s="82"/>
      <c r="K150" s="82"/>
      <c r="L150" s="82"/>
      <c r="M150" s="82"/>
      <c r="N150" s="82"/>
      <c r="O150" s="82"/>
      <c r="P150" s="82"/>
      <c r="Q150" s="82"/>
      <c r="R150" s="82"/>
      <c r="S150" s="82"/>
      <c r="T150" s="82"/>
      <c r="U150" s="82"/>
    </row>
    <row r="151" spans="3:21" x14ac:dyDescent="0.2">
      <c r="C151" s="82"/>
      <c r="D151" s="82"/>
      <c r="E151" s="82"/>
      <c r="F151" s="82"/>
      <c r="G151" s="82"/>
      <c r="H151" s="82"/>
      <c r="I151" s="82"/>
      <c r="J151" s="82"/>
      <c r="K151" s="82"/>
      <c r="L151" s="82"/>
      <c r="M151" s="82"/>
      <c r="N151" s="82"/>
      <c r="O151" s="82"/>
      <c r="P151" s="82"/>
      <c r="Q151" s="82"/>
      <c r="R151" s="82"/>
      <c r="S151" s="82"/>
      <c r="T151" s="82"/>
      <c r="U151" s="82"/>
    </row>
    <row r="152" spans="3:21" x14ac:dyDescent="0.2">
      <c r="C152" s="82"/>
      <c r="D152" s="82"/>
      <c r="E152" s="82"/>
      <c r="F152" s="82"/>
      <c r="G152" s="82"/>
      <c r="H152" s="82"/>
      <c r="I152" s="82"/>
      <c r="J152" s="82"/>
      <c r="K152" s="82"/>
      <c r="L152" s="82"/>
      <c r="M152" s="82"/>
      <c r="N152" s="82"/>
      <c r="O152" s="82"/>
      <c r="P152" s="82"/>
      <c r="Q152" s="82"/>
      <c r="R152" s="82"/>
      <c r="S152" s="82"/>
      <c r="T152" s="82"/>
      <c r="U152" s="82"/>
    </row>
    <row r="153" spans="3:21" x14ac:dyDescent="0.2">
      <c r="C153" s="82"/>
      <c r="D153" s="82"/>
      <c r="E153" s="82"/>
      <c r="F153" s="82"/>
      <c r="G153" s="82"/>
      <c r="H153" s="82"/>
      <c r="I153" s="82"/>
      <c r="J153" s="82"/>
      <c r="K153" s="82"/>
      <c r="L153" s="82"/>
      <c r="M153" s="82"/>
      <c r="N153" s="82"/>
      <c r="O153" s="82"/>
      <c r="P153" s="82"/>
      <c r="Q153" s="82"/>
      <c r="R153" s="82"/>
      <c r="S153" s="82"/>
      <c r="T153" s="82"/>
      <c r="U153" s="82"/>
    </row>
    <row r="154" spans="3:21" x14ac:dyDescent="0.2">
      <c r="C154" s="82"/>
      <c r="D154" s="82"/>
      <c r="E154" s="82"/>
      <c r="F154" s="82"/>
      <c r="G154" s="82"/>
      <c r="H154" s="82"/>
      <c r="I154" s="82"/>
      <c r="J154" s="82"/>
      <c r="K154" s="82"/>
      <c r="L154" s="82"/>
      <c r="M154" s="82"/>
      <c r="N154" s="82"/>
      <c r="O154" s="82"/>
      <c r="P154" s="82"/>
      <c r="Q154" s="82"/>
      <c r="R154" s="82"/>
      <c r="S154" s="82"/>
      <c r="T154" s="82"/>
      <c r="U154" s="82"/>
    </row>
    <row r="155" spans="3:21" x14ac:dyDescent="0.2">
      <c r="C155" s="82"/>
      <c r="D155" s="82"/>
      <c r="E155" s="82"/>
      <c r="F155" s="82"/>
      <c r="G155" s="82"/>
      <c r="H155" s="82"/>
      <c r="I155" s="82"/>
      <c r="J155" s="82"/>
      <c r="K155" s="82"/>
      <c r="L155" s="82"/>
      <c r="M155" s="82"/>
      <c r="N155" s="82"/>
      <c r="O155" s="82"/>
      <c r="P155" s="82"/>
      <c r="Q155" s="82"/>
      <c r="R155" s="82"/>
      <c r="S155" s="82"/>
      <c r="T155" s="82"/>
      <c r="U155" s="82"/>
    </row>
    <row r="156" spans="3:21" x14ac:dyDescent="0.2">
      <c r="C156" s="82"/>
      <c r="D156" s="82"/>
      <c r="E156" s="82"/>
      <c r="F156" s="82"/>
      <c r="G156" s="82"/>
      <c r="H156" s="82"/>
      <c r="I156" s="82"/>
      <c r="J156" s="82"/>
      <c r="K156" s="82"/>
      <c r="L156" s="82"/>
      <c r="M156" s="82"/>
      <c r="N156" s="82"/>
      <c r="O156" s="82"/>
      <c r="P156" s="82"/>
      <c r="Q156" s="82"/>
      <c r="R156" s="82"/>
      <c r="S156" s="82"/>
      <c r="T156" s="82"/>
      <c r="U156" s="82"/>
    </row>
    <row r="157" spans="3:21" x14ac:dyDescent="0.2">
      <c r="C157" s="82"/>
      <c r="D157" s="82"/>
      <c r="E157" s="82"/>
      <c r="F157" s="82"/>
      <c r="G157" s="82"/>
      <c r="H157" s="82"/>
      <c r="I157" s="82"/>
      <c r="J157" s="82"/>
      <c r="K157" s="82"/>
      <c r="L157" s="82"/>
      <c r="M157" s="82"/>
      <c r="N157" s="82"/>
      <c r="O157" s="82"/>
      <c r="P157" s="82"/>
      <c r="Q157" s="82"/>
      <c r="R157" s="82"/>
      <c r="S157" s="82"/>
      <c r="T157" s="82"/>
      <c r="U157" s="82"/>
    </row>
    <row r="158" spans="3:21" x14ac:dyDescent="0.2">
      <c r="C158" s="82"/>
      <c r="D158" s="82"/>
      <c r="E158" s="82"/>
      <c r="F158" s="82"/>
      <c r="G158" s="82"/>
      <c r="H158" s="82"/>
      <c r="I158" s="82"/>
      <c r="J158" s="82"/>
      <c r="K158" s="82"/>
      <c r="L158" s="82"/>
      <c r="M158" s="82"/>
      <c r="N158" s="82"/>
      <c r="O158" s="82"/>
      <c r="P158" s="82"/>
      <c r="Q158" s="82"/>
      <c r="R158" s="82"/>
      <c r="S158" s="82"/>
      <c r="T158" s="82"/>
      <c r="U158" s="82"/>
    </row>
    <row r="159" spans="3:21" x14ac:dyDescent="0.2">
      <c r="C159" s="82"/>
      <c r="D159" s="82"/>
      <c r="E159" s="82"/>
      <c r="F159" s="82"/>
      <c r="G159" s="82"/>
      <c r="H159" s="82"/>
      <c r="I159" s="82"/>
      <c r="J159" s="82"/>
      <c r="K159" s="82"/>
      <c r="L159" s="82"/>
      <c r="M159" s="82"/>
      <c r="N159" s="82"/>
      <c r="O159" s="82"/>
      <c r="P159" s="82"/>
      <c r="Q159" s="82"/>
      <c r="R159" s="82"/>
      <c r="S159" s="82"/>
      <c r="T159" s="82"/>
      <c r="U159" s="82"/>
    </row>
    <row r="160" spans="3:21" x14ac:dyDescent="0.2">
      <c r="C160" s="82"/>
      <c r="D160" s="82"/>
      <c r="E160" s="82"/>
      <c r="F160" s="82"/>
      <c r="G160" s="82"/>
      <c r="H160" s="82"/>
      <c r="I160" s="82"/>
      <c r="J160" s="82"/>
      <c r="K160" s="82"/>
      <c r="L160" s="82"/>
      <c r="M160" s="82"/>
      <c r="N160" s="82"/>
      <c r="O160" s="82"/>
      <c r="P160" s="82"/>
      <c r="Q160" s="82"/>
      <c r="R160" s="82"/>
      <c r="S160" s="82"/>
      <c r="T160" s="82"/>
      <c r="U160" s="82"/>
    </row>
    <row r="161" spans="3:21" x14ac:dyDescent="0.2">
      <c r="C161" s="82"/>
      <c r="D161" s="82"/>
      <c r="E161" s="82"/>
      <c r="F161" s="82"/>
      <c r="G161" s="82"/>
      <c r="H161" s="82"/>
      <c r="I161" s="82"/>
      <c r="J161" s="82"/>
      <c r="K161" s="82"/>
      <c r="L161" s="82"/>
      <c r="M161" s="82"/>
      <c r="N161" s="82"/>
      <c r="O161" s="82"/>
      <c r="P161" s="82"/>
      <c r="Q161" s="82"/>
      <c r="R161" s="82"/>
      <c r="S161" s="82"/>
      <c r="T161" s="82"/>
      <c r="U161" s="82"/>
    </row>
    <row r="162" spans="3:21" x14ac:dyDescent="0.2">
      <c r="C162" s="82"/>
      <c r="D162" s="82"/>
      <c r="E162" s="82"/>
      <c r="F162" s="82"/>
      <c r="G162" s="82"/>
      <c r="H162" s="82"/>
      <c r="I162" s="82"/>
      <c r="J162" s="82"/>
      <c r="K162" s="82"/>
      <c r="L162" s="82"/>
      <c r="M162" s="82"/>
      <c r="N162" s="82"/>
      <c r="O162" s="82"/>
      <c r="P162" s="82"/>
      <c r="Q162" s="82"/>
      <c r="R162" s="82"/>
      <c r="S162" s="82"/>
      <c r="T162" s="82"/>
      <c r="U162" s="82"/>
    </row>
    <row r="163" spans="3:21" x14ac:dyDescent="0.2">
      <c r="C163" s="82"/>
      <c r="D163" s="82"/>
      <c r="E163" s="82"/>
      <c r="F163" s="82"/>
      <c r="G163" s="82"/>
      <c r="H163" s="82"/>
      <c r="I163" s="82"/>
      <c r="J163" s="82"/>
      <c r="K163" s="82"/>
      <c r="L163" s="82"/>
      <c r="M163" s="82"/>
      <c r="N163" s="82"/>
      <c r="O163" s="82"/>
      <c r="P163" s="82"/>
      <c r="Q163" s="82"/>
      <c r="R163" s="82"/>
      <c r="S163" s="82"/>
      <c r="T163" s="82"/>
      <c r="U163" s="82"/>
    </row>
    <row r="164" spans="3:21" x14ac:dyDescent="0.2">
      <c r="C164" s="82"/>
      <c r="D164" s="82"/>
      <c r="E164" s="82"/>
      <c r="F164" s="82"/>
      <c r="G164" s="82"/>
      <c r="H164" s="82"/>
      <c r="I164" s="82"/>
      <c r="J164" s="82"/>
      <c r="K164" s="82"/>
      <c r="L164" s="82"/>
      <c r="M164" s="82"/>
      <c r="N164" s="82"/>
      <c r="O164" s="82"/>
      <c r="P164" s="82"/>
      <c r="Q164" s="82"/>
      <c r="R164" s="82"/>
      <c r="S164" s="82"/>
      <c r="T164" s="82"/>
      <c r="U164" s="82"/>
    </row>
    <row r="165" spans="3:21" x14ac:dyDescent="0.2">
      <c r="C165" s="82"/>
      <c r="D165" s="82"/>
      <c r="E165" s="82"/>
      <c r="F165" s="82"/>
      <c r="G165" s="82"/>
      <c r="H165" s="82"/>
      <c r="I165" s="82"/>
      <c r="J165" s="82"/>
      <c r="K165" s="82"/>
      <c r="L165" s="82"/>
      <c r="M165" s="82"/>
      <c r="N165" s="82"/>
      <c r="O165" s="82"/>
      <c r="P165" s="82"/>
      <c r="Q165" s="82"/>
      <c r="R165" s="82"/>
      <c r="S165" s="82"/>
      <c r="T165" s="82"/>
      <c r="U165" s="82"/>
    </row>
    <row r="166" spans="3:21" x14ac:dyDescent="0.2">
      <c r="C166" s="82"/>
      <c r="D166" s="82"/>
      <c r="E166" s="82"/>
      <c r="F166" s="82"/>
      <c r="G166" s="82"/>
      <c r="H166" s="82"/>
      <c r="I166" s="82"/>
      <c r="J166" s="82"/>
      <c r="K166" s="82"/>
      <c r="L166" s="82"/>
      <c r="M166" s="82"/>
      <c r="N166" s="82"/>
      <c r="O166" s="82"/>
      <c r="P166" s="82"/>
      <c r="Q166" s="82"/>
      <c r="R166" s="82"/>
      <c r="S166" s="82"/>
      <c r="T166" s="82"/>
      <c r="U166" s="82"/>
    </row>
    <row r="167" spans="3:21" x14ac:dyDescent="0.2">
      <c r="C167" s="82"/>
      <c r="D167" s="82"/>
      <c r="E167" s="82"/>
      <c r="F167" s="82"/>
      <c r="G167" s="82"/>
      <c r="H167" s="82"/>
      <c r="I167" s="82"/>
      <c r="J167" s="82"/>
      <c r="K167" s="82"/>
      <c r="L167" s="82"/>
      <c r="M167" s="82"/>
      <c r="N167" s="82"/>
      <c r="O167" s="82"/>
      <c r="P167" s="82"/>
      <c r="Q167" s="82"/>
      <c r="R167" s="82"/>
      <c r="S167" s="82"/>
      <c r="T167" s="82"/>
      <c r="U167" s="82"/>
    </row>
    <row r="168" spans="3:21" x14ac:dyDescent="0.2">
      <c r="C168" s="82"/>
      <c r="D168" s="82"/>
      <c r="E168" s="82"/>
      <c r="F168" s="82"/>
      <c r="G168" s="82"/>
      <c r="H168" s="82"/>
      <c r="I168" s="82"/>
      <c r="J168" s="82"/>
      <c r="K168" s="82"/>
      <c r="L168" s="82"/>
      <c r="M168" s="82"/>
      <c r="N168" s="82"/>
      <c r="O168" s="82"/>
      <c r="P168" s="82"/>
      <c r="Q168" s="82"/>
      <c r="R168" s="82"/>
      <c r="S168" s="82"/>
      <c r="T168" s="82"/>
      <c r="U168" s="82"/>
    </row>
    <row r="169" spans="3:21" x14ac:dyDescent="0.2">
      <c r="C169" s="82"/>
      <c r="D169" s="82"/>
      <c r="E169" s="82"/>
      <c r="F169" s="82"/>
      <c r="G169" s="82"/>
      <c r="H169" s="82"/>
      <c r="I169" s="82"/>
      <c r="J169" s="82"/>
      <c r="K169" s="82"/>
      <c r="L169" s="82"/>
      <c r="M169" s="82"/>
      <c r="N169" s="82"/>
      <c r="O169" s="82"/>
      <c r="P169" s="82"/>
      <c r="Q169" s="82"/>
      <c r="R169" s="82"/>
      <c r="S169" s="82"/>
      <c r="T169" s="82"/>
      <c r="U169" s="82"/>
    </row>
    <row r="170" spans="3:21" x14ac:dyDescent="0.2">
      <c r="C170" s="82"/>
      <c r="D170" s="82"/>
      <c r="E170" s="82"/>
      <c r="F170" s="82"/>
      <c r="G170" s="82"/>
      <c r="H170" s="82"/>
      <c r="I170" s="82"/>
      <c r="J170" s="82"/>
      <c r="K170" s="82"/>
      <c r="L170" s="82"/>
      <c r="M170" s="82"/>
      <c r="N170" s="82"/>
      <c r="O170" s="82"/>
      <c r="P170" s="82"/>
      <c r="Q170" s="82"/>
      <c r="R170" s="82"/>
      <c r="S170" s="82"/>
      <c r="T170" s="82"/>
      <c r="U170" s="82"/>
    </row>
    <row r="171" spans="3:21" x14ac:dyDescent="0.2">
      <c r="C171" s="82"/>
      <c r="D171" s="82"/>
      <c r="E171" s="82"/>
      <c r="F171" s="82"/>
      <c r="G171" s="82"/>
      <c r="H171" s="82"/>
      <c r="I171" s="82"/>
      <c r="J171" s="82"/>
      <c r="K171" s="82"/>
      <c r="L171" s="82"/>
      <c r="M171" s="82"/>
      <c r="N171" s="82"/>
      <c r="O171" s="82"/>
      <c r="P171" s="82"/>
      <c r="Q171" s="82"/>
      <c r="R171" s="82"/>
      <c r="S171" s="82"/>
      <c r="T171" s="82"/>
      <c r="U171" s="82"/>
    </row>
    <row r="172" spans="3:21" x14ac:dyDescent="0.2">
      <c r="C172" s="82"/>
      <c r="D172" s="82"/>
      <c r="E172" s="82"/>
      <c r="F172" s="82"/>
      <c r="G172" s="82"/>
      <c r="H172" s="82"/>
      <c r="I172" s="82"/>
      <c r="J172" s="82"/>
      <c r="K172" s="82"/>
      <c r="L172" s="82"/>
      <c r="M172" s="82"/>
      <c r="N172" s="82"/>
      <c r="O172" s="82"/>
      <c r="P172" s="82"/>
      <c r="Q172" s="82"/>
      <c r="R172" s="82"/>
      <c r="S172" s="82"/>
      <c r="T172" s="82"/>
      <c r="U172" s="82"/>
    </row>
    <row r="173" spans="3:21" x14ac:dyDescent="0.2">
      <c r="C173" s="82"/>
      <c r="D173" s="82"/>
      <c r="E173" s="82"/>
      <c r="F173" s="82"/>
      <c r="G173" s="82"/>
      <c r="H173" s="82"/>
      <c r="I173" s="82"/>
      <c r="J173" s="82"/>
      <c r="K173" s="82"/>
      <c r="L173" s="82"/>
      <c r="M173" s="82"/>
      <c r="N173" s="82"/>
      <c r="O173" s="82"/>
      <c r="P173" s="82"/>
      <c r="Q173" s="82"/>
      <c r="R173" s="82"/>
      <c r="S173" s="82"/>
      <c r="T173" s="82"/>
      <c r="U173" s="82"/>
    </row>
    <row r="174" spans="3:21" x14ac:dyDescent="0.2">
      <c r="C174" s="82"/>
      <c r="D174" s="82"/>
      <c r="E174" s="82"/>
      <c r="F174" s="82"/>
      <c r="G174" s="82"/>
      <c r="H174" s="82"/>
      <c r="I174" s="82"/>
      <c r="J174" s="82"/>
      <c r="K174" s="82"/>
      <c r="L174" s="82"/>
      <c r="M174" s="82"/>
      <c r="N174" s="82"/>
      <c r="O174" s="82"/>
      <c r="P174" s="82"/>
      <c r="Q174" s="82"/>
      <c r="R174" s="82"/>
      <c r="S174" s="82"/>
      <c r="T174" s="82"/>
      <c r="U174" s="82"/>
    </row>
    <row r="175" spans="3:21" x14ac:dyDescent="0.2">
      <c r="C175" s="82"/>
      <c r="D175" s="82"/>
      <c r="E175" s="82"/>
      <c r="F175" s="82"/>
      <c r="G175" s="82"/>
      <c r="H175" s="82"/>
      <c r="I175" s="82"/>
      <c r="J175" s="82"/>
      <c r="K175" s="82"/>
      <c r="L175" s="82"/>
      <c r="M175" s="82"/>
      <c r="N175" s="82"/>
      <c r="O175" s="82"/>
      <c r="P175" s="82"/>
      <c r="Q175" s="82"/>
      <c r="R175" s="82"/>
      <c r="S175" s="82"/>
      <c r="T175" s="82"/>
      <c r="U175" s="82"/>
    </row>
    <row r="176" spans="3:21" x14ac:dyDescent="0.2">
      <c r="C176" s="82"/>
      <c r="D176" s="82"/>
      <c r="E176" s="82"/>
      <c r="F176" s="82"/>
      <c r="G176" s="82"/>
      <c r="H176" s="82"/>
      <c r="I176" s="82"/>
      <c r="J176" s="82"/>
      <c r="K176" s="82"/>
      <c r="L176" s="82"/>
      <c r="M176" s="82"/>
      <c r="N176" s="82"/>
      <c r="O176" s="82"/>
      <c r="P176" s="82"/>
      <c r="Q176" s="82"/>
      <c r="R176" s="82"/>
      <c r="S176" s="82"/>
      <c r="T176" s="82"/>
      <c r="U176" s="82"/>
    </row>
    <row r="177" spans="3:21" x14ac:dyDescent="0.2">
      <c r="C177" s="82"/>
      <c r="D177" s="82"/>
      <c r="E177" s="82"/>
      <c r="F177" s="82"/>
      <c r="G177" s="82"/>
      <c r="H177" s="82"/>
      <c r="I177" s="82"/>
      <c r="J177" s="82"/>
      <c r="K177" s="82"/>
      <c r="L177" s="82"/>
      <c r="M177" s="82"/>
      <c r="N177" s="82"/>
      <c r="O177" s="82"/>
      <c r="P177" s="82"/>
      <c r="Q177" s="82"/>
      <c r="R177" s="82"/>
      <c r="S177" s="82"/>
      <c r="T177" s="82"/>
      <c r="U177" s="82"/>
    </row>
    <row r="178" spans="3:21" x14ac:dyDescent="0.2">
      <c r="C178" s="82"/>
      <c r="D178" s="82"/>
      <c r="E178" s="82"/>
      <c r="F178" s="82"/>
      <c r="G178" s="82"/>
      <c r="H178" s="82"/>
      <c r="I178" s="82"/>
      <c r="J178" s="82"/>
      <c r="K178" s="82"/>
      <c r="L178" s="82"/>
      <c r="M178" s="82"/>
      <c r="N178" s="82"/>
      <c r="O178" s="82"/>
      <c r="P178" s="82"/>
      <c r="Q178" s="82"/>
      <c r="R178" s="82"/>
      <c r="S178" s="82"/>
      <c r="T178" s="82"/>
      <c r="U178" s="82"/>
    </row>
    <row r="179" spans="3:21" x14ac:dyDescent="0.2">
      <c r="C179" s="82"/>
      <c r="D179" s="82"/>
      <c r="E179" s="82"/>
      <c r="F179" s="82"/>
      <c r="G179" s="82"/>
      <c r="H179" s="82"/>
      <c r="I179" s="82"/>
      <c r="J179" s="82"/>
      <c r="K179" s="82"/>
      <c r="L179" s="82"/>
      <c r="M179" s="82"/>
      <c r="N179" s="82"/>
      <c r="O179" s="82"/>
      <c r="P179" s="82"/>
      <c r="Q179" s="82"/>
      <c r="R179" s="82"/>
      <c r="S179" s="82"/>
      <c r="T179" s="82"/>
      <c r="U179" s="82"/>
    </row>
    <row r="180" spans="3:21" x14ac:dyDescent="0.2">
      <c r="C180" s="82"/>
      <c r="D180" s="82"/>
      <c r="E180" s="82"/>
      <c r="F180" s="82"/>
      <c r="G180" s="82"/>
      <c r="H180" s="82"/>
      <c r="I180" s="82"/>
      <c r="J180" s="82"/>
      <c r="K180" s="82"/>
      <c r="L180" s="82"/>
      <c r="M180" s="82"/>
      <c r="N180" s="82"/>
      <c r="O180" s="82"/>
      <c r="P180" s="82"/>
      <c r="Q180" s="82"/>
      <c r="R180" s="82"/>
      <c r="S180" s="82"/>
      <c r="T180" s="82"/>
      <c r="U180" s="82"/>
    </row>
    <row r="181" spans="3:21" x14ac:dyDescent="0.2">
      <c r="C181" s="82"/>
      <c r="D181" s="82"/>
      <c r="E181" s="82"/>
      <c r="F181" s="82"/>
      <c r="G181" s="82"/>
      <c r="H181" s="82"/>
      <c r="I181" s="82"/>
      <c r="J181" s="82"/>
      <c r="K181" s="82"/>
      <c r="L181" s="82"/>
      <c r="M181" s="82"/>
      <c r="N181" s="82"/>
      <c r="O181" s="82"/>
      <c r="P181" s="82"/>
      <c r="Q181" s="82"/>
      <c r="R181" s="82"/>
      <c r="S181" s="82"/>
      <c r="T181" s="82"/>
      <c r="U181" s="82"/>
    </row>
    <row r="182" spans="3:21" x14ac:dyDescent="0.2">
      <c r="C182" s="82"/>
      <c r="D182" s="82"/>
      <c r="E182" s="82"/>
      <c r="F182" s="82"/>
      <c r="G182" s="82"/>
      <c r="H182" s="82"/>
      <c r="I182" s="82"/>
      <c r="J182" s="82"/>
      <c r="K182" s="82"/>
      <c r="L182" s="82"/>
      <c r="M182" s="82"/>
      <c r="N182" s="82"/>
      <c r="O182" s="82"/>
      <c r="P182" s="82"/>
      <c r="Q182" s="82"/>
      <c r="R182" s="82"/>
      <c r="S182" s="82"/>
      <c r="T182" s="82"/>
      <c r="U182" s="82"/>
    </row>
    <row r="183" spans="3:21" x14ac:dyDescent="0.2">
      <c r="C183" s="82"/>
      <c r="D183" s="82"/>
      <c r="E183" s="82"/>
      <c r="F183" s="82"/>
      <c r="G183" s="82"/>
      <c r="H183" s="82"/>
      <c r="I183" s="82"/>
      <c r="J183" s="82"/>
      <c r="K183" s="82"/>
      <c r="L183" s="82"/>
      <c r="M183" s="82"/>
      <c r="N183" s="82"/>
      <c r="O183" s="82"/>
      <c r="P183" s="82"/>
      <c r="Q183" s="82"/>
      <c r="R183" s="82"/>
      <c r="S183" s="82"/>
      <c r="T183" s="82"/>
      <c r="U183" s="82"/>
    </row>
    <row r="184" spans="3:21" x14ac:dyDescent="0.2">
      <c r="C184" s="82"/>
      <c r="D184" s="82"/>
      <c r="E184" s="82"/>
      <c r="F184" s="82"/>
      <c r="G184" s="82"/>
      <c r="H184" s="82"/>
      <c r="I184" s="82"/>
      <c r="J184" s="82"/>
      <c r="K184" s="82"/>
      <c r="L184" s="82"/>
      <c r="M184" s="82"/>
      <c r="N184" s="82"/>
      <c r="O184" s="82"/>
      <c r="P184" s="82"/>
      <c r="Q184" s="82"/>
      <c r="R184" s="82"/>
      <c r="S184" s="82"/>
      <c r="T184" s="82"/>
      <c r="U184" s="82"/>
    </row>
    <row r="185" spans="3:21" x14ac:dyDescent="0.2">
      <c r="C185" s="82"/>
      <c r="D185" s="82"/>
      <c r="E185" s="82"/>
      <c r="F185" s="82"/>
      <c r="G185" s="82"/>
      <c r="H185" s="82"/>
      <c r="I185" s="82"/>
      <c r="J185" s="82"/>
      <c r="K185" s="82"/>
      <c r="L185" s="82"/>
      <c r="M185" s="82"/>
      <c r="N185" s="82"/>
      <c r="O185" s="82"/>
      <c r="P185" s="82"/>
      <c r="Q185" s="82"/>
      <c r="R185" s="82"/>
      <c r="S185" s="82"/>
      <c r="T185" s="82"/>
      <c r="U185" s="82"/>
    </row>
    <row r="186" spans="3:21" x14ac:dyDescent="0.2">
      <c r="C186" s="82"/>
      <c r="D186" s="82"/>
      <c r="E186" s="82"/>
      <c r="F186" s="82"/>
      <c r="G186" s="82"/>
      <c r="H186" s="82"/>
      <c r="I186" s="82"/>
      <c r="J186" s="82"/>
      <c r="K186" s="82"/>
      <c r="L186" s="82"/>
      <c r="M186" s="82"/>
      <c r="N186" s="82"/>
      <c r="O186" s="82"/>
      <c r="P186" s="82"/>
      <c r="Q186" s="82"/>
      <c r="R186" s="82"/>
      <c r="S186" s="82"/>
      <c r="T186" s="82"/>
      <c r="U186" s="82"/>
    </row>
    <row r="187" spans="3:21" x14ac:dyDescent="0.2">
      <c r="C187" s="82"/>
      <c r="D187" s="82"/>
      <c r="E187" s="82"/>
      <c r="F187" s="82"/>
      <c r="G187" s="82"/>
      <c r="H187" s="82"/>
      <c r="I187" s="82"/>
      <c r="J187" s="82"/>
      <c r="K187" s="82"/>
      <c r="L187" s="82"/>
      <c r="M187" s="82"/>
      <c r="N187" s="82"/>
      <c r="O187" s="82"/>
      <c r="P187" s="82"/>
      <c r="Q187" s="82"/>
      <c r="R187" s="82"/>
      <c r="S187" s="82"/>
      <c r="T187" s="82"/>
      <c r="U187" s="82"/>
    </row>
    <row r="188" spans="3:21" x14ac:dyDescent="0.2">
      <c r="C188" s="82"/>
      <c r="D188" s="82"/>
      <c r="E188" s="82"/>
      <c r="F188" s="82"/>
      <c r="G188" s="82"/>
      <c r="H188" s="82"/>
      <c r="I188" s="82"/>
      <c r="J188" s="82"/>
      <c r="K188" s="82"/>
      <c r="L188" s="82"/>
      <c r="M188" s="82"/>
      <c r="N188" s="82"/>
      <c r="O188" s="82"/>
      <c r="P188" s="82"/>
      <c r="Q188" s="82"/>
      <c r="R188" s="82"/>
      <c r="S188" s="82"/>
      <c r="T188" s="82"/>
      <c r="U188" s="82"/>
    </row>
    <row r="189" spans="3:21" x14ac:dyDescent="0.2">
      <c r="C189" s="82"/>
      <c r="D189" s="82"/>
      <c r="E189" s="82"/>
      <c r="F189" s="82"/>
      <c r="G189" s="82"/>
      <c r="H189" s="82"/>
      <c r="I189" s="82"/>
      <c r="J189" s="82"/>
      <c r="K189" s="82"/>
      <c r="L189" s="82"/>
      <c r="M189" s="82"/>
      <c r="N189" s="82"/>
      <c r="O189" s="82"/>
      <c r="P189" s="82"/>
      <c r="Q189" s="82"/>
      <c r="R189" s="82"/>
      <c r="S189" s="82"/>
      <c r="T189" s="82"/>
      <c r="U189" s="82"/>
    </row>
    <row r="190" spans="3:21" x14ac:dyDescent="0.2">
      <c r="C190" s="82"/>
      <c r="D190" s="82"/>
      <c r="E190" s="82"/>
      <c r="F190" s="82"/>
      <c r="G190" s="82"/>
      <c r="H190" s="82"/>
      <c r="I190" s="82"/>
      <c r="J190" s="82"/>
      <c r="K190" s="82"/>
      <c r="L190" s="82"/>
      <c r="M190" s="82"/>
      <c r="N190" s="82"/>
      <c r="O190" s="82"/>
      <c r="P190" s="82"/>
      <c r="Q190" s="82"/>
      <c r="R190" s="82"/>
      <c r="S190" s="82"/>
      <c r="T190" s="82"/>
      <c r="U190" s="82"/>
    </row>
    <row r="191" spans="3:21" x14ac:dyDescent="0.2">
      <c r="C191" s="82"/>
      <c r="D191" s="82"/>
      <c r="E191" s="82"/>
      <c r="F191" s="82"/>
      <c r="G191" s="82"/>
      <c r="H191" s="82"/>
      <c r="I191" s="82"/>
      <c r="J191" s="82"/>
      <c r="K191" s="82"/>
      <c r="L191" s="82"/>
      <c r="M191" s="82"/>
      <c r="N191" s="82"/>
      <c r="O191" s="82"/>
      <c r="P191" s="82"/>
      <c r="Q191" s="82"/>
      <c r="R191" s="82"/>
      <c r="S191" s="82"/>
      <c r="T191" s="82"/>
      <c r="U191" s="82"/>
    </row>
    <row r="192" spans="3:21" x14ac:dyDescent="0.2">
      <c r="C192" s="82"/>
      <c r="D192" s="82"/>
      <c r="E192" s="82"/>
      <c r="F192" s="82"/>
      <c r="G192" s="82"/>
      <c r="H192" s="82"/>
      <c r="I192" s="82"/>
      <c r="J192" s="82"/>
      <c r="K192" s="82"/>
      <c r="L192" s="82"/>
      <c r="M192" s="82"/>
      <c r="N192" s="82"/>
      <c r="O192" s="82"/>
      <c r="P192" s="82"/>
      <c r="Q192" s="82"/>
      <c r="R192" s="82"/>
      <c r="S192" s="82"/>
      <c r="T192" s="82"/>
      <c r="U192" s="82"/>
    </row>
    <row r="193" spans="3:21" x14ac:dyDescent="0.2">
      <c r="C193" s="82"/>
      <c r="D193" s="82"/>
      <c r="E193" s="82"/>
      <c r="F193" s="82"/>
      <c r="G193" s="82"/>
      <c r="H193" s="82"/>
      <c r="I193" s="82"/>
      <c r="J193" s="82"/>
      <c r="K193" s="82"/>
      <c r="L193" s="82"/>
      <c r="M193" s="82"/>
      <c r="N193" s="82"/>
      <c r="O193" s="82"/>
      <c r="P193" s="82"/>
      <c r="Q193" s="82"/>
      <c r="R193" s="82"/>
      <c r="S193" s="82"/>
      <c r="T193" s="82"/>
      <c r="U193" s="82"/>
    </row>
    <row r="194" spans="3:21" x14ac:dyDescent="0.2">
      <c r="C194" s="82"/>
      <c r="D194" s="82"/>
      <c r="E194" s="82"/>
      <c r="F194" s="82"/>
      <c r="G194" s="82"/>
      <c r="H194" s="82"/>
      <c r="I194" s="82"/>
      <c r="J194" s="82"/>
      <c r="K194" s="82"/>
      <c r="L194" s="82"/>
      <c r="M194" s="82"/>
      <c r="N194" s="82"/>
      <c r="O194" s="82"/>
      <c r="P194" s="82"/>
      <c r="Q194" s="82"/>
      <c r="R194" s="82"/>
      <c r="S194" s="82"/>
      <c r="T194" s="82"/>
      <c r="U194" s="82"/>
    </row>
    <row r="195" spans="3:21" x14ac:dyDescent="0.2">
      <c r="C195" s="82"/>
      <c r="D195" s="82"/>
      <c r="E195" s="82"/>
      <c r="F195" s="82"/>
      <c r="G195" s="82"/>
      <c r="H195" s="82"/>
      <c r="I195" s="82"/>
      <c r="J195" s="82"/>
      <c r="K195" s="82"/>
      <c r="L195" s="82"/>
      <c r="M195" s="82"/>
      <c r="N195" s="82"/>
      <c r="O195" s="82"/>
      <c r="P195" s="82"/>
      <c r="Q195" s="82"/>
      <c r="R195" s="82"/>
      <c r="S195" s="82"/>
      <c r="T195" s="82"/>
      <c r="U195" s="82"/>
    </row>
    <row r="196" spans="3:21" x14ac:dyDescent="0.2">
      <c r="C196" s="82"/>
      <c r="D196" s="82"/>
      <c r="E196" s="82"/>
      <c r="F196" s="82"/>
      <c r="G196" s="82"/>
      <c r="H196" s="82"/>
      <c r="I196" s="82"/>
      <c r="J196" s="82"/>
      <c r="K196" s="82"/>
      <c r="L196" s="82"/>
      <c r="M196" s="82"/>
      <c r="N196" s="82"/>
      <c r="O196" s="82"/>
      <c r="P196" s="82"/>
      <c r="Q196" s="82"/>
      <c r="R196" s="82"/>
      <c r="S196" s="82"/>
      <c r="T196" s="82"/>
      <c r="U196" s="82"/>
    </row>
    <row r="197" spans="3:21" x14ac:dyDescent="0.2">
      <c r="C197" s="82"/>
      <c r="D197" s="82"/>
      <c r="E197" s="82"/>
      <c r="F197" s="82"/>
      <c r="G197" s="82"/>
      <c r="H197" s="82"/>
      <c r="I197" s="82"/>
      <c r="J197" s="82"/>
      <c r="K197" s="82"/>
      <c r="L197" s="82"/>
      <c r="M197" s="82"/>
      <c r="N197" s="82"/>
      <c r="O197" s="82"/>
      <c r="P197" s="82"/>
      <c r="Q197" s="82"/>
      <c r="R197" s="82"/>
      <c r="S197" s="82"/>
      <c r="T197" s="82"/>
      <c r="U197" s="82"/>
    </row>
    <row r="198" spans="3:21" x14ac:dyDescent="0.2">
      <c r="C198" s="82"/>
      <c r="D198" s="82"/>
      <c r="E198" s="82"/>
      <c r="F198" s="82"/>
      <c r="G198" s="82"/>
      <c r="H198" s="82"/>
      <c r="I198" s="82"/>
      <c r="J198" s="82"/>
      <c r="K198" s="82"/>
      <c r="L198" s="82"/>
      <c r="M198" s="82"/>
      <c r="N198" s="82"/>
      <c r="O198" s="82"/>
      <c r="P198" s="82"/>
      <c r="Q198" s="82"/>
      <c r="R198" s="82"/>
      <c r="S198" s="82"/>
      <c r="T198" s="82"/>
      <c r="U198" s="82"/>
    </row>
    <row r="199" spans="3:21" x14ac:dyDescent="0.2">
      <c r="C199" s="82"/>
      <c r="D199" s="82"/>
      <c r="E199" s="82"/>
      <c r="F199" s="82"/>
      <c r="G199" s="82"/>
      <c r="H199" s="82"/>
      <c r="I199" s="82"/>
      <c r="J199" s="82"/>
      <c r="K199" s="82"/>
      <c r="L199" s="82"/>
      <c r="M199" s="82"/>
      <c r="N199" s="82"/>
      <c r="O199" s="82"/>
      <c r="P199" s="82"/>
      <c r="Q199" s="82"/>
      <c r="R199" s="82"/>
      <c r="S199" s="82"/>
      <c r="T199" s="82"/>
      <c r="U199" s="82"/>
    </row>
    <row r="200" spans="3:21" x14ac:dyDescent="0.2">
      <c r="C200" s="82"/>
      <c r="D200" s="82"/>
      <c r="E200" s="82"/>
      <c r="F200" s="82"/>
      <c r="G200" s="82"/>
      <c r="H200" s="82"/>
      <c r="I200" s="82"/>
      <c r="J200" s="82"/>
      <c r="K200" s="82"/>
      <c r="L200" s="82"/>
      <c r="M200" s="82"/>
      <c r="N200" s="82"/>
      <c r="O200" s="82"/>
      <c r="P200" s="82"/>
      <c r="Q200" s="82"/>
      <c r="R200" s="82"/>
      <c r="S200" s="82"/>
      <c r="T200" s="82"/>
      <c r="U200" s="82"/>
    </row>
    <row r="201" spans="3:21" x14ac:dyDescent="0.2">
      <c r="C201" s="82"/>
      <c r="D201" s="82"/>
      <c r="E201" s="82"/>
      <c r="F201" s="82"/>
      <c r="G201" s="82"/>
      <c r="H201" s="82"/>
      <c r="I201" s="82"/>
      <c r="J201" s="82"/>
      <c r="K201" s="82"/>
      <c r="L201" s="82"/>
      <c r="M201" s="82"/>
      <c r="N201" s="82"/>
      <c r="O201" s="82"/>
      <c r="P201" s="82"/>
      <c r="Q201" s="82"/>
      <c r="R201" s="82"/>
      <c r="S201" s="82"/>
      <c r="T201" s="82"/>
      <c r="U201" s="82"/>
    </row>
    <row r="202" spans="3:21" x14ac:dyDescent="0.2">
      <c r="C202" s="82"/>
      <c r="D202" s="82"/>
      <c r="E202" s="82"/>
      <c r="F202" s="82"/>
      <c r="G202" s="82"/>
      <c r="H202" s="82"/>
      <c r="I202" s="82"/>
      <c r="J202" s="82"/>
      <c r="K202" s="82"/>
      <c r="L202" s="82"/>
      <c r="M202" s="82"/>
      <c r="N202" s="82"/>
      <c r="O202" s="82"/>
      <c r="P202" s="82"/>
      <c r="Q202" s="82"/>
      <c r="R202" s="82"/>
      <c r="S202" s="82"/>
      <c r="T202" s="82"/>
      <c r="U202" s="82"/>
    </row>
    <row r="203" spans="3:21" x14ac:dyDescent="0.2">
      <c r="C203" s="82"/>
      <c r="D203" s="82"/>
      <c r="E203" s="82"/>
      <c r="F203" s="82"/>
      <c r="G203" s="82"/>
      <c r="H203" s="82"/>
      <c r="I203" s="82"/>
      <c r="J203" s="82"/>
      <c r="K203" s="82"/>
      <c r="L203" s="82"/>
      <c r="M203" s="82"/>
      <c r="N203" s="82"/>
      <c r="O203" s="82"/>
      <c r="P203" s="82"/>
      <c r="Q203" s="82"/>
      <c r="R203" s="82"/>
      <c r="S203" s="82"/>
      <c r="T203" s="82"/>
      <c r="U203" s="82"/>
    </row>
  </sheetData>
  <sheetProtection algorithmName="SHA-512" hashValue="T/IBv4QzV8h1huvPzXEtp78/b4Uvk7ms/okvVFK3YxKgKljS4lVtMw1EPWqrCWHMK2h+qhxftkmb/PjuZt/JrQ==" saltValue="8Vp9eBIpWkdp7s+UQ1re9w==" spinCount="100000" sheet="1" objects="1" scenarios="1"/>
  <autoFilter ref="A1:W42" xr:uid="{00000000-0001-0000-0900-000000000000}"/>
  <phoneticPr fontId="145" type="noConversion"/>
  <pageMargins left="0.70866141732283472" right="0.70866141732283472" top="0.74803149606299213" bottom="0.74803149606299213" header="0.31496062992125984" footer="0.31496062992125984"/>
  <pageSetup scale="51" orientation="landscape" horizontalDpi="4294967294" verticalDpi="4294967294" r:id="rId1"/>
  <headerFooter>
    <oddHeader>&amp;L&amp;G&amp;C
MATRIZ DE RIESGOS</oddHeader>
    <oddFooter>&amp;RCódigo:E-02-F-014
Versión: 5 
Fecha: Ver Isolución</oddFooter>
  </headerFooter>
  <rowBreaks count="1" manualBreakCount="1">
    <brk id="42" max="16383" man="1"/>
  </rowBreaks>
  <legacy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r:uid="{87D96FE2-D5FB-45B9-BEAA-E2F7548F46F0}">
          <x14:formula1>
            <xm:f>'Base corrupción'!$D$69:$D$70</xm:f>
          </x14:formula1>
          <xm:sqref>C28:U42 C7:U9 C11:U19 C21:U25 C2:U5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DE556-6229-41DE-94B3-C3E0D6E2746F}">
  <sheetPr>
    <tabColor rgb="FF00B050"/>
  </sheetPr>
  <dimension ref="A1:BI1000"/>
  <sheetViews>
    <sheetView showGridLines="0" zoomScale="55" zoomScaleNormal="55" workbookViewId="0">
      <selection activeCell="AD12" sqref="AD12:AE13"/>
    </sheetView>
  </sheetViews>
  <sheetFormatPr baseColWidth="10" defaultColWidth="12.625" defaultRowHeight="15" customHeight="1" x14ac:dyDescent="0.2"/>
  <cols>
    <col min="1" max="1" width="9.375" customWidth="1"/>
    <col min="2" max="39" width="5" customWidth="1"/>
    <col min="40" max="40" width="9.375" customWidth="1"/>
    <col min="41" max="46" width="5" customWidth="1"/>
    <col min="47" max="61" width="9.375" customWidth="1"/>
  </cols>
  <sheetData>
    <row r="1" spans="1:61" x14ac:dyDescent="0.25">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row>
    <row r="2" spans="1:61" ht="18" customHeight="1" x14ac:dyDescent="0.25">
      <c r="A2" s="115"/>
      <c r="B2" s="816" t="s">
        <v>0</v>
      </c>
      <c r="C2" s="804"/>
      <c r="D2" s="804"/>
      <c r="E2" s="804"/>
      <c r="F2" s="804"/>
      <c r="G2" s="804"/>
      <c r="H2" s="804"/>
      <c r="I2" s="804"/>
      <c r="J2" s="817" t="s">
        <v>1</v>
      </c>
      <c r="K2" s="781"/>
      <c r="L2" s="781"/>
      <c r="M2" s="781"/>
      <c r="N2" s="781"/>
      <c r="O2" s="781"/>
      <c r="P2" s="781"/>
      <c r="Q2" s="781"/>
      <c r="R2" s="781"/>
      <c r="S2" s="781"/>
      <c r="T2" s="781"/>
      <c r="U2" s="781"/>
      <c r="V2" s="781"/>
      <c r="W2" s="781"/>
      <c r="X2" s="781"/>
      <c r="Y2" s="781"/>
      <c r="Z2" s="781"/>
      <c r="AA2" s="781"/>
      <c r="AB2" s="781"/>
      <c r="AC2" s="781"/>
      <c r="AD2" s="781"/>
      <c r="AE2" s="781"/>
      <c r="AF2" s="781"/>
      <c r="AG2" s="781"/>
      <c r="AH2" s="781"/>
      <c r="AI2" s="781"/>
      <c r="AJ2" s="781"/>
      <c r="AK2" s="781"/>
      <c r="AL2" s="781"/>
      <c r="AM2" s="781"/>
      <c r="AN2" s="115"/>
      <c r="AO2" s="115"/>
      <c r="AP2" s="115"/>
      <c r="AQ2" s="115"/>
      <c r="AR2" s="115"/>
      <c r="AS2" s="115"/>
      <c r="AT2" s="115"/>
      <c r="AU2" s="115"/>
      <c r="AV2" s="115"/>
      <c r="AW2" s="115"/>
      <c r="AX2" s="115"/>
      <c r="AY2" s="115"/>
      <c r="AZ2" s="115"/>
      <c r="BA2" s="115"/>
      <c r="BB2" s="115"/>
      <c r="BC2" s="115"/>
      <c r="BD2" s="115"/>
      <c r="BE2" s="115"/>
      <c r="BF2" s="115"/>
      <c r="BG2" s="115"/>
      <c r="BH2" s="115"/>
      <c r="BI2" s="115"/>
    </row>
    <row r="3" spans="1:61" ht="18.75" customHeight="1" x14ac:dyDescent="0.25">
      <c r="A3" s="115"/>
      <c r="B3" s="804"/>
      <c r="C3" s="804"/>
      <c r="D3" s="804"/>
      <c r="E3" s="804"/>
      <c r="F3" s="804"/>
      <c r="G3" s="804"/>
      <c r="H3" s="804"/>
      <c r="I3" s="804"/>
      <c r="J3" s="781"/>
      <c r="K3" s="804"/>
      <c r="L3" s="804"/>
      <c r="M3" s="804"/>
      <c r="N3" s="804"/>
      <c r="O3" s="804"/>
      <c r="P3" s="804"/>
      <c r="Q3" s="804"/>
      <c r="R3" s="804"/>
      <c r="S3" s="804"/>
      <c r="T3" s="804"/>
      <c r="U3" s="804"/>
      <c r="V3" s="804"/>
      <c r="W3" s="804"/>
      <c r="X3" s="804"/>
      <c r="Y3" s="804"/>
      <c r="Z3" s="804"/>
      <c r="AA3" s="804"/>
      <c r="AB3" s="804"/>
      <c r="AC3" s="804"/>
      <c r="AD3" s="804"/>
      <c r="AE3" s="804"/>
      <c r="AF3" s="804"/>
      <c r="AG3" s="804"/>
      <c r="AH3" s="804"/>
      <c r="AI3" s="804"/>
      <c r="AJ3" s="804"/>
      <c r="AK3" s="804"/>
      <c r="AL3" s="804"/>
      <c r="AM3" s="781"/>
      <c r="AN3" s="115"/>
      <c r="AO3" s="115"/>
      <c r="AP3" s="115"/>
      <c r="AQ3" s="115"/>
      <c r="AR3" s="115"/>
      <c r="AS3" s="115"/>
      <c r="AT3" s="115"/>
      <c r="AU3" s="115"/>
      <c r="AV3" s="115"/>
      <c r="AW3" s="115"/>
      <c r="AX3" s="115"/>
      <c r="AY3" s="115"/>
      <c r="AZ3" s="115"/>
      <c r="BA3" s="115"/>
      <c r="BB3" s="115"/>
      <c r="BC3" s="115"/>
      <c r="BD3" s="115"/>
      <c r="BE3" s="115"/>
      <c r="BF3" s="115"/>
      <c r="BG3" s="115"/>
      <c r="BH3" s="115"/>
      <c r="BI3" s="115"/>
    </row>
    <row r="4" spans="1:61" ht="15" customHeight="1" x14ac:dyDescent="0.25">
      <c r="A4" s="115"/>
      <c r="B4" s="804"/>
      <c r="C4" s="804"/>
      <c r="D4" s="804"/>
      <c r="E4" s="804"/>
      <c r="F4" s="804"/>
      <c r="G4" s="804"/>
      <c r="H4" s="804"/>
      <c r="I4" s="804"/>
      <c r="J4" s="781"/>
      <c r="K4" s="781"/>
      <c r="L4" s="781"/>
      <c r="M4" s="781"/>
      <c r="N4" s="781"/>
      <c r="O4" s="781"/>
      <c r="P4" s="781"/>
      <c r="Q4" s="781"/>
      <c r="R4" s="781"/>
      <c r="S4" s="781"/>
      <c r="T4" s="781"/>
      <c r="U4" s="781"/>
      <c r="V4" s="781"/>
      <c r="W4" s="781"/>
      <c r="X4" s="781"/>
      <c r="Y4" s="781"/>
      <c r="Z4" s="781"/>
      <c r="AA4" s="781"/>
      <c r="AB4" s="781"/>
      <c r="AC4" s="781"/>
      <c r="AD4" s="781"/>
      <c r="AE4" s="781"/>
      <c r="AF4" s="781"/>
      <c r="AG4" s="781"/>
      <c r="AH4" s="781"/>
      <c r="AI4" s="781"/>
      <c r="AJ4" s="781"/>
      <c r="AK4" s="781"/>
      <c r="AL4" s="781"/>
      <c r="AM4" s="781"/>
      <c r="AN4" s="115"/>
      <c r="AO4" s="115"/>
      <c r="AP4" s="115"/>
      <c r="AQ4" s="115"/>
      <c r="AR4" s="115"/>
      <c r="AS4" s="115"/>
      <c r="AT4" s="115"/>
      <c r="AU4" s="115"/>
      <c r="AV4" s="115"/>
      <c r="AW4" s="115"/>
      <c r="AX4" s="115"/>
      <c r="AY4" s="115"/>
      <c r="AZ4" s="115"/>
      <c r="BA4" s="115"/>
      <c r="BB4" s="115"/>
      <c r="BC4" s="115"/>
      <c r="BD4" s="115"/>
      <c r="BE4" s="115"/>
      <c r="BF4" s="115"/>
      <c r="BG4" s="115"/>
      <c r="BH4" s="115"/>
      <c r="BI4" s="115"/>
    </row>
    <row r="5" spans="1:61" x14ac:dyDescent="0.25">
      <c r="A5" s="115"/>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c r="BI5" s="115"/>
    </row>
    <row r="6" spans="1:61" x14ac:dyDescent="0.25">
      <c r="A6" s="115"/>
      <c r="B6" s="818" t="s">
        <v>2</v>
      </c>
      <c r="C6" s="781"/>
      <c r="D6" s="780"/>
      <c r="E6" s="812" t="s">
        <v>3</v>
      </c>
      <c r="F6" s="786"/>
      <c r="G6" s="786"/>
      <c r="H6" s="786"/>
      <c r="I6" s="794"/>
      <c r="J6" s="785" t="e">
        <f>IF(AND(#REF!="Muy Alta",#REF!="Leve"),CONCATENATE("R",#REF!),"")</f>
        <v>#REF!</v>
      </c>
      <c r="K6" s="786"/>
      <c r="L6" s="787" t="e">
        <f>IF(AND(#REF!="Muy Alta",#REF!="Leve"),CONCATENATE("R",#REF!),"")</f>
        <v>#REF!</v>
      </c>
      <c r="M6" s="787"/>
      <c r="N6" s="787" t="e">
        <f>IF(AND(#REF!="Muy Alta",#REF!="Leve"),CONCATENATE("R",#REF!),"")</f>
        <v>#REF!</v>
      </c>
      <c r="O6" s="794"/>
      <c r="P6" s="785" t="e">
        <f>IF(AND(#REF!="Muy Alta",#REF!="Menor"),CONCATENATE("R",#REF!),"")</f>
        <v>#REF!</v>
      </c>
      <c r="Q6" s="786"/>
      <c r="R6" s="787" t="e">
        <f>IF(AND(#REF!="Muy Alta",#REF!="Menor"),CONCATENATE("R",#REF!),"")</f>
        <v>#REF!</v>
      </c>
      <c r="S6" s="786"/>
      <c r="T6" s="787" t="e">
        <f>IF(AND(#REF!="Muy Alta",#REF!="Menor"),CONCATENATE("R",#REF!),"")</f>
        <v>#REF!</v>
      </c>
      <c r="U6" s="794"/>
      <c r="V6" s="785" t="e">
        <f>IF(AND(#REF!="Muy Alta",#REF!="Moderado"),CONCATENATE("R",#REF!),"")</f>
        <v>#REF!</v>
      </c>
      <c r="W6" s="786"/>
      <c r="X6" s="787" t="e">
        <f>IF(AND(#REF!="Muy Alta",#REF!="Moderado"),CONCATENATE("R",#REF!),"")</f>
        <v>#REF!</v>
      </c>
      <c r="Y6" s="786"/>
      <c r="Z6" s="787" t="e">
        <f>IF(AND(#REF!="Muy Alta",#REF!="Moderado"),CONCATENATE("R",#REF!),"")</f>
        <v>#REF!</v>
      </c>
      <c r="AA6" s="794"/>
      <c r="AB6" s="785" t="e">
        <f>IF(AND(#REF!="Muy Alta",#REF!="Mayor"),CONCATENATE("R",#REF!),"")</f>
        <v>#REF!</v>
      </c>
      <c r="AC6" s="786"/>
      <c r="AD6" s="787" t="e">
        <f>IF(AND(#REF!="Muy Alta",#REF!="Mayor"),CONCATENATE("R",#REF!),"")</f>
        <v>#REF!</v>
      </c>
      <c r="AE6" s="786"/>
      <c r="AF6" s="787" t="e">
        <f>IF(AND(#REF!="Muy Alta",#REF!="Mayor"),CONCATENATE("R",#REF!),"")</f>
        <v>#REF!</v>
      </c>
      <c r="AG6" s="794"/>
      <c r="AH6" s="796" t="e">
        <f>IF(AND(#REF!="Muy Alta",#REF!="Catastrófico"),CONCATENATE("R",#REF!),"")</f>
        <v>#REF!</v>
      </c>
      <c r="AI6" s="786"/>
      <c r="AJ6" s="789" t="e">
        <f>IF(AND(#REF!="Muy Alta",#REF!="Catastrófico"),CONCATENATE("R",#REF!),"")</f>
        <v>#REF!</v>
      </c>
      <c r="AK6" s="786"/>
      <c r="AL6" s="789" t="e">
        <f>IF(AND(#REF!="Muy Alta",#REF!="Catastrófico"),CONCATENATE("R",#REF!),"")</f>
        <v>#REF!</v>
      </c>
      <c r="AM6" s="794"/>
      <c r="AO6" s="811" t="s">
        <v>4</v>
      </c>
      <c r="AP6" s="801"/>
      <c r="AQ6" s="801"/>
      <c r="AR6" s="801"/>
      <c r="AS6" s="801"/>
      <c r="AT6" s="802"/>
      <c r="AU6" s="115"/>
      <c r="AV6" s="115"/>
      <c r="AW6" s="115"/>
      <c r="AX6" s="115"/>
      <c r="AY6" s="115"/>
      <c r="AZ6" s="115"/>
      <c r="BA6" s="115"/>
      <c r="BB6" s="115"/>
      <c r="BC6" s="115"/>
      <c r="BD6" s="115"/>
      <c r="BE6" s="115"/>
      <c r="BF6" s="115"/>
      <c r="BG6" s="115"/>
      <c r="BH6" s="115"/>
      <c r="BI6" s="115"/>
    </row>
    <row r="7" spans="1:61" x14ac:dyDescent="0.25">
      <c r="A7" s="115"/>
      <c r="B7" s="781"/>
      <c r="C7" s="804"/>
      <c r="D7" s="780"/>
      <c r="E7" s="783"/>
      <c r="F7" s="804"/>
      <c r="G7" s="804"/>
      <c r="H7" s="804"/>
      <c r="I7" s="780"/>
      <c r="J7" s="783"/>
      <c r="K7" s="781"/>
      <c r="L7" s="779"/>
      <c r="M7" s="779"/>
      <c r="N7" s="781"/>
      <c r="O7" s="780"/>
      <c r="P7" s="783"/>
      <c r="Q7" s="781"/>
      <c r="R7" s="781"/>
      <c r="S7" s="781"/>
      <c r="T7" s="781"/>
      <c r="U7" s="780"/>
      <c r="V7" s="783"/>
      <c r="W7" s="781"/>
      <c r="X7" s="781"/>
      <c r="Y7" s="781"/>
      <c r="Z7" s="781"/>
      <c r="AA7" s="780"/>
      <c r="AB7" s="783"/>
      <c r="AC7" s="781"/>
      <c r="AD7" s="781"/>
      <c r="AE7" s="781"/>
      <c r="AF7" s="781"/>
      <c r="AG7" s="780"/>
      <c r="AH7" s="783"/>
      <c r="AI7" s="781"/>
      <c r="AJ7" s="781"/>
      <c r="AK7" s="781"/>
      <c r="AL7" s="781"/>
      <c r="AM7" s="780"/>
      <c r="AN7" s="115"/>
      <c r="AO7" s="803"/>
      <c r="AP7" s="804"/>
      <c r="AQ7" s="804"/>
      <c r="AR7" s="804"/>
      <c r="AS7" s="804"/>
      <c r="AT7" s="805"/>
      <c r="AU7" s="115"/>
      <c r="AV7" s="115"/>
      <c r="AW7" s="115"/>
      <c r="AX7" s="115"/>
      <c r="AY7" s="115"/>
      <c r="AZ7" s="115"/>
      <c r="BA7" s="115"/>
      <c r="BB7" s="115"/>
      <c r="BC7" s="115"/>
      <c r="BD7" s="115"/>
      <c r="BE7" s="115"/>
      <c r="BF7" s="115"/>
      <c r="BG7" s="115"/>
      <c r="BH7" s="115"/>
      <c r="BI7" s="115"/>
    </row>
    <row r="8" spans="1:61" x14ac:dyDescent="0.25">
      <c r="A8" s="115"/>
      <c r="B8" s="781"/>
      <c r="C8" s="804"/>
      <c r="D8" s="780"/>
      <c r="E8" s="783"/>
      <c r="F8" s="804"/>
      <c r="G8" s="804"/>
      <c r="H8" s="804"/>
      <c r="I8" s="780"/>
      <c r="J8" s="788" t="e">
        <f>IF(AND(#REF!="Muy Alta",#REF!="Leve"),CONCATENATE("R",#REF!),"")</f>
        <v>#REF!</v>
      </c>
      <c r="K8" s="779"/>
      <c r="L8" s="779" t="e">
        <f>IF(AND(#REF!="Muy Alta",#REF!="Leve"),CONCATENATE("R",#REF!),"")</f>
        <v>#REF!</v>
      </c>
      <c r="M8" s="781"/>
      <c r="N8" s="779" t="e">
        <f>IF(AND(#REF!="Muy Alta",#REF!="Leve"),CONCATENATE("R",#REF!),"")</f>
        <v>#REF!</v>
      </c>
      <c r="O8" s="780"/>
      <c r="P8" s="788" t="e">
        <f>IF(AND(#REF!="Muy Alta",#REF!="Menor"),CONCATENATE("R",#REF!),"")</f>
        <v>#REF!</v>
      </c>
      <c r="Q8" s="781"/>
      <c r="R8" s="779" t="e">
        <f>IF(AND(#REF!="Muy Alta",#REF!="Menor"),CONCATENATE("R",#REF!),"")</f>
        <v>#REF!</v>
      </c>
      <c r="S8" s="781"/>
      <c r="T8" s="779" t="e">
        <f>IF(AND(#REF!="Muy Alta",#REF!="Menor"),CONCATENATE("R",#REF!),"")</f>
        <v>#REF!</v>
      </c>
      <c r="U8" s="780"/>
      <c r="V8" s="788" t="e">
        <f>IF(AND(#REF!="Muy Alta",#REF!="Moderado"),CONCATENATE("R",#REF!),"")</f>
        <v>#REF!</v>
      </c>
      <c r="W8" s="781"/>
      <c r="X8" s="779" t="e">
        <f>IF(AND(#REF!="Muy Alta",#REF!="Moderado"),CONCATENATE("R",#REF!),"")</f>
        <v>#REF!</v>
      </c>
      <c r="Y8" s="781"/>
      <c r="Z8" s="779" t="e">
        <f>IF(AND(#REF!="Muy Alta",#REF!="Moderado"),CONCATENATE("R",#REF!),"")</f>
        <v>#REF!</v>
      </c>
      <c r="AA8" s="780"/>
      <c r="AB8" s="788" t="e">
        <f>IF(AND(#REF!="Muy Alta",#REF!="Mayor"),CONCATENATE("R",#REF!),"")</f>
        <v>#REF!</v>
      </c>
      <c r="AC8" s="781"/>
      <c r="AD8" s="779" t="e">
        <f>IF(AND(#REF!="Muy Alta",#REF!="Mayor"),CONCATENATE("R",#REF!),"")</f>
        <v>#REF!</v>
      </c>
      <c r="AE8" s="781"/>
      <c r="AF8" s="779" t="e">
        <f>IF(AND(#REF!="Muy Alta",#REF!="Mayor"),CONCATENATE("R",#REF!),"")</f>
        <v>#REF!</v>
      </c>
      <c r="AG8" s="780"/>
      <c r="AH8" s="782" t="e">
        <f>IF(AND(#REF!="Muy Alta",#REF!="Catastrófico"),CONCATENATE("R",#REF!),"")</f>
        <v>#REF!</v>
      </c>
      <c r="AI8" s="781"/>
      <c r="AJ8" s="784" t="e">
        <f>IF(AND(#REF!="Muy Alta",#REF!="Catastrófico"),CONCATENATE("R",#REF!),"")</f>
        <v>#REF!</v>
      </c>
      <c r="AK8" s="781"/>
      <c r="AL8" s="784" t="e">
        <f>IF(AND(#REF!="Muy Alta",#REF!="Catastrófico"),CONCATENATE("R",#REF!),"")</f>
        <v>#REF!</v>
      </c>
      <c r="AM8" s="780"/>
      <c r="AN8" s="115"/>
      <c r="AO8" s="803"/>
      <c r="AP8" s="804"/>
      <c r="AQ8" s="804"/>
      <c r="AR8" s="804"/>
      <c r="AS8" s="804"/>
      <c r="AT8" s="805"/>
      <c r="AU8" s="115"/>
      <c r="AV8" s="115"/>
      <c r="AW8" s="115"/>
      <c r="AX8" s="115"/>
      <c r="AY8" s="115"/>
      <c r="AZ8" s="115"/>
      <c r="BA8" s="115"/>
      <c r="BB8" s="115"/>
      <c r="BC8" s="115"/>
      <c r="BD8" s="115"/>
      <c r="BE8" s="115"/>
      <c r="BF8" s="115"/>
      <c r="BG8" s="115"/>
      <c r="BH8" s="115"/>
      <c r="BI8" s="115"/>
    </row>
    <row r="9" spans="1:61" x14ac:dyDescent="0.25">
      <c r="A9" s="115"/>
      <c r="B9" s="781"/>
      <c r="C9" s="804"/>
      <c r="D9" s="780"/>
      <c r="E9" s="783"/>
      <c r="F9" s="804"/>
      <c r="G9" s="804"/>
      <c r="H9" s="804"/>
      <c r="I9" s="780"/>
      <c r="J9" s="788"/>
      <c r="K9" s="779"/>
      <c r="L9" s="781"/>
      <c r="M9" s="781"/>
      <c r="N9" s="781"/>
      <c r="O9" s="780"/>
      <c r="P9" s="783"/>
      <c r="Q9" s="781"/>
      <c r="R9" s="781"/>
      <c r="S9" s="781"/>
      <c r="T9" s="781"/>
      <c r="U9" s="780"/>
      <c r="V9" s="783"/>
      <c r="W9" s="781"/>
      <c r="X9" s="781"/>
      <c r="Y9" s="781"/>
      <c r="Z9" s="781"/>
      <c r="AA9" s="780"/>
      <c r="AB9" s="783"/>
      <c r="AC9" s="781"/>
      <c r="AD9" s="781"/>
      <c r="AE9" s="781"/>
      <c r="AF9" s="781"/>
      <c r="AG9" s="780"/>
      <c r="AH9" s="783"/>
      <c r="AI9" s="781"/>
      <c r="AJ9" s="781"/>
      <c r="AK9" s="781"/>
      <c r="AL9" s="781"/>
      <c r="AM9" s="780"/>
      <c r="AN9" s="115"/>
      <c r="AO9" s="803"/>
      <c r="AP9" s="804"/>
      <c r="AQ9" s="804"/>
      <c r="AR9" s="804"/>
      <c r="AS9" s="804"/>
      <c r="AT9" s="805"/>
      <c r="AU9" s="115"/>
      <c r="AV9" s="115"/>
      <c r="AW9" s="115"/>
      <c r="AX9" s="115"/>
      <c r="AY9" s="115"/>
      <c r="AZ9" s="115"/>
      <c r="BA9" s="115"/>
      <c r="BB9" s="115"/>
      <c r="BC9" s="115"/>
      <c r="BD9" s="115"/>
      <c r="BE9" s="115"/>
      <c r="BF9" s="115"/>
      <c r="BG9" s="115"/>
      <c r="BH9" s="115"/>
      <c r="BI9" s="115"/>
    </row>
    <row r="10" spans="1:61" ht="15" customHeight="1" x14ac:dyDescent="0.25">
      <c r="A10" s="115"/>
      <c r="B10" s="781"/>
      <c r="C10" s="804"/>
      <c r="D10" s="780"/>
      <c r="E10" s="783"/>
      <c r="F10" s="804"/>
      <c r="G10" s="804"/>
      <c r="H10" s="804"/>
      <c r="I10" s="780"/>
      <c r="J10" s="788" t="e">
        <f>IF(AND(#REF!="Muy Alta",#REF!="Leve"),CONCATENATE("R",#REF!),"")</f>
        <v>#REF!</v>
      </c>
      <c r="K10" s="781"/>
      <c r="L10" s="779" t="e">
        <f>IF(AND(#REF!="Muy Alta",#REF!="Leve"),CONCATENATE("R",#REF!),"")</f>
        <v>#REF!</v>
      </c>
      <c r="M10" s="781"/>
      <c r="N10" s="779" t="e">
        <f>IF(AND(#REF!="Muy Alta",#REF!="Leve"),CONCATENATE("R",#REF!),"")</f>
        <v>#REF!</v>
      </c>
      <c r="O10" s="780"/>
      <c r="P10" s="788" t="e">
        <f>IF(AND(#REF!="Muy Alta",#REF!="Menor"),CONCATENATE("R",#REF!),"")</f>
        <v>#REF!</v>
      </c>
      <c r="Q10" s="781"/>
      <c r="R10" s="779" t="e">
        <f>IF(AND(#REF!="Muy Alta",#REF!="Menor"),CONCATENATE("R",#REF!),"")</f>
        <v>#REF!</v>
      </c>
      <c r="S10" s="781"/>
      <c r="T10" s="779" t="e">
        <f>IF(AND(#REF!="Muy Alta",#REF!="Menor"),CONCATENATE("R",#REF!),"")</f>
        <v>#REF!</v>
      </c>
      <c r="U10" s="780"/>
      <c r="V10" s="788" t="e">
        <f>IF(AND(#REF!="Muy Alta",#REF!="Moderado"),CONCATENATE("R",#REF!),"")</f>
        <v>#REF!</v>
      </c>
      <c r="W10" s="781"/>
      <c r="X10" s="779" t="e">
        <f>IF(AND(#REF!="Muy Alta",#REF!="Moderado"),CONCATENATE("R",#REF!),"")</f>
        <v>#REF!</v>
      </c>
      <c r="Y10" s="781"/>
      <c r="Z10" s="779" t="e">
        <f>IF(AND(#REF!="Muy Alta",#REF!="Moderado"),CONCATENATE("R",#REF!),"")</f>
        <v>#REF!</v>
      </c>
      <c r="AA10" s="780"/>
      <c r="AB10" s="788" t="e">
        <f>IF(AND(#REF!="Muy Alta",#REF!="Mayor"),CONCATENATE("R",#REF!),"")</f>
        <v>#REF!</v>
      </c>
      <c r="AC10" s="781"/>
      <c r="AD10" s="779" t="e">
        <f>IF(AND(#REF!="Muy Alta",#REF!="Mayor"),CONCATENATE("R",#REF!),"")</f>
        <v>#REF!</v>
      </c>
      <c r="AE10" s="781"/>
      <c r="AF10" s="779" t="e">
        <f>IF(AND(#REF!="Muy Alta",#REF!="Mayor"),CONCATENATE("R",#REF!),"")</f>
        <v>#REF!</v>
      </c>
      <c r="AG10" s="780"/>
      <c r="AH10" s="782" t="e">
        <f>IF(AND(#REF!="Muy Alta",#REF!="Catastrófico"),CONCATENATE("R",#REF!),"")</f>
        <v>#REF!</v>
      </c>
      <c r="AI10" s="781"/>
      <c r="AJ10" s="784" t="e">
        <f>IF(AND(#REF!="Muy Alta",#REF!="Catastrófico"),CONCATENATE("R",#REF!),"")</f>
        <v>#REF!</v>
      </c>
      <c r="AK10" s="781"/>
      <c r="AL10" s="784" t="e">
        <f>IF(AND(#REF!="Muy Alta",#REF!="Catastrófico"),CONCATENATE("R",#REF!),"")</f>
        <v>#REF!</v>
      </c>
      <c r="AM10" s="780"/>
      <c r="AN10" s="115"/>
      <c r="AO10" s="803"/>
      <c r="AP10" s="804"/>
      <c r="AQ10" s="804"/>
      <c r="AR10" s="804"/>
      <c r="AS10" s="804"/>
      <c r="AT10" s="805"/>
      <c r="AU10" s="115"/>
      <c r="AV10" s="115"/>
      <c r="AW10" s="115"/>
      <c r="AX10" s="115"/>
      <c r="AY10" s="115"/>
      <c r="AZ10" s="115"/>
      <c r="BA10" s="115"/>
      <c r="BB10" s="115"/>
      <c r="BC10" s="115"/>
      <c r="BD10" s="115"/>
      <c r="BE10" s="115"/>
      <c r="BF10" s="115"/>
      <c r="BG10" s="115"/>
      <c r="BH10" s="115"/>
      <c r="BI10" s="115"/>
    </row>
    <row r="11" spans="1:61" ht="15" customHeight="1" x14ac:dyDescent="0.25">
      <c r="A11" s="115"/>
      <c r="B11" s="781"/>
      <c r="C11" s="804"/>
      <c r="D11" s="780"/>
      <c r="E11" s="783"/>
      <c r="F11" s="804"/>
      <c r="G11" s="804"/>
      <c r="H11" s="804"/>
      <c r="I11" s="780"/>
      <c r="J11" s="783"/>
      <c r="K11" s="781"/>
      <c r="L11" s="781"/>
      <c r="M11" s="781"/>
      <c r="N11" s="781"/>
      <c r="O11" s="780"/>
      <c r="P11" s="783"/>
      <c r="Q11" s="781"/>
      <c r="R11" s="781"/>
      <c r="S11" s="781"/>
      <c r="T11" s="781"/>
      <c r="U11" s="780"/>
      <c r="V11" s="783"/>
      <c r="W11" s="781"/>
      <c r="X11" s="781"/>
      <c r="Y11" s="781"/>
      <c r="Z11" s="781"/>
      <c r="AA11" s="780"/>
      <c r="AB11" s="783"/>
      <c r="AC11" s="781"/>
      <c r="AD11" s="781"/>
      <c r="AE11" s="781"/>
      <c r="AF11" s="781"/>
      <c r="AG11" s="780"/>
      <c r="AH11" s="783"/>
      <c r="AI11" s="781"/>
      <c r="AJ11" s="781"/>
      <c r="AK11" s="781"/>
      <c r="AL11" s="781"/>
      <c r="AM11" s="780"/>
      <c r="AN11" s="115"/>
      <c r="AO11" s="803"/>
      <c r="AP11" s="804"/>
      <c r="AQ11" s="804"/>
      <c r="AR11" s="804"/>
      <c r="AS11" s="804"/>
      <c r="AT11" s="805"/>
      <c r="AU11" s="115"/>
      <c r="AV11" s="115"/>
      <c r="AW11" s="115"/>
      <c r="AX11" s="115"/>
      <c r="AY11" s="115"/>
      <c r="AZ11" s="115"/>
      <c r="BA11" s="115"/>
      <c r="BB11" s="115"/>
      <c r="BC11" s="115"/>
      <c r="BD11" s="115"/>
      <c r="BE11" s="115"/>
      <c r="BF11" s="115"/>
      <c r="BG11" s="115"/>
      <c r="BH11" s="115"/>
      <c r="BI11" s="115"/>
    </row>
    <row r="12" spans="1:61" ht="15" customHeight="1" x14ac:dyDescent="0.25">
      <c r="A12" s="115"/>
      <c r="B12" s="781"/>
      <c r="C12" s="804"/>
      <c r="D12" s="780"/>
      <c r="E12" s="783"/>
      <c r="F12" s="804"/>
      <c r="G12" s="804"/>
      <c r="H12" s="804"/>
      <c r="I12" s="780"/>
      <c r="J12" s="788" t="e">
        <f>IF(AND(#REF!="Muy Alta",#REF!="Leve"),CONCATENATE("R",#REF!),"")</f>
        <v>#REF!</v>
      </c>
      <c r="K12" s="781"/>
      <c r="L12" s="779" t="e">
        <f>IF(AND(#REF!="Muy Alta",#REF!="Leve"),CONCATENATE("R",#REF!),"")</f>
        <v>#REF!</v>
      </c>
      <c r="M12" s="781"/>
      <c r="N12" s="779" t="e">
        <f>IF(AND(#REF!="Muy Alta",#REF!="Leve"),CONCATENATE("R",#REF!),"")</f>
        <v>#REF!</v>
      </c>
      <c r="O12" s="780"/>
      <c r="P12" s="788" t="e">
        <f>IF(AND(#REF!="Muy Alta",#REF!="Menor"),CONCATENATE("R",#REF!),"")</f>
        <v>#REF!</v>
      </c>
      <c r="Q12" s="781"/>
      <c r="R12" s="779" t="e">
        <f>IF(AND(#REF!="Muy Alta",#REF!="Menor"),CONCATENATE("R",#REF!),"")</f>
        <v>#REF!</v>
      </c>
      <c r="S12" s="781"/>
      <c r="T12" s="779" t="e">
        <f>IF(AND(#REF!="Muy Alta",#REF!="Menor"),CONCATENATE("R",#REF!),"")</f>
        <v>#REF!</v>
      </c>
      <c r="U12" s="780"/>
      <c r="V12" s="788" t="e">
        <f>IF(AND(#REF!="Muy Alta",#REF!="Moderado"),CONCATENATE("R",#REF!),"")</f>
        <v>#REF!</v>
      </c>
      <c r="W12" s="781"/>
      <c r="X12" s="779" t="e">
        <f>IF(AND(#REF!="Muy Alta",#REF!="Moderado"),CONCATENATE("R",#REF!),"")</f>
        <v>#REF!</v>
      </c>
      <c r="Y12" s="781"/>
      <c r="Z12" s="779" t="e">
        <f>IF(AND(#REF!="Muy Alta",#REF!="Moderado"),CONCATENATE("R",#REF!),"")</f>
        <v>#REF!</v>
      </c>
      <c r="AA12" s="780"/>
      <c r="AB12" s="788" t="e">
        <f>IF(AND(#REF!="Muy Alta",#REF!="Mayor"),CONCATENATE("R",#REF!),"")</f>
        <v>#REF!</v>
      </c>
      <c r="AC12" s="781"/>
      <c r="AD12" s="779" t="e">
        <f>IF(AND(#REF!="Muy Alta",#REF!="Mayor"),CONCATENATE("R",#REF!),"")</f>
        <v>#REF!</v>
      </c>
      <c r="AE12" s="781"/>
      <c r="AF12" s="779" t="e">
        <f>IF(AND(#REF!="Muy Alta",#REF!="Mayor"),CONCATENATE("R",#REF!),"")</f>
        <v>#REF!</v>
      </c>
      <c r="AG12" s="780"/>
      <c r="AH12" s="782" t="e">
        <f>IF(AND(#REF!="Muy Alta",#REF!="Catastrófico"),CONCATENATE("R",#REF!),"")</f>
        <v>#REF!</v>
      </c>
      <c r="AI12" s="781"/>
      <c r="AJ12" s="784" t="e">
        <f>IF(AND(#REF!="Muy Alta",#REF!="Catastrófico"),CONCATENATE("R",#REF!),"")</f>
        <v>#REF!</v>
      </c>
      <c r="AK12" s="781"/>
      <c r="AL12" s="784" t="e">
        <f>IF(AND(#REF!="Muy Alta",#REF!="Catastrófico"),CONCATENATE("R",#REF!),"")</f>
        <v>#REF!</v>
      </c>
      <c r="AM12" s="780"/>
      <c r="AN12" s="115"/>
      <c r="AO12" s="803"/>
      <c r="AP12" s="804"/>
      <c r="AQ12" s="804"/>
      <c r="AR12" s="804"/>
      <c r="AS12" s="804"/>
      <c r="AT12" s="805"/>
      <c r="AU12" s="115"/>
      <c r="AV12" s="115"/>
      <c r="AW12" s="115"/>
      <c r="AX12" s="115"/>
      <c r="AY12" s="115"/>
      <c r="AZ12" s="115"/>
      <c r="BA12" s="115"/>
      <c r="BB12" s="115"/>
      <c r="BC12" s="115"/>
      <c r="BD12" s="115"/>
      <c r="BE12" s="115"/>
      <c r="BF12" s="115"/>
      <c r="BG12" s="115"/>
      <c r="BH12" s="115"/>
      <c r="BI12" s="115"/>
    </row>
    <row r="13" spans="1:61" ht="15.75" customHeight="1" thickBot="1" x14ac:dyDescent="0.3">
      <c r="A13" s="115"/>
      <c r="B13" s="781"/>
      <c r="C13" s="804"/>
      <c r="D13" s="780"/>
      <c r="E13" s="790"/>
      <c r="F13" s="791"/>
      <c r="G13" s="791"/>
      <c r="H13" s="791"/>
      <c r="I13" s="792"/>
      <c r="J13" s="783"/>
      <c r="K13" s="781"/>
      <c r="L13" s="781"/>
      <c r="M13" s="781"/>
      <c r="N13" s="781"/>
      <c r="O13" s="780"/>
      <c r="P13" s="783"/>
      <c r="Q13" s="781"/>
      <c r="R13" s="781"/>
      <c r="S13" s="781"/>
      <c r="T13" s="781"/>
      <c r="U13" s="780"/>
      <c r="V13" s="783"/>
      <c r="W13" s="781"/>
      <c r="X13" s="781"/>
      <c r="Y13" s="781"/>
      <c r="Z13" s="781"/>
      <c r="AA13" s="780"/>
      <c r="AB13" s="783"/>
      <c r="AC13" s="781"/>
      <c r="AD13" s="781"/>
      <c r="AE13" s="781"/>
      <c r="AF13" s="781"/>
      <c r="AG13" s="780"/>
      <c r="AH13" s="790"/>
      <c r="AI13" s="791"/>
      <c r="AJ13" s="791"/>
      <c r="AK13" s="791"/>
      <c r="AL13" s="791"/>
      <c r="AM13" s="792"/>
      <c r="AN13" s="115"/>
      <c r="AO13" s="806"/>
      <c r="AP13" s="807"/>
      <c r="AQ13" s="807"/>
      <c r="AR13" s="807"/>
      <c r="AS13" s="807"/>
      <c r="AT13" s="808"/>
      <c r="AU13" s="115"/>
      <c r="AV13" s="115"/>
      <c r="AW13" s="115"/>
      <c r="AX13" s="115"/>
      <c r="AY13" s="115"/>
      <c r="AZ13" s="115"/>
      <c r="BA13" s="115"/>
      <c r="BB13" s="115"/>
      <c r="BC13" s="115"/>
      <c r="BD13" s="115"/>
      <c r="BE13" s="115"/>
      <c r="BF13" s="115"/>
      <c r="BG13" s="115"/>
      <c r="BH13" s="115"/>
      <c r="BI13" s="115"/>
    </row>
    <row r="14" spans="1:61" ht="15" customHeight="1" x14ac:dyDescent="0.25">
      <c r="A14" s="115"/>
      <c r="B14" s="781"/>
      <c r="C14" s="804"/>
      <c r="D14" s="780"/>
      <c r="E14" s="812" t="s">
        <v>5</v>
      </c>
      <c r="F14" s="786"/>
      <c r="G14" s="786"/>
      <c r="H14" s="786"/>
      <c r="I14" s="786"/>
      <c r="J14" s="795" t="e">
        <f>IF(AND(#REF!="Alta",#REF!="Leve"),CONCATENATE("R",#REF!),"")</f>
        <v>#REF!</v>
      </c>
      <c r="K14" s="786"/>
      <c r="L14" s="793" t="e">
        <f>IF(AND(#REF!="Alta",#REF!="Leve"),CONCATENATE("R",#REF!),"")</f>
        <v>#REF!</v>
      </c>
      <c r="M14" s="786"/>
      <c r="N14" s="793" t="e">
        <f>IF(AND(#REF!="Alta",#REF!="Leve"),CONCATENATE("R",#REF!),"")</f>
        <v>#REF!</v>
      </c>
      <c r="O14" s="794"/>
      <c r="P14" s="795" t="e">
        <f>IF(AND(#REF!="Alta",#REF!="Menor"),CONCATENATE("R",#REF!),"")</f>
        <v>#REF!</v>
      </c>
      <c r="Q14" s="786"/>
      <c r="R14" s="793" t="e">
        <f>IF(AND(#REF!="Alta",#REF!="Menor"),CONCATENATE("R",#REF!),"")</f>
        <v>#REF!</v>
      </c>
      <c r="S14" s="786"/>
      <c r="T14" s="793" t="e">
        <f>IF(AND(#REF!="Alta",#REF!="Menor"),CONCATENATE("R",#REF!),"")</f>
        <v>#REF!</v>
      </c>
      <c r="U14" s="794"/>
      <c r="V14" s="785" t="e">
        <f>IF(AND(#REF!="Alta",#REF!="Moderado"),CONCATENATE("R",#REF!),"")</f>
        <v>#REF!</v>
      </c>
      <c r="W14" s="786"/>
      <c r="X14" s="787" t="e">
        <f>IF(AND(#REF!="Alta",#REF!="Moderado"),CONCATENATE("R",#REF!),"")</f>
        <v>#REF!</v>
      </c>
      <c r="Y14" s="786"/>
      <c r="Z14" s="787" t="e">
        <f>IF(AND(#REF!="Alta",#REF!="Moderado"),CONCATENATE("R",#REF!),"")</f>
        <v>#REF!</v>
      </c>
      <c r="AA14" s="794"/>
      <c r="AB14" s="785" t="e">
        <f>IF(AND(#REF!="Alta",#REF!="Mayor"),CONCATENATE("R",#REF!),"")</f>
        <v>#REF!</v>
      </c>
      <c r="AC14" s="786"/>
      <c r="AD14" s="787" t="e">
        <f>IF(AND(#REF!="Alta",#REF!="Mayor"),CONCATENATE("R",#REF!),"")</f>
        <v>#REF!</v>
      </c>
      <c r="AE14" s="786"/>
      <c r="AF14" s="787" t="e">
        <f>IF(AND(#REF!="Alta",#REF!="Mayor"),CONCATENATE("R",#REF!),"")</f>
        <v>#REF!</v>
      </c>
      <c r="AG14" s="794"/>
      <c r="AH14" s="796" t="e">
        <f>IF(AND(#REF!="Alta",#REF!="Catastrófico"),CONCATENATE("R",#REF!),"")</f>
        <v>#REF!</v>
      </c>
      <c r="AI14" s="786"/>
      <c r="AJ14" s="789" t="e">
        <f>IF(AND(#REF!="Alta",#REF!="Catastrófico"),CONCATENATE("R",#REF!),"")</f>
        <v>#REF!</v>
      </c>
      <c r="AK14" s="786"/>
      <c r="AL14" s="789" t="e">
        <f>IF(AND(#REF!="Alta",#REF!="Catastrófico"),CONCATENATE("R",#REF!),"")</f>
        <v>#REF!</v>
      </c>
      <c r="AM14" s="794"/>
      <c r="AN14" s="115"/>
      <c r="AO14" s="809" t="s">
        <v>6</v>
      </c>
      <c r="AP14" s="801"/>
      <c r="AQ14" s="801"/>
      <c r="AR14" s="801"/>
      <c r="AS14" s="801"/>
      <c r="AT14" s="802"/>
      <c r="AU14" s="115"/>
      <c r="AV14" s="115"/>
      <c r="AW14" s="115"/>
      <c r="AX14" s="115"/>
      <c r="AY14" s="115"/>
      <c r="AZ14" s="115"/>
      <c r="BA14" s="115"/>
      <c r="BB14" s="115"/>
      <c r="BC14" s="115"/>
      <c r="BD14" s="115"/>
      <c r="BE14" s="115"/>
      <c r="BF14" s="115"/>
      <c r="BG14" s="115"/>
      <c r="BH14" s="115"/>
      <c r="BI14" s="115"/>
    </row>
    <row r="15" spans="1:61" ht="15" customHeight="1" x14ac:dyDescent="0.25">
      <c r="A15" s="115"/>
      <c r="B15" s="781"/>
      <c r="C15" s="804"/>
      <c r="D15" s="780"/>
      <c r="E15" s="783"/>
      <c r="F15" s="804"/>
      <c r="G15" s="804"/>
      <c r="H15" s="804"/>
      <c r="I15" s="804"/>
      <c r="J15" s="783"/>
      <c r="K15" s="781"/>
      <c r="L15" s="781"/>
      <c r="M15" s="781"/>
      <c r="N15" s="781"/>
      <c r="O15" s="780"/>
      <c r="P15" s="783"/>
      <c r="Q15" s="781"/>
      <c r="R15" s="781"/>
      <c r="S15" s="781"/>
      <c r="T15" s="781"/>
      <c r="U15" s="780"/>
      <c r="V15" s="783"/>
      <c r="W15" s="781"/>
      <c r="X15" s="781"/>
      <c r="Y15" s="781"/>
      <c r="Z15" s="781"/>
      <c r="AA15" s="780"/>
      <c r="AB15" s="783"/>
      <c r="AC15" s="781"/>
      <c r="AD15" s="781"/>
      <c r="AE15" s="781"/>
      <c r="AF15" s="781"/>
      <c r="AG15" s="780"/>
      <c r="AH15" s="783"/>
      <c r="AI15" s="781"/>
      <c r="AJ15" s="781"/>
      <c r="AK15" s="781"/>
      <c r="AL15" s="781"/>
      <c r="AM15" s="780"/>
      <c r="AN15" s="115"/>
      <c r="AO15" s="803"/>
      <c r="AP15" s="804"/>
      <c r="AQ15" s="804"/>
      <c r="AR15" s="804"/>
      <c r="AS15" s="804"/>
      <c r="AT15" s="805"/>
      <c r="AU15" s="115"/>
      <c r="AV15" s="115"/>
      <c r="AW15" s="115"/>
      <c r="AX15" s="115"/>
      <c r="AY15" s="115"/>
      <c r="AZ15" s="115"/>
      <c r="BA15" s="115"/>
      <c r="BB15" s="115"/>
      <c r="BC15" s="115"/>
      <c r="BD15" s="115"/>
      <c r="BE15" s="115"/>
      <c r="BF15" s="115"/>
      <c r="BG15" s="115"/>
      <c r="BH15" s="115"/>
      <c r="BI15" s="115"/>
    </row>
    <row r="16" spans="1:61" ht="15" customHeight="1" x14ac:dyDescent="0.25">
      <c r="A16" s="115"/>
      <c r="B16" s="781"/>
      <c r="C16" s="804"/>
      <c r="D16" s="780"/>
      <c r="E16" s="783"/>
      <c r="F16" s="804"/>
      <c r="G16" s="804"/>
      <c r="H16" s="804"/>
      <c r="I16" s="804"/>
      <c r="J16" s="799" t="e">
        <f>IF(AND(#REF!="Alta",#REF!="Leve"),CONCATENATE("R",#REF!),"")</f>
        <v>#REF!</v>
      </c>
      <c r="K16" s="781"/>
      <c r="L16" s="798" t="e">
        <f>IF(AND(#REF!="Alta",#REF!="Leve"),CONCATENATE("R",#REF!),"")</f>
        <v>#REF!</v>
      </c>
      <c r="M16" s="781"/>
      <c r="N16" s="798" t="e">
        <f>IF(AND(#REF!="Alta",#REF!="Leve"),CONCATENATE("R",#REF!),"")</f>
        <v>#REF!</v>
      </c>
      <c r="O16" s="780"/>
      <c r="P16" s="799" t="e">
        <f>IF(AND(#REF!="Alta",#REF!="Menor"),CONCATENATE("R",#REF!),"")</f>
        <v>#REF!</v>
      </c>
      <c r="Q16" s="781"/>
      <c r="R16" s="798" t="e">
        <f>IF(AND(#REF!="Alta",#REF!="Menor"),CONCATENATE("R",#REF!),"")</f>
        <v>#REF!</v>
      </c>
      <c r="S16" s="781"/>
      <c r="T16" s="798" t="e">
        <f>IF(AND(#REF!="Alta",#REF!="Menor"),CONCATENATE("R",#REF!),"")</f>
        <v>#REF!</v>
      </c>
      <c r="U16" s="780"/>
      <c r="V16" s="788" t="e">
        <f>IF(AND(#REF!="Alta",#REF!="Moderado"),CONCATENATE("R",#REF!),"")</f>
        <v>#REF!</v>
      </c>
      <c r="W16" s="781"/>
      <c r="X16" s="779" t="e">
        <f>IF(AND(#REF!="Alta",#REF!="Moderado"),CONCATENATE("R",#REF!),"")</f>
        <v>#REF!</v>
      </c>
      <c r="Y16" s="781"/>
      <c r="Z16" s="779" t="e">
        <f>IF(AND(#REF!="Alta",#REF!="Moderado"),CONCATENATE("R",#REF!),"")</f>
        <v>#REF!</v>
      </c>
      <c r="AA16" s="780"/>
      <c r="AB16" s="788" t="e">
        <f>IF(AND(#REF!="Alta",#REF!="Mayor"),CONCATENATE("R",#REF!),"")</f>
        <v>#REF!</v>
      </c>
      <c r="AC16" s="781"/>
      <c r="AD16" s="779" t="e">
        <f>IF(AND(#REF!="Alta",#REF!="Mayor"),CONCATENATE("R",#REF!),"")</f>
        <v>#REF!</v>
      </c>
      <c r="AE16" s="781"/>
      <c r="AF16" s="779" t="e">
        <f>IF(AND(#REF!="Alta",#REF!="Mayor"),CONCATENATE("R",#REF!),"")</f>
        <v>#REF!</v>
      </c>
      <c r="AG16" s="780"/>
      <c r="AH16" s="782" t="e">
        <f>IF(AND(#REF!="Alta",#REF!="Catastrófico"),CONCATENATE("R",#REF!),"")</f>
        <v>#REF!</v>
      </c>
      <c r="AI16" s="781"/>
      <c r="AJ16" s="784" t="e">
        <f>IF(AND(#REF!="Alta",#REF!="Catastrófico"),CONCATENATE("R",#REF!),"")</f>
        <v>#REF!</v>
      </c>
      <c r="AK16" s="781"/>
      <c r="AL16" s="784" t="e">
        <f>IF(AND(#REF!="Alta",#REF!="Catastrófico"),CONCATENATE("R",#REF!),"")</f>
        <v>#REF!</v>
      </c>
      <c r="AM16" s="780"/>
      <c r="AN16" s="115"/>
      <c r="AO16" s="803"/>
      <c r="AP16" s="804"/>
      <c r="AQ16" s="804"/>
      <c r="AR16" s="804"/>
      <c r="AS16" s="804"/>
      <c r="AT16" s="805"/>
      <c r="AU16" s="115"/>
      <c r="AV16" s="115"/>
      <c r="AW16" s="115"/>
      <c r="AX16" s="115"/>
      <c r="AY16" s="115"/>
      <c r="AZ16" s="115"/>
      <c r="BA16" s="115"/>
      <c r="BB16" s="115"/>
      <c r="BC16" s="115"/>
      <c r="BD16" s="115"/>
      <c r="BE16" s="115"/>
      <c r="BF16" s="115"/>
      <c r="BG16" s="115"/>
      <c r="BH16" s="115"/>
      <c r="BI16" s="115"/>
    </row>
    <row r="17" spans="1:61" ht="15" customHeight="1" x14ac:dyDescent="0.25">
      <c r="A17" s="115"/>
      <c r="B17" s="781"/>
      <c r="C17" s="804"/>
      <c r="D17" s="780"/>
      <c r="E17" s="783"/>
      <c r="F17" s="804"/>
      <c r="G17" s="804"/>
      <c r="H17" s="804"/>
      <c r="I17" s="804"/>
      <c r="J17" s="783"/>
      <c r="K17" s="781"/>
      <c r="L17" s="781"/>
      <c r="M17" s="781"/>
      <c r="N17" s="781"/>
      <c r="O17" s="780"/>
      <c r="P17" s="783"/>
      <c r="Q17" s="781"/>
      <c r="R17" s="781"/>
      <c r="S17" s="781"/>
      <c r="T17" s="781"/>
      <c r="U17" s="780"/>
      <c r="V17" s="783"/>
      <c r="W17" s="781"/>
      <c r="X17" s="781"/>
      <c r="Y17" s="781"/>
      <c r="Z17" s="781"/>
      <c r="AA17" s="780"/>
      <c r="AB17" s="783"/>
      <c r="AC17" s="781"/>
      <c r="AD17" s="781"/>
      <c r="AE17" s="781"/>
      <c r="AF17" s="781"/>
      <c r="AG17" s="780"/>
      <c r="AH17" s="783"/>
      <c r="AI17" s="781"/>
      <c r="AJ17" s="781"/>
      <c r="AK17" s="781"/>
      <c r="AL17" s="781"/>
      <c r="AM17" s="780"/>
      <c r="AN17" s="115"/>
      <c r="AO17" s="803"/>
      <c r="AP17" s="804"/>
      <c r="AQ17" s="804"/>
      <c r="AR17" s="804"/>
      <c r="AS17" s="804"/>
      <c r="AT17" s="805"/>
      <c r="AU17" s="115"/>
      <c r="AV17" s="115"/>
      <c r="AW17" s="115"/>
      <c r="AX17" s="115"/>
      <c r="AY17" s="115"/>
      <c r="AZ17" s="115"/>
      <c r="BA17" s="115"/>
      <c r="BB17" s="115"/>
      <c r="BC17" s="115"/>
      <c r="BD17" s="115"/>
      <c r="BE17" s="115"/>
      <c r="BF17" s="115"/>
      <c r="BG17" s="115"/>
      <c r="BH17" s="115"/>
      <c r="BI17" s="115"/>
    </row>
    <row r="18" spans="1:61" ht="15" customHeight="1" x14ac:dyDescent="0.25">
      <c r="A18" s="115"/>
      <c r="B18" s="781"/>
      <c r="C18" s="804"/>
      <c r="D18" s="780"/>
      <c r="E18" s="783"/>
      <c r="F18" s="804"/>
      <c r="G18" s="804"/>
      <c r="H18" s="804"/>
      <c r="I18" s="804"/>
      <c r="J18" s="799" t="e">
        <f>IF(AND(#REF!="Alta",#REF!="Leve"),CONCATENATE("R",#REF!),"")</f>
        <v>#REF!</v>
      </c>
      <c r="K18" s="781"/>
      <c r="L18" s="798" t="e">
        <f>IF(AND(#REF!="Alta",#REF!="Leve"),CONCATENATE("R",#REF!),"")</f>
        <v>#REF!</v>
      </c>
      <c r="M18" s="781"/>
      <c r="N18" s="798" t="e">
        <f>IF(AND(#REF!="Alta",#REF!="Leve"),CONCATENATE("R",#REF!),"")</f>
        <v>#REF!</v>
      </c>
      <c r="O18" s="780"/>
      <c r="P18" s="799" t="e">
        <f>IF(AND(#REF!="Alta",#REF!="Menor"),CONCATENATE("R",#REF!),"")</f>
        <v>#REF!</v>
      </c>
      <c r="Q18" s="781"/>
      <c r="R18" s="798" t="e">
        <f>IF(AND(#REF!="Alta",#REF!="Menor"),CONCATENATE("R",#REF!),"")</f>
        <v>#REF!</v>
      </c>
      <c r="S18" s="781"/>
      <c r="T18" s="798" t="e">
        <f>IF(AND(#REF!="Alta",#REF!="Menor"),CONCATENATE("R",#REF!),"")</f>
        <v>#REF!</v>
      </c>
      <c r="U18" s="780"/>
      <c r="V18" s="788" t="e">
        <f>IF(AND(#REF!="Alta",#REF!="Moderado"),CONCATENATE("R",#REF!),"")</f>
        <v>#REF!</v>
      </c>
      <c r="W18" s="781"/>
      <c r="X18" s="779" t="e">
        <f>IF(AND(#REF!="Alta",#REF!="Moderado"),CONCATENATE("R",#REF!),"")</f>
        <v>#REF!</v>
      </c>
      <c r="Y18" s="781"/>
      <c r="Z18" s="779" t="e">
        <f>IF(AND(#REF!="Alta",#REF!="Moderado"),CONCATENATE("R",#REF!),"")</f>
        <v>#REF!</v>
      </c>
      <c r="AA18" s="780"/>
      <c r="AB18" s="788" t="e">
        <f>IF(AND(#REF!="Alta",#REF!="Mayor"),CONCATENATE("R",#REF!),"")</f>
        <v>#REF!</v>
      </c>
      <c r="AC18" s="781"/>
      <c r="AD18" s="779" t="e">
        <f>IF(AND(#REF!="Alta",#REF!="Mayor"),CONCATENATE("R",#REF!),"")</f>
        <v>#REF!</v>
      </c>
      <c r="AE18" s="781"/>
      <c r="AF18" s="779" t="e">
        <f>IF(AND(#REF!="Alta",#REF!="Mayor"),CONCATENATE("R",#REF!),"")</f>
        <v>#REF!</v>
      </c>
      <c r="AG18" s="780"/>
      <c r="AH18" s="782" t="e">
        <f>IF(AND(#REF!="Alta",#REF!="Catastrófico"),CONCATENATE("R",#REF!),"")</f>
        <v>#REF!</v>
      </c>
      <c r="AI18" s="781"/>
      <c r="AJ18" s="784" t="e">
        <f>IF(AND(#REF!="Alta",#REF!="Catastrófico"),CONCATENATE("R",#REF!),"")</f>
        <v>#REF!</v>
      </c>
      <c r="AK18" s="781"/>
      <c r="AL18" s="784" t="e">
        <f>IF(AND(#REF!="Alta",#REF!="Catastrófico"),CONCATENATE("R",#REF!),"")</f>
        <v>#REF!</v>
      </c>
      <c r="AM18" s="780"/>
      <c r="AN18" s="115"/>
      <c r="AO18" s="803"/>
      <c r="AP18" s="804"/>
      <c r="AQ18" s="804"/>
      <c r="AR18" s="804"/>
      <c r="AS18" s="804"/>
      <c r="AT18" s="805"/>
      <c r="AU18" s="115"/>
      <c r="AV18" s="115"/>
      <c r="AW18" s="115"/>
      <c r="AX18" s="115"/>
      <c r="AY18" s="115"/>
      <c r="AZ18" s="115"/>
      <c r="BA18" s="115"/>
      <c r="BB18" s="115"/>
      <c r="BC18" s="115"/>
      <c r="BD18" s="115"/>
      <c r="BE18" s="115"/>
      <c r="BF18" s="115"/>
      <c r="BG18" s="115"/>
      <c r="BH18" s="115"/>
      <c r="BI18" s="115"/>
    </row>
    <row r="19" spans="1:61" ht="15" customHeight="1" x14ac:dyDescent="0.25">
      <c r="A19" s="115"/>
      <c r="B19" s="781"/>
      <c r="C19" s="804"/>
      <c r="D19" s="780"/>
      <c r="E19" s="783"/>
      <c r="F19" s="804"/>
      <c r="G19" s="804"/>
      <c r="H19" s="804"/>
      <c r="I19" s="804"/>
      <c r="J19" s="783"/>
      <c r="K19" s="781"/>
      <c r="L19" s="781"/>
      <c r="M19" s="781"/>
      <c r="N19" s="781"/>
      <c r="O19" s="780"/>
      <c r="P19" s="783"/>
      <c r="Q19" s="781"/>
      <c r="R19" s="781"/>
      <c r="S19" s="781"/>
      <c r="T19" s="781"/>
      <c r="U19" s="780"/>
      <c r="V19" s="783"/>
      <c r="W19" s="781"/>
      <c r="X19" s="781"/>
      <c r="Y19" s="781"/>
      <c r="Z19" s="781"/>
      <c r="AA19" s="780"/>
      <c r="AB19" s="783"/>
      <c r="AC19" s="781"/>
      <c r="AD19" s="781"/>
      <c r="AE19" s="781"/>
      <c r="AF19" s="781"/>
      <c r="AG19" s="780"/>
      <c r="AH19" s="783"/>
      <c r="AI19" s="781"/>
      <c r="AJ19" s="781"/>
      <c r="AK19" s="781"/>
      <c r="AL19" s="781"/>
      <c r="AM19" s="780"/>
      <c r="AN19" s="115"/>
      <c r="AO19" s="803"/>
      <c r="AP19" s="804"/>
      <c r="AQ19" s="804"/>
      <c r="AR19" s="804"/>
      <c r="AS19" s="804"/>
      <c r="AT19" s="805"/>
      <c r="AU19" s="115"/>
      <c r="AV19" s="115"/>
      <c r="AW19" s="115"/>
      <c r="AX19" s="115"/>
      <c r="AY19" s="115"/>
      <c r="AZ19" s="115"/>
      <c r="BA19" s="115"/>
      <c r="BB19" s="115"/>
      <c r="BC19" s="115"/>
      <c r="BD19" s="115"/>
      <c r="BE19" s="115"/>
      <c r="BF19" s="115"/>
      <c r="BG19" s="115"/>
      <c r="BH19" s="115"/>
      <c r="BI19" s="115"/>
    </row>
    <row r="20" spans="1:61" ht="15" customHeight="1" x14ac:dyDescent="0.25">
      <c r="A20" s="115"/>
      <c r="B20" s="781"/>
      <c r="C20" s="804"/>
      <c r="D20" s="780"/>
      <c r="E20" s="783"/>
      <c r="F20" s="804"/>
      <c r="G20" s="804"/>
      <c r="H20" s="804"/>
      <c r="I20" s="804"/>
      <c r="J20" s="799" t="e">
        <f>IF(AND(#REF!="Alta",#REF!="Leve"),CONCATENATE("R",#REF!),"")</f>
        <v>#REF!</v>
      </c>
      <c r="K20" s="781"/>
      <c r="L20" s="798" t="e">
        <f>IF(AND(#REF!="Alta",#REF!="Leve"),CONCATENATE("R",#REF!),"")</f>
        <v>#REF!</v>
      </c>
      <c r="M20" s="781"/>
      <c r="N20" s="798" t="e">
        <f>IF(AND(#REF!="Alta",#REF!="Leve"),CONCATENATE("R",#REF!),"")</f>
        <v>#REF!</v>
      </c>
      <c r="O20" s="780"/>
      <c r="P20" s="799" t="e">
        <f>IF(AND(#REF!="Alta",#REF!="Menor"),CONCATENATE("R",#REF!),"")</f>
        <v>#REF!</v>
      </c>
      <c r="Q20" s="781"/>
      <c r="R20" s="798" t="e">
        <f>IF(AND(#REF!="Alta",#REF!="Menor"),CONCATENATE("R",#REF!),"")</f>
        <v>#REF!</v>
      </c>
      <c r="S20" s="781"/>
      <c r="T20" s="798" t="e">
        <f>IF(AND(#REF!="Alta",#REF!="Menor"),CONCATENATE("R",#REF!),"")</f>
        <v>#REF!</v>
      </c>
      <c r="U20" s="780"/>
      <c r="V20" s="788" t="e">
        <f>IF(AND(#REF!="Alta",#REF!="Moderado"),CONCATENATE("R",#REF!),"")</f>
        <v>#REF!</v>
      </c>
      <c r="W20" s="781"/>
      <c r="X20" s="779" t="e">
        <f>IF(AND(#REF!="Alta",#REF!="Moderado"),CONCATENATE("R",#REF!),"")</f>
        <v>#REF!</v>
      </c>
      <c r="Y20" s="781"/>
      <c r="Z20" s="779" t="e">
        <f>IF(AND(#REF!="Alta",#REF!="Moderado"),CONCATENATE("R",#REF!),"")</f>
        <v>#REF!</v>
      </c>
      <c r="AA20" s="780"/>
      <c r="AB20" s="788" t="e">
        <f>IF(AND(#REF!="Alta",#REF!="Mayor"),CONCATENATE("R",#REF!),"")</f>
        <v>#REF!</v>
      </c>
      <c r="AC20" s="781"/>
      <c r="AD20" s="779" t="e">
        <f>IF(AND(#REF!="Alta",#REF!="Mayor"),CONCATENATE("R",#REF!),"")</f>
        <v>#REF!</v>
      </c>
      <c r="AE20" s="781"/>
      <c r="AF20" s="779" t="e">
        <f>IF(AND(#REF!="Alta",#REF!="Mayor"),CONCATENATE("R",#REF!),"")</f>
        <v>#REF!</v>
      </c>
      <c r="AG20" s="780"/>
      <c r="AH20" s="782" t="e">
        <f>IF(AND(#REF!="Alta",#REF!="Catastrófico"),CONCATENATE("R",#REF!),"")</f>
        <v>#REF!</v>
      </c>
      <c r="AI20" s="781"/>
      <c r="AJ20" s="784" t="e">
        <f>IF(AND(#REF!="Alta",#REF!="Catastrófico"),CONCATENATE("R",#REF!),"")</f>
        <v>#REF!</v>
      </c>
      <c r="AK20" s="781"/>
      <c r="AL20" s="784" t="e">
        <f>IF(AND(#REF!="Alta",#REF!="Catastrófico"),CONCATENATE("R",#REF!),"")</f>
        <v>#REF!</v>
      </c>
      <c r="AM20" s="780"/>
      <c r="AN20" s="115"/>
      <c r="AO20" s="803"/>
      <c r="AP20" s="804"/>
      <c r="AQ20" s="804"/>
      <c r="AR20" s="804"/>
      <c r="AS20" s="804"/>
      <c r="AT20" s="805"/>
      <c r="AU20" s="115"/>
      <c r="AV20" s="115"/>
      <c r="AW20" s="115"/>
      <c r="AX20" s="115"/>
      <c r="AY20" s="115"/>
      <c r="AZ20" s="115"/>
      <c r="BA20" s="115"/>
      <c r="BB20" s="115"/>
      <c r="BC20" s="115"/>
      <c r="BD20" s="115"/>
      <c r="BE20" s="115"/>
      <c r="BF20" s="115"/>
      <c r="BG20" s="115"/>
      <c r="BH20" s="115"/>
      <c r="BI20" s="115"/>
    </row>
    <row r="21" spans="1:61" ht="15.75" customHeight="1" thickBot="1" x14ac:dyDescent="0.3">
      <c r="A21" s="115"/>
      <c r="B21" s="781"/>
      <c r="C21" s="804"/>
      <c r="D21" s="780"/>
      <c r="E21" s="790"/>
      <c r="F21" s="791"/>
      <c r="G21" s="791"/>
      <c r="H21" s="791"/>
      <c r="I21" s="791"/>
      <c r="J21" s="790"/>
      <c r="K21" s="791"/>
      <c r="L21" s="791"/>
      <c r="M21" s="791"/>
      <c r="N21" s="791"/>
      <c r="O21" s="792"/>
      <c r="P21" s="790"/>
      <c r="Q21" s="791"/>
      <c r="R21" s="791"/>
      <c r="S21" s="791"/>
      <c r="T21" s="791"/>
      <c r="U21" s="792"/>
      <c r="V21" s="790"/>
      <c r="W21" s="791"/>
      <c r="X21" s="791"/>
      <c r="Y21" s="791"/>
      <c r="Z21" s="791"/>
      <c r="AA21" s="792"/>
      <c r="AB21" s="790"/>
      <c r="AC21" s="791"/>
      <c r="AD21" s="791"/>
      <c r="AE21" s="791"/>
      <c r="AF21" s="791"/>
      <c r="AG21" s="792"/>
      <c r="AH21" s="790"/>
      <c r="AI21" s="791"/>
      <c r="AJ21" s="791"/>
      <c r="AK21" s="791"/>
      <c r="AL21" s="791"/>
      <c r="AM21" s="792"/>
      <c r="AN21" s="115"/>
      <c r="AO21" s="806"/>
      <c r="AP21" s="807"/>
      <c r="AQ21" s="807"/>
      <c r="AR21" s="807"/>
      <c r="AS21" s="807"/>
      <c r="AT21" s="808"/>
      <c r="AU21" s="115"/>
      <c r="AV21" s="115"/>
      <c r="AW21" s="115"/>
      <c r="AX21" s="115"/>
      <c r="AY21" s="115"/>
      <c r="AZ21" s="115"/>
      <c r="BA21" s="115"/>
      <c r="BB21" s="115"/>
      <c r="BC21" s="115"/>
      <c r="BD21" s="115"/>
      <c r="BE21" s="115"/>
      <c r="BF21" s="115"/>
      <c r="BG21" s="115"/>
      <c r="BH21" s="115"/>
      <c r="BI21" s="115"/>
    </row>
    <row r="22" spans="1:61" ht="15.75" customHeight="1" x14ac:dyDescent="0.25">
      <c r="A22" s="115"/>
      <c r="B22" s="781"/>
      <c r="C22" s="804"/>
      <c r="D22" s="780"/>
      <c r="E22" s="812" t="s">
        <v>7</v>
      </c>
      <c r="F22" s="786"/>
      <c r="G22" s="786"/>
      <c r="H22" s="786"/>
      <c r="I22" s="794"/>
      <c r="J22" s="795" t="e">
        <f>IF(AND(#REF!="Media",#REF!="Leve"),CONCATENATE("R",#REF!),"")</f>
        <v>#REF!</v>
      </c>
      <c r="K22" s="786"/>
      <c r="L22" s="793" t="e">
        <f>IF(AND(#REF!="Media",#REF!="Leve"),CONCATENATE("R",#REF!),"")</f>
        <v>#REF!</v>
      </c>
      <c r="M22" s="786"/>
      <c r="N22" s="793" t="e">
        <f>IF(AND(#REF!="Media",#REF!="Leve"),CONCATENATE("R",#REF!),"")</f>
        <v>#REF!</v>
      </c>
      <c r="O22" s="794"/>
      <c r="P22" s="795" t="e">
        <f>IF(AND(#REF!="Media",#REF!="Menor"),CONCATENATE("R",#REF!),"")</f>
        <v>#REF!</v>
      </c>
      <c r="Q22" s="786"/>
      <c r="R22" s="793" t="e">
        <f>IF(AND(#REF!="Media",#REF!="Menor"),CONCATENATE("R",#REF!),"")</f>
        <v>#REF!</v>
      </c>
      <c r="S22" s="786"/>
      <c r="T22" s="793" t="e">
        <f>IF(AND(#REF!="Media",#REF!="Menor"),CONCATENATE("R",#REF!),"")</f>
        <v>#REF!</v>
      </c>
      <c r="U22" s="794"/>
      <c r="V22" s="795" t="e">
        <f>IF(AND(#REF!="Media",#REF!="Moderado"),CONCATENATE("R",#REF!),"")</f>
        <v>#REF!</v>
      </c>
      <c r="W22" s="786"/>
      <c r="X22" s="793" t="e">
        <f>IF(AND(#REF!="Media",#REF!="Moderado"),CONCATENATE("R",#REF!),"")</f>
        <v>#REF!</v>
      </c>
      <c r="Y22" s="786"/>
      <c r="Z22" s="793" t="e">
        <f>IF(AND(#REF!="Media",#REF!="Moderado"),CONCATENATE("R",#REF!),"")</f>
        <v>#REF!</v>
      </c>
      <c r="AA22" s="794"/>
      <c r="AB22" s="785" t="e">
        <f>IF(AND(#REF!="Media",#REF!="Mayor"),CONCATENATE("R",#REF!),"")</f>
        <v>#REF!</v>
      </c>
      <c r="AC22" s="786"/>
      <c r="AD22" s="787" t="e">
        <f>IF(AND(#REF!="Media",#REF!="Mayor"),CONCATENATE("R",#REF!),"")</f>
        <v>#REF!</v>
      </c>
      <c r="AE22" s="786"/>
      <c r="AF22" s="787" t="e">
        <f>IF(AND(#REF!="Media",#REF!="Mayor"),CONCATENATE("R",#REF!),"")</f>
        <v>#REF!</v>
      </c>
      <c r="AG22" s="794"/>
      <c r="AH22" s="796" t="e">
        <f>IF(AND(#REF!="Media",#REF!="Catastrófico"),CONCATENATE("R",#REF!),"")</f>
        <v>#REF!</v>
      </c>
      <c r="AI22" s="786"/>
      <c r="AJ22" s="789" t="e">
        <f>IF(AND(#REF!="Media",#REF!="Catastrófico"),CONCATENATE("R",#REF!),"")</f>
        <v>#REF!</v>
      </c>
      <c r="AK22" s="786"/>
      <c r="AL22" s="789" t="e">
        <f>IF(AND(#REF!="Media",#REF!="Catastrófico"),CONCATENATE("R",#REF!),"")</f>
        <v>#REF!</v>
      </c>
      <c r="AM22" s="794"/>
      <c r="AN22" s="115"/>
      <c r="AO22" s="810" t="s">
        <v>8</v>
      </c>
      <c r="AP22" s="801"/>
      <c r="AQ22" s="801"/>
      <c r="AR22" s="801"/>
      <c r="AS22" s="801"/>
      <c r="AT22" s="802"/>
      <c r="AU22" s="115"/>
      <c r="AV22" s="115"/>
      <c r="AW22" s="115"/>
      <c r="AX22" s="115"/>
      <c r="AY22" s="115"/>
      <c r="AZ22" s="115"/>
      <c r="BA22" s="115"/>
      <c r="BB22" s="115"/>
      <c r="BC22" s="115"/>
      <c r="BD22" s="115"/>
      <c r="BE22" s="115"/>
      <c r="BF22" s="115"/>
      <c r="BG22" s="115"/>
      <c r="BH22" s="115"/>
      <c r="BI22" s="115"/>
    </row>
    <row r="23" spans="1:61" ht="15.75" customHeight="1" x14ac:dyDescent="0.25">
      <c r="A23" s="115"/>
      <c r="B23" s="781"/>
      <c r="C23" s="804"/>
      <c r="D23" s="780"/>
      <c r="E23" s="783"/>
      <c r="F23" s="804"/>
      <c r="G23" s="804"/>
      <c r="H23" s="804"/>
      <c r="I23" s="780"/>
      <c r="J23" s="783"/>
      <c r="K23" s="781"/>
      <c r="L23" s="781"/>
      <c r="M23" s="781"/>
      <c r="N23" s="781"/>
      <c r="O23" s="780"/>
      <c r="P23" s="783"/>
      <c r="Q23" s="781"/>
      <c r="R23" s="781"/>
      <c r="S23" s="781"/>
      <c r="T23" s="781"/>
      <c r="U23" s="780"/>
      <c r="V23" s="783"/>
      <c r="W23" s="781"/>
      <c r="X23" s="781"/>
      <c r="Y23" s="781"/>
      <c r="Z23" s="781"/>
      <c r="AA23" s="780"/>
      <c r="AB23" s="783"/>
      <c r="AC23" s="781"/>
      <c r="AD23" s="781"/>
      <c r="AE23" s="781"/>
      <c r="AF23" s="781"/>
      <c r="AG23" s="780"/>
      <c r="AH23" s="783"/>
      <c r="AI23" s="781"/>
      <c r="AJ23" s="781"/>
      <c r="AK23" s="781"/>
      <c r="AL23" s="781"/>
      <c r="AM23" s="780"/>
      <c r="AN23" s="115"/>
      <c r="AO23" s="803"/>
      <c r="AP23" s="804"/>
      <c r="AQ23" s="804"/>
      <c r="AR23" s="804"/>
      <c r="AS23" s="804"/>
      <c r="AT23" s="805"/>
      <c r="AU23" s="115"/>
      <c r="AV23" s="115"/>
      <c r="AW23" s="115"/>
      <c r="AX23" s="115"/>
      <c r="AY23" s="115"/>
      <c r="AZ23" s="115"/>
      <c r="BA23" s="115"/>
      <c r="BB23" s="115"/>
      <c r="BC23" s="115"/>
      <c r="BD23" s="115"/>
      <c r="BE23" s="115"/>
      <c r="BF23" s="115"/>
      <c r="BG23" s="115"/>
      <c r="BH23" s="115"/>
      <c r="BI23" s="115"/>
    </row>
    <row r="24" spans="1:61" ht="15.75" customHeight="1" x14ac:dyDescent="0.25">
      <c r="A24" s="115"/>
      <c r="B24" s="781"/>
      <c r="C24" s="804"/>
      <c r="D24" s="780"/>
      <c r="E24" s="783"/>
      <c r="F24" s="804"/>
      <c r="G24" s="804"/>
      <c r="H24" s="804"/>
      <c r="I24" s="780"/>
      <c r="J24" s="799" t="e">
        <f>IF(AND(#REF!="Media",#REF!="Leve"),CONCATENATE("R",#REF!),"")</f>
        <v>#REF!</v>
      </c>
      <c r="K24" s="781"/>
      <c r="L24" s="798" t="e">
        <f>IF(AND(#REF!="Media",#REF!="Leve"),CONCATENATE("R",#REF!),"")</f>
        <v>#REF!</v>
      </c>
      <c r="M24" s="781"/>
      <c r="N24" s="798" t="e">
        <f>IF(AND(#REF!="Media",#REF!="Leve"),CONCATENATE("R",#REF!),"")</f>
        <v>#REF!</v>
      </c>
      <c r="O24" s="780"/>
      <c r="P24" s="799" t="e">
        <f>IF(AND(#REF!="Media",#REF!="Menor"),CONCATENATE("R",#REF!),"")</f>
        <v>#REF!</v>
      </c>
      <c r="Q24" s="781"/>
      <c r="R24" s="798" t="e">
        <f>IF(AND(#REF!="Media",#REF!="Menor"),CONCATENATE("R",#REF!),"")</f>
        <v>#REF!</v>
      </c>
      <c r="S24" s="781"/>
      <c r="T24" s="798" t="e">
        <f>IF(AND(#REF!="Media",#REF!="Menor"),CONCATENATE("R",#REF!),"")</f>
        <v>#REF!</v>
      </c>
      <c r="U24" s="780"/>
      <c r="V24" s="799" t="e">
        <f>IF(AND(#REF!="Media",#REF!="Moderado"),CONCATENATE("R",#REF!),"")</f>
        <v>#REF!</v>
      </c>
      <c r="W24" s="781"/>
      <c r="X24" s="798" t="e">
        <f>IF(AND(#REF!="Media",#REF!="Moderado"),CONCATENATE("R",#REF!),"")</f>
        <v>#REF!</v>
      </c>
      <c r="Y24" s="781"/>
      <c r="Z24" s="798" t="e">
        <f>IF(AND(#REF!="Media",#REF!="Moderado"),CONCATENATE("R",#REF!),"")</f>
        <v>#REF!</v>
      </c>
      <c r="AA24" s="780"/>
      <c r="AB24" s="788" t="e">
        <f>IF(AND(#REF!="Media",#REF!="Mayor"),CONCATENATE("R",#REF!),"")</f>
        <v>#REF!</v>
      </c>
      <c r="AC24" s="781"/>
      <c r="AD24" s="779" t="e">
        <f>IF(AND(#REF!="Media",#REF!="Mayor"),CONCATENATE("R",#REF!),"")</f>
        <v>#REF!</v>
      </c>
      <c r="AE24" s="781"/>
      <c r="AF24" s="779" t="e">
        <f>IF(AND(#REF!="Media",#REF!="Mayor"),CONCATENATE("R",#REF!),"")</f>
        <v>#REF!</v>
      </c>
      <c r="AG24" s="780"/>
      <c r="AH24" s="782" t="e">
        <f>IF(AND(#REF!="Media",#REF!="Catastrófico"),CONCATENATE("R",#REF!),"")</f>
        <v>#REF!</v>
      </c>
      <c r="AI24" s="781"/>
      <c r="AJ24" s="784" t="e">
        <f>IF(AND(#REF!="Media",#REF!="Catastrófico"),CONCATENATE("R",#REF!),"")</f>
        <v>#REF!</v>
      </c>
      <c r="AK24" s="781"/>
      <c r="AL24" s="784" t="e">
        <f>IF(AND(#REF!="Media",#REF!="Catastrófico"),CONCATENATE("R",#REF!),"")</f>
        <v>#REF!</v>
      </c>
      <c r="AM24" s="780"/>
      <c r="AN24" s="115"/>
      <c r="AO24" s="803"/>
      <c r="AP24" s="804"/>
      <c r="AQ24" s="804"/>
      <c r="AR24" s="804"/>
      <c r="AS24" s="804"/>
      <c r="AT24" s="805"/>
      <c r="AU24" s="115"/>
      <c r="AV24" s="115"/>
      <c r="AW24" s="115"/>
      <c r="AX24" s="115"/>
      <c r="AY24" s="115"/>
      <c r="AZ24" s="115"/>
      <c r="BA24" s="115"/>
      <c r="BB24" s="115"/>
      <c r="BC24" s="115"/>
      <c r="BD24" s="115"/>
      <c r="BE24" s="115"/>
      <c r="BF24" s="115"/>
      <c r="BG24" s="115"/>
      <c r="BH24" s="115"/>
      <c r="BI24" s="115"/>
    </row>
    <row r="25" spans="1:61" ht="15.75" customHeight="1" x14ac:dyDescent="0.25">
      <c r="A25" s="115"/>
      <c r="B25" s="781"/>
      <c r="C25" s="804"/>
      <c r="D25" s="780"/>
      <c r="E25" s="783"/>
      <c r="F25" s="804"/>
      <c r="G25" s="804"/>
      <c r="H25" s="804"/>
      <c r="I25" s="780"/>
      <c r="J25" s="783"/>
      <c r="K25" s="781"/>
      <c r="L25" s="781"/>
      <c r="M25" s="781"/>
      <c r="N25" s="781"/>
      <c r="O25" s="780"/>
      <c r="P25" s="783"/>
      <c r="Q25" s="781"/>
      <c r="R25" s="781"/>
      <c r="S25" s="781"/>
      <c r="T25" s="781"/>
      <c r="U25" s="780"/>
      <c r="V25" s="783"/>
      <c r="W25" s="781"/>
      <c r="X25" s="781"/>
      <c r="Y25" s="781"/>
      <c r="Z25" s="781"/>
      <c r="AA25" s="780"/>
      <c r="AB25" s="783"/>
      <c r="AC25" s="781"/>
      <c r="AD25" s="781"/>
      <c r="AE25" s="781"/>
      <c r="AF25" s="781"/>
      <c r="AG25" s="780"/>
      <c r="AH25" s="783"/>
      <c r="AI25" s="781"/>
      <c r="AJ25" s="781"/>
      <c r="AK25" s="781"/>
      <c r="AL25" s="781"/>
      <c r="AM25" s="780"/>
      <c r="AN25" s="115"/>
      <c r="AO25" s="803"/>
      <c r="AP25" s="804"/>
      <c r="AQ25" s="804"/>
      <c r="AR25" s="804"/>
      <c r="AS25" s="804"/>
      <c r="AT25" s="805"/>
      <c r="AU25" s="115"/>
      <c r="AV25" s="115"/>
      <c r="AW25" s="115"/>
      <c r="AX25" s="115"/>
      <c r="AY25" s="115"/>
      <c r="AZ25" s="115"/>
      <c r="BA25" s="115"/>
      <c r="BB25" s="115"/>
      <c r="BC25" s="115"/>
      <c r="BD25" s="115"/>
      <c r="BE25" s="115"/>
      <c r="BF25" s="115"/>
      <c r="BG25" s="115"/>
      <c r="BH25" s="115"/>
      <c r="BI25" s="115"/>
    </row>
    <row r="26" spans="1:61" ht="15.75" customHeight="1" x14ac:dyDescent="0.25">
      <c r="A26" s="115"/>
      <c r="B26" s="781"/>
      <c r="C26" s="804"/>
      <c r="D26" s="780"/>
      <c r="E26" s="783"/>
      <c r="F26" s="804"/>
      <c r="G26" s="804"/>
      <c r="H26" s="804"/>
      <c r="I26" s="780"/>
      <c r="J26" s="799" t="e">
        <f>IF(AND(#REF!="Media",#REF!="Leve"),CONCATENATE("R",#REF!),"")</f>
        <v>#REF!</v>
      </c>
      <c r="K26" s="781"/>
      <c r="L26" s="798" t="e">
        <f>IF(AND(#REF!="Media",#REF!="Leve"),CONCATENATE("R",#REF!),"")</f>
        <v>#REF!</v>
      </c>
      <c r="M26" s="781"/>
      <c r="N26" s="798" t="e">
        <f>IF(AND(#REF!="Media",#REF!="Leve"),CONCATENATE("R",#REF!),"")</f>
        <v>#REF!</v>
      </c>
      <c r="O26" s="780"/>
      <c r="P26" s="799" t="e">
        <f>IF(AND(#REF!="Media",#REF!="Menor"),CONCATENATE("R",#REF!),"")</f>
        <v>#REF!</v>
      </c>
      <c r="Q26" s="781"/>
      <c r="R26" s="798" t="e">
        <f>IF(AND(#REF!="Media",#REF!="Menor"),CONCATENATE("R",#REF!),"")</f>
        <v>#REF!</v>
      </c>
      <c r="S26" s="781"/>
      <c r="T26" s="798" t="e">
        <f>IF(AND(#REF!="Media",#REF!="Menor"),CONCATENATE("R",#REF!),"")</f>
        <v>#REF!</v>
      </c>
      <c r="U26" s="780"/>
      <c r="V26" s="799" t="e">
        <f>IF(AND(#REF!="Media",#REF!="Moderado"),CONCATENATE("R",#REF!),"")</f>
        <v>#REF!</v>
      </c>
      <c r="W26" s="781"/>
      <c r="X26" s="798" t="e">
        <f>IF(AND(#REF!="Media",#REF!="Moderado"),CONCATENATE("R",#REF!),"")</f>
        <v>#REF!</v>
      </c>
      <c r="Y26" s="781"/>
      <c r="Z26" s="798" t="e">
        <f>IF(AND(#REF!="Media",#REF!="Moderado"),CONCATENATE("R",#REF!),"")</f>
        <v>#REF!</v>
      </c>
      <c r="AA26" s="780"/>
      <c r="AB26" s="788" t="e">
        <f>IF(AND(#REF!="Media",#REF!="Mayor"),CONCATENATE("R",#REF!),"")</f>
        <v>#REF!</v>
      </c>
      <c r="AC26" s="781"/>
      <c r="AD26" s="779" t="e">
        <f>IF(AND(#REF!="Media",#REF!="Mayor"),CONCATENATE("R",#REF!),"")</f>
        <v>#REF!</v>
      </c>
      <c r="AE26" s="781"/>
      <c r="AF26" s="779" t="e">
        <f>IF(AND(#REF!="Media",#REF!="Mayor"),CONCATENATE("R",#REF!),"")</f>
        <v>#REF!</v>
      </c>
      <c r="AG26" s="780"/>
      <c r="AH26" s="782" t="e">
        <f>IF(AND(#REF!="Media",#REF!="Catastrófico"),CONCATENATE("R",#REF!),"")</f>
        <v>#REF!</v>
      </c>
      <c r="AI26" s="781"/>
      <c r="AJ26" s="784" t="e">
        <f>IF(AND(#REF!="Media",#REF!="Catastrófico"),CONCATENATE("R",#REF!),"")</f>
        <v>#REF!</v>
      </c>
      <c r="AK26" s="781"/>
      <c r="AL26" s="784" t="e">
        <f>IF(AND(#REF!="Media",#REF!="Catastrófico"),CONCATENATE("R",#REF!),"")</f>
        <v>#REF!</v>
      </c>
      <c r="AM26" s="780"/>
      <c r="AN26" s="115"/>
      <c r="AO26" s="803"/>
      <c r="AP26" s="804"/>
      <c r="AQ26" s="804"/>
      <c r="AR26" s="804"/>
      <c r="AS26" s="804"/>
      <c r="AT26" s="805"/>
      <c r="AU26" s="115"/>
      <c r="AV26" s="115"/>
      <c r="AW26" s="115"/>
      <c r="AX26" s="115"/>
      <c r="AY26" s="115"/>
      <c r="AZ26" s="115"/>
      <c r="BA26" s="115"/>
      <c r="BB26" s="115"/>
      <c r="BC26" s="115"/>
      <c r="BD26" s="115"/>
      <c r="BE26" s="115"/>
      <c r="BF26" s="115"/>
      <c r="BG26" s="115"/>
      <c r="BH26" s="115"/>
      <c r="BI26" s="115"/>
    </row>
    <row r="27" spans="1:61" ht="15.75" customHeight="1" x14ac:dyDescent="0.25">
      <c r="A27" s="115"/>
      <c r="B27" s="781"/>
      <c r="C27" s="804"/>
      <c r="D27" s="780"/>
      <c r="E27" s="783"/>
      <c r="F27" s="804"/>
      <c r="G27" s="804"/>
      <c r="H27" s="804"/>
      <c r="I27" s="780"/>
      <c r="J27" s="783"/>
      <c r="K27" s="781"/>
      <c r="L27" s="781"/>
      <c r="M27" s="781"/>
      <c r="N27" s="781"/>
      <c r="O27" s="780"/>
      <c r="P27" s="783"/>
      <c r="Q27" s="781"/>
      <c r="R27" s="781"/>
      <c r="S27" s="781"/>
      <c r="T27" s="781"/>
      <c r="U27" s="780"/>
      <c r="V27" s="783"/>
      <c r="W27" s="781"/>
      <c r="X27" s="781"/>
      <c r="Y27" s="781"/>
      <c r="Z27" s="781"/>
      <c r="AA27" s="780"/>
      <c r="AB27" s="783"/>
      <c r="AC27" s="781"/>
      <c r="AD27" s="781"/>
      <c r="AE27" s="781"/>
      <c r="AF27" s="781"/>
      <c r="AG27" s="780"/>
      <c r="AH27" s="783"/>
      <c r="AI27" s="781"/>
      <c r="AJ27" s="781"/>
      <c r="AK27" s="781"/>
      <c r="AL27" s="781"/>
      <c r="AM27" s="780"/>
      <c r="AN27" s="115"/>
      <c r="AO27" s="803"/>
      <c r="AP27" s="804"/>
      <c r="AQ27" s="804"/>
      <c r="AR27" s="804"/>
      <c r="AS27" s="804"/>
      <c r="AT27" s="805"/>
      <c r="AU27" s="115"/>
      <c r="AV27" s="115"/>
      <c r="AW27" s="115"/>
      <c r="AX27" s="115"/>
      <c r="AY27" s="115"/>
      <c r="AZ27" s="115"/>
      <c r="BA27" s="115"/>
      <c r="BB27" s="115"/>
      <c r="BC27" s="115"/>
      <c r="BD27" s="115"/>
      <c r="BE27" s="115"/>
      <c r="BF27" s="115"/>
      <c r="BG27" s="115"/>
      <c r="BH27" s="115"/>
      <c r="BI27" s="115"/>
    </row>
    <row r="28" spans="1:61" ht="15.75" customHeight="1" x14ac:dyDescent="0.25">
      <c r="A28" s="115"/>
      <c r="B28" s="781"/>
      <c r="C28" s="804"/>
      <c r="D28" s="780"/>
      <c r="E28" s="783"/>
      <c r="F28" s="804"/>
      <c r="G28" s="804"/>
      <c r="H28" s="804"/>
      <c r="I28" s="780"/>
      <c r="J28" s="799" t="e">
        <f>IF(AND(#REF!="Media",#REF!="Leve"),CONCATENATE("R",#REF!),"")</f>
        <v>#REF!</v>
      </c>
      <c r="K28" s="781"/>
      <c r="L28" s="798" t="e">
        <f>IF(AND(#REF!="Media",#REF!="Leve"),CONCATENATE("R",#REF!),"")</f>
        <v>#REF!</v>
      </c>
      <c r="M28" s="781"/>
      <c r="N28" s="798" t="e">
        <f>IF(AND(#REF!="Media",#REF!="Leve"),CONCATENATE("R",#REF!),"")</f>
        <v>#REF!</v>
      </c>
      <c r="O28" s="780"/>
      <c r="P28" s="799" t="e">
        <f>IF(AND(#REF!="Media",#REF!="Menor"),CONCATENATE("R",#REF!),"")</f>
        <v>#REF!</v>
      </c>
      <c r="Q28" s="781"/>
      <c r="R28" s="798" t="e">
        <f>IF(AND(#REF!="Media",#REF!="Menor"),CONCATENATE("R",#REF!),"")</f>
        <v>#REF!</v>
      </c>
      <c r="S28" s="781"/>
      <c r="T28" s="798" t="e">
        <f>IF(AND(#REF!="Media",#REF!="Menor"),CONCATENATE("R",#REF!),"")</f>
        <v>#REF!</v>
      </c>
      <c r="U28" s="780"/>
      <c r="V28" s="799" t="e">
        <f>IF(AND(#REF!="Media",#REF!="Moderado"),CONCATENATE("R",#REF!),"")</f>
        <v>#REF!</v>
      </c>
      <c r="W28" s="781"/>
      <c r="X28" s="798" t="e">
        <f>IF(AND(#REF!="Media",#REF!="Moderado"),CONCATENATE("R",#REF!),"")</f>
        <v>#REF!</v>
      </c>
      <c r="Y28" s="781"/>
      <c r="Z28" s="798" t="e">
        <f>IF(AND(#REF!="Media",#REF!="Moderado"),CONCATENATE("R",#REF!),"")</f>
        <v>#REF!</v>
      </c>
      <c r="AA28" s="780"/>
      <c r="AB28" s="788" t="e">
        <f>IF(AND(#REF!="Media",#REF!="Mayor"),CONCATENATE("R",#REF!),"")</f>
        <v>#REF!</v>
      </c>
      <c r="AC28" s="781"/>
      <c r="AD28" s="779" t="e">
        <f>IF(AND(#REF!="Media",#REF!="Mayor"),CONCATENATE("R",#REF!),"")</f>
        <v>#REF!</v>
      </c>
      <c r="AE28" s="781"/>
      <c r="AF28" s="779" t="e">
        <f>IF(AND(#REF!="Media",#REF!="Mayor"),CONCATENATE("R",#REF!),"")</f>
        <v>#REF!</v>
      </c>
      <c r="AG28" s="780"/>
      <c r="AH28" s="782" t="e">
        <f>IF(AND(#REF!="Media",#REF!="Catastrófico"),CONCATENATE("R",#REF!),"")</f>
        <v>#REF!</v>
      </c>
      <c r="AI28" s="781"/>
      <c r="AJ28" s="784" t="e">
        <f>IF(AND(#REF!="Media",#REF!="Catastrófico"),CONCATENATE("R",#REF!),"")</f>
        <v>#REF!</v>
      </c>
      <c r="AK28" s="781"/>
      <c r="AL28" s="784" t="e">
        <f>IF(AND(#REF!="Media",#REF!="Catastrófico"),CONCATENATE("R",#REF!),"")</f>
        <v>#REF!</v>
      </c>
      <c r="AM28" s="780"/>
      <c r="AN28" s="115"/>
      <c r="AO28" s="803"/>
      <c r="AP28" s="804"/>
      <c r="AQ28" s="804"/>
      <c r="AR28" s="804"/>
      <c r="AS28" s="804"/>
      <c r="AT28" s="805"/>
      <c r="AU28" s="115"/>
      <c r="AV28" s="115"/>
      <c r="AW28" s="115"/>
      <c r="AX28" s="115"/>
      <c r="AY28" s="115"/>
      <c r="AZ28" s="115"/>
      <c r="BA28" s="115"/>
      <c r="BB28" s="115"/>
      <c r="BC28" s="115"/>
      <c r="BD28" s="115"/>
      <c r="BE28" s="115"/>
      <c r="BF28" s="115"/>
      <c r="BG28" s="115"/>
      <c r="BH28" s="115"/>
      <c r="BI28" s="115"/>
    </row>
    <row r="29" spans="1:61" ht="15.75" customHeight="1" thickBot="1" x14ac:dyDescent="0.3">
      <c r="A29" s="115"/>
      <c r="B29" s="781"/>
      <c r="C29" s="804"/>
      <c r="D29" s="780"/>
      <c r="E29" s="790"/>
      <c r="F29" s="791"/>
      <c r="G29" s="791"/>
      <c r="H29" s="791"/>
      <c r="I29" s="792"/>
      <c r="J29" s="783"/>
      <c r="K29" s="781"/>
      <c r="L29" s="781"/>
      <c r="M29" s="781"/>
      <c r="N29" s="781"/>
      <c r="O29" s="780"/>
      <c r="P29" s="790"/>
      <c r="Q29" s="791"/>
      <c r="R29" s="791"/>
      <c r="S29" s="791"/>
      <c r="T29" s="791"/>
      <c r="U29" s="792"/>
      <c r="V29" s="790"/>
      <c r="W29" s="791"/>
      <c r="X29" s="791"/>
      <c r="Y29" s="791"/>
      <c r="Z29" s="791"/>
      <c r="AA29" s="792"/>
      <c r="AB29" s="790"/>
      <c r="AC29" s="791"/>
      <c r="AD29" s="791"/>
      <c r="AE29" s="791"/>
      <c r="AF29" s="791"/>
      <c r="AG29" s="792"/>
      <c r="AH29" s="790"/>
      <c r="AI29" s="791"/>
      <c r="AJ29" s="791"/>
      <c r="AK29" s="791"/>
      <c r="AL29" s="791"/>
      <c r="AM29" s="792"/>
      <c r="AN29" s="115"/>
      <c r="AO29" s="806"/>
      <c r="AP29" s="807"/>
      <c r="AQ29" s="807"/>
      <c r="AR29" s="807"/>
      <c r="AS29" s="807"/>
      <c r="AT29" s="808"/>
      <c r="AU29" s="115"/>
      <c r="AV29" s="115"/>
      <c r="AW29" s="115"/>
      <c r="AX29" s="115"/>
      <c r="AY29" s="115"/>
      <c r="AZ29" s="115"/>
      <c r="BA29" s="115"/>
      <c r="BB29" s="115"/>
      <c r="BC29" s="115"/>
      <c r="BD29" s="115"/>
      <c r="BE29" s="115"/>
      <c r="BF29" s="115"/>
      <c r="BG29" s="115"/>
      <c r="BH29" s="115"/>
      <c r="BI29" s="115"/>
    </row>
    <row r="30" spans="1:61" ht="15.75" customHeight="1" x14ac:dyDescent="0.25">
      <c r="A30" s="115"/>
      <c r="B30" s="781"/>
      <c r="C30" s="804"/>
      <c r="D30" s="780"/>
      <c r="E30" s="812" t="s">
        <v>9</v>
      </c>
      <c r="F30" s="786"/>
      <c r="G30" s="786"/>
      <c r="H30" s="786"/>
      <c r="I30" s="786"/>
      <c r="J30" s="813" t="e">
        <f>IF(AND(#REF!="Baja",#REF!="Leve"),CONCATENATE("R",#REF!),"")</f>
        <v>#REF!</v>
      </c>
      <c r="K30" s="786"/>
      <c r="L30" s="815" t="e">
        <f>IF(AND(#REF!="Baja",#REF!="Leve"),CONCATENATE("R",#REF!),"")</f>
        <v>#REF!</v>
      </c>
      <c r="M30" s="786"/>
      <c r="N30" s="815" t="e">
        <f>IF(AND(#REF!="Baja",#REF!="Leve"),CONCATENATE("R",#REF!),"")</f>
        <v>#REF!</v>
      </c>
      <c r="O30" s="794"/>
      <c r="P30" s="793" t="e">
        <f>IF(AND(#REF!="Baja",#REF!="Menor"),CONCATENATE("R",#REF!),"")</f>
        <v>#REF!</v>
      </c>
      <c r="Q30" s="786"/>
      <c r="R30" s="793" t="e">
        <f>IF(AND(#REF!="Baja",#REF!="Menor"),CONCATENATE("R",#REF!),"")</f>
        <v>#REF!</v>
      </c>
      <c r="S30" s="786"/>
      <c r="T30" s="793" t="e">
        <f>IF(AND(#REF!="Baja",#REF!="Menor"),CONCATENATE("R",#REF!),"")</f>
        <v>#REF!</v>
      </c>
      <c r="U30" s="794"/>
      <c r="V30" s="795" t="e">
        <f>IF(AND(#REF!="Baja",#REF!="Moderado"),CONCATENATE("R",#REF!),"")</f>
        <v>#REF!</v>
      </c>
      <c r="W30" s="786"/>
      <c r="X30" s="793" t="e">
        <f>IF(AND(#REF!="Baja",#REF!="Moderado"),CONCATENATE("R",#REF!),"")</f>
        <v>#REF!</v>
      </c>
      <c r="Y30" s="786"/>
      <c r="Z30" s="793" t="e">
        <f>IF(AND(#REF!="Baja",#REF!="Moderado"),CONCATENATE("R",#REF!),"")</f>
        <v>#REF!</v>
      </c>
      <c r="AA30" s="794"/>
      <c r="AB30" s="785" t="e">
        <f>IF(AND(#REF!="Baja",#REF!="Mayor"),CONCATENATE("R",#REF!),"")</f>
        <v>#REF!</v>
      </c>
      <c r="AC30" s="786"/>
      <c r="AD30" s="787" t="e">
        <f>IF(AND(#REF!="Baja",#REF!="Mayor"),CONCATENATE("R",#REF!),"")</f>
        <v>#REF!</v>
      </c>
      <c r="AE30" s="786"/>
      <c r="AF30" s="787" t="e">
        <f>IF(AND(#REF!="Baja",#REF!="Mayor"),CONCATENATE("R",#REF!),"")</f>
        <v>#REF!</v>
      </c>
      <c r="AG30" s="794"/>
      <c r="AH30" s="796" t="e">
        <f>IF(AND(#REF!="Baja",#REF!="Catastrófico"),CONCATENATE("R",#REF!),"")</f>
        <v>#REF!</v>
      </c>
      <c r="AI30" s="786"/>
      <c r="AJ30" s="789" t="e">
        <f>IF(AND(#REF!="Baja",#REF!="Catastrófico"),CONCATENATE("R",#REF!),"")</f>
        <v>#REF!</v>
      </c>
      <c r="AK30" s="786"/>
      <c r="AL30" s="789" t="e">
        <f>IF(AND(#REF!="Baja",#REF!="Catastrófico"),CONCATENATE("R",#REF!),"")</f>
        <v>#REF!</v>
      </c>
      <c r="AM30" s="794"/>
      <c r="AN30" s="115"/>
      <c r="AO30" s="800" t="s">
        <v>10</v>
      </c>
      <c r="AP30" s="801"/>
      <c r="AQ30" s="801"/>
      <c r="AR30" s="801"/>
      <c r="AS30" s="801"/>
      <c r="AT30" s="802"/>
      <c r="AU30" s="115"/>
      <c r="AV30" s="115"/>
      <c r="AW30" s="115"/>
      <c r="AX30" s="115"/>
      <c r="AY30" s="115"/>
      <c r="AZ30" s="115"/>
      <c r="BA30" s="115"/>
      <c r="BB30" s="115"/>
      <c r="BC30" s="115"/>
      <c r="BD30" s="115"/>
      <c r="BE30" s="115"/>
      <c r="BF30" s="115"/>
      <c r="BG30" s="115"/>
      <c r="BH30" s="115"/>
      <c r="BI30" s="115"/>
    </row>
    <row r="31" spans="1:61" ht="15.75" customHeight="1" x14ac:dyDescent="0.25">
      <c r="A31" s="115"/>
      <c r="B31" s="781"/>
      <c r="C31" s="804"/>
      <c r="D31" s="780"/>
      <c r="E31" s="783"/>
      <c r="F31" s="804"/>
      <c r="G31" s="804"/>
      <c r="H31" s="804"/>
      <c r="I31" s="804"/>
      <c r="J31" s="783"/>
      <c r="K31" s="781"/>
      <c r="L31" s="781"/>
      <c r="M31" s="781"/>
      <c r="N31" s="781"/>
      <c r="O31" s="780"/>
      <c r="P31" s="781"/>
      <c r="Q31" s="781"/>
      <c r="R31" s="781"/>
      <c r="S31" s="781"/>
      <c r="T31" s="781"/>
      <c r="U31" s="780"/>
      <c r="V31" s="783"/>
      <c r="W31" s="781"/>
      <c r="X31" s="781"/>
      <c r="Y31" s="781"/>
      <c r="Z31" s="781"/>
      <c r="AA31" s="780"/>
      <c r="AB31" s="783"/>
      <c r="AC31" s="781"/>
      <c r="AD31" s="781"/>
      <c r="AE31" s="781"/>
      <c r="AF31" s="781"/>
      <c r="AG31" s="780"/>
      <c r="AH31" s="783"/>
      <c r="AI31" s="781"/>
      <c r="AJ31" s="781"/>
      <c r="AK31" s="781"/>
      <c r="AL31" s="781"/>
      <c r="AM31" s="780"/>
      <c r="AN31" s="115"/>
      <c r="AO31" s="803"/>
      <c r="AP31" s="804"/>
      <c r="AQ31" s="804"/>
      <c r="AR31" s="804"/>
      <c r="AS31" s="804"/>
      <c r="AT31" s="805"/>
      <c r="AU31" s="115"/>
      <c r="AV31" s="115"/>
      <c r="AW31" s="115"/>
      <c r="AX31" s="115"/>
      <c r="AY31" s="115"/>
      <c r="AZ31" s="115"/>
      <c r="BA31" s="115"/>
      <c r="BB31" s="115"/>
      <c r="BC31" s="115"/>
      <c r="BD31" s="115"/>
      <c r="BE31" s="115"/>
      <c r="BF31" s="115"/>
      <c r="BG31" s="115"/>
      <c r="BH31" s="115"/>
      <c r="BI31" s="115"/>
    </row>
    <row r="32" spans="1:61" ht="15.75" customHeight="1" x14ac:dyDescent="0.25">
      <c r="A32" s="115"/>
      <c r="B32" s="781"/>
      <c r="C32" s="804"/>
      <c r="D32" s="780"/>
      <c r="E32" s="783"/>
      <c r="F32" s="804"/>
      <c r="G32" s="804"/>
      <c r="H32" s="804"/>
      <c r="I32" s="804"/>
      <c r="J32" s="814" t="e">
        <f>IF(AND(#REF!="Baja",#REF!="Leve"),CONCATENATE("R",#REF!),"")</f>
        <v>#REF!</v>
      </c>
      <c r="K32" s="781"/>
      <c r="L32" s="797" t="e">
        <f>IF(AND(#REF!="Baja",#REF!="Leve"),CONCATENATE("R",#REF!),"")</f>
        <v>#REF!</v>
      </c>
      <c r="M32" s="781"/>
      <c r="N32" s="797" t="e">
        <f>IF(AND(#REF!="Baja",#REF!="Leve"),CONCATENATE("R",#REF!),"")</f>
        <v>#REF!</v>
      </c>
      <c r="O32" s="780"/>
      <c r="P32" s="798" t="e">
        <f>IF(AND(#REF!="Baja",#REF!="Menor"),CONCATENATE("R",#REF!),"")</f>
        <v>#REF!</v>
      </c>
      <c r="Q32" s="781"/>
      <c r="R32" s="798" t="e">
        <f>IF(AND(#REF!="Baja",#REF!="Menor"),CONCATENATE("R",#REF!),"")</f>
        <v>#REF!</v>
      </c>
      <c r="S32" s="781"/>
      <c r="T32" s="798" t="e">
        <f>IF(AND(#REF!="Baja",#REF!="Menor"),CONCATENATE("R",#REF!),"")</f>
        <v>#REF!</v>
      </c>
      <c r="U32" s="780"/>
      <c r="V32" s="799" t="e">
        <f>IF(AND(#REF!="Baja",#REF!="Moderado"),CONCATENATE("R",#REF!),"")</f>
        <v>#REF!</v>
      </c>
      <c r="W32" s="781"/>
      <c r="X32" s="798" t="e">
        <f>IF(AND(#REF!="Baja",#REF!="Moderado"),CONCATENATE("R",#REF!),"")</f>
        <v>#REF!</v>
      </c>
      <c r="Y32" s="781"/>
      <c r="Z32" s="798" t="e">
        <f>IF(AND(#REF!="Baja",#REF!="Moderado"),CONCATENATE("R",#REF!),"")</f>
        <v>#REF!</v>
      </c>
      <c r="AA32" s="780"/>
      <c r="AB32" s="788" t="e">
        <f>IF(AND(#REF!="Baja",#REF!="Mayor"),CONCATENATE("R",#REF!),"")</f>
        <v>#REF!</v>
      </c>
      <c r="AC32" s="781"/>
      <c r="AD32" s="779" t="e">
        <f>IF(AND(#REF!="Baja",#REF!="Mayor"),CONCATENATE("R",#REF!),"")</f>
        <v>#REF!</v>
      </c>
      <c r="AE32" s="781"/>
      <c r="AF32" s="779" t="e">
        <f>IF(AND(#REF!="Baja",#REF!="Mayor"),CONCATENATE("R",#REF!),"")</f>
        <v>#REF!</v>
      </c>
      <c r="AG32" s="780"/>
      <c r="AH32" s="782" t="e">
        <f>IF(AND(#REF!="Baja",#REF!="Catastrófico"),CONCATENATE("R",#REF!),"")</f>
        <v>#REF!</v>
      </c>
      <c r="AI32" s="781"/>
      <c r="AJ32" s="784" t="e">
        <f>IF(AND(#REF!="Baja",#REF!="Catastrófico"),CONCATENATE("R",#REF!),"")</f>
        <v>#REF!</v>
      </c>
      <c r="AK32" s="781"/>
      <c r="AL32" s="784" t="e">
        <f>IF(AND(#REF!="Baja",#REF!="Catastrófico"),CONCATENATE("R",#REF!),"")</f>
        <v>#REF!</v>
      </c>
      <c r="AM32" s="780"/>
      <c r="AN32" s="115"/>
      <c r="AO32" s="803"/>
      <c r="AP32" s="804"/>
      <c r="AQ32" s="804"/>
      <c r="AR32" s="804"/>
      <c r="AS32" s="804"/>
      <c r="AT32" s="805"/>
      <c r="AU32" s="115"/>
      <c r="AV32" s="115"/>
      <c r="AW32" s="115"/>
      <c r="AX32" s="115"/>
      <c r="AY32" s="115"/>
      <c r="AZ32" s="115"/>
      <c r="BA32" s="115"/>
      <c r="BB32" s="115"/>
      <c r="BC32" s="115"/>
      <c r="BD32" s="115"/>
      <c r="BE32" s="115"/>
      <c r="BF32" s="115"/>
      <c r="BG32" s="115"/>
      <c r="BH32" s="115"/>
      <c r="BI32" s="115"/>
    </row>
    <row r="33" spans="1:61" ht="15.75" customHeight="1" x14ac:dyDescent="0.25">
      <c r="A33" s="115"/>
      <c r="B33" s="781"/>
      <c r="C33" s="804"/>
      <c r="D33" s="780"/>
      <c r="E33" s="783"/>
      <c r="F33" s="804"/>
      <c r="G33" s="804"/>
      <c r="H33" s="804"/>
      <c r="I33" s="804"/>
      <c r="J33" s="783"/>
      <c r="K33" s="781"/>
      <c r="L33" s="781"/>
      <c r="M33" s="781"/>
      <c r="N33" s="781"/>
      <c r="O33" s="780"/>
      <c r="P33" s="781"/>
      <c r="Q33" s="781"/>
      <c r="R33" s="781"/>
      <c r="S33" s="781"/>
      <c r="T33" s="781"/>
      <c r="U33" s="780"/>
      <c r="V33" s="783"/>
      <c r="W33" s="781"/>
      <c r="X33" s="781"/>
      <c r="Y33" s="781"/>
      <c r="Z33" s="781"/>
      <c r="AA33" s="780"/>
      <c r="AB33" s="783"/>
      <c r="AC33" s="781"/>
      <c r="AD33" s="781"/>
      <c r="AE33" s="781"/>
      <c r="AF33" s="781"/>
      <c r="AG33" s="780"/>
      <c r="AH33" s="783"/>
      <c r="AI33" s="781"/>
      <c r="AJ33" s="781"/>
      <c r="AK33" s="781"/>
      <c r="AL33" s="781"/>
      <c r="AM33" s="780"/>
      <c r="AN33" s="115"/>
      <c r="AO33" s="803"/>
      <c r="AP33" s="804"/>
      <c r="AQ33" s="804"/>
      <c r="AR33" s="804"/>
      <c r="AS33" s="804"/>
      <c r="AT33" s="805"/>
      <c r="AU33" s="115"/>
      <c r="AV33" s="115"/>
      <c r="AW33" s="115"/>
      <c r="AX33" s="115"/>
      <c r="AY33" s="115"/>
      <c r="AZ33" s="115"/>
      <c r="BA33" s="115"/>
      <c r="BB33" s="115"/>
      <c r="BC33" s="115"/>
      <c r="BD33" s="115"/>
      <c r="BE33" s="115"/>
      <c r="BF33" s="115"/>
      <c r="BG33" s="115"/>
      <c r="BH33" s="115"/>
      <c r="BI33" s="115"/>
    </row>
    <row r="34" spans="1:61" ht="15.75" customHeight="1" x14ac:dyDescent="0.25">
      <c r="A34" s="115"/>
      <c r="B34" s="781"/>
      <c r="C34" s="804"/>
      <c r="D34" s="780"/>
      <c r="E34" s="783"/>
      <c r="F34" s="804"/>
      <c r="G34" s="804"/>
      <c r="H34" s="804"/>
      <c r="I34" s="804"/>
      <c r="J34" s="814" t="e">
        <f>IF(AND(#REF!="Baja",#REF!="Leve"),CONCATENATE("R",#REF!),"")</f>
        <v>#REF!</v>
      </c>
      <c r="K34" s="781"/>
      <c r="L34" s="797" t="e">
        <f>IF(AND(#REF!="Baja",#REF!="Leve"),CONCATENATE("R",#REF!),"")</f>
        <v>#REF!</v>
      </c>
      <c r="M34" s="781"/>
      <c r="N34" s="797" t="e">
        <f>IF(AND(#REF!="Baja",#REF!="Leve"),CONCATENATE("R",#REF!),"")</f>
        <v>#REF!</v>
      </c>
      <c r="O34" s="780"/>
      <c r="P34" s="798" t="e">
        <f>IF(AND(#REF!="Baja",#REF!="Menor"),CONCATENATE("R",#REF!),"")</f>
        <v>#REF!</v>
      </c>
      <c r="Q34" s="781"/>
      <c r="R34" s="798" t="e">
        <f>IF(AND(#REF!="Baja",#REF!="Menor"),CONCATENATE("R",#REF!),"")</f>
        <v>#REF!</v>
      </c>
      <c r="S34" s="781"/>
      <c r="T34" s="798" t="e">
        <f>IF(AND(#REF!="Baja",#REF!="Menor"),CONCATENATE("R",#REF!),"")</f>
        <v>#REF!</v>
      </c>
      <c r="U34" s="780"/>
      <c r="V34" s="799" t="e">
        <f>IF(AND(#REF!="Baja",#REF!="Moderado"),CONCATENATE("R",#REF!),"")</f>
        <v>#REF!</v>
      </c>
      <c r="W34" s="781"/>
      <c r="X34" s="798" t="e">
        <f>IF(AND(#REF!="Baja",#REF!="Moderado"),CONCATENATE("R",#REF!),"")</f>
        <v>#REF!</v>
      </c>
      <c r="Y34" s="781"/>
      <c r="Z34" s="798" t="e">
        <f>IF(AND(#REF!="Baja",#REF!="Moderado"),CONCATENATE("R",#REF!),"")</f>
        <v>#REF!</v>
      </c>
      <c r="AA34" s="780"/>
      <c r="AB34" s="788" t="e">
        <f>IF(AND(#REF!="Baja",#REF!="Mayor"),CONCATENATE("R",#REF!),"")</f>
        <v>#REF!</v>
      </c>
      <c r="AC34" s="781"/>
      <c r="AD34" s="779" t="e">
        <f>IF(AND(#REF!="Baja",#REF!="Mayor"),CONCATENATE("R",#REF!),"")</f>
        <v>#REF!</v>
      </c>
      <c r="AE34" s="781"/>
      <c r="AF34" s="779" t="e">
        <f>IF(AND(#REF!="Baja",#REF!="Mayor"),CONCATENATE("R",#REF!),"")</f>
        <v>#REF!</v>
      </c>
      <c r="AG34" s="780"/>
      <c r="AH34" s="782" t="e">
        <f>IF(AND(#REF!="Baja",#REF!="Catastrófico"),CONCATENATE("R",#REF!),"")</f>
        <v>#REF!</v>
      </c>
      <c r="AI34" s="781"/>
      <c r="AJ34" s="784" t="e">
        <f>IF(AND(#REF!="Baja",#REF!="Catastrófico"),CONCATENATE("R",#REF!),"")</f>
        <v>#REF!</v>
      </c>
      <c r="AK34" s="781"/>
      <c r="AL34" s="784" t="e">
        <f>IF(AND(#REF!="Baja",#REF!="Catastrófico"),CONCATENATE("R",#REF!),"")</f>
        <v>#REF!</v>
      </c>
      <c r="AM34" s="780"/>
      <c r="AN34" s="115"/>
      <c r="AO34" s="803"/>
      <c r="AP34" s="804"/>
      <c r="AQ34" s="804"/>
      <c r="AR34" s="804"/>
      <c r="AS34" s="804"/>
      <c r="AT34" s="805"/>
      <c r="AU34" s="115"/>
      <c r="AV34" s="115"/>
      <c r="AW34" s="115"/>
      <c r="AX34" s="115"/>
      <c r="AY34" s="115"/>
      <c r="AZ34" s="115"/>
      <c r="BA34" s="115"/>
      <c r="BB34" s="115"/>
      <c r="BC34" s="115"/>
      <c r="BD34" s="115"/>
      <c r="BE34" s="115"/>
      <c r="BF34" s="115"/>
      <c r="BG34" s="115"/>
      <c r="BH34" s="115"/>
      <c r="BI34" s="115"/>
    </row>
    <row r="35" spans="1:61" ht="15.75" customHeight="1" x14ac:dyDescent="0.25">
      <c r="A35" s="115"/>
      <c r="B35" s="781"/>
      <c r="C35" s="804"/>
      <c r="D35" s="780"/>
      <c r="E35" s="783"/>
      <c r="F35" s="804"/>
      <c r="G35" s="804"/>
      <c r="H35" s="804"/>
      <c r="I35" s="804"/>
      <c r="J35" s="783"/>
      <c r="K35" s="781"/>
      <c r="L35" s="781"/>
      <c r="M35" s="781"/>
      <c r="N35" s="781"/>
      <c r="O35" s="780"/>
      <c r="P35" s="781"/>
      <c r="Q35" s="781"/>
      <c r="R35" s="781"/>
      <c r="S35" s="781"/>
      <c r="T35" s="781"/>
      <c r="U35" s="780"/>
      <c r="V35" s="783"/>
      <c r="W35" s="781"/>
      <c r="X35" s="781"/>
      <c r="Y35" s="781"/>
      <c r="Z35" s="781"/>
      <c r="AA35" s="780"/>
      <c r="AB35" s="783"/>
      <c r="AC35" s="781"/>
      <c r="AD35" s="781"/>
      <c r="AE35" s="781"/>
      <c r="AF35" s="781"/>
      <c r="AG35" s="780"/>
      <c r="AH35" s="783"/>
      <c r="AI35" s="781"/>
      <c r="AJ35" s="781"/>
      <c r="AK35" s="781"/>
      <c r="AL35" s="781"/>
      <c r="AM35" s="780"/>
      <c r="AN35" s="115"/>
      <c r="AO35" s="803"/>
      <c r="AP35" s="804"/>
      <c r="AQ35" s="804"/>
      <c r="AR35" s="804"/>
      <c r="AS35" s="804"/>
      <c r="AT35" s="805"/>
      <c r="AU35" s="115"/>
      <c r="AV35" s="115"/>
      <c r="AW35" s="115"/>
      <c r="AX35" s="115"/>
      <c r="AY35" s="115"/>
      <c r="AZ35" s="115"/>
      <c r="BA35" s="115"/>
      <c r="BB35" s="115"/>
      <c r="BC35" s="115"/>
      <c r="BD35" s="115"/>
      <c r="BE35" s="115"/>
      <c r="BF35" s="115"/>
      <c r="BG35" s="115"/>
      <c r="BH35" s="115"/>
      <c r="BI35" s="115"/>
    </row>
    <row r="36" spans="1:61" ht="15.75" customHeight="1" x14ac:dyDescent="0.25">
      <c r="A36" s="115"/>
      <c r="B36" s="781"/>
      <c r="C36" s="804"/>
      <c r="D36" s="780"/>
      <c r="E36" s="783"/>
      <c r="F36" s="804"/>
      <c r="G36" s="804"/>
      <c r="H36" s="804"/>
      <c r="I36" s="804"/>
      <c r="J36" s="814" t="e">
        <f>IF(AND(#REF!="Baja",#REF!="Leve"),CONCATENATE("R",#REF!),"")</f>
        <v>#REF!</v>
      </c>
      <c r="K36" s="781"/>
      <c r="L36" s="797" t="e">
        <f>IF(AND(#REF!="Baja",#REF!="Leve"),CONCATENATE("R",#REF!),"")</f>
        <v>#REF!</v>
      </c>
      <c r="M36" s="781"/>
      <c r="N36" s="797" t="e">
        <f>IF(AND(#REF!="Baja",#REF!="Leve"),CONCATENATE("R",#REF!),"")</f>
        <v>#REF!</v>
      </c>
      <c r="O36" s="780"/>
      <c r="P36" s="798" t="e">
        <f>IF(AND(#REF!="Baja",#REF!="Menor"),CONCATENATE("R",#REF!),"")</f>
        <v>#REF!</v>
      </c>
      <c r="Q36" s="781"/>
      <c r="R36" s="798" t="e">
        <f>IF(AND(#REF!="Baja",#REF!="Menor"),CONCATENATE("R",#REF!),"")</f>
        <v>#REF!</v>
      </c>
      <c r="S36" s="781"/>
      <c r="T36" s="798" t="e">
        <f>IF(AND(#REF!="Baja",#REF!="Menor"),CONCATENATE("R",#REF!),"")</f>
        <v>#REF!</v>
      </c>
      <c r="U36" s="780"/>
      <c r="V36" s="799" t="e">
        <f>IF(AND(#REF!="Baja",#REF!="Moderado"),CONCATENATE("R",#REF!),"")</f>
        <v>#REF!</v>
      </c>
      <c r="W36" s="781"/>
      <c r="X36" s="798" t="e">
        <f>IF(AND(#REF!="Baja",#REF!="Moderado"),CONCATENATE("R",#REF!),"")</f>
        <v>#REF!</v>
      </c>
      <c r="Y36" s="781"/>
      <c r="Z36" s="798" t="e">
        <f>IF(AND(#REF!="Baja",#REF!="Moderado"),CONCATENATE("R",#REF!),"")</f>
        <v>#REF!</v>
      </c>
      <c r="AA36" s="780"/>
      <c r="AB36" s="788" t="e">
        <f>IF(AND(#REF!="Baja",#REF!="Mayor"),CONCATENATE("R",#REF!),"")</f>
        <v>#REF!</v>
      </c>
      <c r="AC36" s="781"/>
      <c r="AD36" s="779" t="e">
        <f>IF(AND(#REF!="Baja",#REF!="Mayor"),CONCATENATE("R",#REF!),"")</f>
        <v>#REF!</v>
      </c>
      <c r="AE36" s="781"/>
      <c r="AF36" s="779" t="e">
        <f>IF(AND(#REF!="Baja",#REF!="Mayor"),CONCATENATE("R",#REF!),"")</f>
        <v>#REF!</v>
      </c>
      <c r="AG36" s="780"/>
      <c r="AH36" s="782" t="e">
        <f>IF(AND(#REF!="Baja",#REF!="Catastrófico"),CONCATENATE("R",#REF!),"")</f>
        <v>#REF!</v>
      </c>
      <c r="AI36" s="781"/>
      <c r="AJ36" s="784" t="e">
        <f>IF(AND(#REF!="Baja",#REF!="Catastrófico"),CONCATENATE("R",#REF!),"")</f>
        <v>#REF!</v>
      </c>
      <c r="AK36" s="781"/>
      <c r="AL36" s="784" t="e">
        <f>IF(AND(#REF!="Baja",#REF!="Catastrófico"),CONCATENATE("R",#REF!),"")</f>
        <v>#REF!</v>
      </c>
      <c r="AM36" s="780"/>
      <c r="AN36" s="115"/>
      <c r="AO36" s="803"/>
      <c r="AP36" s="804"/>
      <c r="AQ36" s="804"/>
      <c r="AR36" s="804"/>
      <c r="AS36" s="804"/>
      <c r="AT36" s="805"/>
      <c r="AU36" s="115"/>
      <c r="AV36" s="115"/>
      <c r="AW36" s="115"/>
      <c r="AX36" s="115"/>
      <c r="AY36" s="115"/>
      <c r="AZ36" s="115"/>
      <c r="BA36" s="115"/>
      <c r="BB36" s="115"/>
      <c r="BC36" s="115"/>
      <c r="BD36" s="115"/>
      <c r="BE36" s="115"/>
      <c r="BF36" s="115"/>
      <c r="BG36" s="115"/>
      <c r="BH36" s="115"/>
      <c r="BI36" s="115"/>
    </row>
    <row r="37" spans="1:61" ht="15.75" customHeight="1" thickBot="1" x14ac:dyDescent="0.3">
      <c r="A37" s="115"/>
      <c r="B37" s="781"/>
      <c r="C37" s="804"/>
      <c r="D37" s="780"/>
      <c r="E37" s="790"/>
      <c r="F37" s="791"/>
      <c r="G37" s="791"/>
      <c r="H37" s="791"/>
      <c r="I37" s="791"/>
      <c r="J37" s="790"/>
      <c r="K37" s="791"/>
      <c r="L37" s="791"/>
      <c r="M37" s="791"/>
      <c r="N37" s="791"/>
      <c r="O37" s="792"/>
      <c r="P37" s="791"/>
      <c r="Q37" s="791"/>
      <c r="R37" s="791"/>
      <c r="S37" s="791"/>
      <c r="T37" s="791"/>
      <c r="U37" s="792"/>
      <c r="V37" s="790"/>
      <c r="W37" s="791"/>
      <c r="X37" s="791"/>
      <c r="Y37" s="791"/>
      <c r="Z37" s="791"/>
      <c r="AA37" s="792"/>
      <c r="AB37" s="790"/>
      <c r="AC37" s="791"/>
      <c r="AD37" s="791"/>
      <c r="AE37" s="791"/>
      <c r="AF37" s="791"/>
      <c r="AG37" s="792"/>
      <c r="AH37" s="790"/>
      <c r="AI37" s="791"/>
      <c r="AJ37" s="791"/>
      <c r="AK37" s="791"/>
      <c r="AL37" s="791"/>
      <c r="AM37" s="792"/>
      <c r="AN37" s="115"/>
      <c r="AO37" s="806"/>
      <c r="AP37" s="807"/>
      <c r="AQ37" s="807"/>
      <c r="AR37" s="807"/>
      <c r="AS37" s="807"/>
      <c r="AT37" s="808"/>
      <c r="AU37" s="115"/>
      <c r="AV37" s="115"/>
      <c r="AW37" s="115"/>
      <c r="AX37" s="115"/>
      <c r="AY37" s="115"/>
      <c r="AZ37" s="115"/>
      <c r="BA37" s="115"/>
      <c r="BB37" s="115"/>
      <c r="BC37" s="115"/>
      <c r="BD37" s="115"/>
      <c r="BE37" s="115"/>
      <c r="BF37" s="115"/>
      <c r="BG37" s="115"/>
      <c r="BH37" s="115"/>
      <c r="BI37" s="115"/>
    </row>
    <row r="38" spans="1:61" ht="15.75" customHeight="1" x14ac:dyDescent="0.25">
      <c r="A38" s="115"/>
      <c r="B38" s="781"/>
      <c r="C38" s="804"/>
      <c r="D38" s="780"/>
      <c r="E38" s="812" t="s">
        <v>11</v>
      </c>
      <c r="F38" s="786"/>
      <c r="G38" s="786"/>
      <c r="H38" s="786"/>
      <c r="I38" s="794"/>
      <c r="J38" s="813" t="e">
        <f>IF(AND(#REF!="Muy Baja",#REF!="Leve"),CONCATENATE("R",#REF!),"")</f>
        <v>#REF!</v>
      </c>
      <c r="K38" s="786"/>
      <c r="L38" s="815" t="e">
        <f>IF(AND(#REF!="Muy Baja",#REF!="Leve"),CONCATENATE("R",#REF!),"")</f>
        <v>#REF!</v>
      </c>
      <c r="M38" s="786"/>
      <c r="N38" s="815" t="e">
        <f>IF(AND(#REF!="Muy Baja",#REF!="Leve"),CONCATENATE("R",#REF!),"")</f>
        <v>#REF!</v>
      </c>
      <c r="O38" s="794"/>
      <c r="P38" s="813" t="e">
        <f>IF(AND(#REF!="Muy Baja",#REF!="Menor"),CONCATENATE("R",#REF!),"")</f>
        <v>#REF!</v>
      </c>
      <c r="Q38" s="786"/>
      <c r="R38" s="815" t="e">
        <f>IF(AND(#REF!="Muy Baja",#REF!="Menor"),CONCATENATE("R",#REF!),"")</f>
        <v>#REF!</v>
      </c>
      <c r="S38" s="786"/>
      <c r="T38" s="815" t="e">
        <f>IF(AND(#REF!="Muy Baja",#REF!="Menor"),CONCATENATE("R",#REF!),"")</f>
        <v>#REF!</v>
      </c>
      <c r="U38" s="794"/>
      <c r="V38" s="795" t="e">
        <f>IF(AND(#REF!="Muy Baja",#REF!="Moderado"),CONCATENATE("R",#REF!),"")</f>
        <v>#REF!</v>
      </c>
      <c r="W38" s="786"/>
      <c r="X38" s="793" t="e">
        <f>IF(AND(#REF!="Muy Baja",#REF!="Moderado"),CONCATENATE("R",#REF!),"")</f>
        <v>#REF!</v>
      </c>
      <c r="Y38" s="786"/>
      <c r="Z38" s="793" t="e">
        <f>IF(AND(#REF!="Muy Baja",#REF!="Moderado"),CONCATENATE("R",#REF!),"")</f>
        <v>#REF!</v>
      </c>
      <c r="AA38" s="794"/>
      <c r="AB38" s="785" t="e">
        <f>IF(AND(#REF!="Muy Baja",#REF!="Mayor"),CONCATENATE("R",#REF!),"")</f>
        <v>#REF!</v>
      </c>
      <c r="AC38" s="786"/>
      <c r="AD38" s="787" t="e">
        <f>IF(AND(#REF!="Muy Baja",#REF!="Mayor"),CONCATENATE("R",#REF!),"")</f>
        <v>#REF!</v>
      </c>
      <c r="AE38" s="786"/>
      <c r="AF38" s="787" t="e">
        <f>IF(AND(#REF!="Muy Baja",#REF!="Mayor"),CONCATENATE("R",#REF!),"")</f>
        <v>#REF!</v>
      </c>
      <c r="AG38" s="794"/>
      <c r="AH38" s="796" t="e">
        <f>IF(AND(#REF!="Muy Baja",#REF!="Catastrófico"),CONCATENATE("R",#REF!),"")</f>
        <v>#REF!</v>
      </c>
      <c r="AI38" s="786"/>
      <c r="AJ38" s="789" t="e">
        <f>IF(AND(#REF!="Muy Baja",#REF!="Catastrófico"),CONCATENATE("R",#REF!),"")</f>
        <v>#REF!</v>
      </c>
      <c r="AK38" s="786"/>
      <c r="AL38" s="789" t="e">
        <f>IF(AND(#REF!="Muy Baja",#REF!="Catastrófico"),CONCATENATE("R",#REF!),"")</f>
        <v>#REF!</v>
      </c>
      <c r="AM38" s="794"/>
      <c r="AN38" s="115"/>
      <c r="AO38" s="115"/>
      <c r="AP38" s="115"/>
      <c r="AQ38" s="115"/>
      <c r="AR38" s="115"/>
      <c r="AS38" s="115"/>
      <c r="AT38" s="115"/>
      <c r="AU38" s="115"/>
      <c r="AV38" s="115"/>
      <c r="AW38" s="115"/>
      <c r="AX38" s="115"/>
      <c r="AY38" s="115"/>
      <c r="AZ38" s="115"/>
      <c r="BA38" s="115"/>
      <c r="BB38" s="115"/>
      <c r="BC38" s="115"/>
      <c r="BD38" s="115"/>
      <c r="BE38" s="115"/>
      <c r="BF38" s="115"/>
      <c r="BG38" s="115"/>
      <c r="BH38" s="115"/>
      <c r="BI38" s="115"/>
    </row>
    <row r="39" spans="1:61" ht="15.75" customHeight="1" x14ac:dyDescent="0.25">
      <c r="A39" s="115"/>
      <c r="B39" s="781"/>
      <c r="C39" s="804"/>
      <c r="D39" s="780"/>
      <c r="E39" s="783"/>
      <c r="F39" s="804"/>
      <c r="G39" s="804"/>
      <c r="H39" s="804"/>
      <c r="I39" s="780"/>
      <c r="J39" s="783"/>
      <c r="K39" s="781"/>
      <c r="L39" s="781"/>
      <c r="M39" s="781"/>
      <c r="N39" s="781"/>
      <c r="O39" s="780"/>
      <c r="P39" s="783"/>
      <c r="Q39" s="781"/>
      <c r="R39" s="781"/>
      <c r="S39" s="781"/>
      <c r="T39" s="781"/>
      <c r="U39" s="780"/>
      <c r="V39" s="783"/>
      <c r="W39" s="781"/>
      <c r="X39" s="781"/>
      <c r="Y39" s="781"/>
      <c r="Z39" s="781"/>
      <c r="AA39" s="780"/>
      <c r="AB39" s="783"/>
      <c r="AC39" s="781"/>
      <c r="AD39" s="781"/>
      <c r="AE39" s="781"/>
      <c r="AF39" s="781"/>
      <c r="AG39" s="780"/>
      <c r="AH39" s="783"/>
      <c r="AI39" s="781"/>
      <c r="AJ39" s="781"/>
      <c r="AK39" s="781"/>
      <c r="AL39" s="781"/>
      <c r="AM39" s="780"/>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115"/>
    </row>
    <row r="40" spans="1:61" ht="15.75" customHeight="1" x14ac:dyDescent="0.25">
      <c r="A40" s="115"/>
      <c r="B40" s="781"/>
      <c r="C40" s="804"/>
      <c r="D40" s="780"/>
      <c r="E40" s="783"/>
      <c r="F40" s="804"/>
      <c r="G40" s="804"/>
      <c r="H40" s="804"/>
      <c r="I40" s="780"/>
      <c r="J40" s="814" t="e">
        <f>IF(AND(#REF!="Muy Baja",#REF!="Leve"),CONCATENATE("R",#REF!),"")</f>
        <v>#REF!</v>
      </c>
      <c r="K40" s="781"/>
      <c r="L40" s="797" t="e">
        <f>IF(AND(#REF!="Muy Baja",#REF!="Leve"),CONCATENATE("R",#REF!),"")</f>
        <v>#REF!</v>
      </c>
      <c r="M40" s="781"/>
      <c r="N40" s="797" t="e">
        <f>IF(AND(#REF!="Muy Baja",#REF!="Leve"),CONCATENATE("R",#REF!),"")</f>
        <v>#REF!</v>
      </c>
      <c r="O40" s="780"/>
      <c r="P40" s="814" t="e">
        <f>IF(AND(#REF!="Muy Baja",#REF!="Menor"),CONCATENATE("R",#REF!),"")</f>
        <v>#REF!</v>
      </c>
      <c r="Q40" s="781"/>
      <c r="R40" s="797" t="e">
        <f>IF(AND(#REF!="Muy Baja",#REF!="Menor"),CONCATENATE("R",#REF!),"")</f>
        <v>#REF!</v>
      </c>
      <c r="S40" s="781"/>
      <c r="T40" s="797" t="e">
        <f>IF(AND(#REF!="Muy Baja",#REF!="Menor"),CONCATENATE("R",#REF!),"")</f>
        <v>#REF!</v>
      </c>
      <c r="U40" s="780"/>
      <c r="V40" s="799" t="e">
        <f>IF(AND(#REF!="Muy Baja",#REF!="Moderado"),CONCATENATE("R",#REF!),"")</f>
        <v>#REF!</v>
      </c>
      <c r="W40" s="781"/>
      <c r="X40" s="798" t="e">
        <f>IF(AND(#REF!="Muy Baja",#REF!="Moderado"),CONCATENATE("R",#REF!),"")</f>
        <v>#REF!</v>
      </c>
      <c r="Y40" s="781"/>
      <c r="Z40" s="798" t="e">
        <f>IF(AND(#REF!="Muy Baja",#REF!="Moderado"),CONCATENATE("R",#REF!),"")</f>
        <v>#REF!</v>
      </c>
      <c r="AA40" s="780"/>
      <c r="AB40" s="788" t="e">
        <f>IF(AND(#REF!="Muy Baja",#REF!="Mayor"),CONCATENATE("R",#REF!),"")</f>
        <v>#REF!</v>
      </c>
      <c r="AC40" s="781"/>
      <c r="AD40" s="779" t="e">
        <f>IF(AND(#REF!="Muy Baja",#REF!="Mayor"),CONCATENATE("R",#REF!),"")</f>
        <v>#REF!</v>
      </c>
      <c r="AE40" s="781"/>
      <c r="AF40" s="779" t="e">
        <f>IF(AND(#REF!="Muy Baja",#REF!="Mayor"),CONCATENATE("R",#REF!),"")</f>
        <v>#REF!</v>
      </c>
      <c r="AG40" s="780"/>
      <c r="AH40" s="782" t="e">
        <f>IF(AND(#REF!="Muy Baja",#REF!="Catastrófico"),CONCATENATE("R",#REF!),"")</f>
        <v>#REF!</v>
      </c>
      <c r="AI40" s="781"/>
      <c r="AJ40" s="784" t="e">
        <f>IF(AND(#REF!="Muy Baja",#REF!="Catastrófico"),CONCATENATE("R",#REF!),"")</f>
        <v>#REF!</v>
      </c>
      <c r="AK40" s="781"/>
      <c r="AL40" s="784" t="e">
        <f>IF(AND(#REF!="Muy Baja",#REF!="Catastrófico"),CONCATENATE("R",#REF!),"")</f>
        <v>#REF!</v>
      </c>
      <c r="AM40" s="780"/>
      <c r="AN40" s="115"/>
      <c r="AO40" s="115"/>
      <c r="AP40" s="115"/>
      <c r="AQ40" s="115"/>
      <c r="AR40" s="115"/>
      <c r="AS40" s="115"/>
      <c r="AT40" s="115"/>
      <c r="AU40" s="115"/>
      <c r="AV40" s="115"/>
      <c r="AW40" s="115"/>
      <c r="AX40" s="115"/>
      <c r="AY40" s="115"/>
      <c r="AZ40" s="115"/>
      <c r="BA40" s="115"/>
      <c r="BB40" s="115"/>
      <c r="BC40" s="115"/>
      <c r="BD40" s="115"/>
      <c r="BE40" s="115"/>
      <c r="BF40" s="115"/>
      <c r="BG40" s="115"/>
      <c r="BH40" s="115"/>
      <c r="BI40" s="115"/>
    </row>
    <row r="41" spans="1:61" ht="15.75" customHeight="1" x14ac:dyDescent="0.25">
      <c r="A41" s="115"/>
      <c r="B41" s="781"/>
      <c r="C41" s="804"/>
      <c r="D41" s="780"/>
      <c r="E41" s="783"/>
      <c r="F41" s="804"/>
      <c r="G41" s="804"/>
      <c r="H41" s="804"/>
      <c r="I41" s="780"/>
      <c r="J41" s="783"/>
      <c r="K41" s="781"/>
      <c r="L41" s="781"/>
      <c r="M41" s="781"/>
      <c r="N41" s="781"/>
      <c r="O41" s="780"/>
      <c r="P41" s="783"/>
      <c r="Q41" s="781"/>
      <c r="R41" s="781"/>
      <c r="S41" s="781"/>
      <c r="T41" s="781"/>
      <c r="U41" s="780"/>
      <c r="V41" s="783"/>
      <c r="W41" s="781"/>
      <c r="X41" s="781"/>
      <c r="Y41" s="781"/>
      <c r="Z41" s="781"/>
      <c r="AA41" s="780"/>
      <c r="AB41" s="783"/>
      <c r="AC41" s="781"/>
      <c r="AD41" s="781"/>
      <c r="AE41" s="781"/>
      <c r="AF41" s="781"/>
      <c r="AG41" s="780"/>
      <c r="AH41" s="783"/>
      <c r="AI41" s="781"/>
      <c r="AJ41" s="781"/>
      <c r="AK41" s="781"/>
      <c r="AL41" s="781"/>
      <c r="AM41" s="780"/>
      <c r="AN41" s="115"/>
      <c r="AO41" s="115"/>
      <c r="AP41" s="115"/>
      <c r="AQ41" s="115"/>
      <c r="AR41" s="115"/>
      <c r="AS41" s="115"/>
      <c r="AT41" s="115"/>
      <c r="AU41" s="115"/>
      <c r="AV41" s="115"/>
      <c r="AW41" s="115"/>
      <c r="AX41" s="115"/>
      <c r="AY41" s="115"/>
      <c r="AZ41" s="115"/>
      <c r="BA41" s="115"/>
      <c r="BB41" s="115"/>
      <c r="BC41" s="115"/>
      <c r="BD41" s="115"/>
      <c r="BE41" s="115"/>
      <c r="BF41" s="115"/>
      <c r="BG41" s="115"/>
      <c r="BH41" s="115"/>
      <c r="BI41" s="115"/>
    </row>
    <row r="42" spans="1:61" ht="15.75" customHeight="1" x14ac:dyDescent="0.25">
      <c r="A42" s="115"/>
      <c r="B42" s="781"/>
      <c r="C42" s="804"/>
      <c r="D42" s="780"/>
      <c r="E42" s="783"/>
      <c r="F42" s="804"/>
      <c r="G42" s="804"/>
      <c r="H42" s="804"/>
      <c r="I42" s="780"/>
      <c r="J42" s="814" t="e">
        <f>IF(AND(#REF!="Muy Baja",#REF!="Leve"),CONCATENATE("R",#REF!),"")</f>
        <v>#REF!</v>
      </c>
      <c r="K42" s="781"/>
      <c r="L42" s="797" t="e">
        <f>IF(AND(#REF!="Muy Baja",#REF!="Leve"),CONCATENATE("R",#REF!),"")</f>
        <v>#REF!</v>
      </c>
      <c r="M42" s="781"/>
      <c r="N42" s="797" t="e">
        <f>IF(AND(#REF!="Muy Baja",#REF!="Leve"),CONCATENATE("R",#REF!),"")</f>
        <v>#REF!</v>
      </c>
      <c r="O42" s="780"/>
      <c r="P42" s="814" t="e">
        <f>IF(AND(#REF!="Muy Baja",#REF!="Menor"),CONCATENATE("R",#REF!),"")</f>
        <v>#REF!</v>
      </c>
      <c r="Q42" s="781"/>
      <c r="R42" s="797" t="e">
        <f>IF(AND(#REF!="Muy Baja",#REF!="Menor"),CONCATENATE("R",#REF!),"")</f>
        <v>#REF!</v>
      </c>
      <c r="S42" s="781"/>
      <c r="T42" s="797" t="e">
        <f>IF(AND(#REF!="Muy Baja",#REF!="Menor"),CONCATENATE("R",#REF!),"")</f>
        <v>#REF!</v>
      </c>
      <c r="U42" s="780"/>
      <c r="V42" s="799" t="e">
        <f>IF(AND(#REF!="Muy Baja",#REF!="Moderado"),CONCATENATE("R",#REF!),"")</f>
        <v>#REF!</v>
      </c>
      <c r="W42" s="781"/>
      <c r="X42" s="798" t="e">
        <f>IF(AND(#REF!="Muy Baja",#REF!="Moderado"),CONCATENATE("R",#REF!),"")</f>
        <v>#REF!</v>
      </c>
      <c r="Y42" s="781"/>
      <c r="Z42" s="798" t="e">
        <f>IF(AND(#REF!="Muy Baja",#REF!="Moderado"),CONCATENATE("R",#REF!),"")</f>
        <v>#REF!</v>
      </c>
      <c r="AA42" s="780"/>
      <c r="AB42" s="788" t="e">
        <f>IF(AND(#REF!="Muy Baja",#REF!="Mayor"),CONCATENATE("R",#REF!),"")</f>
        <v>#REF!</v>
      </c>
      <c r="AC42" s="781"/>
      <c r="AD42" s="779" t="e">
        <f>IF(AND(#REF!="Muy Baja",#REF!="Mayor"),CONCATENATE("R",#REF!),"")</f>
        <v>#REF!</v>
      </c>
      <c r="AE42" s="781"/>
      <c r="AF42" s="779" t="e">
        <f>IF(AND(#REF!="Muy Baja",#REF!="Mayor"),CONCATENATE("R",#REF!),"")</f>
        <v>#REF!</v>
      </c>
      <c r="AG42" s="780"/>
      <c r="AH42" s="782" t="e">
        <f>IF(AND(#REF!="Muy Baja",#REF!="Catastrófico"),CONCATENATE("R",#REF!),"")</f>
        <v>#REF!</v>
      </c>
      <c r="AI42" s="781"/>
      <c r="AJ42" s="784" t="e">
        <f>IF(AND(#REF!="Muy Baja",#REF!="Catastrófico"),CONCATENATE("R",#REF!),"")</f>
        <v>#REF!</v>
      </c>
      <c r="AK42" s="781"/>
      <c r="AL42" s="784" t="e">
        <f>IF(AND(#REF!="Muy Baja",#REF!="Catastrófico"),CONCATENATE("R",#REF!),"")</f>
        <v>#REF!</v>
      </c>
      <c r="AM42" s="780"/>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row>
    <row r="43" spans="1:61" ht="15.75" customHeight="1" x14ac:dyDescent="0.25">
      <c r="A43" s="115"/>
      <c r="B43" s="781"/>
      <c r="C43" s="804"/>
      <c r="D43" s="780"/>
      <c r="E43" s="783"/>
      <c r="F43" s="804"/>
      <c r="G43" s="804"/>
      <c r="H43" s="804"/>
      <c r="I43" s="780"/>
      <c r="J43" s="783"/>
      <c r="K43" s="781"/>
      <c r="L43" s="781"/>
      <c r="M43" s="781"/>
      <c r="N43" s="781"/>
      <c r="O43" s="780"/>
      <c r="P43" s="783"/>
      <c r="Q43" s="781"/>
      <c r="R43" s="781"/>
      <c r="S43" s="781"/>
      <c r="T43" s="781"/>
      <c r="U43" s="780"/>
      <c r="V43" s="783"/>
      <c r="W43" s="781"/>
      <c r="X43" s="781"/>
      <c r="Y43" s="781"/>
      <c r="Z43" s="781"/>
      <c r="AA43" s="780"/>
      <c r="AB43" s="783"/>
      <c r="AC43" s="781"/>
      <c r="AD43" s="781"/>
      <c r="AE43" s="781"/>
      <c r="AF43" s="781"/>
      <c r="AG43" s="780"/>
      <c r="AH43" s="783"/>
      <c r="AI43" s="781"/>
      <c r="AJ43" s="781"/>
      <c r="AK43" s="781"/>
      <c r="AL43" s="781"/>
      <c r="AM43" s="780"/>
      <c r="AN43" s="115"/>
      <c r="AO43" s="115"/>
      <c r="AP43" s="115"/>
      <c r="AQ43" s="115"/>
      <c r="AR43" s="115"/>
      <c r="AS43" s="115"/>
      <c r="AT43" s="115"/>
      <c r="AU43" s="115"/>
      <c r="AV43" s="115"/>
      <c r="AW43" s="115"/>
      <c r="AX43" s="115"/>
      <c r="AY43" s="115"/>
      <c r="AZ43" s="115"/>
      <c r="BA43" s="115"/>
      <c r="BB43" s="115"/>
      <c r="BC43" s="115"/>
      <c r="BD43" s="115"/>
      <c r="BE43" s="115"/>
      <c r="BF43" s="115"/>
      <c r="BG43" s="115"/>
      <c r="BH43" s="115"/>
      <c r="BI43" s="115"/>
    </row>
    <row r="44" spans="1:61" ht="15.75" customHeight="1" x14ac:dyDescent="0.25">
      <c r="A44" s="115"/>
      <c r="B44" s="781"/>
      <c r="C44" s="804"/>
      <c r="D44" s="780"/>
      <c r="E44" s="783"/>
      <c r="F44" s="804"/>
      <c r="G44" s="804"/>
      <c r="H44" s="804"/>
      <c r="I44" s="780"/>
      <c r="J44" s="814" t="e">
        <f>IF(AND(#REF!="Muy Baja",#REF!="Leve"),CONCATENATE("R",#REF!),"")</f>
        <v>#REF!</v>
      </c>
      <c r="K44" s="781"/>
      <c r="L44" s="797" t="e">
        <f>IF(AND(#REF!="Muy Baja",#REF!="Leve"),CONCATENATE("R",#REF!),"")</f>
        <v>#REF!</v>
      </c>
      <c r="M44" s="781"/>
      <c r="N44" s="797" t="e">
        <f>IF(AND(#REF!="Muy Baja",#REF!="Leve"),CONCATENATE("R",#REF!),"")</f>
        <v>#REF!</v>
      </c>
      <c r="O44" s="780"/>
      <c r="P44" s="814" t="e">
        <f>IF(AND(#REF!="Muy Baja",#REF!="Menor"),CONCATENATE("R",#REF!),"")</f>
        <v>#REF!</v>
      </c>
      <c r="Q44" s="781"/>
      <c r="R44" s="797" t="e">
        <f>IF(AND(#REF!="Muy Baja",#REF!="Menor"),CONCATENATE("R",#REF!),"")</f>
        <v>#REF!</v>
      </c>
      <c r="S44" s="781"/>
      <c r="T44" s="797" t="e">
        <f>IF(AND(#REF!="Muy Baja",#REF!="Menor"),CONCATENATE("R",#REF!),"")</f>
        <v>#REF!</v>
      </c>
      <c r="U44" s="780"/>
      <c r="V44" s="799" t="e">
        <f>IF(AND(#REF!="Muy Baja",#REF!="Moderado"),CONCATENATE("R",#REF!),"")</f>
        <v>#REF!</v>
      </c>
      <c r="W44" s="781"/>
      <c r="X44" s="798" t="e">
        <f>IF(AND(#REF!="Muy Baja",#REF!="Moderado"),CONCATENATE("R",#REF!),"")</f>
        <v>#REF!</v>
      </c>
      <c r="Y44" s="781"/>
      <c r="Z44" s="798" t="e">
        <f>IF(AND(#REF!="Muy Baja",#REF!="Moderado"),CONCATENATE("R",#REF!),"")</f>
        <v>#REF!</v>
      </c>
      <c r="AA44" s="780"/>
      <c r="AB44" s="788" t="e">
        <f>IF(AND(#REF!="Muy Baja",#REF!="Mayor"),CONCATENATE("R",#REF!),"")</f>
        <v>#REF!</v>
      </c>
      <c r="AC44" s="781"/>
      <c r="AD44" s="779" t="e">
        <f>IF(AND(#REF!="Muy Baja",#REF!="Mayor"),CONCATENATE("R",#REF!),"")</f>
        <v>#REF!</v>
      </c>
      <c r="AE44" s="781"/>
      <c r="AF44" s="779" t="e">
        <f>IF(AND(#REF!="Muy Baja",#REF!="Mayor"),CONCATENATE("R",#REF!),"")</f>
        <v>#REF!</v>
      </c>
      <c r="AG44" s="780"/>
      <c r="AH44" s="782" t="e">
        <f>IF(AND(#REF!="Muy Baja",#REF!="Catastrófico"),CONCATENATE("R",#REF!),"")</f>
        <v>#REF!</v>
      </c>
      <c r="AI44" s="781"/>
      <c r="AJ44" s="784" t="e">
        <f>IF(AND(#REF!="Muy Baja",#REF!="Catastrófico"),CONCATENATE("R",#REF!),"")</f>
        <v>#REF!</v>
      </c>
      <c r="AK44" s="781"/>
      <c r="AL44" s="784" t="e">
        <f>IF(AND(#REF!="Muy Baja",#REF!="Catastrófico"),CONCATENATE("R",#REF!),"")</f>
        <v>#REF!</v>
      </c>
      <c r="AM44" s="780"/>
      <c r="AN44" s="115"/>
      <c r="AO44" s="115"/>
      <c r="AP44" s="115"/>
      <c r="AQ44" s="115"/>
      <c r="AR44" s="115"/>
      <c r="AS44" s="115"/>
      <c r="AT44" s="115"/>
      <c r="AU44" s="115"/>
      <c r="AV44" s="115"/>
      <c r="AW44" s="115"/>
      <c r="AX44" s="115"/>
      <c r="AY44" s="115"/>
      <c r="AZ44" s="115"/>
      <c r="BA44" s="115"/>
      <c r="BB44" s="115"/>
      <c r="BC44" s="115"/>
      <c r="BD44" s="115"/>
      <c r="BE44" s="115"/>
      <c r="BF44" s="115"/>
      <c r="BG44" s="115"/>
      <c r="BH44" s="115"/>
      <c r="BI44" s="115"/>
    </row>
    <row r="45" spans="1:61" ht="15.75" customHeight="1" thickBot="1" x14ac:dyDescent="0.3">
      <c r="A45" s="115"/>
      <c r="B45" s="781"/>
      <c r="C45" s="781"/>
      <c r="D45" s="780"/>
      <c r="E45" s="790"/>
      <c r="F45" s="791"/>
      <c r="G45" s="791"/>
      <c r="H45" s="791"/>
      <c r="I45" s="792"/>
      <c r="J45" s="790"/>
      <c r="K45" s="791"/>
      <c r="L45" s="791"/>
      <c r="M45" s="791"/>
      <c r="N45" s="791"/>
      <c r="O45" s="792"/>
      <c r="P45" s="790"/>
      <c r="Q45" s="791"/>
      <c r="R45" s="791"/>
      <c r="S45" s="791"/>
      <c r="T45" s="791"/>
      <c r="U45" s="792"/>
      <c r="V45" s="790"/>
      <c r="W45" s="791"/>
      <c r="X45" s="791"/>
      <c r="Y45" s="791"/>
      <c r="Z45" s="791"/>
      <c r="AA45" s="792"/>
      <c r="AB45" s="790"/>
      <c r="AC45" s="791"/>
      <c r="AD45" s="791"/>
      <c r="AE45" s="791"/>
      <c r="AF45" s="791"/>
      <c r="AG45" s="792"/>
      <c r="AH45" s="790"/>
      <c r="AI45" s="791"/>
      <c r="AJ45" s="791"/>
      <c r="AK45" s="791"/>
      <c r="AL45" s="791"/>
      <c r="AM45" s="792"/>
      <c r="AN45" s="115"/>
      <c r="AO45" s="115"/>
      <c r="AP45" s="115"/>
      <c r="AQ45" s="115"/>
      <c r="AR45" s="115"/>
      <c r="AS45" s="115"/>
      <c r="AT45" s="115"/>
      <c r="AU45" s="115"/>
      <c r="AV45" s="115"/>
      <c r="AW45" s="115"/>
      <c r="AX45" s="115"/>
      <c r="AY45" s="115"/>
      <c r="AZ45" s="115"/>
      <c r="BA45" s="115"/>
      <c r="BB45" s="115"/>
      <c r="BC45" s="115"/>
      <c r="BD45" s="115"/>
      <c r="BE45" s="115"/>
      <c r="BF45" s="115"/>
      <c r="BG45" s="115"/>
      <c r="BH45" s="115"/>
      <c r="BI45" s="115"/>
    </row>
    <row r="46" spans="1:61" ht="15.75" customHeight="1" x14ac:dyDescent="0.25">
      <c r="A46" s="115"/>
      <c r="B46" s="115"/>
      <c r="C46" s="115"/>
      <c r="D46" s="115"/>
      <c r="E46" s="115"/>
      <c r="F46" s="115"/>
      <c r="G46" s="115"/>
      <c r="H46" s="115"/>
      <c r="I46" s="115"/>
      <c r="J46" s="812" t="s">
        <v>12</v>
      </c>
      <c r="K46" s="786"/>
      <c r="L46" s="786"/>
      <c r="M46" s="786"/>
      <c r="N46" s="786"/>
      <c r="O46" s="794"/>
      <c r="P46" s="812" t="s">
        <v>13</v>
      </c>
      <c r="Q46" s="786"/>
      <c r="R46" s="786"/>
      <c r="S46" s="786"/>
      <c r="T46" s="786"/>
      <c r="U46" s="794"/>
      <c r="V46" s="812" t="s">
        <v>14</v>
      </c>
      <c r="W46" s="786"/>
      <c r="X46" s="786"/>
      <c r="Y46" s="786"/>
      <c r="Z46" s="786"/>
      <c r="AA46" s="794"/>
      <c r="AB46" s="812" t="s">
        <v>15</v>
      </c>
      <c r="AC46" s="786"/>
      <c r="AD46" s="786"/>
      <c r="AE46" s="786"/>
      <c r="AF46" s="786"/>
      <c r="AG46" s="794"/>
      <c r="AH46" s="812" t="s">
        <v>16</v>
      </c>
      <c r="AI46" s="786"/>
      <c r="AJ46" s="786"/>
      <c r="AK46" s="786"/>
      <c r="AL46" s="786"/>
      <c r="AM46" s="794"/>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row>
    <row r="47" spans="1:61" ht="15.75" customHeight="1" x14ac:dyDescent="0.25">
      <c r="A47" s="115"/>
      <c r="B47" s="115"/>
      <c r="C47" s="115"/>
      <c r="D47" s="115"/>
      <c r="E47" s="115"/>
      <c r="F47" s="115"/>
      <c r="G47" s="115"/>
      <c r="H47" s="115"/>
      <c r="I47" s="115"/>
      <c r="J47" s="783"/>
      <c r="K47" s="804"/>
      <c r="L47" s="804"/>
      <c r="M47" s="804"/>
      <c r="N47" s="804"/>
      <c r="O47" s="780"/>
      <c r="P47" s="783"/>
      <c r="Q47" s="804"/>
      <c r="R47" s="804"/>
      <c r="S47" s="804"/>
      <c r="T47" s="804"/>
      <c r="U47" s="780"/>
      <c r="V47" s="783"/>
      <c r="W47" s="804"/>
      <c r="X47" s="804"/>
      <c r="Y47" s="804"/>
      <c r="Z47" s="804"/>
      <c r="AA47" s="780"/>
      <c r="AB47" s="783"/>
      <c r="AC47" s="804"/>
      <c r="AD47" s="804"/>
      <c r="AE47" s="804"/>
      <c r="AF47" s="804"/>
      <c r="AG47" s="780"/>
      <c r="AH47" s="783"/>
      <c r="AI47" s="804"/>
      <c r="AJ47" s="804"/>
      <c r="AK47" s="804"/>
      <c r="AL47" s="804"/>
      <c r="AM47" s="780"/>
      <c r="AN47" s="115"/>
      <c r="AO47" s="115"/>
      <c r="AP47" s="115"/>
      <c r="AQ47" s="115"/>
      <c r="AR47" s="115"/>
      <c r="AS47" s="115"/>
      <c r="AT47" s="115"/>
      <c r="AU47" s="115"/>
      <c r="AV47" s="115"/>
      <c r="AW47" s="115"/>
      <c r="AX47" s="115"/>
      <c r="AY47" s="115"/>
      <c r="AZ47" s="115"/>
      <c r="BA47" s="115"/>
      <c r="BB47" s="115"/>
      <c r="BC47" s="115"/>
      <c r="BD47" s="115"/>
      <c r="BE47" s="115"/>
      <c r="BF47" s="115"/>
      <c r="BG47" s="115"/>
      <c r="BH47" s="115"/>
      <c r="BI47" s="115"/>
    </row>
    <row r="48" spans="1:61" ht="15.75" customHeight="1" x14ac:dyDescent="0.25">
      <c r="A48" s="115"/>
      <c r="B48" s="115"/>
      <c r="C48" s="115"/>
      <c r="D48" s="115"/>
      <c r="E48" s="115"/>
      <c r="F48" s="115"/>
      <c r="G48" s="115"/>
      <c r="H48" s="115"/>
      <c r="I48" s="115"/>
      <c r="J48" s="783"/>
      <c r="K48" s="804"/>
      <c r="L48" s="804"/>
      <c r="M48" s="804"/>
      <c r="N48" s="804"/>
      <c r="O48" s="780"/>
      <c r="P48" s="783"/>
      <c r="Q48" s="804"/>
      <c r="R48" s="804"/>
      <c r="S48" s="804"/>
      <c r="T48" s="804"/>
      <c r="U48" s="780"/>
      <c r="V48" s="783"/>
      <c r="W48" s="804"/>
      <c r="X48" s="804"/>
      <c r="Y48" s="804"/>
      <c r="Z48" s="804"/>
      <c r="AA48" s="780"/>
      <c r="AB48" s="783"/>
      <c r="AC48" s="804"/>
      <c r="AD48" s="804"/>
      <c r="AE48" s="804"/>
      <c r="AF48" s="804"/>
      <c r="AG48" s="780"/>
      <c r="AH48" s="783"/>
      <c r="AI48" s="804"/>
      <c r="AJ48" s="804"/>
      <c r="AK48" s="804"/>
      <c r="AL48" s="804"/>
      <c r="AM48" s="780"/>
      <c r="AN48" s="115"/>
      <c r="AO48" s="115"/>
      <c r="AP48" s="115"/>
      <c r="AQ48" s="115"/>
      <c r="AR48" s="115"/>
      <c r="AS48" s="115"/>
      <c r="AT48" s="115"/>
      <c r="AU48" s="115"/>
      <c r="AV48" s="115"/>
      <c r="AW48" s="115"/>
      <c r="AX48" s="115"/>
      <c r="AY48" s="115"/>
      <c r="AZ48" s="115"/>
      <c r="BA48" s="115"/>
      <c r="BB48" s="115"/>
      <c r="BC48" s="115"/>
      <c r="BD48" s="115"/>
      <c r="BE48" s="115"/>
      <c r="BF48" s="115"/>
      <c r="BG48" s="115"/>
      <c r="BH48" s="115"/>
      <c r="BI48" s="115"/>
    </row>
    <row r="49" spans="1:61" ht="15.75" customHeight="1" x14ac:dyDescent="0.25">
      <c r="A49" s="115"/>
      <c r="B49" s="115"/>
      <c r="C49" s="115"/>
      <c r="D49" s="115"/>
      <c r="E49" s="115"/>
      <c r="F49" s="115"/>
      <c r="G49" s="115"/>
      <c r="H49" s="115"/>
      <c r="I49" s="115"/>
      <c r="J49" s="783"/>
      <c r="K49" s="804"/>
      <c r="L49" s="804"/>
      <c r="M49" s="804"/>
      <c r="N49" s="804"/>
      <c r="O49" s="780"/>
      <c r="P49" s="783"/>
      <c r="Q49" s="804"/>
      <c r="R49" s="804"/>
      <c r="S49" s="804"/>
      <c r="T49" s="804"/>
      <c r="U49" s="780"/>
      <c r="V49" s="783"/>
      <c r="W49" s="804"/>
      <c r="X49" s="804"/>
      <c r="Y49" s="804"/>
      <c r="Z49" s="804"/>
      <c r="AA49" s="780"/>
      <c r="AB49" s="783"/>
      <c r="AC49" s="804"/>
      <c r="AD49" s="804"/>
      <c r="AE49" s="804"/>
      <c r="AF49" s="804"/>
      <c r="AG49" s="780"/>
      <c r="AH49" s="783"/>
      <c r="AI49" s="804"/>
      <c r="AJ49" s="804"/>
      <c r="AK49" s="804"/>
      <c r="AL49" s="804"/>
      <c r="AM49" s="780"/>
      <c r="AN49" s="115"/>
      <c r="AO49" s="115"/>
      <c r="AP49" s="115"/>
      <c r="AQ49" s="115"/>
      <c r="AR49" s="115"/>
      <c r="AS49" s="115"/>
      <c r="AT49" s="115"/>
      <c r="AU49" s="115"/>
      <c r="AV49" s="115"/>
      <c r="AW49" s="115"/>
      <c r="AX49" s="115"/>
      <c r="AY49" s="115"/>
      <c r="AZ49" s="115"/>
      <c r="BA49" s="115"/>
      <c r="BB49" s="115"/>
      <c r="BC49" s="115"/>
      <c r="BD49" s="115"/>
      <c r="BE49" s="115"/>
      <c r="BF49" s="115"/>
      <c r="BG49" s="115"/>
      <c r="BH49" s="115"/>
      <c r="BI49" s="115"/>
    </row>
    <row r="50" spans="1:61" ht="15.75" customHeight="1" x14ac:dyDescent="0.25">
      <c r="A50" s="115"/>
      <c r="B50" s="115"/>
      <c r="C50" s="115"/>
      <c r="D50" s="115"/>
      <c r="E50" s="115"/>
      <c r="F50" s="115"/>
      <c r="G50" s="115"/>
      <c r="H50" s="115"/>
      <c r="I50" s="115"/>
      <c r="J50" s="783"/>
      <c r="K50" s="804"/>
      <c r="L50" s="804"/>
      <c r="M50" s="804"/>
      <c r="N50" s="804"/>
      <c r="O50" s="780"/>
      <c r="P50" s="783"/>
      <c r="Q50" s="804"/>
      <c r="R50" s="804"/>
      <c r="S50" s="804"/>
      <c r="T50" s="804"/>
      <c r="U50" s="780"/>
      <c r="V50" s="783"/>
      <c r="W50" s="804"/>
      <c r="X50" s="804"/>
      <c r="Y50" s="804"/>
      <c r="Z50" s="804"/>
      <c r="AA50" s="780"/>
      <c r="AB50" s="783"/>
      <c r="AC50" s="804"/>
      <c r="AD50" s="804"/>
      <c r="AE50" s="804"/>
      <c r="AF50" s="804"/>
      <c r="AG50" s="780"/>
      <c r="AH50" s="783"/>
      <c r="AI50" s="804"/>
      <c r="AJ50" s="804"/>
      <c r="AK50" s="804"/>
      <c r="AL50" s="804"/>
      <c r="AM50" s="780"/>
      <c r="AN50" s="115"/>
      <c r="AO50" s="115"/>
      <c r="AP50" s="115"/>
      <c r="AQ50" s="115"/>
      <c r="AR50" s="115"/>
      <c r="AS50" s="115"/>
      <c r="AT50" s="115"/>
      <c r="AU50" s="115"/>
      <c r="AV50" s="115"/>
      <c r="AW50" s="115"/>
      <c r="AX50" s="115"/>
      <c r="AY50" s="115"/>
      <c r="AZ50" s="115"/>
      <c r="BA50" s="115"/>
      <c r="BB50" s="115"/>
      <c r="BC50" s="115"/>
      <c r="BD50" s="115"/>
      <c r="BE50" s="115"/>
      <c r="BF50" s="115"/>
      <c r="BG50" s="115"/>
      <c r="BH50" s="115"/>
      <c r="BI50" s="115"/>
    </row>
    <row r="51" spans="1:61" ht="15.75" customHeight="1" thickBot="1" x14ac:dyDescent="0.3">
      <c r="A51" s="115"/>
      <c r="B51" s="115"/>
      <c r="C51" s="115"/>
      <c r="D51" s="115"/>
      <c r="E51" s="115"/>
      <c r="F51" s="115"/>
      <c r="G51" s="115"/>
      <c r="H51" s="115"/>
      <c r="I51" s="115"/>
      <c r="J51" s="790"/>
      <c r="K51" s="791"/>
      <c r="L51" s="791"/>
      <c r="M51" s="791"/>
      <c r="N51" s="791"/>
      <c r="O51" s="792"/>
      <c r="P51" s="790"/>
      <c r="Q51" s="791"/>
      <c r="R51" s="791"/>
      <c r="S51" s="791"/>
      <c r="T51" s="791"/>
      <c r="U51" s="792"/>
      <c r="V51" s="790"/>
      <c r="W51" s="791"/>
      <c r="X51" s="791"/>
      <c r="Y51" s="791"/>
      <c r="Z51" s="791"/>
      <c r="AA51" s="792"/>
      <c r="AB51" s="790"/>
      <c r="AC51" s="791"/>
      <c r="AD51" s="791"/>
      <c r="AE51" s="791"/>
      <c r="AF51" s="791"/>
      <c r="AG51" s="792"/>
      <c r="AH51" s="790"/>
      <c r="AI51" s="791"/>
      <c r="AJ51" s="791"/>
      <c r="AK51" s="791"/>
      <c r="AL51" s="791"/>
      <c r="AM51" s="792"/>
      <c r="AN51" s="115"/>
      <c r="AO51" s="115"/>
      <c r="AP51" s="115"/>
      <c r="AQ51" s="115"/>
      <c r="AR51" s="115"/>
      <c r="AS51" s="115"/>
      <c r="AT51" s="115"/>
      <c r="AU51" s="115"/>
      <c r="AV51" s="115"/>
      <c r="AW51" s="115"/>
      <c r="AX51" s="115"/>
      <c r="AY51" s="115"/>
      <c r="AZ51" s="115"/>
      <c r="BA51" s="115"/>
      <c r="BB51" s="115"/>
      <c r="BC51" s="115"/>
      <c r="BD51" s="115"/>
      <c r="BE51" s="115"/>
      <c r="BF51" s="115"/>
      <c r="BG51" s="115"/>
      <c r="BH51" s="115"/>
      <c r="BI51" s="115"/>
    </row>
    <row r="52" spans="1:61" ht="15.75" customHeight="1" x14ac:dyDescent="0.25">
      <c r="A52" s="115"/>
      <c r="B52" s="115"/>
      <c r="C52" s="115"/>
      <c r="D52" s="115"/>
      <c r="E52" s="115"/>
      <c r="F52" s="115"/>
      <c r="G52" s="115"/>
      <c r="H52" s="115"/>
      <c r="I52" s="115"/>
      <c r="J52" s="115"/>
      <c r="K52" s="115"/>
      <c r="L52" s="115"/>
      <c r="M52" s="115"/>
      <c r="N52" s="115"/>
      <c r="O52" s="115"/>
      <c r="P52" s="115"/>
      <c r="Q52" s="115"/>
      <c r="R52" s="115"/>
      <c r="S52" s="115"/>
      <c r="T52" s="115"/>
      <c r="U52" s="115"/>
      <c r="V52" s="115"/>
      <c r="W52" s="115"/>
      <c r="X52" s="115"/>
      <c r="Y52" s="115"/>
      <c r="Z52" s="115"/>
      <c r="AA52" s="115"/>
      <c r="AB52" s="115"/>
      <c r="AC52" s="115"/>
      <c r="AD52" s="115"/>
      <c r="AE52" s="115"/>
      <c r="AF52" s="115"/>
      <c r="AG52" s="115"/>
      <c r="AH52" s="115"/>
      <c r="AI52" s="115"/>
      <c r="AJ52" s="115"/>
      <c r="AK52" s="115"/>
      <c r="AL52" s="115"/>
      <c r="AM52" s="115"/>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row>
    <row r="53" spans="1:61" ht="15" customHeight="1" x14ac:dyDescent="0.25">
      <c r="A53" s="115"/>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c r="AM53" s="133"/>
      <c r="AN53" s="133"/>
      <c r="AO53" s="133"/>
      <c r="AP53" s="133"/>
      <c r="AQ53" s="133"/>
      <c r="AR53" s="133"/>
      <c r="AS53" s="133"/>
      <c r="AT53" s="133"/>
      <c r="AU53" s="115"/>
      <c r="AV53" s="115"/>
      <c r="AW53" s="115"/>
      <c r="AX53" s="115"/>
      <c r="AY53" s="115"/>
      <c r="AZ53" s="115"/>
      <c r="BA53" s="115"/>
      <c r="BB53" s="115"/>
      <c r="BC53" s="115"/>
      <c r="BD53" s="115"/>
      <c r="BE53" s="115"/>
      <c r="BF53" s="115"/>
      <c r="BG53" s="115"/>
      <c r="BH53" s="115"/>
      <c r="BI53" s="115"/>
    </row>
    <row r="54" spans="1:61" ht="15" customHeight="1" x14ac:dyDescent="0.25">
      <c r="A54" s="115"/>
      <c r="B54" s="133"/>
      <c r="C54" s="133"/>
      <c r="D54" s="133"/>
      <c r="E54" s="133"/>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c r="AM54" s="133"/>
      <c r="AN54" s="133"/>
      <c r="AO54" s="133"/>
      <c r="AP54" s="133"/>
      <c r="AQ54" s="133"/>
      <c r="AR54" s="133"/>
      <c r="AS54" s="133"/>
      <c r="AT54" s="133"/>
      <c r="AU54" s="115"/>
      <c r="AV54" s="115"/>
      <c r="AW54" s="115"/>
      <c r="AX54" s="115"/>
      <c r="AY54" s="115"/>
      <c r="AZ54" s="115"/>
      <c r="BA54" s="115"/>
      <c r="BB54" s="115"/>
      <c r="BC54" s="115"/>
      <c r="BD54" s="115"/>
      <c r="BE54" s="115"/>
      <c r="BF54" s="115"/>
      <c r="BG54" s="115"/>
      <c r="BH54" s="115"/>
      <c r="BI54" s="115"/>
    </row>
    <row r="55" spans="1:61" ht="15.75" customHeight="1" x14ac:dyDescent="0.25">
      <c r="A55" s="115"/>
      <c r="B55" s="115"/>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row>
    <row r="56" spans="1:61" ht="15.75" customHeight="1" x14ac:dyDescent="0.25">
      <c r="A56" s="115"/>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c r="BA56" s="115"/>
      <c r="BB56" s="115"/>
      <c r="BC56" s="115"/>
      <c r="BD56" s="115"/>
      <c r="BE56" s="115"/>
      <c r="BF56" s="115"/>
      <c r="BG56" s="115"/>
      <c r="BH56" s="115"/>
      <c r="BI56" s="115"/>
    </row>
    <row r="57" spans="1:61" ht="15.75" customHeight="1" x14ac:dyDescent="0.25">
      <c r="A57" s="115"/>
      <c r="B57" s="115"/>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5"/>
      <c r="BB57" s="115"/>
      <c r="BC57" s="115"/>
      <c r="BD57" s="115"/>
      <c r="BE57" s="115"/>
      <c r="BF57" s="115"/>
      <c r="BG57" s="115"/>
      <c r="BH57" s="115"/>
      <c r="BI57" s="115"/>
    </row>
    <row r="58" spans="1:61" ht="15.75" customHeight="1" x14ac:dyDescent="0.25">
      <c r="A58" s="115"/>
      <c r="B58" s="115"/>
      <c r="C58" s="115"/>
      <c r="D58" s="115"/>
      <c r="E58" s="115"/>
      <c r="F58" s="115"/>
      <c r="G58" s="115"/>
      <c r="H58" s="115"/>
      <c r="I58" s="115"/>
      <c r="J58" s="115"/>
      <c r="K58" s="115"/>
      <c r="L58" s="115"/>
      <c r="M58" s="115"/>
      <c r="N58" s="115"/>
      <c r="O58" s="115"/>
      <c r="P58" s="115"/>
      <c r="Q58" s="115"/>
      <c r="R58" s="115"/>
      <c r="S58" s="115"/>
      <c r="T58" s="115"/>
      <c r="U58" s="115"/>
      <c r="V58" s="115"/>
      <c r="W58" s="115"/>
      <c r="X58" s="115"/>
      <c r="Y58" s="115"/>
      <c r="Z58" s="115"/>
      <c r="AA58" s="115"/>
      <c r="AB58" s="115"/>
      <c r="AC58" s="115"/>
      <c r="AD58" s="115"/>
      <c r="AE58" s="115"/>
      <c r="AF58" s="115"/>
      <c r="AG58" s="115"/>
      <c r="AH58" s="115"/>
      <c r="AI58" s="115"/>
      <c r="AJ58" s="115"/>
      <c r="AK58" s="115"/>
      <c r="AL58" s="115"/>
      <c r="AM58" s="115"/>
      <c r="AN58" s="115"/>
      <c r="AO58" s="115"/>
      <c r="AP58" s="115"/>
      <c r="AQ58" s="115"/>
      <c r="AR58" s="115"/>
      <c r="AS58" s="115"/>
      <c r="AT58" s="115"/>
      <c r="AU58" s="115"/>
      <c r="AV58" s="115"/>
      <c r="AW58" s="115"/>
      <c r="AX58" s="115"/>
      <c r="AY58" s="115"/>
      <c r="AZ58" s="115"/>
      <c r="BA58" s="115"/>
      <c r="BB58" s="115"/>
      <c r="BC58" s="115"/>
      <c r="BD58" s="115"/>
      <c r="BE58" s="115"/>
      <c r="BF58" s="115"/>
      <c r="BG58" s="115"/>
      <c r="BH58" s="115"/>
      <c r="BI58" s="115"/>
    </row>
    <row r="59" spans="1:61" ht="15.75" customHeight="1" x14ac:dyDescent="0.25">
      <c r="A59" s="115"/>
      <c r="B59" s="115"/>
      <c r="C59" s="115"/>
      <c r="D59" s="115"/>
      <c r="E59" s="115"/>
      <c r="F59" s="115"/>
      <c r="G59" s="115"/>
      <c r="H59" s="115"/>
      <c r="I59" s="115"/>
      <c r="J59" s="115"/>
      <c r="K59" s="115"/>
      <c r="L59" s="115"/>
      <c r="M59" s="115"/>
      <c r="N59" s="115"/>
      <c r="O59" s="115"/>
      <c r="P59" s="115"/>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c r="AN59" s="115"/>
      <c r="AO59" s="115"/>
      <c r="AP59" s="115"/>
      <c r="AQ59" s="115"/>
      <c r="AR59" s="115"/>
      <c r="AS59" s="115"/>
      <c r="AT59" s="115"/>
      <c r="AU59" s="115"/>
      <c r="AV59" s="115"/>
      <c r="AW59" s="115"/>
      <c r="AX59" s="115"/>
      <c r="AY59" s="115"/>
      <c r="AZ59" s="115"/>
      <c r="BA59" s="115"/>
      <c r="BB59" s="115"/>
      <c r="BC59" s="115"/>
      <c r="BD59" s="115"/>
      <c r="BE59" s="115"/>
      <c r="BF59" s="115"/>
      <c r="BG59" s="115"/>
      <c r="BH59" s="115"/>
      <c r="BI59" s="115"/>
    </row>
    <row r="60" spans="1:61" ht="15.75" customHeight="1" x14ac:dyDescent="0.25">
      <c r="A60" s="115"/>
      <c r="B60" s="115"/>
      <c r="C60" s="115"/>
      <c r="D60" s="115"/>
      <c r="E60" s="115"/>
      <c r="F60" s="115"/>
      <c r="G60" s="115"/>
      <c r="H60" s="115"/>
      <c r="I60" s="115"/>
      <c r="J60" s="115"/>
      <c r="K60" s="115"/>
      <c r="L60" s="115"/>
      <c r="M60" s="115"/>
      <c r="N60" s="115"/>
      <c r="O60" s="115"/>
      <c r="P60" s="115"/>
      <c r="Q60" s="115"/>
      <c r="R60" s="115"/>
      <c r="S60" s="115"/>
      <c r="T60" s="115"/>
      <c r="U60" s="115"/>
      <c r="V60" s="115"/>
      <c r="W60" s="115"/>
      <c r="X60" s="115"/>
      <c r="Y60" s="115"/>
      <c r="Z60" s="115"/>
      <c r="AA60" s="115"/>
      <c r="AB60" s="115"/>
      <c r="AC60" s="115"/>
      <c r="AD60" s="115"/>
      <c r="AE60" s="115"/>
      <c r="AF60" s="115"/>
      <c r="AG60" s="115"/>
      <c r="AH60" s="115"/>
      <c r="AI60" s="115"/>
      <c r="AJ60" s="115"/>
      <c r="AK60" s="115"/>
      <c r="AL60" s="115"/>
      <c r="AM60" s="115"/>
      <c r="AN60" s="115"/>
      <c r="AO60" s="115"/>
      <c r="AP60" s="115"/>
      <c r="AQ60" s="115"/>
      <c r="AR60" s="115"/>
      <c r="AS60" s="115"/>
      <c r="AT60" s="115"/>
      <c r="AU60" s="115"/>
      <c r="AV60" s="115"/>
      <c r="AW60" s="115"/>
      <c r="AX60" s="115"/>
      <c r="AY60" s="115"/>
      <c r="AZ60" s="115"/>
      <c r="BA60" s="115"/>
      <c r="BB60" s="115"/>
      <c r="BC60" s="115"/>
      <c r="BD60" s="115"/>
      <c r="BE60" s="115"/>
      <c r="BF60" s="115"/>
      <c r="BG60" s="115"/>
      <c r="BH60" s="115"/>
      <c r="BI60" s="115"/>
    </row>
    <row r="61" spans="1:61" ht="15.75" customHeight="1" x14ac:dyDescent="0.25">
      <c r="A61" s="115"/>
      <c r="B61" s="115"/>
      <c r="C61" s="115"/>
      <c r="D61" s="115"/>
      <c r="E61" s="115"/>
      <c r="F61" s="115"/>
      <c r="G61" s="115"/>
      <c r="H61" s="115"/>
      <c r="I61" s="115"/>
      <c r="J61" s="115"/>
      <c r="K61" s="115"/>
      <c r="L61" s="115"/>
      <c r="M61" s="115"/>
      <c r="N61" s="115"/>
      <c r="O61" s="115"/>
      <c r="P61" s="115"/>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c r="AN61" s="115"/>
      <c r="AO61" s="115"/>
      <c r="AP61" s="115"/>
      <c r="AQ61" s="115"/>
      <c r="AR61" s="115"/>
      <c r="AS61" s="115"/>
      <c r="AT61" s="115"/>
      <c r="AU61" s="115"/>
      <c r="AV61" s="115"/>
      <c r="AW61" s="115"/>
      <c r="AX61" s="115"/>
      <c r="AY61" s="115"/>
      <c r="AZ61" s="115"/>
      <c r="BA61" s="115"/>
      <c r="BB61" s="115"/>
      <c r="BC61" s="115"/>
      <c r="BD61" s="115"/>
      <c r="BE61" s="115"/>
      <c r="BF61" s="115"/>
      <c r="BG61" s="115"/>
      <c r="BH61" s="115"/>
      <c r="BI61" s="115"/>
    </row>
    <row r="62" spans="1:61" ht="15.75" customHeight="1" x14ac:dyDescent="0.25">
      <c r="A62" s="115"/>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c r="BA62" s="115"/>
      <c r="BB62" s="115"/>
      <c r="BC62" s="115"/>
      <c r="BD62" s="115"/>
      <c r="BE62" s="115"/>
      <c r="BF62" s="115"/>
      <c r="BG62" s="115"/>
      <c r="BH62" s="115"/>
      <c r="BI62" s="115"/>
    </row>
    <row r="63" spans="1:61" ht="15.75" customHeight="1" x14ac:dyDescent="0.25">
      <c r="A63" s="115"/>
      <c r="B63" s="115"/>
      <c r="C63" s="115"/>
      <c r="D63" s="115"/>
      <c r="E63" s="115"/>
      <c r="F63" s="115"/>
      <c r="G63" s="115"/>
      <c r="H63" s="115"/>
      <c r="I63" s="115"/>
      <c r="J63" s="115"/>
      <c r="K63" s="115"/>
      <c r="L63" s="115"/>
      <c r="M63" s="115"/>
      <c r="N63" s="115"/>
      <c r="O63" s="115"/>
      <c r="P63" s="115"/>
      <c r="Q63" s="115"/>
      <c r="R63" s="115"/>
      <c r="S63" s="115"/>
      <c r="T63" s="115"/>
      <c r="U63" s="115"/>
      <c r="V63" s="115"/>
      <c r="W63" s="115"/>
      <c r="X63" s="115"/>
      <c r="Y63" s="115"/>
      <c r="Z63" s="115"/>
      <c r="AA63" s="115"/>
      <c r="AB63" s="115"/>
      <c r="AC63" s="115"/>
      <c r="AD63" s="115"/>
      <c r="AE63" s="115"/>
      <c r="AF63" s="115"/>
      <c r="AG63" s="115"/>
      <c r="AH63" s="115"/>
      <c r="AI63" s="115"/>
      <c r="AJ63" s="115"/>
      <c r="AK63" s="115"/>
      <c r="AL63" s="115"/>
      <c r="AM63" s="115"/>
      <c r="AN63" s="115"/>
      <c r="AO63" s="115"/>
      <c r="AP63" s="115"/>
      <c r="AQ63" s="115"/>
      <c r="AR63" s="115"/>
      <c r="AS63" s="115"/>
      <c r="AT63" s="115"/>
      <c r="AU63" s="115"/>
      <c r="AV63" s="115"/>
      <c r="AW63" s="115"/>
      <c r="AX63" s="115"/>
      <c r="AY63" s="115"/>
      <c r="AZ63" s="115"/>
      <c r="BA63" s="115"/>
      <c r="BB63" s="115"/>
      <c r="BC63" s="115"/>
      <c r="BD63" s="115"/>
      <c r="BE63" s="115"/>
      <c r="BF63" s="115"/>
      <c r="BG63" s="115"/>
      <c r="BH63" s="115"/>
      <c r="BI63" s="115"/>
    </row>
    <row r="64" spans="1:61" ht="15.75" customHeight="1" x14ac:dyDescent="0.25">
      <c r="A64" s="115"/>
      <c r="B64" s="115"/>
      <c r="C64" s="115"/>
      <c r="D64" s="115"/>
      <c r="E64" s="115"/>
      <c r="F64" s="115"/>
      <c r="G64" s="115"/>
      <c r="H64" s="115"/>
      <c r="I64" s="115"/>
      <c r="J64" s="115"/>
      <c r="K64" s="115"/>
      <c r="L64" s="115"/>
      <c r="M64" s="115"/>
      <c r="N64" s="115"/>
      <c r="O64" s="115"/>
      <c r="P64" s="115"/>
      <c r="Q64" s="115"/>
      <c r="R64" s="115"/>
      <c r="S64" s="115"/>
      <c r="T64" s="115"/>
      <c r="U64" s="115"/>
      <c r="V64" s="115"/>
      <c r="W64" s="115"/>
      <c r="X64" s="115"/>
      <c r="Y64" s="115"/>
      <c r="Z64" s="115"/>
      <c r="AA64" s="115"/>
      <c r="AB64" s="115"/>
      <c r="AC64" s="115"/>
      <c r="AD64" s="115"/>
      <c r="AE64" s="115"/>
      <c r="AF64" s="115"/>
      <c r="AG64" s="115"/>
      <c r="AH64" s="115"/>
      <c r="AI64" s="115"/>
      <c r="AJ64" s="115"/>
      <c r="AK64" s="115"/>
      <c r="AL64" s="115"/>
      <c r="AM64" s="115"/>
      <c r="AN64" s="115"/>
      <c r="AO64" s="115"/>
      <c r="AP64" s="115"/>
      <c r="AQ64" s="115"/>
      <c r="AR64" s="115"/>
      <c r="AS64" s="115"/>
      <c r="AT64" s="115"/>
      <c r="AU64" s="115"/>
      <c r="AV64" s="115"/>
      <c r="AW64" s="115"/>
      <c r="AX64" s="115"/>
      <c r="AY64" s="115"/>
      <c r="AZ64" s="115"/>
      <c r="BA64" s="115"/>
      <c r="BB64" s="115"/>
      <c r="BC64" s="115"/>
      <c r="BD64" s="115"/>
      <c r="BE64" s="115"/>
      <c r="BF64" s="115"/>
      <c r="BG64" s="115"/>
      <c r="BH64" s="115"/>
      <c r="BI64" s="115"/>
    </row>
    <row r="65" spans="1:61" ht="15.75" customHeight="1" x14ac:dyDescent="0.25">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c r="BI65" s="115"/>
    </row>
    <row r="66" spans="1:61" ht="15.75" customHeight="1" x14ac:dyDescent="0.25">
      <c r="A66" s="115"/>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c r="BC66" s="115"/>
      <c r="BD66" s="115"/>
      <c r="BE66" s="115"/>
      <c r="BF66" s="115"/>
      <c r="BG66" s="115"/>
      <c r="BH66" s="115"/>
      <c r="BI66" s="115"/>
    </row>
    <row r="67" spans="1:61" ht="15.75" customHeight="1" x14ac:dyDescent="0.25">
      <c r="A67" s="115"/>
      <c r="B67" s="115"/>
      <c r="C67" s="115"/>
      <c r="D67" s="115"/>
      <c r="E67" s="115"/>
      <c r="F67" s="115"/>
      <c r="G67" s="115"/>
      <c r="H67" s="115"/>
      <c r="I67" s="115"/>
      <c r="J67" s="115"/>
      <c r="K67" s="115"/>
      <c r="L67" s="115"/>
      <c r="M67" s="115"/>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c r="AN67" s="115"/>
      <c r="AO67" s="115"/>
      <c r="AP67" s="115"/>
      <c r="AQ67" s="115"/>
      <c r="AR67" s="115"/>
      <c r="AS67" s="115"/>
      <c r="AT67" s="115"/>
      <c r="AU67" s="115"/>
      <c r="AV67" s="115"/>
      <c r="AW67" s="115"/>
      <c r="AX67" s="115"/>
      <c r="AY67" s="115"/>
      <c r="AZ67" s="115"/>
      <c r="BA67" s="115"/>
      <c r="BB67" s="115"/>
      <c r="BC67" s="115"/>
      <c r="BD67" s="115"/>
      <c r="BE67" s="115"/>
      <c r="BF67" s="115"/>
      <c r="BG67" s="115"/>
      <c r="BH67" s="115"/>
      <c r="BI67" s="115"/>
    </row>
    <row r="68" spans="1:61" ht="15.75" customHeight="1" x14ac:dyDescent="0.25">
      <c r="A68" s="115"/>
      <c r="B68" s="115"/>
      <c r="C68" s="115"/>
      <c r="D68" s="115"/>
      <c r="E68" s="115"/>
      <c r="F68" s="115"/>
      <c r="G68" s="115"/>
      <c r="H68" s="115"/>
      <c r="I68" s="115"/>
      <c r="J68" s="115"/>
      <c r="K68" s="115"/>
      <c r="L68" s="115"/>
      <c r="M68" s="115"/>
      <c r="N68" s="115"/>
      <c r="O68" s="115"/>
      <c r="P68" s="115"/>
      <c r="Q68" s="115"/>
      <c r="R68" s="115"/>
      <c r="S68" s="115"/>
      <c r="T68" s="115"/>
      <c r="U68" s="115"/>
      <c r="V68" s="115"/>
      <c r="W68" s="115"/>
      <c r="X68" s="115"/>
      <c r="Y68" s="115"/>
      <c r="Z68" s="115"/>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c r="BA68" s="115"/>
      <c r="BB68" s="115"/>
      <c r="BC68" s="115"/>
      <c r="BD68" s="115"/>
      <c r="BE68" s="115"/>
      <c r="BF68" s="115"/>
      <c r="BG68" s="115"/>
      <c r="BH68" s="115"/>
      <c r="BI68" s="115"/>
    </row>
    <row r="69" spans="1:61" ht="15.75" customHeight="1" x14ac:dyDescent="0.25">
      <c r="A69" s="115"/>
      <c r="B69" s="115"/>
      <c r="C69" s="115"/>
      <c r="D69" s="115"/>
      <c r="E69" s="115"/>
      <c r="F69" s="115"/>
      <c r="G69" s="115"/>
      <c r="H69" s="115"/>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c r="AN69" s="115"/>
      <c r="AO69" s="115"/>
      <c r="AP69" s="115"/>
      <c r="AQ69" s="115"/>
      <c r="AR69" s="115"/>
      <c r="AS69" s="115"/>
      <c r="AT69" s="115"/>
      <c r="AU69" s="115"/>
      <c r="AV69" s="115"/>
      <c r="AW69" s="115"/>
      <c r="AX69" s="115"/>
      <c r="AY69" s="115"/>
      <c r="AZ69" s="115"/>
      <c r="BA69" s="115"/>
      <c r="BB69" s="115"/>
      <c r="BC69" s="115"/>
      <c r="BD69" s="115"/>
      <c r="BE69" s="115"/>
      <c r="BF69" s="115"/>
      <c r="BG69" s="115"/>
      <c r="BH69" s="115"/>
      <c r="BI69" s="115"/>
    </row>
    <row r="70" spans="1:61" ht="15.75" customHeight="1" x14ac:dyDescent="0.25">
      <c r="A70" s="115"/>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c r="AI70" s="115"/>
      <c r="AJ70" s="115"/>
      <c r="AK70" s="115"/>
      <c r="AL70" s="115"/>
      <c r="AM70" s="115"/>
      <c r="AN70" s="115"/>
      <c r="AO70" s="115"/>
      <c r="AP70" s="115"/>
      <c r="AQ70" s="115"/>
      <c r="AR70" s="115"/>
      <c r="AS70" s="115"/>
      <c r="AT70" s="115"/>
      <c r="AU70" s="115"/>
      <c r="AV70" s="115"/>
      <c r="AW70" s="115"/>
      <c r="AX70" s="115"/>
      <c r="AY70" s="115"/>
      <c r="AZ70" s="115"/>
      <c r="BA70" s="115"/>
      <c r="BB70" s="115"/>
      <c r="BC70" s="115"/>
      <c r="BD70" s="115"/>
      <c r="BE70" s="115"/>
      <c r="BF70" s="115"/>
      <c r="BG70" s="115"/>
      <c r="BH70" s="115"/>
      <c r="BI70" s="115"/>
    </row>
    <row r="71" spans="1:61" ht="15.75" customHeight="1" x14ac:dyDescent="0.25">
      <c r="A71" s="115"/>
      <c r="B71" s="115"/>
      <c r="C71" s="115"/>
      <c r="D71" s="115"/>
      <c r="E71" s="115"/>
      <c r="F71" s="115"/>
      <c r="G71" s="115"/>
      <c r="H71" s="115"/>
      <c r="I71" s="115"/>
      <c r="J71" s="115"/>
      <c r="K71" s="115"/>
      <c r="L71" s="115"/>
      <c r="M71" s="115"/>
      <c r="N71" s="115"/>
      <c r="O71" s="115"/>
      <c r="P71" s="115"/>
      <c r="Q71" s="115"/>
      <c r="R71" s="115"/>
      <c r="S71" s="115"/>
      <c r="T71" s="115"/>
      <c r="U71" s="115"/>
      <c r="V71" s="115"/>
      <c r="W71" s="115"/>
      <c r="X71" s="115"/>
      <c r="Y71" s="115"/>
      <c r="Z71" s="115"/>
      <c r="AA71" s="115"/>
      <c r="AB71" s="115"/>
      <c r="AC71" s="115"/>
      <c r="AD71" s="115"/>
      <c r="AE71" s="115"/>
      <c r="AF71" s="115"/>
      <c r="AG71" s="115"/>
      <c r="AH71" s="115"/>
      <c r="AI71" s="115"/>
      <c r="AJ71" s="115"/>
      <c r="AK71" s="115"/>
      <c r="AL71" s="115"/>
      <c r="AM71" s="115"/>
      <c r="AN71" s="115"/>
      <c r="AO71" s="115"/>
      <c r="AP71" s="115"/>
      <c r="AQ71" s="115"/>
      <c r="AR71" s="115"/>
      <c r="AS71" s="115"/>
      <c r="AT71" s="115"/>
      <c r="AU71" s="115"/>
      <c r="AV71" s="115"/>
      <c r="AW71" s="115"/>
      <c r="AX71" s="115"/>
      <c r="AY71" s="115"/>
      <c r="AZ71" s="115"/>
      <c r="BA71" s="115"/>
      <c r="BB71" s="115"/>
      <c r="BC71" s="115"/>
      <c r="BD71" s="115"/>
      <c r="BE71" s="115"/>
      <c r="BF71" s="115"/>
      <c r="BG71" s="115"/>
      <c r="BH71" s="115"/>
      <c r="BI71" s="115"/>
    </row>
    <row r="72" spans="1:61" ht="15.75" customHeight="1" x14ac:dyDescent="0.25">
      <c r="A72" s="115"/>
      <c r="B72" s="115"/>
      <c r="C72" s="115"/>
      <c r="D72" s="115"/>
      <c r="E72" s="115"/>
      <c r="F72" s="115"/>
      <c r="G72" s="115"/>
      <c r="H72" s="115"/>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c r="AN72" s="115"/>
      <c r="AO72" s="115"/>
      <c r="AP72" s="115"/>
      <c r="AQ72" s="115"/>
      <c r="AR72" s="115"/>
      <c r="AS72" s="115"/>
      <c r="AT72" s="115"/>
      <c r="AU72" s="115"/>
      <c r="AV72" s="115"/>
      <c r="AW72" s="115"/>
      <c r="AX72" s="115"/>
      <c r="AY72" s="115"/>
      <c r="AZ72" s="115"/>
      <c r="BA72" s="115"/>
      <c r="BB72" s="115"/>
      <c r="BC72" s="115"/>
      <c r="BD72" s="115"/>
      <c r="BE72" s="115"/>
      <c r="BF72" s="115"/>
      <c r="BG72" s="115"/>
      <c r="BH72" s="115"/>
      <c r="BI72" s="115"/>
    </row>
    <row r="73" spans="1:61" ht="15.75" customHeight="1" x14ac:dyDescent="0.25">
      <c r="A73" s="115"/>
      <c r="B73" s="115"/>
      <c r="C73" s="115"/>
      <c r="D73" s="115"/>
      <c r="E73" s="115"/>
      <c r="F73" s="115"/>
      <c r="G73" s="115"/>
      <c r="H73" s="115"/>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c r="AN73" s="115"/>
      <c r="AO73" s="115"/>
      <c r="AP73" s="115"/>
      <c r="AQ73" s="115"/>
      <c r="AR73" s="115"/>
      <c r="AS73" s="115"/>
      <c r="AT73" s="115"/>
      <c r="AU73" s="115"/>
      <c r="AV73" s="115"/>
      <c r="AW73" s="115"/>
      <c r="AX73" s="115"/>
      <c r="AY73" s="115"/>
      <c r="AZ73" s="115"/>
      <c r="BA73" s="115"/>
      <c r="BB73" s="115"/>
      <c r="BC73" s="115"/>
      <c r="BD73" s="115"/>
      <c r="BE73" s="115"/>
      <c r="BF73" s="115"/>
      <c r="BG73" s="115"/>
      <c r="BH73" s="115"/>
      <c r="BI73" s="115"/>
    </row>
    <row r="74" spans="1:61" ht="15.75" customHeight="1" x14ac:dyDescent="0.2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c r="AN74" s="115"/>
      <c r="AO74" s="115"/>
      <c r="AP74" s="115"/>
      <c r="AQ74" s="115"/>
      <c r="AR74" s="115"/>
      <c r="AS74" s="115"/>
      <c r="AT74" s="115"/>
      <c r="AU74" s="115"/>
      <c r="AV74" s="115"/>
      <c r="AW74" s="115"/>
      <c r="AX74" s="115"/>
      <c r="AY74" s="115"/>
      <c r="AZ74" s="115"/>
      <c r="BA74" s="115"/>
      <c r="BB74" s="115"/>
      <c r="BC74" s="115"/>
      <c r="BD74" s="115"/>
      <c r="BE74" s="115"/>
      <c r="BF74" s="115"/>
      <c r="BG74" s="115"/>
      <c r="BH74" s="115"/>
      <c r="BI74" s="115"/>
    </row>
    <row r="75" spans="1:61" ht="15.75" customHeight="1" x14ac:dyDescent="0.25">
      <c r="A75" s="115"/>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c r="AN75" s="115"/>
      <c r="AO75" s="115"/>
      <c r="AP75" s="115"/>
      <c r="AQ75" s="115"/>
      <c r="AR75" s="115"/>
      <c r="AS75" s="115"/>
      <c r="AT75" s="115"/>
      <c r="AU75" s="115"/>
      <c r="AV75" s="115"/>
      <c r="AW75" s="115"/>
      <c r="AX75" s="115"/>
      <c r="AY75" s="115"/>
      <c r="AZ75" s="115"/>
      <c r="BA75" s="115"/>
      <c r="BB75" s="115"/>
      <c r="BC75" s="115"/>
      <c r="BD75" s="115"/>
      <c r="BE75" s="115"/>
      <c r="BF75" s="115"/>
      <c r="BG75" s="115"/>
      <c r="BH75" s="115"/>
      <c r="BI75" s="115"/>
    </row>
    <row r="76" spans="1:61" ht="15.75" customHeight="1" x14ac:dyDescent="0.25">
      <c r="A76" s="115"/>
      <c r="B76" s="115"/>
      <c r="C76" s="115"/>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115"/>
      <c r="AW76" s="115"/>
      <c r="AX76" s="115"/>
      <c r="AY76" s="115"/>
      <c r="AZ76" s="115"/>
      <c r="BA76" s="115"/>
      <c r="BB76" s="115"/>
      <c r="BC76" s="115"/>
      <c r="BD76" s="115"/>
      <c r="BE76" s="115"/>
      <c r="BF76" s="115"/>
      <c r="BG76" s="115"/>
      <c r="BH76" s="115"/>
      <c r="BI76" s="115"/>
    </row>
    <row r="77" spans="1:61" ht="15.75" customHeight="1" x14ac:dyDescent="0.25">
      <c r="A77" s="115"/>
      <c r="B77" s="115"/>
      <c r="C77" s="115"/>
      <c r="D77" s="115"/>
      <c r="E77" s="115"/>
      <c r="F77" s="115"/>
      <c r="G77" s="115"/>
      <c r="H77" s="115"/>
      <c r="I77" s="115"/>
      <c r="J77" s="115"/>
      <c r="K77" s="115"/>
      <c r="L77" s="115"/>
      <c r="M77" s="115"/>
      <c r="N77" s="115"/>
      <c r="O77" s="115"/>
      <c r="P77" s="115"/>
      <c r="Q77" s="115"/>
      <c r="R77" s="115"/>
      <c r="S77" s="115"/>
      <c r="T77" s="115"/>
      <c r="U77" s="115"/>
      <c r="V77" s="115"/>
      <c r="W77" s="115"/>
      <c r="X77" s="115"/>
      <c r="Y77" s="115"/>
      <c r="Z77" s="115"/>
      <c r="AA77" s="115"/>
      <c r="AB77" s="115"/>
      <c r="AC77" s="115"/>
      <c r="AD77" s="115"/>
      <c r="AE77" s="115"/>
      <c r="AF77" s="115"/>
      <c r="AG77" s="115"/>
      <c r="AH77" s="115"/>
      <c r="AI77" s="115"/>
      <c r="AJ77" s="115"/>
      <c r="AK77" s="115"/>
      <c r="AL77" s="115"/>
      <c r="AM77" s="115"/>
      <c r="AN77" s="115"/>
      <c r="AO77" s="115"/>
      <c r="AP77" s="115"/>
      <c r="AQ77" s="115"/>
      <c r="AR77" s="115"/>
      <c r="AS77" s="115"/>
      <c r="AT77" s="115"/>
      <c r="AU77" s="115"/>
      <c r="AV77" s="115"/>
      <c r="AW77" s="115"/>
      <c r="AX77" s="115"/>
      <c r="AY77" s="115"/>
      <c r="AZ77" s="115"/>
      <c r="BA77" s="115"/>
      <c r="BB77" s="115"/>
      <c r="BC77" s="115"/>
      <c r="BD77" s="115"/>
      <c r="BE77" s="115"/>
      <c r="BF77" s="115"/>
      <c r="BG77" s="115"/>
      <c r="BH77" s="115"/>
      <c r="BI77" s="115"/>
    </row>
    <row r="78" spans="1:61" ht="15.75" customHeight="1" x14ac:dyDescent="0.25">
      <c r="A78" s="115"/>
      <c r="B78" s="115"/>
      <c r="C78" s="115"/>
      <c r="D78" s="115"/>
      <c r="E78" s="115"/>
      <c r="F78" s="115"/>
      <c r="G78" s="115"/>
      <c r="H78" s="115"/>
      <c r="I78" s="115"/>
      <c r="J78" s="115"/>
      <c r="K78" s="115"/>
      <c r="L78" s="115"/>
      <c r="M78" s="115"/>
      <c r="N78" s="115"/>
      <c r="O78" s="115"/>
      <c r="P78" s="115"/>
      <c r="Q78" s="115"/>
      <c r="R78" s="115"/>
      <c r="S78" s="115"/>
      <c r="T78" s="115"/>
      <c r="U78" s="115"/>
      <c r="V78" s="115"/>
      <c r="W78" s="115"/>
      <c r="X78" s="115"/>
      <c r="Y78" s="115"/>
      <c r="Z78" s="115"/>
      <c r="AA78" s="115"/>
      <c r="AB78" s="115"/>
      <c r="AC78" s="115"/>
      <c r="AD78" s="115"/>
      <c r="AE78" s="115"/>
      <c r="AF78" s="115"/>
      <c r="AG78" s="115"/>
      <c r="AH78" s="115"/>
      <c r="AI78" s="115"/>
      <c r="AJ78" s="115"/>
      <c r="AK78" s="115"/>
      <c r="AL78" s="115"/>
      <c r="AM78" s="115"/>
      <c r="AN78" s="115"/>
      <c r="AO78" s="115"/>
      <c r="AP78" s="115"/>
      <c r="AQ78" s="115"/>
      <c r="AR78" s="115"/>
      <c r="AS78" s="115"/>
      <c r="AT78" s="115"/>
      <c r="AU78" s="115"/>
      <c r="AV78" s="115"/>
      <c r="AW78" s="115"/>
      <c r="AX78" s="115"/>
      <c r="AY78" s="115"/>
      <c r="AZ78" s="115"/>
      <c r="BA78" s="115"/>
      <c r="BB78" s="115"/>
      <c r="BC78" s="115"/>
      <c r="BD78" s="115"/>
      <c r="BE78" s="115"/>
      <c r="BF78" s="115"/>
      <c r="BG78" s="115"/>
      <c r="BH78" s="115"/>
      <c r="BI78" s="115"/>
    </row>
    <row r="79" spans="1:61" ht="15.75" customHeight="1" x14ac:dyDescent="0.25">
      <c r="A79" s="11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c r="AN79" s="115"/>
      <c r="AO79" s="115"/>
      <c r="AP79" s="115"/>
      <c r="AQ79" s="115"/>
      <c r="AR79" s="115"/>
      <c r="AS79" s="115"/>
      <c r="AT79" s="115"/>
      <c r="AU79" s="115"/>
      <c r="AV79" s="115"/>
      <c r="AW79" s="115"/>
      <c r="AX79" s="115"/>
      <c r="AY79" s="115"/>
      <c r="AZ79" s="115"/>
      <c r="BA79" s="115"/>
      <c r="BB79" s="115"/>
      <c r="BC79" s="115"/>
      <c r="BD79" s="115"/>
      <c r="BE79" s="115"/>
      <c r="BF79" s="115"/>
      <c r="BG79" s="115"/>
      <c r="BH79" s="115"/>
      <c r="BI79" s="115"/>
    </row>
    <row r="80" spans="1:61" ht="15.75" customHeight="1" x14ac:dyDescent="0.25">
      <c r="A80" s="11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5"/>
      <c r="AY80" s="115"/>
      <c r="AZ80" s="115"/>
      <c r="BA80" s="115"/>
      <c r="BB80" s="115"/>
      <c r="BC80" s="115"/>
      <c r="BD80" s="115"/>
      <c r="BE80" s="115"/>
      <c r="BF80" s="115"/>
      <c r="BG80" s="115"/>
      <c r="BH80" s="115"/>
      <c r="BI80" s="115"/>
    </row>
    <row r="81" spans="1:61" ht="15.75" customHeight="1" x14ac:dyDescent="0.25">
      <c r="A81" s="1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c r="BD81" s="115"/>
      <c r="BE81" s="115"/>
      <c r="BF81" s="115"/>
      <c r="BG81" s="115"/>
      <c r="BH81" s="115"/>
      <c r="BI81" s="115"/>
    </row>
    <row r="82" spans="1:61" ht="15.75" customHeight="1" x14ac:dyDescent="0.25">
      <c r="A82" s="1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c r="BD82" s="115"/>
      <c r="BE82" s="115"/>
      <c r="BF82" s="115"/>
      <c r="BG82" s="115"/>
      <c r="BH82" s="115"/>
      <c r="BI82" s="115"/>
    </row>
    <row r="83" spans="1:61" ht="15.75" customHeight="1" x14ac:dyDescent="0.25">
      <c r="A83" s="11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c r="AV83" s="115"/>
      <c r="AW83" s="115"/>
      <c r="AX83" s="115"/>
      <c r="AY83" s="115"/>
      <c r="AZ83" s="115"/>
      <c r="BA83" s="115"/>
      <c r="BB83" s="115"/>
      <c r="BC83" s="115"/>
      <c r="BD83" s="115"/>
      <c r="BE83" s="115"/>
      <c r="BF83" s="115"/>
      <c r="BG83" s="115"/>
      <c r="BH83" s="115"/>
      <c r="BI83" s="115"/>
    </row>
    <row r="84" spans="1:61" ht="15.75" customHeight="1" x14ac:dyDescent="0.2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c r="BI84" s="115"/>
    </row>
    <row r="85" spans="1:61" ht="15.75" customHeight="1" x14ac:dyDescent="0.25">
      <c r="A85" s="11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c r="BG85" s="115"/>
      <c r="BH85" s="115"/>
      <c r="BI85" s="115"/>
    </row>
    <row r="86" spans="1:61" ht="15.75" customHeight="1" x14ac:dyDescent="0.25">
      <c r="A86" s="11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c r="BG86" s="115"/>
      <c r="BH86" s="115"/>
      <c r="BI86" s="115"/>
    </row>
    <row r="87" spans="1:61" ht="15.75" customHeight="1" x14ac:dyDescent="0.25">
      <c r="A87" s="11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c r="BG87" s="115"/>
      <c r="BH87" s="115"/>
      <c r="BI87" s="115"/>
    </row>
    <row r="88" spans="1:61" ht="15.75" customHeight="1" x14ac:dyDescent="0.25">
      <c r="A88" s="11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c r="AN88" s="115"/>
      <c r="AO88" s="115"/>
      <c r="AP88" s="115"/>
      <c r="AQ88" s="115"/>
      <c r="AR88" s="115"/>
      <c r="AS88" s="115"/>
      <c r="AT88" s="115"/>
      <c r="AU88" s="115"/>
      <c r="AV88" s="115"/>
      <c r="AW88" s="115"/>
      <c r="AX88" s="115"/>
      <c r="AY88" s="115"/>
      <c r="AZ88" s="115"/>
      <c r="BA88" s="115"/>
      <c r="BB88" s="115"/>
      <c r="BC88" s="115"/>
      <c r="BD88" s="115"/>
      <c r="BE88" s="115"/>
      <c r="BF88" s="115"/>
      <c r="BG88" s="115"/>
      <c r="BH88" s="115"/>
      <c r="BI88" s="115"/>
    </row>
    <row r="89" spans="1:61" ht="15.75" customHeight="1" x14ac:dyDescent="0.25">
      <c r="A89" s="11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c r="AN89" s="115"/>
      <c r="AO89" s="115"/>
      <c r="AP89" s="115"/>
      <c r="AQ89" s="115"/>
      <c r="AR89" s="115"/>
      <c r="AS89" s="115"/>
      <c r="AT89" s="115"/>
      <c r="AU89" s="115"/>
      <c r="AV89" s="115"/>
      <c r="AW89" s="115"/>
      <c r="AX89" s="115"/>
      <c r="AY89" s="115"/>
      <c r="AZ89" s="115"/>
      <c r="BA89" s="115"/>
      <c r="BB89" s="115"/>
      <c r="BC89" s="115"/>
      <c r="BD89" s="115"/>
      <c r="BE89" s="115"/>
      <c r="BF89" s="115"/>
      <c r="BG89" s="115"/>
      <c r="BH89" s="115"/>
      <c r="BI89" s="115"/>
    </row>
    <row r="90" spans="1:61" ht="15.75" customHeight="1" x14ac:dyDescent="0.25">
      <c r="A90" s="11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c r="AP90" s="115"/>
      <c r="AQ90" s="115"/>
      <c r="AR90" s="115"/>
      <c r="AS90" s="115"/>
      <c r="AT90" s="115"/>
      <c r="AU90" s="115"/>
      <c r="AV90" s="115"/>
      <c r="AW90" s="115"/>
      <c r="AX90" s="115"/>
      <c r="AY90" s="115"/>
      <c r="AZ90" s="115"/>
      <c r="BA90" s="115"/>
      <c r="BB90" s="115"/>
      <c r="BC90" s="115"/>
      <c r="BD90" s="115"/>
      <c r="BE90" s="115"/>
      <c r="BF90" s="115"/>
      <c r="BG90" s="115"/>
      <c r="BH90" s="115"/>
      <c r="BI90" s="115"/>
    </row>
    <row r="91" spans="1:61" ht="15.75" customHeight="1" x14ac:dyDescent="0.2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c r="AP91" s="115"/>
      <c r="AQ91" s="115"/>
      <c r="AR91" s="115"/>
      <c r="AS91" s="115"/>
      <c r="AT91" s="115"/>
      <c r="AU91" s="115"/>
      <c r="AV91" s="115"/>
      <c r="AW91" s="115"/>
      <c r="AX91" s="115"/>
      <c r="AY91" s="115"/>
      <c r="AZ91" s="115"/>
      <c r="BA91" s="115"/>
      <c r="BB91" s="115"/>
      <c r="BC91" s="115"/>
      <c r="BD91" s="115"/>
      <c r="BE91" s="115"/>
      <c r="BF91" s="115"/>
      <c r="BG91" s="115"/>
      <c r="BH91" s="115"/>
      <c r="BI91" s="115"/>
    </row>
    <row r="92" spans="1:61" ht="15.75" customHeight="1" x14ac:dyDescent="0.2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5"/>
      <c r="BF92" s="115"/>
      <c r="BG92" s="115"/>
      <c r="BH92" s="115"/>
      <c r="BI92" s="115"/>
    </row>
    <row r="93" spans="1:61" ht="15.75" customHeight="1" x14ac:dyDescent="0.25">
      <c r="A93" s="11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115"/>
      <c r="AQ93" s="115"/>
      <c r="AR93" s="115"/>
      <c r="AS93" s="115"/>
      <c r="AT93" s="115"/>
      <c r="AU93" s="115"/>
      <c r="AV93" s="115"/>
      <c r="AW93" s="115"/>
      <c r="AX93" s="115"/>
      <c r="AY93" s="115"/>
      <c r="AZ93" s="115"/>
      <c r="BA93" s="115"/>
      <c r="BB93" s="115"/>
      <c r="BC93" s="115"/>
      <c r="BD93" s="115"/>
      <c r="BE93" s="115"/>
      <c r="BF93" s="115"/>
      <c r="BG93" s="115"/>
      <c r="BH93" s="115"/>
      <c r="BI93" s="115"/>
    </row>
    <row r="94" spans="1:61" ht="15.75" customHeight="1" x14ac:dyDescent="0.2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c r="BG94" s="115"/>
      <c r="BH94" s="115"/>
      <c r="BI94" s="115"/>
    </row>
    <row r="95" spans="1:61" ht="15.75" customHeight="1" x14ac:dyDescent="0.25">
      <c r="A95" s="115"/>
      <c r="B95" s="115"/>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c r="BG95" s="115"/>
      <c r="BH95" s="115"/>
      <c r="BI95" s="115"/>
    </row>
    <row r="96" spans="1:61" ht="15.75" customHeight="1" x14ac:dyDescent="0.25">
      <c r="A96" s="115"/>
      <c r="B96" s="115"/>
      <c r="C96" s="115"/>
      <c r="D96" s="115"/>
      <c r="E96" s="115"/>
      <c r="F96" s="115"/>
      <c r="G96" s="115"/>
      <c r="H96" s="115"/>
      <c r="I96" s="115"/>
      <c r="J96" s="115"/>
      <c r="K96" s="115"/>
      <c r="L96" s="115"/>
      <c r="M96" s="115"/>
      <c r="N96" s="115"/>
      <c r="O96" s="115"/>
      <c r="P96" s="115"/>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c r="AN96" s="115"/>
      <c r="AO96" s="115"/>
      <c r="AP96" s="115"/>
      <c r="AQ96" s="115"/>
      <c r="AR96" s="115"/>
      <c r="AS96" s="115"/>
      <c r="AT96" s="115"/>
      <c r="AU96" s="115"/>
      <c r="AV96" s="115"/>
      <c r="AW96" s="115"/>
      <c r="AX96" s="115"/>
      <c r="AY96" s="115"/>
      <c r="AZ96" s="115"/>
      <c r="BA96" s="115"/>
      <c r="BB96" s="115"/>
      <c r="BC96" s="115"/>
      <c r="BD96" s="115"/>
      <c r="BE96" s="115"/>
      <c r="BF96" s="115"/>
      <c r="BG96" s="115"/>
      <c r="BH96" s="115"/>
      <c r="BI96" s="115"/>
    </row>
    <row r="97" spans="1:61" ht="15.75" customHeight="1" x14ac:dyDescent="0.25">
      <c r="A97" s="115"/>
      <c r="B97" s="115"/>
      <c r="C97" s="115"/>
      <c r="D97" s="115"/>
      <c r="E97" s="115"/>
      <c r="F97" s="115"/>
      <c r="G97" s="115"/>
      <c r="H97" s="115"/>
      <c r="I97" s="115"/>
      <c r="J97" s="115"/>
      <c r="K97" s="115"/>
      <c r="L97" s="115"/>
      <c r="M97" s="115"/>
      <c r="N97" s="115"/>
      <c r="O97" s="115"/>
      <c r="P97" s="115"/>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c r="AN97" s="115"/>
      <c r="AO97" s="115"/>
      <c r="AP97" s="115"/>
      <c r="AQ97" s="115"/>
      <c r="AR97" s="115"/>
      <c r="AS97" s="115"/>
      <c r="AT97" s="115"/>
      <c r="AU97" s="115"/>
      <c r="AV97" s="115"/>
      <c r="AW97" s="115"/>
      <c r="AX97" s="115"/>
      <c r="AY97" s="115"/>
      <c r="AZ97" s="115"/>
      <c r="BA97" s="115"/>
      <c r="BB97" s="115"/>
      <c r="BC97" s="115"/>
      <c r="BD97" s="115"/>
      <c r="BE97" s="115"/>
      <c r="BF97" s="115"/>
      <c r="BG97" s="115"/>
      <c r="BH97" s="115"/>
      <c r="BI97" s="115"/>
    </row>
    <row r="98" spans="1:61" ht="15.75" customHeight="1" x14ac:dyDescent="0.25">
      <c r="A98" s="115"/>
      <c r="B98" s="115"/>
      <c r="C98" s="115"/>
      <c r="D98" s="115"/>
      <c r="E98" s="115"/>
      <c r="F98" s="115"/>
      <c r="G98" s="115"/>
      <c r="H98" s="115"/>
      <c r="I98" s="115"/>
      <c r="J98" s="115"/>
      <c r="K98" s="115"/>
      <c r="L98" s="115"/>
      <c r="M98" s="115"/>
      <c r="N98" s="115"/>
      <c r="O98" s="115"/>
      <c r="P98" s="115"/>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c r="AN98" s="115"/>
      <c r="AO98" s="115"/>
      <c r="AP98" s="115"/>
      <c r="AQ98" s="115"/>
      <c r="AR98" s="115"/>
      <c r="AS98" s="115"/>
      <c r="AT98" s="115"/>
      <c r="AU98" s="115"/>
      <c r="AV98" s="115"/>
      <c r="AW98" s="115"/>
      <c r="AX98" s="115"/>
      <c r="AY98" s="115"/>
      <c r="AZ98" s="115"/>
      <c r="BA98" s="115"/>
      <c r="BB98" s="115"/>
      <c r="BC98" s="115"/>
      <c r="BD98" s="115"/>
      <c r="BE98" s="115"/>
      <c r="BF98" s="115"/>
      <c r="BG98" s="115"/>
      <c r="BH98" s="115"/>
      <c r="BI98" s="115"/>
    </row>
    <row r="99" spans="1:61" ht="15.75" customHeight="1" x14ac:dyDescent="0.25">
      <c r="A99" s="115"/>
      <c r="B99" s="115"/>
      <c r="C99" s="115"/>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c r="BF99" s="115"/>
      <c r="BG99" s="115"/>
      <c r="BH99" s="115"/>
      <c r="BI99" s="115"/>
    </row>
    <row r="100" spans="1:61" ht="15.75" customHeight="1" x14ac:dyDescent="0.25">
      <c r="A100" s="115"/>
      <c r="B100" s="115"/>
      <c r="C100" s="115"/>
      <c r="D100" s="115"/>
      <c r="E100" s="115"/>
      <c r="F100" s="115"/>
      <c r="G100" s="115"/>
      <c r="H100" s="115"/>
      <c r="I100" s="115"/>
      <c r="J100" s="115"/>
      <c r="K100" s="115"/>
      <c r="L100" s="115"/>
      <c r="M100" s="115"/>
      <c r="N100" s="115"/>
      <c r="O100" s="115"/>
      <c r="P100" s="115"/>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c r="AN100" s="115"/>
      <c r="AO100" s="115"/>
      <c r="AP100" s="115"/>
      <c r="AQ100" s="115"/>
      <c r="AR100" s="115"/>
      <c r="AS100" s="115"/>
      <c r="AT100" s="115"/>
      <c r="AU100" s="115"/>
      <c r="AV100" s="115"/>
      <c r="AW100" s="115"/>
      <c r="AX100" s="115"/>
      <c r="AY100" s="115"/>
      <c r="AZ100" s="115"/>
      <c r="BA100" s="115"/>
      <c r="BB100" s="115"/>
      <c r="BC100" s="115"/>
      <c r="BD100" s="115"/>
      <c r="BE100" s="115"/>
      <c r="BF100" s="115"/>
      <c r="BG100" s="115"/>
      <c r="BH100" s="115"/>
      <c r="BI100" s="115"/>
    </row>
    <row r="101" spans="1:61" ht="15.75" customHeight="1" x14ac:dyDescent="0.25">
      <c r="A101" s="115"/>
      <c r="B101" s="115"/>
      <c r="C101" s="115"/>
      <c r="D101" s="115"/>
      <c r="E101" s="115"/>
      <c r="F101" s="115"/>
      <c r="G101" s="115"/>
      <c r="H101" s="115"/>
      <c r="I101" s="115"/>
      <c r="J101" s="115"/>
      <c r="K101" s="115"/>
      <c r="L101" s="115"/>
      <c r="M101" s="115"/>
      <c r="N101" s="115"/>
      <c r="O101" s="115"/>
      <c r="P101" s="115"/>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c r="AN101" s="115"/>
      <c r="AO101" s="115"/>
      <c r="AP101" s="115"/>
      <c r="AQ101" s="115"/>
      <c r="AR101" s="115"/>
      <c r="AS101" s="115"/>
      <c r="AT101" s="115"/>
      <c r="AU101" s="115"/>
      <c r="AV101" s="115"/>
      <c r="AW101" s="115"/>
      <c r="AX101" s="115"/>
      <c r="AY101" s="115"/>
      <c r="AZ101" s="115"/>
      <c r="BA101" s="115"/>
      <c r="BB101" s="115"/>
      <c r="BC101" s="115"/>
      <c r="BD101" s="115"/>
      <c r="BE101" s="115"/>
      <c r="BF101" s="115"/>
      <c r="BG101" s="115"/>
      <c r="BH101" s="115"/>
      <c r="BI101" s="115"/>
    </row>
    <row r="102" spans="1:61" ht="15.75" customHeight="1" x14ac:dyDescent="0.25">
      <c r="A102" s="1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c r="BG102" s="115"/>
      <c r="BH102" s="115"/>
      <c r="BI102" s="115"/>
    </row>
    <row r="103" spans="1:61" ht="15.75" customHeight="1" x14ac:dyDescent="0.25">
      <c r="A103" s="115"/>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5"/>
      <c r="AT103" s="115"/>
      <c r="AU103" s="115"/>
      <c r="AV103" s="115"/>
      <c r="AW103" s="115"/>
      <c r="AX103" s="115"/>
      <c r="AY103" s="115"/>
      <c r="AZ103" s="115"/>
      <c r="BA103" s="115"/>
      <c r="BB103" s="115"/>
      <c r="BC103" s="115"/>
      <c r="BD103" s="115"/>
      <c r="BE103" s="115"/>
      <c r="BF103" s="115"/>
      <c r="BG103" s="115"/>
      <c r="BH103" s="115"/>
      <c r="BI103" s="115"/>
    </row>
    <row r="104" spans="1:61" ht="15.75" customHeight="1" x14ac:dyDescent="0.25">
      <c r="A104" s="115"/>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c r="BG104" s="115"/>
      <c r="BH104" s="115"/>
      <c r="BI104" s="115"/>
    </row>
    <row r="105" spans="1:61" ht="15.75" customHeight="1" x14ac:dyDescent="0.25">
      <c r="A105" s="115"/>
      <c r="B105" s="115"/>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15"/>
      <c r="BF105" s="115"/>
      <c r="BG105" s="115"/>
      <c r="BH105" s="115"/>
      <c r="BI105" s="115"/>
    </row>
    <row r="106" spans="1:61" ht="15.75" customHeight="1" x14ac:dyDescent="0.25">
      <c r="A106" s="115"/>
      <c r="B106" s="115"/>
      <c r="C106" s="115"/>
      <c r="D106" s="115"/>
      <c r="E106" s="115"/>
      <c r="F106" s="115"/>
      <c r="G106" s="115"/>
      <c r="H106" s="115"/>
      <c r="I106" s="115"/>
      <c r="J106" s="115"/>
      <c r="K106" s="115"/>
      <c r="L106" s="115"/>
      <c r="M106" s="115"/>
      <c r="N106" s="115"/>
      <c r="O106" s="115"/>
      <c r="P106" s="115"/>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5"/>
      <c r="AT106" s="115"/>
      <c r="AU106" s="115"/>
      <c r="AV106" s="115"/>
      <c r="AW106" s="115"/>
      <c r="AX106" s="115"/>
      <c r="AY106" s="115"/>
      <c r="AZ106" s="115"/>
      <c r="BA106" s="115"/>
      <c r="BB106" s="115"/>
      <c r="BC106" s="115"/>
      <c r="BD106" s="115"/>
      <c r="BE106" s="115"/>
      <c r="BF106" s="115"/>
      <c r="BG106" s="115"/>
      <c r="BH106" s="115"/>
      <c r="BI106" s="115"/>
    </row>
    <row r="107" spans="1:61" ht="15.75" customHeight="1" x14ac:dyDescent="0.25">
      <c r="A107" s="115"/>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115"/>
      <c r="BI107" s="115"/>
    </row>
    <row r="108" spans="1:61" ht="15.75" customHeight="1" x14ac:dyDescent="0.25">
      <c r="A108" s="11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c r="AN108" s="115"/>
      <c r="AO108" s="115"/>
      <c r="AP108" s="115"/>
      <c r="AQ108" s="115"/>
      <c r="AR108" s="115"/>
      <c r="AS108" s="115"/>
      <c r="AT108" s="115"/>
      <c r="AU108" s="115"/>
      <c r="AV108" s="115"/>
      <c r="AW108" s="115"/>
      <c r="AX108" s="115"/>
      <c r="AY108" s="115"/>
      <c r="AZ108" s="115"/>
      <c r="BA108" s="115"/>
      <c r="BB108" s="115"/>
      <c r="BC108" s="115"/>
      <c r="BD108" s="115"/>
      <c r="BE108" s="115"/>
      <c r="BF108" s="115"/>
      <c r="BG108" s="115"/>
      <c r="BH108" s="115"/>
      <c r="BI108" s="115"/>
    </row>
    <row r="109" spans="1:61" ht="15.75" customHeight="1" x14ac:dyDescent="0.25">
      <c r="A109" s="115"/>
      <c r="B109" s="115"/>
      <c r="C109" s="115"/>
      <c r="D109" s="115"/>
      <c r="E109" s="115"/>
      <c r="F109" s="115"/>
      <c r="G109" s="115"/>
      <c r="H109" s="115"/>
      <c r="I109" s="115"/>
      <c r="J109" s="115"/>
      <c r="K109" s="115"/>
      <c r="L109" s="115"/>
      <c r="M109" s="115"/>
      <c r="N109" s="115"/>
      <c r="O109" s="115"/>
      <c r="P109" s="115"/>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c r="AN109" s="115"/>
      <c r="AO109" s="115"/>
      <c r="AP109" s="115"/>
      <c r="AQ109" s="115"/>
      <c r="AR109" s="115"/>
      <c r="AS109" s="115"/>
      <c r="AT109" s="115"/>
      <c r="AU109" s="115"/>
      <c r="AV109" s="115"/>
      <c r="AW109" s="115"/>
      <c r="AX109" s="115"/>
      <c r="AY109" s="115"/>
      <c r="AZ109" s="115"/>
      <c r="BA109" s="115"/>
      <c r="BB109" s="115"/>
      <c r="BC109" s="115"/>
      <c r="BD109" s="115"/>
      <c r="BE109" s="115"/>
      <c r="BF109" s="115"/>
      <c r="BG109" s="115"/>
      <c r="BH109" s="115"/>
      <c r="BI109" s="115"/>
    </row>
    <row r="110" spans="1:61" ht="15.75" customHeight="1" x14ac:dyDescent="0.25">
      <c r="A110" s="115"/>
      <c r="B110" s="115"/>
      <c r="C110" s="115"/>
      <c r="D110" s="115"/>
      <c r="E110" s="115"/>
      <c r="F110" s="115"/>
      <c r="G110" s="115"/>
      <c r="H110" s="115"/>
      <c r="I110" s="115"/>
      <c r="J110" s="115"/>
      <c r="K110" s="115"/>
      <c r="L110" s="115"/>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115"/>
      <c r="BH110" s="115"/>
      <c r="BI110" s="115"/>
    </row>
    <row r="111" spans="1:61" ht="15.75" customHeight="1" x14ac:dyDescent="0.25">
      <c r="A111" s="115"/>
      <c r="B111" s="115"/>
      <c r="C111" s="115"/>
      <c r="D111" s="115"/>
      <c r="E111" s="115"/>
      <c r="F111" s="115"/>
      <c r="G111" s="115"/>
      <c r="H111" s="115"/>
      <c r="I111" s="115"/>
      <c r="J111" s="115"/>
      <c r="K111" s="115"/>
      <c r="L111" s="115"/>
      <c r="M111" s="115"/>
      <c r="N111" s="115"/>
      <c r="O111" s="115"/>
      <c r="P111" s="115"/>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c r="AN111" s="115"/>
      <c r="AO111" s="115"/>
      <c r="AP111" s="115"/>
      <c r="AQ111" s="115"/>
      <c r="AR111" s="115"/>
      <c r="AS111" s="115"/>
      <c r="AT111" s="115"/>
      <c r="AU111" s="115"/>
      <c r="AV111" s="115"/>
      <c r="AW111" s="115"/>
      <c r="AX111" s="115"/>
      <c r="AY111" s="115"/>
      <c r="AZ111" s="115"/>
      <c r="BA111" s="115"/>
      <c r="BB111" s="115"/>
      <c r="BC111" s="115"/>
      <c r="BD111" s="115"/>
      <c r="BE111" s="115"/>
      <c r="BF111" s="115"/>
      <c r="BG111" s="115"/>
      <c r="BH111" s="115"/>
      <c r="BI111" s="115"/>
    </row>
    <row r="112" spans="1:61" ht="15.75" customHeight="1" x14ac:dyDescent="0.25">
      <c r="A112" s="115"/>
      <c r="B112" s="115"/>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15"/>
      <c r="BF112" s="115"/>
      <c r="BG112" s="115"/>
      <c r="BH112" s="115"/>
      <c r="BI112" s="115"/>
    </row>
    <row r="113" spans="1:61" ht="15.75" customHeight="1" x14ac:dyDescent="0.25">
      <c r="A113" s="115"/>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c r="AN113" s="115"/>
      <c r="AO113" s="115"/>
      <c r="AP113" s="115"/>
      <c r="AQ113" s="115"/>
      <c r="AR113" s="115"/>
      <c r="AS113" s="115"/>
      <c r="AT113" s="115"/>
      <c r="AU113" s="115"/>
      <c r="AV113" s="115"/>
      <c r="AW113" s="115"/>
      <c r="AX113" s="115"/>
      <c r="AY113" s="115"/>
      <c r="AZ113" s="115"/>
      <c r="BA113" s="115"/>
      <c r="BB113" s="115"/>
      <c r="BC113" s="115"/>
      <c r="BD113" s="115"/>
      <c r="BE113" s="115"/>
      <c r="BF113" s="115"/>
      <c r="BG113" s="115"/>
      <c r="BH113" s="115"/>
      <c r="BI113" s="115"/>
    </row>
    <row r="114" spans="1:61" ht="15.75" customHeight="1" x14ac:dyDescent="0.25">
      <c r="A114" s="115"/>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15"/>
      <c r="AY114" s="115"/>
      <c r="AZ114" s="115"/>
      <c r="BA114" s="115"/>
      <c r="BB114" s="115"/>
      <c r="BC114" s="115"/>
      <c r="BD114" s="115"/>
      <c r="BE114" s="115"/>
      <c r="BF114" s="115"/>
      <c r="BG114" s="115"/>
      <c r="BH114" s="115"/>
      <c r="BI114" s="115"/>
    </row>
    <row r="115" spans="1:61" ht="15.75" customHeight="1" x14ac:dyDescent="0.25">
      <c r="A115" s="115"/>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c r="AN115" s="115"/>
      <c r="AO115" s="115"/>
      <c r="AP115" s="115"/>
      <c r="AQ115" s="115"/>
      <c r="AR115" s="115"/>
      <c r="AS115" s="115"/>
      <c r="AT115" s="115"/>
      <c r="AU115" s="115"/>
      <c r="AV115" s="115"/>
      <c r="AW115" s="115"/>
      <c r="AX115" s="115"/>
      <c r="AY115" s="115"/>
      <c r="AZ115" s="115"/>
      <c r="BA115" s="115"/>
      <c r="BB115" s="115"/>
      <c r="BC115" s="115"/>
      <c r="BD115" s="115"/>
      <c r="BE115" s="115"/>
      <c r="BF115" s="115"/>
      <c r="BG115" s="115"/>
      <c r="BH115" s="115"/>
      <c r="BI115" s="115"/>
    </row>
    <row r="116" spans="1:61" ht="15.75" customHeight="1" x14ac:dyDescent="0.25">
      <c r="A116" s="115"/>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5"/>
      <c r="BF116" s="115"/>
      <c r="BG116" s="115"/>
      <c r="BH116" s="115"/>
      <c r="BI116" s="115"/>
    </row>
    <row r="117" spans="1:61" ht="15.75" customHeight="1" x14ac:dyDescent="0.25">
      <c r="A117" s="115"/>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c r="AN117" s="115"/>
      <c r="AO117" s="115"/>
      <c r="AP117" s="115"/>
      <c r="AQ117" s="115"/>
      <c r="AR117" s="115"/>
      <c r="AS117" s="115"/>
      <c r="AT117" s="115"/>
      <c r="AU117" s="115"/>
      <c r="AV117" s="115"/>
      <c r="AW117" s="115"/>
      <c r="AX117" s="115"/>
      <c r="AY117" s="115"/>
      <c r="AZ117" s="115"/>
      <c r="BA117" s="115"/>
      <c r="BB117" s="115"/>
      <c r="BC117" s="115"/>
      <c r="BD117" s="115"/>
      <c r="BE117" s="115"/>
      <c r="BF117" s="115"/>
      <c r="BG117" s="115"/>
      <c r="BH117" s="115"/>
      <c r="BI117" s="115"/>
    </row>
    <row r="118" spans="1:61" ht="15.75" customHeight="1" x14ac:dyDescent="0.25">
      <c r="A118" s="115"/>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c r="BG118" s="115"/>
      <c r="BH118" s="115"/>
      <c r="BI118" s="115"/>
    </row>
    <row r="119" spans="1:61" ht="15.75" customHeight="1" x14ac:dyDescent="0.25">
      <c r="A119" s="115"/>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15"/>
      <c r="BF119" s="115"/>
      <c r="BG119" s="115"/>
      <c r="BH119" s="115"/>
      <c r="BI119" s="115"/>
    </row>
    <row r="120" spans="1:61" ht="15.75" customHeight="1" x14ac:dyDescent="0.25">
      <c r="A120" s="115"/>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W120" s="115"/>
      <c r="AX120" s="115"/>
      <c r="AY120" s="115"/>
      <c r="AZ120" s="115"/>
      <c r="BA120" s="115"/>
      <c r="BB120" s="115"/>
      <c r="BC120" s="115"/>
      <c r="BD120" s="115"/>
      <c r="BE120" s="115"/>
      <c r="BF120" s="115"/>
      <c r="BG120" s="115"/>
      <c r="BH120" s="115"/>
      <c r="BI120" s="115"/>
    </row>
    <row r="121" spans="1:61" ht="15.75" customHeight="1" x14ac:dyDescent="0.25">
      <c r="A121" s="11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W121" s="115"/>
      <c r="AX121" s="115"/>
      <c r="AY121" s="115"/>
      <c r="AZ121" s="115"/>
      <c r="BA121" s="115"/>
      <c r="BB121" s="115"/>
      <c r="BC121" s="115"/>
      <c r="BD121" s="115"/>
      <c r="BE121" s="115"/>
      <c r="BF121" s="115"/>
      <c r="BG121" s="115"/>
      <c r="BH121" s="115"/>
      <c r="BI121" s="115"/>
    </row>
    <row r="122" spans="1:61" ht="15.75" customHeight="1" x14ac:dyDescent="0.25">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115"/>
      <c r="BF122" s="115"/>
      <c r="BG122" s="115"/>
      <c r="BH122" s="115"/>
      <c r="BI122" s="115"/>
    </row>
    <row r="123" spans="1:61" ht="15.75" customHeight="1" x14ac:dyDescent="0.25">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c r="AN123" s="115"/>
      <c r="AO123" s="115"/>
      <c r="AP123" s="115"/>
      <c r="AQ123" s="115"/>
      <c r="AR123" s="115"/>
      <c r="AS123" s="115"/>
      <c r="AT123" s="115"/>
      <c r="AU123" s="115"/>
      <c r="AV123" s="115"/>
      <c r="AW123" s="115"/>
      <c r="AX123" s="115"/>
      <c r="AY123" s="115"/>
      <c r="AZ123" s="115"/>
      <c r="BA123" s="115"/>
      <c r="BB123" s="115"/>
      <c r="BC123" s="115"/>
      <c r="BD123" s="115"/>
      <c r="BE123" s="115"/>
      <c r="BF123" s="115"/>
      <c r="BG123" s="115"/>
      <c r="BH123" s="115"/>
      <c r="BI123" s="115"/>
    </row>
    <row r="124" spans="1:61" ht="15.75" customHeight="1" x14ac:dyDescent="0.25">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115"/>
      <c r="BH124" s="115"/>
      <c r="BI124" s="115"/>
    </row>
    <row r="125" spans="1:61" ht="15.75" customHeight="1" x14ac:dyDescent="0.25">
      <c r="B125" s="115"/>
      <c r="C125" s="115"/>
      <c r="D125" s="115"/>
      <c r="E125" s="115"/>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c r="BI125" s="115"/>
    </row>
    <row r="126" spans="1:61" ht="15.75" customHeight="1" x14ac:dyDescent="0.2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5"/>
      <c r="BF126" s="115"/>
      <c r="BG126" s="115"/>
      <c r="BH126" s="115"/>
      <c r="BI126" s="115"/>
    </row>
    <row r="127" spans="1:61" ht="15.75" customHeight="1" x14ac:dyDescent="0.25">
      <c r="B127" s="115"/>
      <c r="C127" s="115"/>
      <c r="D127" s="115"/>
      <c r="E127" s="115"/>
      <c r="F127" s="115"/>
      <c r="G127" s="115"/>
      <c r="H127" s="115"/>
      <c r="I127" s="115"/>
      <c r="J127" s="115"/>
      <c r="K127" s="115"/>
      <c r="L127" s="115"/>
      <c r="M127" s="115"/>
      <c r="N127" s="115"/>
      <c r="O127" s="115"/>
      <c r="P127" s="115"/>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c r="AN127" s="115"/>
      <c r="AO127" s="115"/>
      <c r="AP127" s="115"/>
      <c r="AQ127" s="115"/>
      <c r="AR127" s="115"/>
      <c r="AS127" s="115"/>
      <c r="AT127" s="115"/>
      <c r="AU127" s="115"/>
      <c r="AV127" s="115"/>
      <c r="AW127" s="115"/>
      <c r="AX127" s="115"/>
      <c r="AY127" s="115"/>
      <c r="AZ127" s="115"/>
      <c r="BA127" s="115"/>
      <c r="BB127" s="115"/>
      <c r="BC127" s="115"/>
      <c r="BD127" s="115"/>
      <c r="BE127" s="115"/>
      <c r="BF127" s="115"/>
      <c r="BG127" s="115"/>
      <c r="BH127" s="115"/>
      <c r="BI127" s="115"/>
    </row>
    <row r="128" spans="1:61" ht="15.75" customHeight="1" x14ac:dyDescent="0.25">
      <c r="B128" s="115"/>
      <c r="C128" s="115"/>
      <c r="D128" s="115"/>
      <c r="E128" s="115"/>
      <c r="F128" s="115"/>
      <c r="G128" s="115"/>
      <c r="H128" s="115"/>
      <c r="I128" s="115"/>
      <c r="J128" s="115"/>
      <c r="K128" s="115"/>
      <c r="L128" s="115"/>
      <c r="M128" s="115"/>
      <c r="N128" s="115"/>
      <c r="O128" s="115"/>
      <c r="P128" s="115"/>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c r="AN128" s="115"/>
      <c r="AO128" s="115"/>
      <c r="AP128" s="115"/>
      <c r="AQ128" s="115"/>
      <c r="AR128" s="115"/>
      <c r="AS128" s="115"/>
      <c r="AT128" s="115"/>
      <c r="AU128" s="115"/>
      <c r="AV128" s="115"/>
      <c r="AW128" s="115"/>
      <c r="AX128" s="115"/>
      <c r="AY128" s="115"/>
      <c r="AZ128" s="115"/>
      <c r="BA128" s="115"/>
      <c r="BB128" s="115"/>
      <c r="BC128" s="115"/>
      <c r="BD128" s="115"/>
      <c r="BE128" s="115"/>
      <c r="BF128" s="115"/>
      <c r="BG128" s="115"/>
      <c r="BH128" s="115"/>
      <c r="BI128" s="115"/>
    </row>
    <row r="129" spans="2:61" ht="15.75" customHeight="1" x14ac:dyDescent="0.2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c r="BG129" s="115"/>
      <c r="BH129" s="115"/>
      <c r="BI129" s="115"/>
    </row>
    <row r="130" spans="2:61" ht="15.75" customHeight="1" x14ac:dyDescent="0.25">
      <c r="B130" s="115"/>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15"/>
      <c r="BF130" s="115"/>
      <c r="BG130" s="115"/>
      <c r="BH130" s="115"/>
      <c r="BI130" s="115"/>
    </row>
    <row r="131" spans="2:61" ht="15.75" customHeight="1" x14ac:dyDescent="0.25">
      <c r="B131" s="115"/>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c r="AN131" s="115"/>
      <c r="AO131" s="115"/>
      <c r="AP131" s="115"/>
      <c r="AQ131" s="115"/>
      <c r="AR131" s="115"/>
      <c r="AS131" s="115"/>
      <c r="AT131" s="115"/>
      <c r="AU131" s="115"/>
      <c r="AV131" s="115"/>
      <c r="AW131" s="115"/>
      <c r="AX131" s="115"/>
      <c r="AY131" s="115"/>
      <c r="AZ131" s="115"/>
      <c r="BA131" s="115"/>
      <c r="BB131" s="115"/>
      <c r="BC131" s="115"/>
      <c r="BD131" s="115"/>
      <c r="BE131" s="115"/>
      <c r="BF131" s="115"/>
      <c r="BG131" s="115"/>
      <c r="BH131" s="115"/>
      <c r="BI131" s="115"/>
    </row>
    <row r="132" spans="2:61" ht="15.75" customHeight="1" x14ac:dyDescent="0.2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c r="BI132" s="115"/>
    </row>
    <row r="133" spans="2:61" ht="15.75" customHeight="1" x14ac:dyDescent="0.2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c r="AN133" s="115"/>
      <c r="AO133" s="115"/>
      <c r="AP133" s="115"/>
      <c r="AQ133" s="115"/>
      <c r="AR133" s="115"/>
      <c r="AS133" s="115"/>
      <c r="AT133" s="115"/>
      <c r="AU133" s="115"/>
      <c r="AV133" s="115"/>
      <c r="AW133" s="115"/>
      <c r="AX133" s="115"/>
      <c r="AY133" s="115"/>
      <c r="AZ133" s="115"/>
      <c r="BA133" s="115"/>
      <c r="BB133" s="115"/>
      <c r="BC133" s="115"/>
      <c r="BD133" s="115"/>
      <c r="BE133" s="115"/>
      <c r="BF133" s="115"/>
      <c r="BG133" s="115"/>
      <c r="BH133" s="115"/>
      <c r="BI133" s="115"/>
    </row>
    <row r="134" spans="2:61" ht="15.75" customHeight="1" x14ac:dyDescent="0.25">
      <c r="B134" s="115"/>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c r="BF134" s="115"/>
      <c r="BG134" s="115"/>
      <c r="BH134" s="115"/>
      <c r="BI134" s="115"/>
    </row>
    <row r="135" spans="2:61" ht="15.75" customHeight="1" x14ac:dyDescent="0.25">
      <c r="B135" s="115"/>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115"/>
      <c r="BH135" s="115"/>
      <c r="BI135" s="115"/>
    </row>
    <row r="136" spans="2:61" ht="15.75" customHeight="1" x14ac:dyDescent="0.25">
      <c r="B136" s="115"/>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c r="AN136" s="115"/>
      <c r="AO136" s="115"/>
      <c r="AP136" s="115"/>
      <c r="AQ136" s="115"/>
      <c r="AR136" s="115"/>
      <c r="AS136" s="115"/>
      <c r="AT136" s="115"/>
      <c r="AU136" s="115"/>
      <c r="AV136" s="115"/>
      <c r="AW136" s="115"/>
      <c r="AX136" s="115"/>
      <c r="AY136" s="115"/>
      <c r="AZ136" s="115"/>
      <c r="BA136" s="115"/>
      <c r="BB136" s="115"/>
      <c r="BC136" s="115"/>
      <c r="BD136" s="115"/>
      <c r="BE136" s="115"/>
      <c r="BF136" s="115"/>
      <c r="BG136" s="115"/>
      <c r="BH136" s="115"/>
      <c r="BI136" s="115"/>
    </row>
    <row r="137" spans="2:61" ht="15.75" customHeight="1" x14ac:dyDescent="0.25">
      <c r="B137" s="115"/>
      <c r="C137" s="115"/>
      <c r="D137" s="115"/>
      <c r="E137" s="115"/>
      <c r="F137" s="115"/>
      <c r="G137" s="115"/>
      <c r="H137" s="115"/>
      <c r="I137" s="115"/>
    </row>
    <row r="138" spans="2:61" ht="15.75" customHeight="1" x14ac:dyDescent="0.25">
      <c r="B138" s="115"/>
      <c r="C138" s="115"/>
      <c r="D138" s="115"/>
      <c r="E138" s="115"/>
      <c r="F138" s="115"/>
      <c r="G138" s="115"/>
      <c r="H138" s="115"/>
      <c r="I138" s="115"/>
    </row>
    <row r="139" spans="2:61" ht="15.75" customHeight="1" x14ac:dyDescent="0.25">
      <c r="B139" s="115"/>
      <c r="C139" s="115"/>
      <c r="D139" s="115"/>
      <c r="E139" s="115"/>
      <c r="F139" s="115"/>
      <c r="G139" s="115"/>
      <c r="H139" s="115"/>
      <c r="I139" s="115"/>
    </row>
    <row r="140" spans="2:61" ht="15.75" customHeight="1" x14ac:dyDescent="0.25">
      <c r="B140" s="115"/>
      <c r="C140" s="115"/>
      <c r="D140" s="115"/>
      <c r="E140" s="115"/>
      <c r="F140" s="115"/>
      <c r="G140" s="115"/>
      <c r="H140" s="115"/>
      <c r="I140" s="115"/>
    </row>
    <row r="141" spans="2:61" ht="15.75" customHeight="1" x14ac:dyDescent="0.2"/>
    <row r="142" spans="2:61" ht="15.75" customHeight="1" x14ac:dyDescent="0.2"/>
    <row r="143" spans="2:61" ht="15.75" customHeight="1" x14ac:dyDescent="0.2"/>
    <row r="144" spans="2:61"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17">
    <mergeCell ref="B2:I4"/>
    <mergeCell ref="J2:AM4"/>
    <mergeCell ref="B6:D45"/>
    <mergeCell ref="E6:I13"/>
    <mergeCell ref="J6:K7"/>
    <mergeCell ref="L6:M7"/>
    <mergeCell ref="N6:O7"/>
    <mergeCell ref="P6:Q7"/>
    <mergeCell ref="R6:S7"/>
    <mergeCell ref="T6:U7"/>
    <mergeCell ref="AH6:AI7"/>
    <mergeCell ref="AJ6:AK7"/>
    <mergeCell ref="AL6:AM7"/>
    <mergeCell ref="X8:Y9"/>
    <mergeCell ref="Z8:AA9"/>
    <mergeCell ref="AB8:AC9"/>
    <mergeCell ref="AD8:AE9"/>
    <mergeCell ref="AF8:AG9"/>
    <mergeCell ref="AJ10:AK11"/>
    <mergeCell ref="AL10:AM11"/>
    <mergeCell ref="J12:K13"/>
    <mergeCell ref="L12:M13"/>
    <mergeCell ref="N12:O13"/>
    <mergeCell ref="P12:Q13"/>
    <mergeCell ref="AO6:AT13"/>
    <mergeCell ref="J8:K9"/>
    <mergeCell ref="L8:M9"/>
    <mergeCell ref="N8:O9"/>
    <mergeCell ref="P8:Q9"/>
    <mergeCell ref="R8:S9"/>
    <mergeCell ref="T8:U9"/>
    <mergeCell ref="V6:W7"/>
    <mergeCell ref="X6:Y7"/>
    <mergeCell ref="Z6:AA7"/>
    <mergeCell ref="AB6:AC7"/>
    <mergeCell ref="AD6:AE7"/>
    <mergeCell ref="AF6:AG7"/>
    <mergeCell ref="AH8:AI9"/>
    <mergeCell ref="AJ8:AK9"/>
    <mergeCell ref="AL8:AM9"/>
    <mergeCell ref="J10:K11"/>
    <mergeCell ref="L10:M11"/>
    <mergeCell ref="N10:O11"/>
    <mergeCell ref="P10:Q11"/>
    <mergeCell ref="R10:S11"/>
    <mergeCell ref="T10:U11"/>
    <mergeCell ref="V10:W11"/>
    <mergeCell ref="V8:W9"/>
    <mergeCell ref="R12:S13"/>
    <mergeCell ref="T12:U13"/>
    <mergeCell ref="V12:W13"/>
    <mergeCell ref="X12:Y13"/>
    <mergeCell ref="X10:Y11"/>
    <mergeCell ref="Z10:AA11"/>
    <mergeCell ref="AB10:AC11"/>
    <mergeCell ref="AD10:AE11"/>
    <mergeCell ref="AF10:AG11"/>
    <mergeCell ref="AH10:AI11"/>
    <mergeCell ref="AL12:AM13"/>
    <mergeCell ref="E14:I21"/>
    <mergeCell ref="J14:K15"/>
    <mergeCell ref="L14:M15"/>
    <mergeCell ref="N14:O15"/>
    <mergeCell ref="P14:Q15"/>
    <mergeCell ref="R14:S15"/>
    <mergeCell ref="T14:U15"/>
    <mergeCell ref="V14:W15"/>
    <mergeCell ref="X14:Y15"/>
    <mergeCell ref="Z12:AA13"/>
    <mergeCell ref="AB12:AC13"/>
    <mergeCell ref="AD12:AE13"/>
    <mergeCell ref="AF12:AG13"/>
    <mergeCell ref="AH12:AI13"/>
    <mergeCell ref="AJ12:AK13"/>
    <mergeCell ref="AL14:AM15"/>
    <mergeCell ref="N18:O19"/>
    <mergeCell ref="P18:Q19"/>
    <mergeCell ref="R18:S19"/>
    <mergeCell ref="T18:U19"/>
    <mergeCell ref="V18:W19"/>
    <mergeCell ref="X18:Y19"/>
    <mergeCell ref="AO14:AT21"/>
    <mergeCell ref="J16:K17"/>
    <mergeCell ref="L16:M17"/>
    <mergeCell ref="N16:O17"/>
    <mergeCell ref="P16:Q17"/>
    <mergeCell ref="R16:S17"/>
    <mergeCell ref="T16:U17"/>
    <mergeCell ref="V16:W17"/>
    <mergeCell ref="X16:Y17"/>
    <mergeCell ref="Z14:AA15"/>
    <mergeCell ref="AB14:AC15"/>
    <mergeCell ref="AD14:AE15"/>
    <mergeCell ref="AF14:AG15"/>
    <mergeCell ref="AH14:AI15"/>
    <mergeCell ref="AJ14:AK15"/>
    <mergeCell ref="AB18:AC19"/>
    <mergeCell ref="AD18:AE19"/>
    <mergeCell ref="AF18:AG19"/>
    <mergeCell ref="AH18:AI19"/>
    <mergeCell ref="AJ18:AK19"/>
    <mergeCell ref="AL18:AM19"/>
    <mergeCell ref="AL16:AM17"/>
    <mergeCell ref="J18:K19"/>
    <mergeCell ref="L18:M19"/>
    <mergeCell ref="Z18:AA19"/>
    <mergeCell ref="Z16:AA17"/>
    <mergeCell ref="AB16:AC17"/>
    <mergeCell ref="AD16:AE17"/>
    <mergeCell ref="AF16:AG17"/>
    <mergeCell ref="AH16:AI17"/>
    <mergeCell ref="AJ16:AK17"/>
    <mergeCell ref="AH20:AI21"/>
    <mergeCell ref="AJ20:AK21"/>
    <mergeCell ref="AL20:AM21"/>
    <mergeCell ref="E22:I29"/>
    <mergeCell ref="J22:K23"/>
    <mergeCell ref="L22:M23"/>
    <mergeCell ref="N22:O23"/>
    <mergeCell ref="P22:Q23"/>
    <mergeCell ref="R22:S23"/>
    <mergeCell ref="T22:U23"/>
    <mergeCell ref="V20:W21"/>
    <mergeCell ref="X20:Y21"/>
    <mergeCell ref="Z20:AA21"/>
    <mergeCell ref="AB20:AC21"/>
    <mergeCell ref="AD20:AE21"/>
    <mergeCell ref="AF20:AG21"/>
    <mergeCell ref="J20:K21"/>
    <mergeCell ref="L20:M21"/>
    <mergeCell ref="N20:O21"/>
    <mergeCell ref="P20:Q21"/>
    <mergeCell ref="R20:S21"/>
    <mergeCell ref="T20:U21"/>
    <mergeCell ref="AH22:AI23"/>
    <mergeCell ref="AJ22:AK23"/>
    <mergeCell ref="AL22:AM23"/>
    <mergeCell ref="X24:Y25"/>
    <mergeCell ref="AO22:AT29"/>
    <mergeCell ref="J24:K25"/>
    <mergeCell ref="L24:M25"/>
    <mergeCell ref="N24:O25"/>
    <mergeCell ref="P24:Q25"/>
    <mergeCell ref="R24:S25"/>
    <mergeCell ref="T24:U25"/>
    <mergeCell ref="V22:W23"/>
    <mergeCell ref="X22:Y23"/>
    <mergeCell ref="Z22:AA23"/>
    <mergeCell ref="AB22:AC23"/>
    <mergeCell ref="AD22:AE23"/>
    <mergeCell ref="AF22:AG23"/>
    <mergeCell ref="AH24:AI25"/>
    <mergeCell ref="AJ24:AK25"/>
    <mergeCell ref="AL24:AM25"/>
    <mergeCell ref="J26:K27"/>
    <mergeCell ref="L26:M27"/>
    <mergeCell ref="N26:O27"/>
    <mergeCell ref="P26:Q27"/>
    <mergeCell ref="R26:S27"/>
    <mergeCell ref="T26:U27"/>
    <mergeCell ref="V26:W27"/>
    <mergeCell ref="V24:W25"/>
    <mergeCell ref="Z24:AA25"/>
    <mergeCell ref="AB24:AC25"/>
    <mergeCell ref="AD24:AE25"/>
    <mergeCell ref="AF24:AG25"/>
    <mergeCell ref="AJ26:AK27"/>
    <mergeCell ref="AL26:AM27"/>
    <mergeCell ref="J28:K29"/>
    <mergeCell ref="L28:M29"/>
    <mergeCell ref="N28:O29"/>
    <mergeCell ref="P28:Q29"/>
    <mergeCell ref="R28:S29"/>
    <mergeCell ref="T28:U29"/>
    <mergeCell ref="V28:W29"/>
    <mergeCell ref="X28:Y29"/>
    <mergeCell ref="X26:Y27"/>
    <mergeCell ref="Z26:AA27"/>
    <mergeCell ref="AB26:AC27"/>
    <mergeCell ref="AD26:AE27"/>
    <mergeCell ref="AF26:AG27"/>
    <mergeCell ref="AH26:AI27"/>
    <mergeCell ref="AL28:AM29"/>
    <mergeCell ref="Z28:AA29"/>
    <mergeCell ref="AB28:AC29"/>
    <mergeCell ref="AD28:AE29"/>
    <mergeCell ref="E30:I37"/>
    <mergeCell ref="J30:K31"/>
    <mergeCell ref="L30:M31"/>
    <mergeCell ref="N30:O31"/>
    <mergeCell ref="P30:Q31"/>
    <mergeCell ref="R30:S31"/>
    <mergeCell ref="T30:U31"/>
    <mergeCell ref="V30:W31"/>
    <mergeCell ref="X30:Y31"/>
    <mergeCell ref="AF28:AG29"/>
    <mergeCell ref="AH28:AI29"/>
    <mergeCell ref="AJ28:AK29"/>
    <mergeCell ref="AL30:AM31"/>
    <mergeCell ref="AO30:AT37"/>
    <mergeCell ref="J32:K33"/>
    <mergeCell ref="L32:M33"/>
    <mergeCell ref="N32:O33"/>
    <mergeCell ref="P32:Q33"/>
    <mergeCell ref="R32:S33"/>
    <mergeCell ref="T32:U33"/>
    <mergeCell ref="V32:W33"/>
    <mergeCell ref="X32:Y33"/>
    <mergeCell ref="Z30:AA31"/>
    <mergeCell ref="AB30:AC31"/>
    <mergeCell ref="AD30:AE31"/>
    <mergeCell ref="AF30:AG31"/>
    <mergeCell ref="AH30:AI31"/>
    <mergeCell ref="AJ30:AK31"/>
    <mergeCell ref="AB34:AC35"/>
    <mergeCell ref="AD34:AE35"/>
    <mergeCell ref="AF34:AG35"/>
    <mergeCell ref="AH34:AI35"/>
    <mergeCell ref="AJ34:AK35"/>
    <mergeCell ref="AL34:AM35"/>
    <mergeCell ref="AL32:AM33"/>
    <mergeCell ref="J34:K35"/>
    <mergeCell ref="L34:M35"/>
    <mergeCell ref="N34:O35"/>
    <mergeCell ref="P34:Q35"/>
    <mergeCell ref="R34:S35"/>
    <mergeCell ref="T34:U35"/>
    <mergeCell ref="V34:W35"/>
    <mergeCell ref="X34:Y35"/>
    <mergeCell ref="Z34:AA35"/>
    <mergeCell ref="Z32:AA33"/>
    <mergeCell ref="AB32:AC33"/>
    <mergeCell ref="AD32:AE33"/>
    <mergeCell ref="AF32:AG33"/>
    <mergeCell ref="AH32:AI33"/>
    <mergeCell ref="AJ32:AK33"/>
    <mergeCell ref="AH36:AI37"/>
    <mergeCell ref="AJ36:AK37"/>
    <mergeCell ref="AL36:AM37"/>
    <mergeCell ref="E38:I45"/>
    <mergeCell ref="J38:K39"/>
    <mergeCell ref="L38:M39"/>
    <mergeCell ref="N38:O39"/>
    <mergeCell ref="P38:Q39"/>
    <mergeCell ref="R38:S39"/>
    <mergeCell ref="T38:U39"/>
    <mergeCell ref="V36:W37"/>
    <mergeCell ref="X36:Y37"/>
    <mergeCell ref="Z36:AA37"/>
    <mergeCell ref="AB36:AC37"/>
    <mergeCell ref="AD36:AE37"/>
    <mergeCell ref="AF36:AG37"/>
    <mergeCell ref="J36:K37"/>
    <mergeCell ref="L36:M37"/>
    <mergeCell ref="N36:O37"/>
    <mergeCell ref="P36:Q37"/>
    <mergeCell ref="R36:S37"/>
    <mergeCell ref="T36:U37"/>
    <mergeCell ref="AH38:AI39"/>
    <mergeCell ref="AJ38:AK39"/>
    <mergeCell ref="X40:Y41"/>
    <mergeCell ref="AL38:AM39"/>
    <mergeCell ref="J40:K41"/>
    <mergeCell ref="L40:M41"/>
    <mergeCell ref="N40:O41"/>
    <mergeCell ref="P40:Q41"/>
    <mergeCell ref="R40:S41"/>
    <mergeCell ref="T40:U41"/>
    <mergeCell ref="V40:W41"/>
    <mergeCell ref="V38:W39"/>
    <mergeCell ref="X38:Y39"/>
    <mergeCell ref="Z38:AA39"/>
    <mergeCell ref="AB38:AC39"/>
    <mergeCell ref="AD38:AE39"/>
    <mergeCell ref="AF38:AG39"/>
    <mergeCell ref="AJ40:AK41"/>
    <mergeCell ref="AL40:AM41"/>
    <mergeCell ref="Z40:AA41"/>
    <mergeCell ref="AB40:AC41"/>
    <mergeCell ref="AD40:AE41"/>
    <mergeCell ref="AF40:AG41"/>
    <mergeCell ref="AH40:AI41"/>
    <mergeCell ref="AL42:AM43"/>
    <mergeCell ref="J44:K45"/>
    <mergeCell ref="L44:M45"/>
    <mergeCell ref="N44:O45"/>
    <mergeCell ref="P44:Q45"/>
    <mergeCell ref="R44:S45"/>
    <mergeCell ref="T44:U45"/>
    <mergeCell ref="V44:W45"/>
    <mergeCell ref="X44:Y45"/>
    <mergeCell ref="Z44:AA45"/>
    <mergeCell ref="Z42:AA43"/>
    <mergeCell ref="AB42:AC43"/>
    <mergeCell ref="AD42:AE43"/>
    <mergeCell ref="AF42:AG43"/>
    <mergeCell ref="AH42:AI43"/>
    <mergeCell ref="AJ42:AK43"/>
    <mergeCell ref="J42:K43"/>
    <mergeCell ref="L42:M43"/>
    <mergeCell ref="N42:O43"/>
    <mergeCell ref="P42:Q43"/>
    <mergeCell ref="R42:S43"/>
    <mergeCell ref="T42:U43"/>
    <mergeCell ref="V42:W43"/>
    <mergeCell ref="X42:Y43"/>
    <mergeCell ref="J46:O51"/>
    <mergeCell ref="P46:U51"/>
    <mergeCell ref="V46:AA51"/>
    <mergeCell ref="AB46:AG51"/>
    <mergeCell ref="AH46:AM51"/>
    <mergeCell ref="AB44:AC45"/>
    <mergeCell ref="AD44:AE45"/>
    <mergeCell ref="AF44:AG45"/>
    <mergeCell ref="AH44:AI45"/>
    <mergeCell ref="AJ44:AK45"/>
    <mergeCell ref="AL44:AM45"/>
  </mergeCells>
  <pageMargins left="0.70866141732283472" right="0.70866141732283472" top="0.74803149606299213" bottom="0.74803149606299213" header="0" footer="0"/>
  <pageSetup scale="34" orientation="portrait" r:id="rId1"/>
  <headerFooter>
    <oddHeader>&amp;L&amp;G&amp;C
MATRIZ DE RIESGOS&amp;RCódigo:E-02-F-014
Versión: 4
Fecha: Ver Isolución</oddHeader>
  </headerFooter>
  <colBreaks count="1" manualBreakCount="1">
    <brk id="46" max="139" man="1"/>
  </col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9CAA4-36A7-4106-A762-4E40B05FE200}">
  <sheetPr>
    <tabColor rgb="FF00B050"/>
  </sheetPr>
  <dimension ref="A1:BI1000"/>
  <sheetViews>
    <sheetView showGridLines="0" zoomScale="40" zoomScaleNormal="40" workbookViewId="0">
      <selection activeCell="BA41" sqref="BA41"/>
    </sheetView>
  </sheetViews>
  <sheetFormatPr baseColWidth="10" defaultColWidth="12.625" defaultRowHeight="15" customHeight="1" x14ac:dyDescent="0.2"/>
  <cols>
    <col min="1" max="1" width="9.375" customWidth="1"/>
    <col min="2" max="18" width="5" customWidth="1"/>
    <col min="19" max="19" width="7.375" customWidth="1"/>
    <col min="20" max="23" width="5" customWidth="1"/>
    <col min="24" max="24" width="7.5" customWidth="1"/>
    <col min="25" max="26" width="5" customWidth="1"/>
    <col min="27" max="27" width="9.375" customWidth="1"/>
    <col min="28" max="28" width="5" customWidth="1"/>
    <col min="29" max="29" width="6.5" customWidth="1"/>
    <col min="30" max="33" width="5" customWidth="1"/>
    <col min="34" max="34" width="7.5" customWidth="1"/>
    <col min="35" max="39" width="5" customWidth="1"/>
    <col min="40" max="40" width="9.375" customWidth="1"/>
    <col min="41" max="46" width="5" customWidth="1"/>
    <col min="47" max="61" width="9.375" customWidth="1"/>
  </cols>
  <sheetData>
    <row r="1" spans="1:61" x14ac:dyDescent="0.25">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row>
    <row r="2" spans="1:61" ht="18" customHeight="1" x14ac:dyDescent="0.25">
      <c r="A2" s="115"/>
      <c r="B2" s="824" t="s">
        <v>17</v>
      </c>
      <c r="C2" s="804"/>
      <c r="D2" s="804"/>
      <c r="E2" s="804"/>
      <c r="F2" s="804"/>
      <c r="G2" s="804"/>
      <c r="H2" s="804"/>
      <c r="I2" s="804"/>
      <c r="J2" s="817" t="s">
        <v>1</v>
      </c>
      <c r="K2" s="781"/>
      <c r="L2" s="781"/>
      <c r="M2" s="781"/>
      <c r="N2" s="781"/>
      <c r="O2" s="781"/>
      <c r="P2" s="781"/>
      <c r="Q2" s="781"/>
      <c r="R2" s="781"/>
      <c r="S2" s="781"/>
      <c r="T2" s="781"/>
      <c r="U2" s="781"/>
      <c r="V2" s="781"/>
      <c r="W2" s="781"/>
      <c r="X2" s="781"/>
      <c r="Y2" s="781"/>
      <c r="Z2" s="781"/>
      <c r="AA2" s="781"/>
      <c r="AB2" s="781"/>
      <c r="AC2" s="781"/>
      <c r="AD2" s="781"/>
      <c r="AE2" s="781"/>
      <c r="AF2" s="781"/>
      <c r="AG2" s="781"/>
      <c r="AH2" s="781"/>
      <c r="AI2" s="781"/>
      <c r="AJ2" s="781"/>
      <c r="AK2" s="781"/>
      <c r="AL2" s="781"/>
      <c r="AM2" s="781"/>
      <c r="AN2" s="115"/>
      <c r="AO2" s="115"/>
      <c r="AP2" s="115"/>
      <c r="AQ2" s="115"/>
      <c r="AR2" s="115"/>
      <c r="AS2" s="115"/>
      <c r="AT2" s="115"/>
      <c r="AU2" s="115"/>
      <c r="AV2" s="115"/>
      <c r="AW2" s="115"/>
      <c r="AX2" s="115"/>
      <c r="AY2" s="115"/>
      <c r="AZ2" s="115"/>
      <c r="BA2" s="115"/>
      <c r="BB2" s="115"/>
      <c r="BC2" s="115"/>
      <c r="BD2" s="115"/>
      <c r="BE2" s="115"/>
      <c r="BF2" s="115"/>
      <c r="BG2" s="115"/>
      <c r="BH2" s="115"/>
      <c r="BI2" s="115"/>
    </row>
    <row r="3" spans="1:61" ht="18.75" customHeight="1" x14ac:dyDescent="0.25">
      <c r="A3" s="115"/>
      <c r="B3" s="804"/>
      <c r="C3" s="804"/>
      <c r="D3" s="804"/>
      <c r="E3" s="804"/>
      <c r="F3" s="804"/>
      <c r="G3" s="804"/>
      <c r="H3" s="804"/>
      <c r="I3" s="804"/>
      <c r="J3" s="781"/>
      <c r="K3" s="804"/>
      <c r="L3" s="804"/>
      <c r="M3" s="804"/>
      <c r="N3" s="804"/>
      <c r="O3" s="804"/>
      <c r="P3" s="804"/>
      <c r="Q3" s="804"/>
      <c r="R3" s="804"/>
      <c r="S3" s="804"/>
      <c r="T3" s="804"/>
      <c r="U3" s="804"/>
      <c r="V3" s="804"/>
      <c r="W3" s="804"/>
      <c r="X3" s="804"/>
      <c r="Y3" s="804"/>
      <c r="Z3" s="804"/>
      <c r="AA3" s="804"/>
      <c r="AB3" s="804"/>
      <c r="AC3" s="804"/>
      <c r="AD3" s="804"/>
      <c r="AE3" s="804"/>
      <c r="AF3" s="804"/>
      <c r="AG3" s="804"/>
      <c r="AH3" s="804"/>
      <c r="AI3" s="804"/>
      <c r="AJ3" s="804"/>
      <c r="AK3" s="804"/>
      <c r="AL3" s="804"/>
      <c r="AM3" s="781"/>
      <c r="AN3" s="115"/>
      <c r="AO3" s="115"/>
      <c r="AP3" s="115"/>
      <c r="AQ3" s="115"/>
      <c r="AR3" s="115"/>
      <c r="AS3" s="115"/>
      <c r="AT3" s="115"/>
      <c r="AU3" s="115"/>
      <c r="AV3" s="115"/>
      <c r="AW3" s="115"/>
      <c r="AX3" s="115"/>
      <c r="AY3" s="115"/>
      <c r="AZ3" s="115"/>
      <c r="BA3" s="115"/>
      <c r="BB3" s="115"/>
      <c r="BC3" s="115"/>
      <c r="BD3" s="115"/>
      <c r="BE3" s="115"/>
      <c r="BF3" s="115"/>
      <c r="BG3" s="115"/>
      <c r="BH3" s="115"/>
      <c r="BI3" s="115"/>
    </row>
    <row r="4" spans="1:61" ht="15" customHeight="1" x14ac:dyDescent="0.25">
      <c r="A4" s="115"/>
      <c r="B4" s="804"/>
      <c r="C4" s="804"/>
      <c r="D4" s="804"/>
      <c r="E4" s="804"/>
      <c r="F4" s="804"/>
      <c r="G4" s="804"/>
      <c r="H4" s="804"/>
      <c r="I4" s="804"/>
      <c r="J4" s="781"/>
      <c r="K4" s="781"/>
      <c r="L4" s="781"/>
      <c r="M4" s="781"/>
      <c r="N4" s="781"/>
      <c r="O4" s="781"/>
      <c r="P4" s="781"/>
      <c r="Q4" s="781"/>
      <c r="R4" s="781"/>
      <c r="S4" s="781"/>
      <c r="T4" s="781"/>
      <c r="U4" s="781"/>
      <c r="V4" s="781"/>
      <c r="W4" s="781"/>
      <c r="X4" s="781"/>
      <c r="Y4" s="781"/>
      <c r="Z4" s="781"/>
      <c r="AA4" s="781"/>
      <c r="AB4" s="781"/>
      <c r="AC4" s="781"/>
      <c r="AD4" s="781"/>
      <c r="AE4" s="781"/>
      <c r="AF4" s="781"/>
      <c r="AG4" s="781"/>
      <c r="AH4" s="781"/>
      <c r="AI4" s="781"/>
      <c r="AJ4" s="781"/>
      <c r="AK4" s="781"/>
      <c r="AL4" s="781"/>
      <c r="AM4" s="781"/>
      <c r="AN4" s="115"/>
      <c r="AO4" s="115"/>
      <c r="AP4" s="115"/>
      <c r="AQ4" s="115"/>
      <c r="AR4" s="115"/>
      <c r="AS4" s="115"/>
      <c r="AT4" s="115"/>
      <c r="AU4" s="115"/>
      <c r="AV4" s="115"/>
      <c r="AW4" s="115"/>
      <c r="AX4" s="115"/>
      <c r="AY4" s="115"/>
      <c r="AZ4" s="115"/>
      <c r="BA4" s="115"/>
      <c r="BB4" s="115"/>
      <c r="BC4" s="115"/>
      <c r="BD4" s="115"/>
      <c r="BE4" s="115"/>
      <c r="BF4" s="115"/>
      <c r="BG4" s="115"/>
      <c r="BH4" s="115"/>
      <c r="BI4" s="115"/>
    </row>
    <row r="5" spans="1:61" ht="15.75" thickBot="1" x14ac:dyDescent="0.3">
      <c r="A5" s="115"/>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c r="BI5" s="115"/>
    </row>
    <row r="6" spans="1:61" ht="15" customHeight="1" x14ac:dyDescent="0.25">
      <c r="A6" s="115"/>
      <c r="B6" s="818" t="s">
        <v>2</v>
      </c>
      <c r="C6" s="781"/>
      <c r="D6" s="780"/>
      <c r="E6" s="823" t="s">
        <v>3</v>
      </c>
      <c r="F6" s="786"/>
      <c r="G6" s="786"/>
      <c r="H6" s="786"/>
      <c r="I6" s="794"/>
      <c r="J6" s="19" t="e">
        <f>IF(AND(#REF!="Muy Alta",#REF!="Leve"),CONCATENATE("R1C",#REF!),"")</f>
        <v>#REF!</v>
      </c>
      <c r="K6" s="20" t="e">
        <f>IF(AND(#REF!="Muy Alta",#REF!="Leve"),CONCATENATE("R1C",#REF!),"")</f>
        <v>#REF!</v>
      </c>
      <c r="L6" s="20" t="e">
        <f>IF(AND(#REF!="Muy Alta",#REF!="Leve"),CONCATENATE("R1C",#REF!),"")</f>
        <v>#REF!</v>
      </c>
      <c r="M6" s="20" t="e">
        <f>IF(AND(#REF!="Muy Alta",#REF!="Leve"),CONCATENATE("R1C",#REF!),"")</f>
        <v>#REF!</v>
      </c>
      <c r="N6" s="20" t="e">
        <f>IF(AND(#REF!="Muy Alta",#REF!="Leve"),CONCATENATE("R1C",#REF!),"")</f>
        <v>#REF!</v>
      </c>
      <c r="O6" s="21" t="e">
        <f>IF(AND(#REF!="Muy Alta",#REF!="Leve"),CONCATENATE("R1C",#REF!),"")</f>
        <v>#REF!</v>
      </c>
      <c r="P6" s="19" t="e">
        <f>IF(AND(#REF!="Muy Alta",#REF!="Menor"),CONCATENATE("R1C",#REF!),"")</f>
        <v>#REF!</v>
      </c>
      <c r="Q6" s="20" t="e">
        <f>IF(AND(#REF!="Muy Alta",#REF!="Menor"),CONCATENATE("R1C",#REF!),"")</f>
        <v>#REF!</v>
      </c>
      <c r="R6" s="20" t="e">
        <f>IF(AND(#REF!="Muy Alta",#REF!="Menor"),CONCATENATE("R1C",#REF!),"")</f>
        <v>#REF!</v>
      </c>
      <c r="S6" s="20" t="e">
        <f>IF(AND(#REF!="Muy Alta",#REF!="Menor"),CONCATENATE("R1C",#REF!),"")</f>
        <v>#REF!</v>
      </c>
      <c r="T6" s="20" t="e">
        <f>IF(AND(#REF!="Muy Alta",#REF!="Menor"),CONCATENATE("R1C",#REF!),"")</f>
        <v>#REF!</v>
      </c>
      <c r="U6" s="21" t="e">
        <f>IF(AND(#REF!="Muy Alta",#REF!="Menor"),CONCATENATE("R1C",#REF!),"")</f>
        <v>#REF!</v>
      </c>
      <c r="V6" s="19" t="e">
        <f>IF(AND(#REF!="Muy Alta",#REF!="Moderado"),CONCATENATE("R1C",#REF!),"")</f>
        <v>#REF!</v>
      </c>
      <c r="W6" s="20" t="e">
        <f>IF(AND(#REF!="Muy Alta",#REF!="Moderado"),CONCATENATE("R1C",#REF!),"")</f>
        <v>#REF!</v>
      </c>
      <c r="X6" s="20" t="e">
        <f>IF(AND(#REF!="Muy Alta",#REF!="Moderado"),CONCATENATE("R1C",#REF!),"")</f>
        <v>#REF!</v>
      </c>
      <c r="Y6" s="20" t="e">
        <f>IF(AND(#REF!="Muy Alta",#REF!="Moderado"),CONCATENATE("R1C",#REF!),"")</f>
        <v>#REF!</v>
      </c>
      <c r="Z6" s="20" t="e">
        <f>IF(AND(#REF!="Muy Alta",#REF!="Moderado"),CONCATENATE("R1C",#REF!),"")</f>
        <v>#REF!</v>
      </c>
      <c r="AA6" s="21" t="e">
        <f>IF(AND(#REF!="Muy Alta",#REF!="Moderado"),CONCATENATE("R1C",#REF!),"")</f>
        <v>#REF!</v>
      </c>
      <c r="AB6" s="19" t="e">
        <f>IF(AND(#REF!="Muy Alta",#REF!="Mayor"),CONCATENATE("R1C",#REF!),"")</f>
        <v>#REF!</v>
      </c>
      <c r="AC6" s="20" t="e">
        <f>IF(AND(#REF!="Muy Alta",#REF!="Mayor"),CONCATENATE("R1C",#REF!),"")</f>
        <v>#REF!</v>
      </c>
      <c r="AD6" s="20" t="e">
        <f>IF(AND(#REF!="Muy Alta",#REF!="Mayor"),CONCATENATE("R1C",#REF!),"")</f>
        <v>#REF!</v>
      </c>
      <c r="AE6" s="20" t="e">
        <f>IF(AND(#REF!="Muy Alta",#REF!="Mayor"),CONCATENATE("R1C",#REF!),"")</f>
        <v>#REF!</v>
      </c>
      <c r="AF6" s="20" t="e">
        <f>IF(AND(#REF!="Muy Alta",#REF!="Mayor"),CONCATENATE("R1C",#REF!),"")</f>
        <v>#REF!</v>
      </c>
      <c r="AG6" s="21" t="e">
        <f>IF(AND(#REF!="Muy Alta",#REF!="Mayor"),CONCATENATE("R1C",#REF!),"")</f>
        <v>#REF!</v>
      </c>
      <c r="AH6" s="22" t="e">
        <f>IF(AND(#REF!="Muy Alta",#REF!="Catastrófico"),CONCATENATE("R1C",#REF!),"")</f>
        <v>#REF!</v>
      </c>
      <c r="AI6" s="23" t="e">
        <f>IF(AND(#REF!="Muy Alta",#REF!="Catastrófico"),CONCATENATE("R1C",#REF!),"")</f>
        <v>#REF!</v>
      </c>
      <c r="AJ6" s="23" t="e">
        <f>IF(AND(#REF!="Muy Alta",#REF!="Catastrófico"),CONCATENATE("R1C",#REF!),"")</f>
        <v>#REF!</v>
      </c>
      <c r="AK6" s="23" t="e">
        <f>IF(AND(#REF!="Muy Alta",#REF!="Catastrófico"),CONCATENATE("R1C",#REF!),"")</f>
        <v>#REF!</v>
      </c>
      <c r="AL6" s="23" t="e">
        <f>IF(AND(#REF!="Muy Alta",#REF!="Catastrófico"),CONCATENATE("R1C",#REF!),"")</f>
        <v>#REF!</v>
      </c>
      <c r="AM6" s="24" t="e">
        <f>IF(AND(#REF!="Muy Alta",#REF!="Catastrófico"),CONCATENATE("R1C",#REF!),"")</f>
        <v>#REF!</v>
      </c>
      <c r="AN6" s="115"/>
      <c r="AO6" s="821" t="s">
        <v>4</v>
      </c>
      <c r="AP6" s="801"/>
      <c r="AQ6" s="801"/>
      <c r="AR6" s="801"/>
      <c r="AS6" s="801"/>
      <c r="AT6" s="802"/>
      <c r="AU6" s="115"/>
      <c r="AV6" s="115"/>
      <c r="AW6" s="115"/>
      <c r="AX6" s="115"/>
      <c r="AY6" s="115"/>
      <c r="AZ6" s="115"/>
      <c r="BA6" s="115"/>
      <c r="BB6" s="115"/>
      <c r="BC6" s="115"/>
      <c r="BD6" s="115"/>
      <c r="BE6" s="115"/>
      <c r="BF6" s="115"/>
      <c r="BG6" s="115"/>
      <c r="BH6" s="115"/>
      <c r="BI6" s="115"/>
    </row>
    <row r="7" spans="1:61" ht="15" customHeight="1" x14ac:dyDescent="0.25">
      <c r="A7" s="115"/>
      <c r="B7" s="781"/>
      <c r="C7" s="804"/>
      <c r="D7" s="780"/>
      <c r="E7" s="783"/>
      <c r="F7" s="804"/>
      <c r="G7" s="804"/>
      <c r="H7" s="804"/>
      <c r="I7" s="780"/>
      <c r="J7" s="134" t="e">
        <f>IF(AND(#REF!="Muy Alta",#REF!="Leve"),CONCATENATE("R2C",#REF!),"")</f>
        <v>#REF!</v>
      </c>
      <c r="K7" s="135" t="e">
        <f>IF(AND(#REF!="Muy Alta",#REF!="Leve"),CONCATENATE("R2C",#REF!),"")</f>
        <v>#REF!</v>
      </c>
      <c r="L7" s="135" t="e">
        <f>IF(AND(#REF!="Muy Alta",#REF!="Leve"),CONCATENATE("R2C",#REF!),"")</f>
        <v>#REF!</v>
      </c>
      <c r="M7" s="135" t="e">
        <f>IF(AND(#REF!="Muy Alta",#REF!="Leve"),CONCATENATE("R2C",#REF!),"")</f>
        <v>#REF!</v>
      </c>
      <c r="N7" s="135" t="e">
        <f>IF(AND(#REF!="Muy Alta",#REF!="Leve"),CONCATENATE("R2C",#REF!),"")</f>
        <v>#REF!</v>
      </c>
      <c r="O7" s="136" t="e">
        <f>IF(AND(#REF!="Muy Alta",#REF!="Leve"),CONCATENATE("R2C",#REF!),"")</f>
        <v>#REF!</v>
      </c>
      <c r="P7" s="134" t="e">
        <f>IF(AND(#REF!="Muy Alta",#REF!="Menor"),CONCATENATE("R2C",#REF!),"")</f>
        <v>#REF!</v>
      </c>
      <c r="Q7" s="135" t="e">
        <f>IF(AND(#REF!="Muy Alta",#REF!="Menor"),CONCATENATE("R2C",#REF!),"")</f>
        <v>#REF!</v>
      </c>
      <c r="R7" s="135" t="e">
        <f>IF(AND(#REF!="Muy Alta",#REF!="Menor"),CONCATENATE("R2C",#REF!),"")</f>
        <v>#REF!</v>
      </c>
      <c r="S7" s="135" t="e">
        <f>IF(AND(#REF!="Muy Alta",#REF!="Menor"),CONCATENATE("R2C",#REF!),"")</f>
        <v>#REF!</v>
      </c>
      <c r="T7" s="135" t="e">
        <f>IF(AND(#REF!="Muy Alta",#REF!="Menor"),CONCATENATE("R2C",#REF!),"")</f>
        <v>#REF!</v>
      </c>
      <c r="U7" s="136" t="e">
        <f>IF(AND(#REF!="Muy Alta",#REF!="Menor"),CONCATENATE("R2C",#REF!),"")</f>
        <v>#REF!</v>
      </c>
      <c r="V7" s="134" t="e">
        <f>IF(AND(#REF!="Muy Alta",#REF!="Moderado"),CONCATENATE("R2C",#REF!),"")</f>
        <v>#REF!</v>
      </c>
      <c r="W7" s="135" t="e">
        <f>IF(AND(#REF!="Muy Alta",#REF!="Moderado"),CONCATENATE("R2C",#REF!),"")</f>
        <v>#REF!</v>
      </c>
      <c r="X7" s="135" t="e">
        <f>IF(AND(#REF!="Muy Alta",#REF!="Moderado"),CONCATENATE("R2C",#REF!),"")</f>
        <v>#REF!</v>
      </c>
      <c r="Y7" s="135" t="e">
        <f>IF(AND(#REF!="Muy Alta",#REF!="Moderado"),CONCATENATE("R2C",#REF!),"")</f>
        <v>#REF!</v>
      </c>
      <c r="Z7" s="135" t="e">
        <f>IF(AND(#REF!="Muy Alta",#REF!="Moderado"),CONCATENATE("R2C",#REF!),"")</f>
        <v>#REF!</v>
      </c>
      <c r="AA7" s="136" t="e">
        <f>IF(AND(#REF!="Muy Alta",#REF!="Moderado"),CONCATENATE("R2C",#REF!),"")</f>
        <v>#REF!</v>
      </c>
      <c r="AB7" s="134" t="e">
        <f>IF(AND(#REF!="Muy Alta",#REF!="Mayor"),CONCATENATE("R2C",#REF!),"")</f>
        <v>#REF!</v>
      </c>
      <c r="AC7" s="135" t="e">
        <f>IF(AND(#REF!="Muy Alta",#REF!="Mayor"),CONCATENATE("R2C",#REF!),"")</f>
        <v>#REF!</v>
      </c>
      <c r="AD7" s="135" t="e">
        <f>IF(AND(#REF!="Muy Alta",#REF!="Mayor"),CONCATENATE("R2C",#REF!),"")</f>
        <v>#REF!</v>
      </c>
      <c r="AE7" s="135" t="e">
        <f>IF(AND(#REF!="Muy Alta",#REF!="Mayor"),CONCATENATE("R2C",#REF!),"")</f>
        <v>#REF!</v>
      </c>
      <c r="AF7" s="135" t="e">
        <f>IF(AND(#REF!="Muy Alta",#REF!="Mayor"),CONCATENATE("R2C",#REF!),"")</f>
        <v>#REF!</v>
      </c>
      <c r="AG7" s="136" t="e">
        <f>IF(AND(#REF!="Muy Alta",#REF!="Mayor"),CONCATENATE("R2C",#REF!),"")</f>
        <v>#REF!</v>
      </c>
      <c r="AH7" s="137" t="e">
        <f>IF(AND(#REF!="Muy Alta",#REF!="Catastrófico"),CONCATENATE("R2C",#REF!),"")</f>
        <v>#REF!</v>
      </c>
      <c r="AI7" s="138" t="e">
        <f>IF(AND(#REF!="Muy Alta",#REF!="Catastrófico"),CONCATENATE("R2C",#REF!),"")</f>
        <v>#REF!</v>
      </c>
      <c r="AJ7" s="138" t="e">
        <f>IF(AND(#REF!="Muy Alta",#REF!="Catastrófico"),CONCATENATE("R2C",#REF!),"")</f>
        <v>#REF!</v>
      </c>
      <c r="AK7" s="138" t="e">
        <f>IF(AND(#REF!="Muy Alta",#REF!="Catastrófico"),CONCATENATE("R2C",#REF!),"")</f>
        <v>#REF!</v>
      </c>
      <c r="AL7" s="138" t="e">
        <f>IF(AND(#REF!="Muy Alta",#REF!="Catastrófico"),CONCATENATE("R2C",#REF!),"")</f>
        <v>#REF!</v>
      </c>
      <c r="AM7" s="139" t="e">
        <f>IF(AND(#REF!="Muy Alta",#REF!="Catastrófico"),CONCATENATE("R2C",#REF!),"")</f>
        <v>#REF!</v>
      </c>
      <c r="AN7" s="115"/>
      <c r="AO7" s="803"/>
      <c r="AP7" s="804"/>
      <c r="AQ7" s="804"/>
      <c r="AR7" s="804"/>
      <c r="AS7" s="804"/>
      <c r="AT7" s="805"/>
      <c r="AU7" s="115"/>
      <c r="AV7" s="115"/>
      <c r="AW7" s="115"/>
      <c r="AX7" s="115"/>
      <c r="AY7" s="115"/>
      <c r="AZ7" s="115"/>
      <c r="BA7" s="115"/>
      <c r="BB7" s="115"/>
      <c r="BC7" s="115"/>
      <c r="BD7" s="115"/>
      <c r="BE7" s="115"/>
      <c r="BF7" s="115"/>
      <c r="BG7" s="115"/>
      <c r="BH7" s="115"/>
      <c r="BI7" s="115"/>
    </row>
    <row r="8" spans="1:61" ht="15" customHeight="1" x14ac:dyDescent="0.25">
      <c r="A8" s="115"/>
      <c r="B8" s="781"/>
      <c r="C8" s="804"/>
      <c r="D8" s="780"/>
      <c r="E8" s="783"/>
      <c r="F8" s="804"/>
      <c r="G8" s="804"/>
      <c r="H8" s="804"/>
      <c r="I8" s="780"/>
      <c r="J8" s="134" t="e">
        <f>IF(AND(#REF!="Muy Alta",#REF!="Leve"),CONCATENATE("R3C",#REF!),"")</f>
        <v>#REF!</v>
      </c>
      <c r="K8" s="135" t="e">
        <f>IF(AND(#REF!="Muy Alta",#REF!="Leve"),CONCATENATE("R3C",#REF!),"")</f>
        <v>#REF!</v>
      </c>
      <c r="L8" s="135" t="e">
        <f>IF(AND(#REF!="Muy Alta",#REF!="Leve"),CONCATENATE("R3C",#REF!),"")</f>
        <v>#REF!</v>
      </c>
      <c r="M8" s="135" t="e">
        <f>IF(AND(#REF!="Muy Alta",#REF!="Leve"),CONCATENATE("R3C",#REF!),"")</f>
        <v>#REF!</v>
      </c>
      <c r="N8" s="135" t="e">
        <f>IF(AND(#REF!="Muy Alta",#REF!="Leve"),CONCATENATE("R3C",#REF!),"")</f>
        <v>#REF!</v>
      </c>
      <c r="O8" s="136" t="e">
        <f>IF(AND(#REF!="Muy Alta",#REF!="Leve"),CONCATENATE("R3C",#REF!),"")</f>
        <v>#REF!</v>
      </c>
      <c r="P8" s="134" t="e">
        <f>IF(AND(#REF!="Muy Alta",#REF!="Menor"),CONCATENATE("R3C",#REF!),"")</f>
        <v>#REF!</v>
      </c>
      <c r="Q8" s="135" t="e">
        <f>IF(AND(#REF!="Muy Alta",#REF!="Menor"),CONCATENATE("R3C",#REF!),"")</f>
        <v>#REF!</v>
      </c>
      <c r="R8" s="135" t="e">
        <f>IF(AND(#REF!="Muy Alta",#REF!="Menor"),CONCATENATE("R3C",#REF!),"")</f>
        <v>#REF!</v>
      </c>
      <c r="S8" s="135" t="e">
        <f>IF(AND(#REF!="Muy Alta",#REF!="Menor"),CONCATENATE("R3C",#REF!),"")</f>
        <v>#REF!</v>
      </c>
      <c r="T8" s="135" t="e">
        <f>IF(AND(#REF!="Muy Alta",#REF!="Menor"),CONCATENATE("R3C",#REF!),"")</f>
        <v>#REF!</v>
      </c>
      <c r="U8" s="136" t="e">
        <f>IF(AND(#REF!="Muy Alta",#REF!="Menor"),CONCATENATE("R3C",#REF!),"")</f>
        <v>#REF!</v>
      </c>
      <c r="V8" s="134" t="e">
        <f>IF(AND(#REF!="Muy Alta",#REF!="Moderado"),CONCATENATE("R3C",#REF!),"")</f>
        <v>#REF!</v>
      </c>
      <c r="W8" s="135" t="e">
        <f>IF(AND(#REF!="Muy Alta",#REF!="Moderado"),CONCATENATE("R3C",#REF!),"")</f>
        <v>#REF!</v>
      </c>
      <c r="X8" s="135" t="e">
        <f>IF(AND(#REF!="Muy Alta",#REF!="Moderado"),CONCATENATE("R3C",#REF!),"")</f>
        <v>#REF!</v>
      </c>
      <c r="Y8" s="135" t="e">
        <f>IF(AND(#REF!="Muy Alta",#REF!="Moderado"),CONCATENATE("R3C",#REF!),"")</f>
        <v>#REF!</v>
      </c>
      <c r="Z8" s="135" t="e">
        <f>IF(AND(#REF!="Muy Alta",#REF!="Moderado"),CONCATENATE("R3C",#REF!),"")</f>
        <v>#REF!</v>
      </c>
      <c r="AA8" s="136" t="e">
        <f>IF(AND(#REF!="Muy Alta",#REF!="Moderado"),CONCATENATE("R3C",#REF!),"")</f>
        <v>#REF!</v>
      </c>
      <c r="AB8" s="134" t="e">
        <f>IF(AND(#REF!="Muy Alta",#REF!="Mayor"),CONCATENATE("R3C",#REF!),"")</f>
        <v>#REF!</v>
      </c>
      <c r="AC8" s="135" t="e">
        <f>IF(AND(#REF!="Muy Alta",#REF!="Mayor"),CONCATENATE("R3C",#REF!),"")</f>
        <v>#REF!</v>
      </c>
      <c r="AD8" s="135" t="e">
        <f>IF(AND(#REF!="Muy Alta",#REF!="Mayor"),CONCATENATE("R3C",#REF!),"")</f>
        <v>#REF!</v>
      </c>
      <c r="AE8" s="135" t="e">
        <f>IF(AND(#REF!="Muy Alta",#REF!="Mayor"),CONCATENATE("R3C",#REF!),"")</f>
        <v>#REF!</v>
      </c>
      <c r="AF8" s="135" t="e">
        <f>IF(AND(#REF!="Muy Alta",#REF!="Mayor"),CONCATENATE("R3C",#REF!),"")</f>
        <v>#REF!</v>
      </c>
      <c r="AG8" s="136" t="e">
        <f>IF(AND(#REF!="Muy Alta",#REF!="Mayor"),CONCATENATE("R3C",#REF!),"")</f>
        <v>#REF!</v>
      </c>
      <c r="AH8" s="137" t="e">
        <f>IF(AND(#REF!="Muy Alta",#REF!="Catastrófico"),CONCATENATE("R3C",#REF!),"")</f>
        <v>#REF!</v>
      </c>
      <c r="AI8" s="138" t="e">
        <f>IF(AND(#REF!="Muy Alta",#REF!="Catastrófico"),CONCATENATE("R3C",#REF!),"")</f>
        <v>#REF!</v>
      </c>
      <c r="AJ8" s="138" t="e">
        <f>IF(AND(#REF!="Muy Alta",#REF!="Catastrófico"),CONCATENATE("R3C",#REF!),"")</f>
        <v>#REF!</v>
      </c>
      <c r="AK8" s="138" t="e">
        <f>IF(AND(#REF!="Muy Alta",#REF!="Catastrófico"),CONCATENATE("R3C",#REF!),"")</f>
        <v>#REF!</v>
      </c>
      <c r="AL8" s="138" t="e">
        <f>IF(AND(#REF!="Muy Alta",#REF!="Catastrófico"),CONCATENATE("R3C",#REF!),"")</f>
        <v>#REF!</v>
      </c>
      <c r="AM8" s="139" t="e">
        <f>IF(AND(#REF!="Muy Alta",#REF!="Catastrófico"),CONCATENATE("R3C",#REF!),"")</f>
        <v>#REF!</v>
      </c>
      <c r="AN8" s="115"/>
      <c r="AO8" s="803"/>
      <c r="AP8" s="804"/>
      <c r="AQ8" s="804"/>
      <c r="AR8" s="804"/>
      <c r="AS8" s="804"/>
      <c r="AT8" s="805"/>
      <c r="AU8" s="115"/>
      <c r="AV8" s="115"/>
      <c r="AW8" s="115"/>
      <c r="AX8" s="115"/>
      <c r="AY8" s="115"/>
      <c r="AZ8" s="115"/>
      <c r="BA8" s="115"/>
      <c r="BB8" s="115"/>
      <c r="BC8" s="115"/>
      <c r="BD8" s="115"/>
      <c r="BE8" s="115"/>
      <c r="BF8" s="115"/>
      <c r="BG8" s="115"/>
      <c r="BH8" s="115"/>
      <c r="BI8" s="115"/>
    </row>
    <row r="9" spans="1:61" ht="15" customHeight="1" x14ac:dyDescent="0.25">
      <c r="A9" s="115"/>
      <c r="B9" s="781"/>
      <c r="C9" s="804"/>
      <c r="D9" s="780"/>
      <c r="E9" s="783"/>
      <c r="F9" s="804"/>
      <c r="G9" s="804"/>
      <c r="H9" s="804"/>
      <c r="I9" s="780"/>
      <c r="J9" s="134" t="e">
        <f>IF(AND(#REF!="Muy Alta",#REF!="Leve"),CONCATENATE("R4C",#REF!),"")</f>
        <v>#REF!</v>
      </c>
      <c r="K9" s="135" t="e">
        <f>IF(AND(#REF!="Muy Alta",#REF!="Leve"),CONCATENATE("R4C",#REF!),"")</f>
        <v>#REF!</v>
      </c>
      <c r="L9" s="135" t="e">
        <f>IF(AND(#REF!="Muy Alta",#REF!="Leve"),CONCATENATE("R4C",#REF!),"")</f>
        <v>#REF!</v>
      </c>
      <c r="M9" s="135" t="e">
        <f>IF(AND(#REF!="Muy Alta",#REF!="Leve"),CONCATENATE("R4C",#REF!),"")</f>
        <v>#REF!</v>
      </c>
      <c r="N9" s="135" t="e">
        <f>IF(AND(#REF!="Muy Alta",#REF!="Leve"),CONCATENATE("R4C",#REF!),"")</f>
        <v>#REF!</v>
      </c>
      <c r="O9" s="136" t="e">
        <f>IF(AND(#REF!="Muy Alta",#REF!="Leve"),CONCATENATE("R4C",#REF!),"")</f>
        <v>#REF!</v>
      </c>
      <c r="P9" s="134" t="e">
        <f>IF(AND(#REF!="Muy Alta",#REF!="Menor"),CONCATENATE("R4C",#REF!),"")</f>
        <v>#REF!</v>
      </c>
      <c r="Q9" s="135" t="e">
        <f>IF(AND(#REF!="Muy Alta",#REF!="Menor"),CONCATENATE("R4C",#REF!),"")</f>
        <v>#REF!</v>
      </c>
      <c r="R9" s="135" t="e">
        <f>IF(AND(#REF!="Muy Alta",#REF!="Menor"),CONCATENATE("R4C",#REF!),"")</f>
        <v>#REF!</v>
      </c>
      <c r="S9" s="135" t="e">
        <f>IF(AND(#REF!="Muy Alta",#REF!="Menor"),CONCATENATE("R4C",#REF!),"")</f>
        <v>#REF!</v>
      </c>
      <c r="T9" s="135" t="e">
        <f>IF(AND(#REF!="Muy Alta",#REF!="Menor"),CONCATENATE("R4C",#REF!),"")</f>
        <v>#REF!</v>
      </c>
      <c r="U9" s="136" t="e">
        <f>IF(AND(#REF!="Muy Alta",#REF!="Menor"),CONCATENATE("R4C",#REF!),"")</f>
        <v>#REF!</v>
      </c>
      <c r="V9" s="134" t="e">
        <f>IF(AND(#REF!="Muy Alta",#REF!="Moderado"),CONCATENATE("R4C",#REF!),"")</f>
        <v>#REF!</v>
      </c>
      <c r="W9" s="135" t="e">
        <f>IF(AND(#REF!="Muy Alta",#REF!="Moderado"),CONCATENATE("R4C",#REF!),"")</f>
        <v>#REF!</v>
      </c>
      <c r="X9" s="135" t="e">
        <f>IF(AND(#REF!="Muy Alta",#REF!="Moderado"),CONCATENATE("R4C",#REF!),"")</f>
        <v>#REF!</v>
      </c>
      <c r="Y9" s="135" t="e">
        <f>IF(AND(#REF!="Muy Alta",#REF!="Moderado"),CONCATENATE("R4C",#REF!),"")</f>
        <v>#REF!</v>
      </c>
      <c r="Z9" s="135" t="e">
        <f>IF(AND(#REF!="Muy Alta",#REF!="Moderado"),CONCATENATE("R4C",#REF!),"")</f>
        <v>#REF!</v>
      </c>
      <c r="AA9" s="136" t="e">
        <f>IF(AND(#REF!="Muy Alta",#REF!="Moderado"),CONCATENATE("R4C",#REF!),"")</f>
        <v>#REF!</v>
      </c>
      <c r="AB9" s="134" t="e">
        <f>IF(AND(#REF!="Muy Alta",#REF!="Mayor"),CONCATENATE("R4C",#REF!),"")</f>
        <v>#REF!</v>
      </c>
      <c r="AC9" s="135" t="e">
        <f>IF(AND(#REF!="Muy Alta",#REF!="Mayor"),CONCATENATE("R4C",#REF!),"")</f>
        <v>#REF!</v>
      </c>
      <c r="AD9" s="135" t="e">
        <f>IF(AND(#REF!="Muy Alta",#REF!="Mayor"),CONCATENATE("R4C",#REF!),"")</f>
        <v>#REF!</v>
      </c>
      <c r="AE9" s="135" t="e">
        <f>IF(AND(#REF!="Muy Alta",#REF!="Mayor"),CONCATENATE("R4C",#REF!),"")</f>
        <v>#REF!</v>
      </c>
      <c r="AF9" s="135" t="e">
        <f>IF(AND(#REF!="Muy Alta",#REF!="Mayor"),CONCATENATE("R4C",#REF!),"")</f>
        <v>#REF!</v>
      </c>
      <c r="AG9" s="136" t="e">
        <f>IF(AND(#REF!="Muy Alta",#REF!="Mayor"),CONCATENATE("R4C",#REF!),"")</f>
        <v>#REF!</v>
      </c>
      <c r="AH9" s="137" t="e">
        <f>IF(AND(#REF!="Muy Alta",#REF!="Catastrófico"),CONCATENATE("R4C",#REF!),"")</f>
        <v>#REF!</v>
      </c>
      <c r="AI9" s="138" t="e">
        <f>IF(AND(#REF!="Muy Alta",#REF!="Catastrófico"),CONCATENATE("R4C",#REF!),"")</f>
        <v>#REF!</v>
      </c>
      <c r="AJ9" s="138" t="e">
        <f>IF(AND(#REF!="Muy Alta",#REF!="Catastrófico"),CONCATENATE("R4C",#REF!),"")</f>
        <v>#REF!</v>
      </c>
      <c r="AK9" s="138" t="e">
        <f>IF(AND(#REF!="Muy Alta",#REF!="Catastrófico"),CONCATENATE("R4C",#REF!),"")</f>
        <v>#REF!</v>
      </c>
      <c r="AL9" s="138" t="e">
        <f>IF(AND(#REF!="Muy Alta",#REF!="Catastrófico"),CONCATENATE("R4C",#REF!),"")</f>
        <v>#REF!</v>
      </c>
      <c r="AM9" s="139" t="e">
        <f>IF(AND(#REF!="Muy Alta",#REF!="Catastrófico"),CONCATENATE("R4C",#REF!),"")</f>
        <v>#REF!</v>
      </c>
      <c r="AN9" s="115"/>
      <c r="AO9" s="803"/>
      <c r="AP9" s="804"/>
      <c r="AQ9" s="804"/>
      <c r="AR9" s="804"/>
      <c r="AS9" s="804"/>
      <c r="AT9" s="805"/>
      <c r="AU9" s="115"/>
      <c r="AV9" s="115"/>
      <c r="AW9" s="115"/>
      <c r="AX9" s="115"/>
      <c r="AY9" s="115"/>
      <c r="AZ9" s="115"/>
      <c r="BA9" s="115"/>
      <c r="BB9" s="115"/>
      <c r="BC9" s="115"/>
      <c r="BD9" s="115"/>
      <c r="BE9" s="115"/>
      <c r="BF9" s="115"/>
      <c r="BG9" s="115"/>
      <c r="BH9" s="115"/>
      <c r="BI9" s="115"/>
    </row>
    <row r="10" spans="1:61" ht="15" customHeight="1" x14ac:dyDescent="0.25">
      <c r="A10" s="115"/>
      <c r="B10" s="781"/>
      <c r="C10" s="804"/>
      <c r="D10" s="780"/>
      <c r="E10" s="783"/>
      <c r="F10" s="804"/>
      <c r="G10" s="804"/>
      <c r="H10" s="804"/>
      <c r="I10" s="780"/>
      <c r="J10" s="134" t="e">
        <f>IF(AND(#REF!="Muy Alta",#REF!="Leve"),CONCATENATE("R5C",#REF!),"")</f>
        <v>#REF!</v>
      </c>
      <c r="K10" s="135" t="e">
        <f>IF(AND(#REF!="Muy Alta",#REF!="Leve"),CONCATENATE("R5C",#REF!),"")</f>
        <v>#REF!</v>
      </c>
      <c r="L10" s="135" t="e">
        <f>IF(AND(#REF!="Muy Alta",#REF!="Leve"),CONCATENATE("R5C",#REF!),"")</f>
        <v>#REF!</v>
      </c>
      <c r="M10" s="135" t="e">
        <f>IF(AND(#REF!="Muy Alta",#REF!="Leve"),CONCATENATE("R5C",#REF!),"")</f>
        <v>#REF!</v>
      </c>
      <c r="N10" s="135" t="e">
        <f>IF(AND(#REF!="Muy Alta",#REF!="Leve"),CONCATENATE("R5C",#REF!),"")</f>
        <v>#REF!</v>
      </c>
      <c r="O10" s="136" t="e">
        <f>IF(AND(#REF!="Muy Alta",#REF!="Leve"),CONCATENATE("R5C",#REF!),"")</f>
        <v>#REF!</v>
      </c>
      <c r="P10" s="134" t="e">
        <f>IF(AND(#REF!="Muy Alta",#REF!="Menor"),CONCATENATE("R5C",#REF!),"")</f>
        <v>#REF!</v>
      </c>
      <c r="Q10" s="135" t="e">
        <f>IF(AND(#REF!="Muy Alta",#REF!="Menor"),CONCATENATE("R5C",#REF!),"")</f>
        <v>#REF!</v>
      </c>
      <c r="R10" s="135" t="e">
        <f>IF(AND(#REF!="Muy Alta",#REF!="Menor"),CONCATENATE("R5C",#REF!),"")</f>
        <v>#REF!</v>
      </c>
      <c r="S10" s="135" t="e">
        <f>IF(AND(#REF!="Muy Alta",#REF!="Menor"),CONCATENATE("R5C",#REF!),"")</f>
        <v>#REF!</v>
      </c>
      <c r="T10" s="135" t="e">
        <f>IF(AND(#REF!="Muy Alta",#REF!="Menor"),CONCATENATE("R5C",#REF!),"")</f>
        <v>#REF!</v>
      </c>
      <c r="U10" s="136" t="e">
        <f>IF(AND(#REF!="Muy Alta",#REF!="Menor"),CONCATENATE("R5C",#REF!),"")</f>
        <v>#REF!</v>
      </c>
      <c r="V10" s="134" t="e">
        <f>IF(AND(#REF!="Muy Alta",#REF!="Moderado"),CONCATENATE("R5C",#REF!),"")</f>
        <v>#REF!</v>
      </c>
      <c r="W10" s="135" t="e">
        <f>IF(AND(#REF!="Muy Alta",#REF!="Moderado"),CONCATENATE("R5C",#REF!),"")</f>
        <v>#REF!</v>
      </c>
      <c r="X10" s="135" t="e">
        <f>IF(AND(#REF!="Muy Alta",#REF!="Moderado"),CONCATENATE("R5C",#REF!),"")</f>
        <v>#REF!</v>
      </c>
      <c r="Y10" s="135" t="e">
        <f>IF(AND(#REF!="Muy Alta",#REF!="Moderado"),CONCATENATE("R5C",#REF!),"")</f>
        <v>#REF!</v>
      </c>
      <c r="Z10" s="135" t="e">
        <f>IF(AND(#REF!="Muy Alta",#REF!="Moderado"),CONCATENATE("R5C",#REF!),"")</f>
        <v>#REF!</v>
      </c>
      <c r="AA10" s="136" t="e">
        <f>IF(AND(#REF!="Muy Alta",#REF!="Moderado"),CONCATENATE("R5C",#REF!),"")</f>
        <v>#REF!</v>
      </c>
      <c r="AB10" s="134" t="e">
        <f>IF(AND(#REF!="Muy Alta",#REF!="Mayor"),CONCATENATE("R5C",#REF!),"")</f>
        <v>#REF!</v>
      </c>
      <c r="AC10" s="135" t="e">
        <f>IF(AND(#REF!="Muy Alta",#REF!="Mayor"),CONCATENATE("R5C",#REF!),"")</f>
        <v>#REF!</v>
      </c>
      <c r="AD10" s="135" t="e">
        <f>IF(AND(#REF!="Muy Alta",#REF!="Mayor"),CONCATENATE("R5C",#REF!),"")</f>
        <v>#REF!</v>
      </c>
      <c r="AE10" s="135" t="e">
        <f>IF(AND(#REF!="Muy Alta",#REF!="Mayor"),CONCATENATE("R5C",#REF!),"")</f>
        <v>#REF!</v>
      </c>
      <c r="AF10" s="135" t="e">
        <f>IF(AND(#REF!="Muy Alta",#REF!="Mayor"),CONCATENATE("R5C",#REF!),"")</f>
        <v>#REF!</v>
      </c>
      <c r="AG10" s="136" t="e">
        <f>IF(AND(#REF!="Muy Alta",#REF!="Mayor"),CONCATENATE("R5C",#REF!),"")</f>
        <v>#REF!</v>
      </c>
      <c r="AH10" s="137" t="e">
        <f>IF(AND(#REF!="Muy Alta",#REF!="Catastrófico"),CONCATENATE("R5C",#REF!),"")</f>
        <v>#REF!</v>
      </c>
      <c r="AI10" s="138" t="e">
        <f>IF(AND(#REF!="Muy Alta",#REF!="Catastrófico"),CONCATENATE("R5C",#REF!),"")</f>
        <v>#REF!</v>
      </c>
      <c r="AJ10" s="138" t="e">
        <f>IF(AND(#REF!="Muy Alta",#REF!="Catastrófico"),CONCATENATE("R5C",#REF!),"")</f>
        <v>#REF!</v>
      </c>
      <c r="AK10" s="138" t="e">
        <f>IF(AND(#REF!="Muy Alta",#REF!="Catastrófico"),CONCATENATE("R5C",#REF!),"")</f>
        <v>#REF!</v>
      </c>
      <c r="AL10" s="138" t="e">
        <f>IF(AND(#REF!="Muy Alta",#REF!="Catastrófico"),CONCATENATE("R5C",#REF!),"")</f>
        <v>#REF!</v>
      </c>
      <c r="AM10" s="139" t="e">
        <f>IF(AND(#REF!="Muy Alta",#REF!="Catastrófico"),CONCATENATE("R5C",#REF!),"")</f>
        <v>#REF!</v>
      </c>
      <c r="AN10" s="115"/>
      <c r="AO10" s="803"/>
      <c r="AP10" s="804"/>
      <c r="AQ10" s="804"/>
      <c r="AR10" s="804"/>
      <c r="AS10" s="804"/>
      <c r="AT10" s="805"/>
      <c r="AU10" s="115"/>
      <c r="AV10" s="115"/>
      <c r="AW10" s="115"/>
      <c r="AX10" s="115"/>
      <c r="AY10" s="115"/>
      <c r="AZ10" s="115"/>
      <c r="BA10" s="115"/>
      <c r="BB10" s="115"/>
      <c r="BC10" s="115"/>
      <c r="BD10" s="115"/>
      <c r="BE10" s="115"/>
      <c r="BF10" s="115"/>
      <c r="BG10" s="115"/>
      <c r="BH10" s="115"/>
      <c r="BI10" s="115"/>
    </row>
    <row r="11" spans="1:61" ht="15" customHeight="1" x14ac:dyDescent="0.25">
      <c r="A11" s="115"/>
      <c r="B11" s="781"/>
      <c r="C11" s="804"/>
      <c r="D11" s="780"/>
      <c r="E11" s="783"/>
      <c r="F11" s="804"/>
      <c r="G11" s="804"/>
      <c r="H11" s="804"/>
      <c r="I11" s="780"/>
      <c r="J11" s="134" t="e">
        <f>IF(AND(#REF!="Muy Alta",#REF!="Leve"),CONCATENATE("R6C",#REF!),"")</f>
        <v>#REF!</v>
      </c>
      <c r="K11" s="135" t="e">
        <f>IF(AND(#REF!="Muy Alta",#REF!="Leve"),CONCATENATE("R6C",#REF!),"")</f>
        <v>#REF!</v>
      </c>
      <c r="L11" s="135" t="e">
        <f>IF(AND(#REF!="Muy Alta",#REF!="Leve"),CONCATENATE("R6C",#REF!),"")</f>
        <v>#REF!</v>
      </c>
      <c r="M11" s="135" t="e">
        <f>IF(AND(#REF!="Muy Alta",#REF!="Leve"),CONCATENATE("R6C",#REF!),"")</f>
        <v>#REF!</v>
      </c>
      <c r="N11" s="135" t="e">
        <f>IF(AND(#REF!="Muy Alta",#REF!="Leve"),CONCATENATE("R6C",#REF!),"")</f>
        <v>#REF!</v>
      </c>
      <c r="O11" s="136" t="e">
        <f>IF(AND(#REF!="Muy Alta",#REF!="Leve"),CONCATENATE("R6C",#REF!),"")</f>
        <v>#REF!</v>
      </c>
      <c r="P11" s="134" t="e">
        <f>IF(AND(#REF!="Muy Alta",#REF!="Menor"),CONCATENATE("R6C",#REF!),"")</f>
        <v>#REF!</v>
      </c>
      <c r="Q11" s="135" t="e">
        <f>IF(AND(#REF!="Muy Alta",#REF!="Menor"),CONCATENATE("R6C",#REF!),"")</f>
        <v>#REF!</v>
      </c>
      <c r="R11" s="135" t="e">
        <f>IF(AND(#REF!="Muy Alta",#REF!="Menor"),CONCATENATE("R6C",#REF!),"")</f>
        <v>#REF!</v>
      </c>
      <c r="S11" s="135" t="e">
        <f>IF(AND(#REF!="Muy Alta",#REF!="Menor"),CONCATENATE("R6C",#REF!),"")</f>
        <v>#REF!</v>
      </c>
      <c r="T11" s="135" t="e">
        <f>IF(AND(#REF!="Muy Alta",#REF!="Menor"),CONCATENATE("R6C",#REF!),"")</f>
        <v>#REF!</v>
      </c>
      <c r="U11" s="136" t="e">
        <f>IF(AND(#REF!="Muy Alta",#REF!="Menor"),CONCATENATE("R6C",#REF!),"")</f>
        <v>#REF!</v>
      </c>
      <c r="V11" s="134" t="e">
        <f>IF(AND(#REF!="Muy Alta",#REF!="Moderado"),CONCATENATE("R6C",#REF!),"")</f>
        <v>#REF!</v>
      </c>
      <c r="W11" s="135" t="e">
        <f>IF(AND(#REF!="Muy Alta",#REF!="Moderado"),CONCATENATE("R6C",#REF!),"")</f>
        <v>#REF!</v>
      </c>
      <c r="X11" s="135" t="e">
        <f>IF(AND(#REF!="Muy Alta",#REF!="Moderado"),CONCATENATE("R6C",#REF!),"")</f>
        <v>#REF!</v>
      </c>
      <c r="Y11" s="135" t="e">
        <f>IF(AND(#REF!="Muy Alta",#REF!="Moderado"),CONCATENATE("R6C",#REF!),"")</f>
        <v>#REF!</v>
      </c>
      <c r="Z11" s="135" t="e">
        <f>IF(AND(#REF!="Muy Alta",#REF!="Moderado"),CONCATENATE("R6C",#REF!),"")</f>
        <v>#REF!</v>
      </c>
      <c r="AA11" s="136" t="e">
        <f>IF(AND(#REF!="Muy Alta",#REF!="Moderado"),CONCATENATE("R6C",#REF!),"")</f>
        <v>#REF!</v>
      </c>
      <c r="AB11" s="134" t="e">
        <f>IF(AND(#REF!="Muy Alta",#REF!="Mayor"),CONCATENATE("R6C",#REF!),"")</f>
        <v>#REF!</v>
      </c>
      <c r="AC11" s="135" t="e">
        <f>IF(AND(#REF!="Muy Alta",#REF!="Mayor"),CONCATENATE("R6C",#REF!),"")</f>
        <v>#REF!</v>
      </c>
      <c r="AD11" s="135" t="e">
        <f>IF(AND(#REF!="Muy Alta",#REF!="Mayor"),CONCATENATE("R6C",#REF!),"")</f>
        <v>#REF!</v>
      </c>
      <c r="AE11" s="135" t="e">
        <f>IF(AND(#REF!="Muy Alta",#REF!="Mayor"),CONCATENATE("R6C",#REF!),"")</f>
        <v>#REF!</v>
      </c>
      <c r="AF11" s="135" t="e">
        <f>IF(AND(#REF!="Muy Alta",#REF!="Mayor"),CONCATENATE("R6C",#REF!),"")</f>
        <v>#REF!</v>
      </c>
      <c r="AG11" s="136" t="e">
        <f>IF(AND(#REF!="Muy Alta",#REF!="Mayor"),CONCATENATE("R6C",#REF!),"")</f>
        <v>#REF!</v>
      </c>
      <c r="AH11" s="137" t="e">
        <f>IF(AND(#REF!="Muy Alta",#REF!="Catastrófico"),CONCATENATE("R6C",#REF!),"")</f>
        <v>#REF!</v>
      </c>
      <c r="AI11" s="138" t="e">
        <f>IF(AND(#REF!="Muy Alta",#REF!="Catastrófico"),CONCATENATE("R6C",#REF!),"")</f>
        <v>#REF!</v>
      </c>
      <c r="AJ11" s="138" t="e">
        <f>IF(AND(#REF!="Muy Alta",#REF!="Catastrófico"),CONCATENATE("R6C",#REF!),"")</f>
        <v>#REF!</v>
      </c>
      <c r="AK11" s="138" t="e">
        <f>IF(AND(#REF!="Muy Alta",#REF!="Catastrófico"),CONCATENATE("R6C",#REF!),"")</f>
        <v>#REF!</v>
      </c>
      <c r="AL11" s="138" t="e">
        <f>IF(AND(#REF!="Muy Alta",#REF!="Catastrófico"),CONCATENATE("R6C",#REF!),"")</f>
        <v>#REF!</v>
      </c>
      <c r="AM11" s="139" t="e">
        <f>IF(AND(#REF!="Muy Alta",#REF!="Catastrófico"),CONCATENATE("R6C",#REF!),"")</f>
        <v>#REF!</v>
      </c>
      <c r="AN11" s="115"/>
      <c r="AO11" s="803"/>
      <c r="AP11" s="804"/>
      <c r="AQ11" s="804"/>
      <c r="AR11" s="804"/>
      <c r="AS11" s="804"/>
      <c r="AT11" s="805"/>
      <c r="AU11" s="115"/>
      <c r="AV11" s="115"/>
      <c r="AW11" s="115"/>
      <c r="AX11" s="115"/>
      <c r="AY11" s="115"/>
      <c r="AZ11" s="115"/>
      <c r="BA11" s="115"/>
      <c r="BB11" s="115"/>
      <c r="BC11" s="115"/>
      <c r="BD11" s="115"/>
      <c r="BE11" s="115"/>
      <c r="BF11" s="115"/>
      <c r="BG11" s="115"/>
      <c r="BH11" s="115"/>
      <c r="BI11" s="115"/>
    </row>
    <row r="12" spans="1:61" ht="15" customHeight="1" x14ac:dyDescent="0.25">
      <c r="A12" s="115"/>
      <c r="B12" s="781"/>
      <c r="C12" s="804"/>
      <c r="D12" s="780"/>
      <c r="E12" s="783"/>
      <c r="F12" s="804"/>
      <c r="G12" s="804"/>
      <c r="H12" s="804"/>
      <c r="I12" s="780"/>
      <c r="J12" s="134" t="e">
        <f>IF(AND(#REF!="Muy Alta",#REF!="Leve"),CONCATENATE("R7C",#REF!),"")</f>
        <v>#REF!</v>
      </c>
      <c r="K12" s="135" t="e">
        <f>IF(AND(#REF!="Muy Alta",#REF!="Leve"),CONCATENATE("R7C",#REF!),"")</f>
        <v>#REF!</v>
      </c>
      <c r="L12" s="135" t="e">
        <f>IF(AND(#REF!="Muy Alta",#REF!="Leve"),CONCATENATE("R7C",#REF!),"")</f>
        <v>#REF!</v>
      </c>
      <c r="M12" s="135" t="e">
        <f>IF(AND(#REF!="Muy Alta",#REF!="Leve"),CONCATENATE("R7C",#REF!),"")</f>
        <v>#REF!</v>
      </c>
      <c r="N12" s="135" t="e">
        <f>IF(AND(#REF!="Muy Alta",#REF!="Leve"),CONCATENATE("R7C",#REF!),"")</f>
        <v>#REF!</v>
      </c>
      <c r="O12" s="136" t="e">
        <f>IF(AND(#REF!="Muy Alta",#REF!="Leve"),CONCATENATE("R7C",#REF!),"")</f>
        <v>#REF!</v>
      </c>
      <c r="P12" s="134" t="e">
        <f>IF(AND(#REF!="Muy Alta",#REF!="Menor"),CONCATENATE("R7C",#REF!),"")</f>
        <v>#REF!</v>
      </c>
      <c r="Q12" s="135" t="e">
        <f>IF(AND(#REF!="Muy Alta",#REF!="Menor"),CONCATENATE("R7C",#REF!),"")</f>
        <v>#REF!</v>
      </c>
      <c r="R12" s="135" t="e">
        <f>IF(AND(#REF!="Muy Alta",#REF!="Menor"),CONCATENATE("R7C",#REF!),"")</f>
        <v>#REF!</v>
      </c>
      <c r="S12" s="135" t="e">
        <f>IF(AND(#REF!="Muy Alta",#REF!="Menor"),CONCATENATE("R7C",#REF!),"")</f>
        <v>#REF!</v>
      </c>
      <c r="T12" s="135" t="e">
        <f>IF(AND(#REF!="Muy Alta",#REF!="Menor"),CONCATENATE("R7C",#REF!),"")</f>
        <v>#REF!</v>
      </c>
      <c r="U12" s="136" t="e">
        <f>IF(AND(#REF!="Muy Alta",#REF!="Menor"),CONCATENATE("R7C",#REF!),"")</f>
        <v>#REF!</v>
      </c>
      <c r="V12" s="134" t="e">
        <f>IF(AND(#REF!="Muy Alta",#REF!="Moderado"),CONCATENATE("R7C",#REF!),"")</f>
        <v>#REF!</v>
      </c>
      <c r="W12" s="135" t="e">
        <f>IF(AND(#REF!="Muy Alta",#REF!="Moderado"),CONCATENATE("R7C",#REF!),"")</f>
        <v>#REF!</v>
      </c>
      <c r="X12" s="135" t="e">
        <f>IF(AND(#REF!="Muy Alta",#REF!="Moderado"),CONCATENATE("R7C",#REF!),"")</f>
        <v>#REF!</v>
      </c>
      <c r="Y12" s="135" t="e">
        <f>IF(AND(#REF!="Muy Alta",#REF!="Moderado"),CONCATENATE("R7C",#REF!),"")</f>
        <v>#REF!</v>
      </c>
      <c r="Z12" s="135" t="e">
        <f>IF(AND(#REF!="Muy Alta",#REF!="Moderado"),CONCATENATE("R7C",#REF!),"")</f>
        <v>#REF!</v>
      </c>
      <c r="AA12" s="136" t="e">
        <f>IF(AND(#REF!="Muy Alta",#REF!="Moderado"),CONCATENATE("R7C",#REF!),"")</f>
        <v>#REF!</v>
      </c>
      <c r="AB12" s="134" t="e">
        <f>IF(AND(#REF!="Muy Alta",#REF!="Mayor"),CONCATENATE("R7C",#REF!),"")</f>
        <v>#REF!</v>
      </c>
      <c r="AC12" s="135" t="e">
        <f>IF(AND(#REF!="Muy Alta",#REF!="Mayor"),CONCATENATE("R7C",#REF!),"")</f>
        <v>#REF!</v>
      </c>
      <c r="AD12" s="135" t="e">
        <f>IF(AND(#REF!="Muy Alta",#REF!="Mayor"),CONCATENATE("R7C",#REF!),"")</f>
        <v>#REF!</v>
      </c>
      <c r="AE12" s="135" t="e">
        <f>IF(AND(#REF!="Muy Alta",#REF!="Mayor"),CONCATENATE("R7C",#REF!),"")</f>
        <v>#REF!</v>
      </c>
      <c r="AF12" s="135" t="e">
        <f>IF(AND(#REF!="Muy Alta",#REF!="Mayor"),CONCATENATE("R7C",#REF!),"")</f>
        <v>#REF!</v>
      </c>
      <c r="AG12" s="136" t="e">
        <f>IF(AND(#REF!="Muy Alta",#REF!="Mayor"),CONCATENATE("R7C",#REF!),"")</f>
        <v>#REF!</v>
      </c>
      <c r="AH12" s="137" t="e">
        <f>IF(AND(#REF!="Muy Alta",#REF!="Catastrófico"),CONCATENATE("R7C",#REF!),"")</f>
        <v>#REF!</v>
      </c>
      <c r="AI12" s="138" t="e">
        <f>IF(AND(#REF!="Muy Alta",#REF!="Catastrófico"),CONCATENATE("R7C",#REF!),"")</f>
        <v>#REF!</v>
      </c>
      <c r="AJ12" s="138" t="e">
        <f>IF(AND(#REF!="Muy Alta",#REF!="Catastrófico"),CONCATENATE("R7C",#REF!),"")</f>
        <v>#REF!</v>
      </c>
      <c r="AK12" s="138" t="e">
        <f>IF(AND(#REF!="Muy Alta",#REF!="Catastrófico"),CONCATENATE("R7C",#REF!),"")</f>
        <v>#REF!</v>
      </c>
      <c r="AL12" s="138" t="e">
        <f>IF(AND(#REF!="Muy Alta",#REF!="Catastrófico"),CONCATENATE("R7C",#REF!),"")</f>
        <v>#REF!</v>
      </c>
      <c r="AM12" s="139" t="e">
        <f>IF(AND(#REF!="Muy Alta",#REF!="Catastrófico"),CONCATENATE("R7C",#REF!),"")</f>
        <v>#REF!</v>
      </c>
      <c r="AN12" s="115"/>
      <c r="AO12" s="803"/>
      <c r="AP12" s="804"/>
      <c r="AQ12" s="804"/>
      <c r="AR12" s="804"/>
      <c r="AS12" s="804"/>
      <c r="AT12" s="805"/>
      <c r="AU12" s="115"/>
      <c r="AV12" s="115"/>
      <c r="AW12" s="115"/>
      <c r="AX12" s="115"/>
      <c r="AY12" s="115"/>
      <c r="AZ12" s="115"/>
      <c r="BA12" s="115"/>
      <c r="BB12" s="115"/>
      <c r="BC12" s="115"/>
      <c r="BD12" s="115"/>
      <c r="BE12" s="115"/>
      <c r="BF12" s="115"/>
      <c r="BG12" s="115"/>
      <c r="BH12" s="115"/>
      <c r="BI12" s="115"/>
    </row>
    <row r="13" spans="1:61" ht="15" customHeight="1" x14ac:dyDescent="0.25">
      <c r="A13" s="115"/>
      <c r="B13" s="781"/>
      <c r="C13" s="804"/>
      <c r="D13" s="780"/>
      <c r="E13" s="783"/>
      <c r="F13" s="804"/>
      <c r="G13" s="804"/>
      <c r="H13" s="804"/>
      <c r="I13" s="780"/>
      <c r="J13" s="134" t="e">
        <f>IF(AND(#REF!="Muy Alta",#REF!="Leve"),CONCATENATE("R8C",#REF!),"")</f>
        <v>#REF!</v>
      </c>
      <c r="K13" s="135" t="e">
        <f>IF(AND(#REF!="Muy Alta",#REF!="Leve"),CONCATENATE("R8C",#REF!),"")</f>
        <v>#REF!</v>
      </c>
      <c r="L13" s="135" t="e">
        <f>IF(AND(#REF!="Muy Alta",#REF!="Leve"),CONCATENATE("R8C",#REF!),"")</f>
        <v>#REF!</v>
      </c>
      <c r="M13" s="135" t="e">
        <f>IF(AND(#REF!="Muy Alta",#REF!="Leve"),CONCATENATE("R8C",#REF!),"")</f>
        <v>#REF!</v>
      </c>
      <c r="N13" s="135" t="e">
        <f>IF(AND(#REF!="Muy Alta",#REF!="Leve"),CONCATENATE("R8C",#REF!),"")</f>
        <v>#REF!</v>
      </c>
      <c r="O13" s="136" t="e">
        <f>IF(AND(#REF!="Muy Alta",#REF!="Leve"),CONCATENATE("R8C",#REF!),"")</f>
        <v>#REF!</v>
      </c>
      <c r="P13" s="134" t="e">
        <f>IF(AND(#REF!="Muy Alta",#REF!="Menor"),CONCATENATE("R8C",#REF!),"")</f>
        <v>#REF!</v>
      </c>
      <c r="Q13" s="135" t="e">
        <f>IF(AND(#REF!="Muy Alta",#REF!="Menor"),CONCATENATE("R8C",#REF!),"")</f>
        <v>#REF!</v>
      </c>
      <c r="R13" s="135" t="e">
        <f>IF(AND(#REF!="Muy Alta",#REF!="Menor"),CONCATENATE("R8C",#REF!),"")</f>
        <v>#REF!</v>
      </c>
      <c r="S13" s="135" t="e">
        <f>IF(AND(#REF!="Muy Alta",#REF!="Menor"),CONCATENATE("R8C",#REF!),"")</f>
        <v>#REF!</v>
      </c>
      <c r="T13" s="135" t="e">
        <f>IF(AND(#REF!="Muy Alta",#REF!="Menor"),CONCATENATE("R8C",#REF!),"")</f>
        <v>#REF!</v>
      </c>
      <c r="U13" s="136" t="e">
        <f>IF(AND(#REF!="Muy Alta",#REF!="Menor"),CONCATENATE("R8C",#REF!),"")</f>
        <v>#REF!</v>
      </c>
      <c r="V13" s="134" t="e">
        <f>IF(AND(#REF!="Muy Alta",#REF!="Moderado"),CONCATENATE("R8C",#REF!),"")</f>
        <v>#REF!</v>
      </c>
      <c r="W13" s="135" t="e">
        <f>IF(AND(#REF!="Muy Alta",#REF!="Moderado"),CONCATENATE("R8C",#REF!),"")</f>
        <v>#REF!</v>
      </c>
      <c r="X13" s="135" t="e">
        <f>IF(AND(#REF!="Muy Alta",#REF!="Moderado"),CONCATENATE("R8C",#REF!),"")</f>
        <v>#REF!</v>
      </c>
      <c r="Y13" s="135" t="e">
        <f>IF(AND(#REF!="Muy Alta",#REF!="Moderado"),CONCATENATE("R8C",#REF!),"")</f>
        <v>#REF!</v>
      </c>
      <c r="Z13" s="135" t="e">
        <f>IF(AND(#REF!="Muy Alta",#REF!="Moderado"),CONCATENATE("R8C",#REF!),"")</f>
        <v>#REF!</v>
      </c>
      <c r="AA13" s="136" t="e">
        <f>IF(AND(#REF!="Muy Alta",#REF!="Moderado"),CONCATENATE("R8C",#REF!),"")</f>
        <v>#REF!</v>
      </c>
      <c r="AB13" s="134" t="e">
        <f>IF(AND(#REF!="Muy Alta",#REF!="Mayor"),CONCATENATE("R8C",#REF!),"")</f>
        <v>#REF!</v>
      </c>
      <c r="AC13" s="135" t="e">
        <f>IF(AND(#REF!="Muy Alta",#REF!="Mayor"),CONCATENATE("R8C",#REF!),"")</f>
        <v>#REF!</v>
      </c>
      <c r="AD13" s="135" t="e">
        <f>IF(AND(#REF!="Muy Alta",#REF!="Mayor"),CONCATENATE("R8C",#REF!),"")</f>
        <v>#REF!</v>
      </c>
      <c r="AE13" s="135" t="e">
        <f>IF(AND(#REF!="Muy Alta",#REF!="Mayor"),CONCATENATE("R8C",#REF!),"")</f>
        <v>#REF!</v>
      </c>
      <c r="AF13" s="135" t="e">
        <f>IF(AND(#REF!="Muy Alta",#REF!="Mayor"),CONCATENATE("R8C",#REF!),"")</f>
        <v>#REF!</v>
      </c>
      <c r="AG13" s="136" t="e">
        <f>IF(AND(#REF!="Muy Alta",#REF!="Mayor"),CONCATENATE("R8C",#REF!),"")</f>
        <v>#REF!</v>
      </c>
      <c r="AH13" s="137" t="e">
        <f>IF(AND(#REF!="Muy Alta",#REF!="Catastrófico"),CONCATENATE("R8C",#REF!),"")</f>
        <v>#REF!</v>
      </c>
      <c r="AI13" s="138" t="e">
        <f>IF(AND(#REF!="Muy Alta",#REF!="Catastrófico"),CONCATENATE("R8C",#REF!),"")</f>
        <v>#REF!</v>
      </c>
      <c r="AJ13" s="138" t="e">
        <f>IF(AND(#REF!="Muy Alta",#REF!="Catastrófico"),CONCATENATE("R8C",#REF!),"")</f>
        <v>#REF!</v>
      </c>
      <c r="AK13" s="138" t="e">
        <f>IF(AND(#REF!="Muy Alta",#REF!="Catastrófico"),CONCATENATE("R8C",#REF!),"")</f>
        <v>#REF!</v>
      </c>
      <c r="AL13" s="138" t="e">
        <f>IF(AND(#REF!="Muy Alta",#REF!="Catastrófico"),CONCATENATE("R8C",#REF!),"")</f>
        <v>#REF!</v>
      </c>
      <c r="AM13" s="139" t="e">
        <f>IF(AND(#REF!="Muy Alta",#REF!="Catastrófico"),CONCATENATE("R8C",#REF!),"")</f>
        <v>#REF!</v>
      </c>
      <c r="AN13" s="115"/>
      <c r="AO13" s="803"/>
      <c r="AP13" s="804"/>
      <c r="AQ13" s="804"/>
      <c r="AR13" s="804"/>
      <c r="AS13" s="804"/>
      <c r="AT13" s="805"/>
      <c r="AU13" s="115"/>
      <c r="AV13" s="115"/>
      <c r="AW13" s="115"/>
      <c r="AX13" s="115"/>
      <c r="AY13" s="115"/>
      <c r="AZ13" s="115"/>
      <c r="BA13" s="115"/>
      <c r="BB13" s="115"/>
      <c r="BC13" s="115"/>
      <c r="BD13" s="115"/>
      <c r="BE13" s="115"/>
      <c r="BF13" s="115"/>
      <c r="BG13" s="115"/>
      <c r="BH13" s="115"/>
      <c r="BI13" s="115"/>
    </row>
    <row r="14" spans="1:61" ht="15" customHeight="1" x14ac:dyDescent="0.25">
      <c r="A14" s="115"/>
      <c r="B14" s="781"/>
      <c r="C14" s="804"/>
      <c r="D14" s="780"/>
      <c r="E14" s="783"/>
      <c r="F14" s="804"/>
      <c r="G14" s="804"/>
      <c r="H14" s="804"/>
      <c r="I14" s="780"/>
      <c r="J14" s="134" t="e">
        <f>IF(AND(#REF!="Muy Alta",#REF!="Leve"),CONCATENATE("R9C",#REF!),"")</f>
        <v>#REF!</v>
      </c>
      <c r="K14" s="135" t="e">
        <f>IF(AND(#REF!="Muy Alta",#REF!="Leve"),CONCATENATE("R9C",#REF!),"")</f>
        <v>#REF!</v>
      </c>
      <c r="L14" s="135" t="e">
        <f>IF(AND(#REF!="Muy Alta",#REF!="Leve"),CONCATENATE("R9C",#REF!),"")</f>
        <v>#REF!</v>
      </c>
      <c r="M14" s="135" t="e">
        <f>IF(AND(#REF!="Muy Alta",#REF!="Leve"),CONCATENATE("R9C",#REF!),"")</f>
        <v>#REF!</v>
      </c>
      <c r="N14" s="135" t="e">
        <f>IF(AND(#REF!="Muy Alta",#REF!="Leve"),CONCATENATE("R9C",#REF!),"")</f>
        <v>#REF!</v>
      </c>
      <c r="O14" s="136" t="e">
        <f>IF(AND(#REF!="Muy Alta",#REF!="Leve"),CONCATENATE("R9C",#REF!),"")</f>
        <v>#REF!</v>
      </c>
      <c r="P14" s="134" t="e">
        <f>IF(AND(#REF!="Muy Alta",#REF!="Menor"),CONCATENATE("R9C",#REF!),"")</f>
        <v>#REF!</v>
      </c>
      <c r="Q14" s="135" t="e">
        <f>IF(AND(#REF!="Muy Alta",#REF!="Menor"),CONCATENATE("R9C",#REF!),"")</f>
        <v>#REF!</v>
      </c>
      <c r="R14" s="135" t="e">
        <f>IF(AND(#REF!="Muy Alta",#REF!="Menor"),CONCATENATE("R9C",#REF!),"")</f>
        <v>#REF!</v>
      </c>
      <c r="S14" s="135" t="e">
        <f>IF(AND(#REF!="Muy Alta",#REF!="Menor"),CONCATENATE("R9C",#REF!),"")</f>
        <v>#REF!</v>
      </c>
      <c r="T14" s="135" t="e">
        <f>IF(AND(#REF!="Muy Alta",#REF!="Menor"),CONCATENATE("R9C",#REF!),"")</f>
        <v>#REF!</v>
      </c>
      <c r="U14" s="136" t="e">
        <f>IF(AND(#REF!="Muy Alta",#REF!="Menor"),CONCATENATE("R9C",#REF!),"")</f>
        <v>#REF!</v>
      </c>
      <c r="V14" s="134" t="e">
        <f>IF(AND(#REF!="Muy Alta",#REF!="Moderado"),CONCATENATE("R9C",#REF!),"")</f>
        <v>#REF!</v>
      </c>
      <c r="W14" s="135" t="e">
        <f>IF(AND(#REF!="Muy Alta",#REF!="Moderado"),CONCATENATE("R9C",#REF!),"")</f>
        <v>#REF!</v>
      </c>
      <c r="X14" s="135" t="e">
        <f>IF(AND(#REF!="Muy Alta",#REF!="Moderado"),CONCATENATE("R9C",#REF!),"")</f>
        <v>#REF!</v>
      </c>
      <c r="Y14" s="135" t="e">
        <f>IF(AND(#REF!="Muy Alta",#REF!="Moderado"),CONCATENATE("R9C",#REF!),"")</f>
        <v>#REF!</v>
      </c>
      <c r="Z14" s="135" t="e">
        <f>IF(AND(#REF!="Muy Alta",#REF!="Moderado"),CONCATENATE("R9C",#REF!),"")</f>
        <v>#REF!</v>
      </c>
      <c r="AA14" s="136" t="e">
        <f>IF(AND(#REF!="Muy Alta",#REF!="Moderado"),CONCATENATE("R9C",#REF!),"")</f>
        <v>#REF!</v>
      </c>
      <c r="AB14" s="134" t="e">
        <f>IF(AND(#REF!="Muy Alta",#REF!="Mayor"),CONCATENATE("R9C",#REF!),"")</f>
        <v>#REF!</v>
      </c>
      <c r="AC14" s="135" t="e">
        <f>IF(AND(#REF!="Muy Alta",#REF!="Mayor"),CONCATENATE("R9C",#REF!),"")</f>
        <v>#REF!</v>
      </c>
      <c r="AD14" s="135" t="e">
        <f>IF(AND(#REF!="Muy Alta",#REF!="Mayor"),CONCATENATE("R9C",#REF!),"")</f>
        <v>#REF!</v>
      </c>
      <c r="AE14" s="135" t="e">
        <f>IF(AND(#REF!="Muy Alta",#REF!="Mayor"),CONCATENATE("R9C",#REF!),"")</f>
        <v>#REF!</v>
      </c>
      <c r="AF14" s="135" t="e">
        <f>IF(AND(#REF!="Muy Alta",#REF!="Mayor"),CONCATENATE("R9C",#REF!),"")</f>
        <v>#REF!</v>
      </c>
      <c r="AG14" s="136" t="e">
        <f>IF(AND(#REF!="Muy Alta",#REF!="Mayor"),CONCATENATE("R9C",#REF!),"")</f>
        <v>#REF!</v>
      </c>
      <c r="AH14" s="137" t="e">
        <f>IF(AND(#REF!="Muy Alta",#REF!="Catastrófico"),CONCATENATE("R9C",#REF!),"")</f>
        <v>#REF!</v>
      </c>
      <c r="AI14" s="138" t="e">
        <f>IF(AND(#REF!="Muy Alta",#REF!="Catastrófico"),CONCATENATE("R9C",#REF!),"")</f>
        <v>#REF!</v>
      </c>
      <c r="AJ14" s="138" t="e">
        <f>IF(AND(#REF!="Muy Alta",#REF!="Catastrófico"),CONCATENATE("R9C",#REF!),"")</f>
        <v>#REF!</v>
      </c>
      <c r="AK14" s="138" t="e">
        <f>IF(AND(#REF!="Muy Alta",#REF!="Catastrófico"),CONCATENATE("R9C",#REF!),"")</f>
        <v>#REF!</v>
      </c>
      <c r="AL14" s="138" t="e">
        <f>IF(AND(#REF!="Muy Alta",#REF!="Catastrófico"),CONCATENATE("R9C",#REF!),"")</f>
        <v>#REF!</v>
      </c>
      <c r="AM14" s="139" t="e">
        <f>IF(AND(#REF!="Muy Alta",#REF!="Catastrófico"),CONCATENATE("R9C",#REF!),"")</f>
        <v>#REF!</v>
      </c>
      <c r="AN14" s="115"/>
      <c r="AO14" s="803"/>
      <c r="AP14" s="804"/>
      <c r="AQ14" s="804"/>
      <c r="AR14" s="804"/>
      <c r="AS14" s="804"/>
      <c r="AT14" s="805"/>
      <c r="AU14" s="115"/>
      <c r="AV14" s="115"/>
      <c r="AW14" s="115"/>
      <c r="AX14" s="115"/>
      <c r="AY14" s="115"/>
      <c r="AZ14" s="115"/>
      <c r="BA14" s="115"/>
      <c r="BB14" s="115"/>
      <c r="BC14" s="115"/>
      <c r="BD14" s="115"/>
      <c r="BE14" s="115"/>
      <c r="BF14" s="115"/>
      <c r="BG14" s="115"/>
      <c r="BH14" s="115"/>
      <c r="BI14" s="115"/>
    </row>
    <row r="15" spans="1:61" ht="15.75" customHeight="1" thickBot="1" x14ac:dyDescent="0.3">
      <c r="A15" s="115"/>
      <c r="B15" s="781"/>
      <c r="C15" s="804"/>
      <c r="D15" s="780"/>
      <c r="E15" s="790"/>
      <c r="F15" s="791"/>
      <c r="G15" s="791"/>
      <c r="H15" s="791"/>
      <c r="I15" s="792"/>
      <c r="J15" s="140" t="e">
        <f>IF(AND(#REF!="Muy Alta",#REF!="Leve"),CONCATENATE("R10C",#REF!),"")</f>
        <v>#REF!</v>
      </c>
      <c r="K15" s="141" t="e">
        <f>IF(AND(#REF!="Muy Alta",#REF!="Leve"),CONCATENATE("R10C",#REF!),"")</f>
        <v>#REF!</v>
      </c>
      <c r="L15" s="141" t="e">
        <f>IF(AND(#REF!="Muy Alta",#REF!="Leve"),CONCATENATE("R10C",#REF!),"")</f>
        <v>#REF!</v>
      </c>
      <c r="M15" s="141" t="e">
        <f>IF(AND(#REF!="Muy Alta",#REF!="Leve"),CONCATENATE("R10C",#REF!),"")</f>
        <v>#REF!</v>
      </c>
      <c r="N15" s="141" t="e">
        <f>IF(AND(#REF!="Muy Alta",#REF!="Leve"),CONCATENATE("R10C",#REF!),"")</f>
        <v>#REF!</v>
      </c>
      <c r="O15" s="142" t="e">
        <f>IF(AND(#REF!="Muy Alta",#REF!="Leve"),CONCATENATE("R10C",#REF!),"")</f>
        <v>#REF!</v>
      </c>
      <c r="P15" s="134" t="e">
        <f>IF(AND(#REF!="Muy Alta",#REF!="Menor"),CONCATENATE("R10C",#REF!),"")</f>
        <v>#REF!</v>
      </c>
      <c r="Q15" s="135" t="e">
        <f>IF(AND(#REF!="Muy Alta",#REF!="Menor"),CONCATENATE("R10C",#REF!),"")</f>
        <v>#REF!</v>
      </c>
      <c r="R15" s="135" t="e">
        <f>IF(AND(#REF!="Muy Alta",#REF!="Menor"),CONCATENATE("R10C",#REF!),"")</f>
        <v>#REF!</v>
      </c>
      <c r="S15" s="135" t="e">
        <f>IF(AND(#REF!="Muy Alta",#REF!="Menor"),CONCATENATE("R10C",#REF!),"")</f>
        <v>#REF!</v>
      </c>
      <c r="T15" s="135" t="e">
        <f>IF(AND(#REF!="Muy Alta",#REF!="Menor"),CONCATENATE("R10C",#REF!),"")</f>
        <v>#REF!</v>
      </c>
      <c r="U15" s="136" t="e">
        <f>IF(AND(#REF!="Muy Alta",#REF!="Menor"),CONCATENATE("R10C",#REF!),"")</f>
        <v>#REF!</v>
      </c>
      <c r="V15" s="140" t="e">
        <f>IF(AND(#REF!="Muy Alta",#REF!="Moderado"),CONCATENATE("R10C",#REF!),"")</f>
        <v>#REF!</v>
      </c>
      <c r="W15" s="141" t="e">
        <f>IF(AND(#REF!="Muy Alta",#REF!="Moderado"),CONCATENATE("R10C",#REF!),"")</f>
        <v>#REF!</v>
      </c>
      <c r="X15" s="141" t="e">
        <f>IF(AND(#REF!="Muy Alta",#REF!="Moderado"),CONCATENATE("R10C",#REF!),"")</f>
        <v>#REF!</v>
      </c>
      <c r="Y15" s="141" t="e">
        <f>IF(AND(#REF!="Muy Alta",#REF!="Moderado"),CONCATENATE("R10C",#REF!),"")</f>
        <v>#REF!</v>
      </c>
      <c r="Z15" s="141" t="e">
        <f>IF(AND(#REF!="Muy Alta",#REF!="Moderado"),CONCATENATE("R10C",#REF!),"")</f>
        <v>#REF!</v>
      </c>
      <c r="AA15" s="142" t="e">
        <f>IF(AND(#REF!="Muy Alta",#REF!="Moderado"),CONCATENATE("R10C",#REF!),"")</f>
        <v>#REF!</v>
      </c>
      <c r="AB15" s="134" t="e">
        <f>IF(AND(#REF!="Muy Alta",#REF!="Mayor"),CONCATENATE("R10C",#REF!),"")</f>
        <v>#REF!</v>
      </c>
      <c r="AC15" s="135" t="e">
        <f>IF(AND(#REF!="Muy Alta",#REF!="Mayor"),CONCATENATE("R10C",#REF!),"")</f>
        <v>#REF!</v>
      </c>
      <c r="AD15" s="135" t="e">
        <f>IF(AND(#REF!="Muy Alta",#REF!="Mayor"),CONCATENATE("R10C",#REF!),"")</f>
        <v>#REF!</v>
      </c>
      <c r="AE15" s="135" t="e">
        <f>IF(AND(#REF!="Muy Alta",#REF!="Mayor"),CONCATENATE("R10C",#REF!),"")</f>
        <v>#REF!</v>
      </c>
      <c r="AF15" s="135" t="e">
        <f>IF(AND(#REF!="Muy Alta",#REF!="Mayor"),CONCATENATE("R10C",#REF!),"")</f>
        <v>#REF!</v>
      </c>
      <c r="AG15" s="136" t="e">
        <f>IF(AND(#REF!="Muy Alta",#REF!="Mayor"),CONCATENATE("R10C",#REF!),"")</f>
        <v>#REF!</v>
      </c>
      <c r="AH15" s="143" t="e">
        <f>IF(AND(#REF!="Muy Alta",#REF!="Catastrófico"),CONCATENATE("R10C",#REF!),"")</f>
        <v>#REF!</v>
      </c>
      <c r="AI15" s="144" t="e">
        <f>IF(AND(#REF!="Muy Alta",#REF!="Catastrófico"),CONCATENATE("R10C",#REF!),"")</f>
        <v>#REF!</v>
      </c>
      <c r="AJ15" s="144" t="e">
        <f>IF(AND(#REF!="Muy Alta",#REF!="Catastrófico"),CONCATENATE("R10C",#REF!),"")</f>
        <v>#REF!</v>
      </c>
      <c r="AK15" s="144" t="e">
        <f>IF(AND(#REF!="Muy Alta",#REF!="Catastrófico"),CONCATENATE("R10C",#REF!),"")</f>
        <v>#REF!</v>
      </c>
      <c r="AL15" s="144" t="e">
        <f>IF(AND(#REF!="Muy Alta",#REF!="Catastrófico"),CONCATENATE("R10C",#REF!),"")</f>
        <v>#REF!</v>
      </c>
      <c r="AM15" s="145" t="e">
        <f>IF(AND(#REF!="Muy Alta",#REF!="Catastrófico"),CONCATENATE("R10C",#REF!),"")</f>
        <v>#REF!</v>
      </c>
      <c r="AN15" s="115"/>
      <c r="AO15" s="806"/>
      <c r="AP15" s="807"/>
      <c r="AQ15" s="807"/>
      <c r="AR15" s="807"/>
      <c r="AS15" s="807"/>
      <c r="AT15" s="808"/>
      <c r="AU15" s="115"/>
      <c r="AV15" s="115"/>
      <c r="AW15" s="115"/>
      <c r="AX15" s="115"/>
      <c r="AY15" s="115"/>
      <c r="AZ15" s="115"/>
      <c r="BA15" s="115"/>
      <c r="BB15" s="115"/>
      <c r="BC15" s="115"/>
      <c r="BD15" s="115"/>
      <c r="BE15" s="115"/>
      <c r="BF15" s="115"/>
      <c r="BG15" s="115"/>
      <c r="BH15" s="115"/>
      <c r="BI15" s="115"/>
    </row>
    <row r="16" spans="1:61" ht="15" customHeight="1" x14ac:dyDescent="0.25">
      <c r="A16" s="115"/>
      <c r="B16" s="781"/>
      <c r="C16" s="804"/>
      <c r="D16" s="780"/>
      <c r="E16" s="823" t="s">
        <v>5</v>
      </c>
      <c r="F16" s="786"/>
      <c r="G16" s="786"/>
      <c r="H16" s="786"/>
      <c r="I16" s="786"/>
      <c r="J16" s="25" t="e">
        <f>IF(AND(#REF!="Alta",#REF!="Leve"),CONCATENATE("R1C",#REF!),"")</f>
        <v>#REF!</v>
      </c>
      <c r="K16" s="26" t="e">
        <f>IF(AND(#REF!="Alta",#REF!="Leve"),CONCATENATE("R1C",#REF!),"")</f>
        <v>#REF!</v>
      </c>
      <c r="L16" s="26" t="e">
        <f>IF(AND(#REF!="Alta",#REF!="Leve"),CONCATENATE("R1C",#REF!),"")</f>
        <v>#REF!</v>
      </c>
      <c r="M16" s="26" t="e">
        <f>IF(AND(#REF!="Alta",#REF!="Leve"),CONCATENATE("R1C",#REF!),"")</f>
        <v>#REF!</v>
      </c>
      <c r="N16" s="26" t="e">
        <f>IF(AND(#REF!="Alta",#REF!="Leve"),CONCATENATE("R1C",#REF!),"")</f>
        <v>#REF!</v>
      </c>
      <c r="O16" s="27" t="e">
        <f>IF(AND(#REF!="Alta",#REF!="Leve"),CONCATENATE("R1C",#REF!),"")</f>
        <v>#REF!</v>
      </c>
      <c r="P16" s="25" t="e">
        <f>IF(AND(#REF!="Alta",#REF!="Menor"),CONCATENATE("R1C",#REF!),"")</f>
        <v>#REF!</v>
      </c>
      <c r="Q16" s="26" t="e">
        <f>IF(AND(#REF!="Alta",#REF!="Menor"),CONCATENATE("R1C",#REF!),"")</f>
        <v>#REF!</v>
      </c>
      <c r="R16" s="26" t="e">
        <f>IF(AND(#REF!="Alta",#REF!="Menor"),CONCATENATE("R1C",#REF!),"")</f>
        <v>#REF!</v>
      </c>
      <c r="S16" s="26" t="e">
        <f>IF(AND(#REF!="Alta",#REF!="Menor"),CONCATENATE("R1C",#REF!),"")</f>
        <v>#REF!</v>
      </c>
      <c r="T16" s="26" t="e">
        <f>IF(AND(#REF!="Alta",#REF!="Menor"),CONCATENATE("R1C",#REF!),"")</f>
        <v>#REF!</v>
      </c>
      <c r="U16" s="27" t="e">
        <f>IF(AND(#REF!="Alta",#REF!="Menor"),CONCATENATE("R1C",#REF!),"")</f>
        <v>#REF!</v>
      </c>
      <c r="V16" s="19" t="e">
        <f>IF(AND(#REF!="Alta",#REF!="Moderado"),CONCATENATE("R1C",#REF!),"")</f>
        <v>#REF!</v>
      </c>
      <c r="W16" s="20" t="e">
        <f>IF(AND(#REF!="Alta",#REF!="Moderado"),CONCATENATE("R1C",#REF!),"")</f>
        <v>#REF!</v>
      </c>
      <c r="X16" s="20" t="e">
        <f>IF(AND(#REF!="Alta",#REF!="Moderado"),CONCATENATE("R1C",#REF!),"")</f>
        <v>#REF!</v>
      </c>
      <c r="Y16" s="20" t="e">
        <f>IF(AND(#REF!="Alta",#REF!="Moderado"),CONCATENATE("R1C",#REF!),"")</f>
        <v>#REF!</v>
      </c>
      <c r="Z16" s="20" t="e">
        <f>IF(AND(#REF!="Alta",#REF!="Moderado"),CONCATENATE("R1C",#REF!),"")</f>
        <v>#REF!</v>
      </c>
      <c r="AA16" s="21" t="e">
        <f>IF(AND(#REF!="Alta",#REF!="Moderado"),CONCATENATE("R1C",#REF!),"")</f>
        <v>#REF!</v>
      </c>
      <c r="AB16" s="19" t="e">
        <f>IF(AND(#REF!="Alta",#REF!="Mayor"),CONCATENATE("R1C",#REF!),"")</f>
        <v>#REF!</v>
      </c>
      <c r="AC16" s="20" t="e">
        <f>IF(AND(#REF!="Alta",#REF!="Mayor"),CONCATENATE("R1C",#REF!),"")</f>
        <v>#REF!</v>
      </c>
      <c r="AD16" s="20" t="e">
        <f>IF(AND(#REF!="Alta",#REF!="Mayor"),CONCATENATE("R1C",#REF!),"")</f>
        <v>#REF!</v>
      </c>
      <c r="AE16" s="20" t="e">
        <f>IF(AND(#REF!="Alta",#REF!="Mayor"),CONCATENATE("R1C",#REF!),"")</f>
        <v>#REF!</v>
      </c>
      <c r="AF16" s="20" t="e">
        <f>IF(AND(#REF!="Alta",#REF!="Mayor"),CONCATENATE("R1C",#REF!),"")</f>
        <v>#REF!</v>
      </c>
      <c r="AG16" s="21" t="e">
        <f>IF(AND(#REF!="Alta",#REF!="Mayor"),CONCATENATE("R1C",#REF!),"")</f>
        <v>#REF!</v>
      </c>
      <c r="AH16" s="22" t="e">
        <f>IF(AND(#REF!="Alta",#REF!="Catastrófico"),CONCATENATE("R1C",#REF!),"")</f>
        <v>#REF!</v>
      </c>
      <c r="AI16" s="23" t="e">
        <f>IF(AND(#REF!="Alta",#REF!="Catastrófico"),CONCATENATE("R1C",#REF!),"")</f>
        <v>#REF!</v>
      </c>
      <c r="AJ16" s="23" t="e">
        <f>IF(AND(#REF!="Alta",#REF!="Catastrófico"),CONCATENATE("R1C",#REF!),"")</f>
        <v>#REF!</v>
      </c>
      <c r="AK16" s="23" t="e">
        <f>IF(AND(#REF!="Alta",#REF!="Catastrófico"),CONCATENATE("R1C",#REF!),"")</f>
        <v>#REF!</v>
      </c>
      <c r="AL16" s="23" t="e">
        <f>IF(AND(#REF!="Alta",#REF!="Catastrófico"),CONCATENATE("R1C",#REF!),"")</f>
        <v>#REF!</v>
      </c>
      <c r="AM16" s="24" t="e">
        <f>IF(AND(#REF!="Alta",#REF!="Catastrófico"),CONCATENATE("R1C",#REF!),"")</f>
        <v>#REF!</v>
      </c>
      <c r="AN16" s="115"/>
      <c r="AO16" s="819" t="s">
        <v>6</v>
      </c>
      <c r="AP16" s="801"/>
      <c r="AQ16" s="801"/>
      <c r="AR16" s="801"/>
      <c r="AS16" s="801"/>
      <c r="AT16" s="802"/>
      <c r="AU16" s="115"/>
      <c r="AV16" s="115"/>
      <c r="AW16" s="115"/>
      <c r="AX16" s="115"/>
      <c r="AY16" s="115"/>
      <c r="AZ16" s="115"/>
      <c r="BA16" s="115"/>
      <c r="BB16" s="115"/>
      <c r="BC16" s="115"/>
      <c r="BD16" s="115"/>
      <c r="BE16" s="115"/>
      <c r="BF16" s="115"/>
      <c r="BG16" s="115"/>
      <c r="BH16" s="115"/>
      <c r="BI16" s="115"/>
    </row>
    <row r="17" spans="1:61" ht="15" customHeight="1" x14ac:dyDescent="0.25">
      <c r="A17" s="115"/>
      <c r="B17" s="781"/>
      <c r="C17" s="804"/>
      <c r="D17" s="780"/>
      <c r="E17" s="783"/>
      <c r="F17" s="804"/>
      <c r="G17" s="804"/>
      <c r="H17" s="804"/>
      <c r="I17" s="804"/>
      <c r="J17" s="146" t="e">
        <f>IF(AND(#REF!="Alta",#REF!="Leve"),CONCATENATE("R2C",#REF!),"")</f>
        <v>#REF!</v>
      </c>
      <c r="K17" s="147" t="e">
        <f>IF(AND(#REF!="Alta",#REF!="Leve"),CONCATENATE("R2C",#REF!),"")</f>
        <v>#REF!</v>
      </c>
      <c r="L17" s="147" t="e">
        <f>IF(AND(#REF!="Alta",#REF!="Leve"),CONCATENATE("R2C",#REF!),"")</f>
        <v>#REF!</v>
      </c>
      <c r="M17" s="147" t="e">
        <f>IF(AND(#REF!="Alta",#REF!="Leve"),CONCATENATE("R2C",#REF!),"")</f>
        <v>#REF!</v>
      </c>
      <c r="N17" s="147" t="e">
        <f>IF(AND(#REF!="Alta",#REF!="Leve"),CONCATENATE("R2C",#REF!),"")</f>
        <v>#REF!</v>
      </c>
      <c r="O17" s="148" t="e">
        <f>IF(AND(#REF!="Alta",#REF!="Leve"),CONCATENATE("R2C",#REF!),"")</f>
        <v>#REF!</v>
      </c>
      <c r="P17" s="146" t="e">
        <f>IF(AND(#REF!="Alta",#REF!="Menor"),CONCATENATE("R2C",#REF!),"")</f>
        <v>#REF!</v>
      </c>
      <c r="Q17" s="147" t="e">
        <f>IF(AND(#REF!="Alta",#REF!="Menor"),CONCATENATE("R2C",#REF!),"")</f>
        <v>#REF!</v>
      </c>
      <c r="R17" s="147" t="e">
        <f>IF(AND(#REF!="Alta",#REF!="Menor"),CONCATENATE("R2C",#REF!),"")</f>
        <v>#REF!</v>
      </c>
      <c r="S17" s="147" t="e">
        <f>IF(AND(#REF!="Alta",#REF!="Menor"),CONCATENATE("R2C",#REF!),"")</f>
        <v>#REF!</v>
      </c>
      <c r="T17" s="147" t="e">
        <f>IF(AND(#REF!="Alta",#REF!="Menor"),CONCATENATE("R2C",#REF!),"")</f>
        <v>#REF!</v>
      </c>
      <c r="U17" s="148" t="e">
        <f>IF(AND(#REF!="Alta",#REF!="Menor"),CONCATENATE("R2C",#REF!),"")</f>
        <v>#REF!</v>
      </c>
      <c r="V17" s="134" t="e">
        <f>IF(AND(#REF!="Alta",#REF!="Moderado"),CONCATENATE("R2C",#REF!),"")</f>
        <v>#REF!</v>
      </c>
      <c r="W17" s="135" t="e">
        <f>IF(AND(#REF!="Alta",#REF!="Moderado"),CONCATENATE("R2C",#REF!),"")</f>
        <v>#REF!</v>
      </c>
      <c r="X17" s="135" t="e">
        <f>IF(AND(#REF!="Alta",#REF!="Moderado"),CONCATENATE("R2C",#REF!),"")</f>
        <v>#REF!</v>
      </c>
      <c r="Y17" s="135" t="e">
        <f>IF(AND(#REF!="Alta",#REF!="Moderado"),CONCATENATE("R2C",#REF!),"")</f>
        <v>#REF!</v>
      </c>
      <c r="Z17" s="135" t="e">
        <f>IF(AND(#REF!="Alta",#REF!="Moderado"),CONCATENATE("R2C",#REF!),"")</f>
        <v>#REF!</v>
      </c>
      <c r="AA17" s="136" t="e">
        <f>IF(AND(#REF!="Alta",#REF!="Moderado"),CONCATENATE("R2C",#REF!),"")</f>
        <v>#REF!</v>
      </c>
      <c r="AB17" s="134" t="e">
        <f>IF(AND(#REF!="Alta",#REF!="Mayor"),CONCATENATE("R2C",#REF!),"")</f>
        <v>#REF!</v>
      </c>
      <c r="AC17" s="135" t="e">
        <f>IF(AND(#REF!="Alta",#REF!="Mayor"),CONCATENATE("R2C",#REF!),"")</f>
        <v>#REF!</v>
      </c>
      <c r="AD17" s="135" t="e">
        <f>IF(AND(#REF!="Alta",#REF!="Mayor"),CONCATENATE("R2C",#REF!),"")</f>
        <v>#REF!</v>
      </c>
      <c r="AE17" s="135" t="e">
        <f>IF(AND(#REF!="Alta",#REF!="Mayor"),CONCATENATE("R2C",#REF!),"")</f>
        <v>#REF!</v>
      </c>
      <c r="AF17" s="135" t="e">
        <f>IF(AND(#REF!="Alta",#REF!="Mayor"),CONCATENATE("R2C",#REF!),"")</f>
        <v>#REF!</v>
      </c>
      <c r="AG17" s="136" t="e">
        <f>IF(AND(#REF!="Alta",#REF!="Mayor"),CONCATENATE("R2C",#REF!),"")</f>
        <v>#REF!</v>
      </c>
      <c r="AH17" s="137" t="e">
        <f>IF(AND(#REF!="Alta",#REF!="Catastrófico"),CONCATENATE("R2C",#REF!),"")</f>
        <v>#REF!</v>
      </c>
      <c r="AI17" s="138" t="e">
        <f>IF(AND(#REF!="Alta",#REF!="Catastrófico"),CONCATENATE("R2C",#REF!),"")</f>
        <v>#REF!</v>
      </c>
      <c r="AJ17" s="138" t="e">
        <f>IF(AND(#REF!="Alta",#REF!="Catastrófico"),CONCATENATE("R2C",#REF!),"")</f>
        <v>#REF!</v>
      </c>
      <c r="AK17" s="138" t="e">
        <f>IF(AND(#REF!="Alta",#REF!="Catastrófico"),CONCATENATE("R2C",#REF!),"")</f>
        <v>#REF!</v>
      </c>
      <c r="AL17" s="138" t="e">
        <f>IF(AND(#REF!="Alta",#REF!="Catastrófico"),CONCATENATE("R2C",#REF!),"")</f>
        <v>#REF!</v>
      </c>
      <c r="AM17" s="139" t="e">
        <f>IF(AND(#REF!="Alta",#REF!="Catastrófico"),CONCATENATE("R2C",#REF!),"")</f>
        <v>#REF!</v>
      </c>
      <c r="AN17" s="115"/>
      <c r="AO17" s="803"/>
      <c r="AP17" s="804"/>
      <c r="AQ17" s="804"/>
      <c r="AR17" s="804"/>
      <c r="AS17" s="804"/>
      <c r="AT17" s="805"/>
      <c r="AU17" s="115"/>
      <c r="AV17" s="115"/>
      <c r="AW17" s="115"/>
      <c r="AX17" s="115"/>
      <c r="AY17" s="115"/>
      <c r="AZ17" s="115"/>
      <c r="BA17" s="115"/>
      <c r="BB17" s="115"/>
      <c r="BC17" s="115"/>
      <c r="BD17" s="115"/>
      <c r="BE17" s="115"/>
      <c r="BF17" s="115"/>
      <c r="BG17" s="115"/>
      <c r="BH17" s="115"/>
      <c r="BI17" s="115"/>
    </row>
    <row r="18" spans="1:61" ht="15" customHeight="1" x14ac:dyDescent="0.25">
      <c r="A18" s="115"/>
      <c r="B18" s="781"/>
      <c r="C18" s="804"/>
      <c r="D18" s="780"/>
      <c r="E18" s="783"/>
      <c r="F18" s="804"/>
      <c r="G18" s="804"/>
      <c r="H18" s="804"/>
      <c r="I18" s="804"/>
      <c r="J18" s="146" t="e">
        <f>IF(AND(#REF!="Alta",#REF!="Leve"),CONCATENATE("R3C",#REF!),"")</f>
        <v>#REF!</v>
      </c>
      <c r="K18" s="147" t="e">
        <f>IF(AND(#REF!="Alta",#REF!="Leve"),CONCATENATE("R3C",#REF!),"")</f>
        <v>#REF!</v>
      </c>
      <c r="L18" s="147" t="e">
        <f>IF(AND(#REF!="Alta",#REF!="Leve"),CONCATENATE("R3C",#REF!),"")</f>
        <v>#REF!</v>
      </c>
      <c r="M18" s="147" t="e">
        <f>IF(AND(#REF!="Alta",#REF!="Leve"),CONCATENATE("R3C",#REF!),"")</f>
        <v>#REF!</v>
      </c>
      <c r="N18" s="147" t="e">
        <f>IF(AND(#REF!="Alta",#REF!="Leve"),CONCATENATE("R3C",#REF!),"")</f>
        <v>#REF!</v>
      </c>
      <c r="O18" s="148" t="e">
        <f>IF(AND(#REF!="Alta",#REF!="Leve"),CONCATENATE("R3C",#REF!),"")</f>
        <v>#REF!</v>
      </c>
      <c r="P18" s="146" t="e">
        <f>IF(AND(#REF!="Alta",#REF!="Menor"),CONCATENATE("R3C",#REF!),"")</f>
        <v>#REF!</v>
      </c>
      <c r="Q18" s="147" t="e">
        <f>IF(AND(#REF!="Alta",#REF!="Menor"),CONCATENATE("R3C",#REF!),"")</f>
        <v>#REF!</v>
      </c>
      <c r="R18" s="147" t="e">
        <f>IF(AND(#REF!="Alta",#REF!="Menor"),CONCATENATE("R3C",#REF!),"")</f>
        <v>#REF!</v>
      </c>
      <c r="S18" s="147" t="e">
        <f>IF(AND(#REF!="Alta",#REF!="Menor"),CONCATENATE("R3C",#REF!),"")</f>
        <v>#REF!</v>
      </c>
      <c r="T18" s="147" t="e">
        <f>IF(AND(#REF!="Alta",#REF!="Menor"),CONCATENATE("R3C",#REF!),"")</f>
        <v>#REF!</v>
      </c>
      <c r="U18" s="148" t="e">
        <f>IF(AND(#REF!="Alta",#REF!="Menor"),CONCATENATE("R3C",#REF!),"")</f>
        <v>#REF!</v>
      </c>
      <c r="V18" s="134" t="e">
        <f>IF(AND(#REF!="Alta",#REF!="Moderado"),CONCATENATE("R3C",#REF!),"")</f>
        <v>#REF!</v>
      </c>
      <c r="W18" s="135" t="e">
        <f>IF(AND(#REF!="Alta",#REF!="Moderado"),CONCATENATE("R3C",#REF!),"")</f>
        <v>#REF!</v>
      </c>
      <c r="X18" s="135" t="e">
        <f>IF(AND(#REF!="Alta",#REF!="Moderado"),CONCATENATE("R3C",#REF!),"")</f>
        <v>#REF!</v>
      </c>
      <c r="Y18" s="135" t="e">
        <f>IF(AND(#REF!="Alta",#REF!="Moderado"),CONCATENATE("R3C",#REF!),"")</f>
        <v>#REF!</v>
      </c>
      <c r="Z18" s="135" t="e">
        <f>IF(AND(#REF!="Alta",#REF!="Moderado"),CONCATENATE("R3C",#REF!),"")</f>
        <v>#REF!</v>
      </c>
      <c r="AA18" s="136" t="e">
        <f>IF(AND(#REF!="Alta",#REF!="Moderado"),CONCATENATE("R3C",#REF!),"")</f>
        <v>#REF!</v>
      </c>
      <c r="AB18" s="134" t="e">
        <f>IF(AND(#REF!="Alta",#REF!="Mayor"),CONCATENATE("R3C",#REF!),"")</f>
        <v>#REF!</v>
      </c>
      <c r="AC18" s="135" t="e">
        <f>IF(AND(#REF!="Alta",#REF!="Mayor"),CONCATENATE("R3C",#REF!),"")</f>
        <v>#REF!</v>
      </c>
      <c r="AD18" s="135" t="e">
        <f>IF(AND(#REF!="Alta",#REF!="Mayor"),CONCATENATE("R3C",#REF!),"")</f>
        <v>#REF!</v>
      </c>
      <c r="AE18" s="135" t="e">
        <f>IF(AND(#REF!="Alta",#REF!="Mayor"),CONCATENATE("R3C",#REF!),"")</f>
        <v>#REF!</v>
      </c>
      <c r="AF18" s="135" t="e">
        <f>IF(AND(#REF!="Alta",#REF!="Mayor"),CONCATENATE("R3C",#REF!),"")</f>
        <v>#REF!</v>
      </c>
      <c r="AG18" s="136" t="e">
        <f>IF(AND(#REF!="Alta",#REF!="Mayor"),CONCATENATE("R3C",#REF!),"")</f>
        <v>#REF!</v>
      </c>
      <c r="AH18" s="137" t="e">
        <f>IF(AND(#REF!="Alta",#REF!="Catastrófico"),CONCATENATE("R3C",#REF!),"")</f>
        <v>#REF!</v>
      </c>
      <c r="AI18" s="138" t="e">
        <f>IF(AND(#REF!="Alta",#REF!="Catastrófico"),CONCATENATE("R3C",#REF!),"")</f>
        <v>#REF!</v>
      </c>
      <c r="AJ18" s="138" t="e">
        <f>IF(AND(#REF!="Alta",#REF!="Catastrófico"),CONCATENATE("R3C",#REF!),"")</f>
        <v>#REF!</v>
      </c>
      <c r="AK18" s="138" t="e">
        <f>IF(AND(#REF!="Alta",#REF!="Catastrófico"),CONCATENATE("R3C",#REF!),"")</f>
        <v>#REF!</v>
      </c>
      <c r="AL18" s="138" t="e">
        <f>IF(AND(#REF!="Alta",#REF!="Catastrófico"),CONCATENATE("R3C",#REF!),"")</f>
        <v>#REF!</v>
      </c>
      <c r="AM18" s="139" t="e">
        <f>IF(AND(#REF!="Alta",#REF!="Catastrófico"),CONCATENATE("R3C",#REF!),"")</f>
        <v>#REF!</v>
      </c>
      <c r="AN18" s="115"/>
      <c r="AO18" s="803"/>
      <c r="AP18" s="804"/>
      <c r="AQ18" s="804"/>
      <c r="AR18" s="804"/>
      <c r="AS18" s="804"/>
      <c r="AT18" s="805"/>
      <c r="AU18" s="115"/>
      <c r="AV18" s="115"/>
      <c r="AW18" s="115"/>
      <c r="AX18" s="115"/>
      <c r="AY18" s="115"/>
      <c r="AZ18" s="115"/>
      <c r="BA18" s="115"/>
      <c r="BB18" s="115"/>
      <c r="BC18" s="115"/>
      <c r="BD18" s="115"/>
      <c r="BE18" s="115"/>
      <c r="BF18" s="115"/>
      <c r="BG18" s="115"/>
      <c r="BH18" s="115"/>
      <c r="BI18" s="115"/>
    </row>
    <row r="19" spans="1:61" ht="15" customHeight="1" x14ac:dyDescent="0.25">
      <c r="A19" s="115"/>
      <c r="B19" s="781"/>
      <c r="C19" s="804"/>
      <c r="D19" s="780"/>
      <c r="E19" s="783"/>
      <c r="F19" s="804"/>
      <c r="G19" s="804"/>
      <c r="H19" s="804"/>
      <c r="I19" s="804"/>
      <c r="J19" s="146" t="e">
        <f>IF(AND(#REF!="Alta",#REF!="Leve"),CONCATENATE("R4C",#REF!),"")</f>
        <v>#REF!</v>
      </c>
      <c r="K19" s="147" t="e">
        <f>IF(AND(#REF!="Alta",#REF!="Leve"),CONCATENATE("R4C",#REF!),"")</f>
        <v>#REF!</v>
      </c>
      <c r="L19" s="147" t="e">
        <f>IF(AND(#REF!="Alta",#REF!="Leve"),CONCATENATE("R4C",#REF!),"")</f>
        <v>#REF!</v>
      </c>
      <c r="M19" s="147" t="e">
        <f>IF(AND(#REF!="Alta",#REF!="Leve"),CONCATENATE("R4C",#REF!),"")</f>
        <v>#REF!</v>
      </c>
      <c r="N19" s="147" t="e">
        <f>IF(AND(#REF!="Alta",#REF!="Leve"),CONCATENATE("R4C",#REF!),"")</f>
        <v>#REF!</v>
      </c>
      <c r="O19" s="148" t="e">
        <f>IF(AND(#REF!="Alta",#REF!="Leve"),CONCATENATE("R4C",#REF!),"")</f>
        <v>#REF!</v>
      </c>
      <c r="P19" s="146" t="e">
        <f>IF(AND(#REF!="Alta",#REF!="Menor"),CONCATENATE("R4C",#REF!),"")</f>
        <v>#REF!</v>
      </c>
      <c r="Q19" s="147" t="e">
        <f>IF(AND(#REF!="Alta",#REF!="Menor"),CONCATENATE("R4C",#REF!),"")</f>
        <v>#REF!</v>
      </c>
      <c r="R19" s="147" t="e">
        <f>IF(AND(#REF!="Alta",#REF!="Menor"),CONCATENATE("R4C",#REF!),"")</f>
        <v>#REF!</v>
      </c>
      <c r="S19" s="147" t="e">
        <f>IF(AND(#REF!="Alta",#REF!="Menor"),CONCATENATE("R4C",#REF!),"")</f>
        <v>#REF!</v>
      </c>
      <c r="T19" s="147" t="e">
        <f>IF(AND(#REF!="Alta",#REF!="Menor"),CONCATENATE("R4C",#REF!),"")</f>
        <v>#REF!</v>
      </c>
      <c r="U19" s="148" t="e">
        <f>IF(AND(#REF!="Alta",#REF!="Menor"),CONCATENATE("R4C",#REF!),"")</f>
        <v>#REF!</v>
      </c>
      <c r="V19" s="134" t="e">
        <f>IF(AND(#REF!="Alta",#REF!="Moderado"),CONCATENATE("R4C",#REF!),"")</f>
        <v>#REF!</v>
      </c>
      <c r="W19" s="135" t="e">
        <f>IF(AND(#REF!="Alta",#REF!="Moderado"),CONCATENATE("R4C",#REF!),"")</f>
        <v>#REF!</v>
      </c>
      <c r="X19" s="135" t="e">
        <f>IF(AND(#REF!="Alta",#REF!="Moderado"),CONCATENATE("R4C",#REF!),"")</f>
        <v>#REF!</v>
      </c>
      <c r="Y19" s="135" t="e">
        <f>IF(AND(#REF!="Alta",#REF!="Moderado"),CONCATENATE("R4C",#REF!),"")</f>
        <v>#REF!</v>
      </c>
      <c r="Z19" s="135" t="e">
        <f>IF(AND(#REF!="Alta",#REF!="Moderado"),CONCATENATE("R4C",#REF!),"")</f>
        <v>#REF!</v>
      </c>
      <c r="AA19" s="136" t="e">
        <f>IF(AND(#REF!="Alta",#REF!="Moderado"),CONCATENATE("R4C",#REF!),"")</f>
        <v>#REF!</v>
      </c>
      <c r="AB19" s="134" t="e">
        <f>IF(AND(#REF!="Alta",#REF!="Mayor"),CONCATENATE("R4C",#REF!),"")</f>
        <v>#REF!</v>
      </c>
      <c r="AC19" s="135" t="e">
        <f>IF(AND(#REF!="Alta",#REF!="Mayor"),CONCATENATE("R4C",#REF!),"")</f>
        <v>#REF!</v>
      </c>
      <c r="AD19" s="135" t="e">
        <f>IF(AND(#REF!="Alta",#REF!="Mayor"),CONCATENATE("R4C",#REF!),"")</f>
        <v>#REF!</v>
      </c>
      <c r="AE19" s="135" t="e">
        <f>IF(AND(#REF!="Alta",#REF!="Mayor"),CONCATENATE("R4C",#REF!),"")</f>
        <v>#REF!</v>
      </c>
      <c r="AF19" s="135" t="e">
        <f>IF(AND(#REF!="Alta",#REF!="Mayor"),CONCATENATE("R4C",#REF!),"")</f>
        <v>#REF!</v>
      </c>
      <c r="AG19" s="136" t="e">
        <f>IF(AND(#REF!="Alta",#REF!="Mayor"),CONCATENATE("R4C",#REF!),"")</f>
        <v>#REF!</v>
      </c>
      <c r="AH19" s="137" t="e">
        <f>IF(AND(#REF!="Alta",#REF!="Catastrófico"),CONCATENATE("R4C",#REF!),"")</f>
        <v>#REF!</v>
      </c>
      <c r="AI19" s="138" t="e">
        <f>IF(AND(#REF!="Alta",#REF!="Catastrófico"),CONCATENATE("R4C",#REF!),"")</f>
        <v>#REF!</v>
      </c>
      <c r="AJ19" s="138" t="e">
        <f>IF(AND(#REF!="Alta",#REF!="Catastrófico"),CONCATENATE("R4C",#REF!),"")</f>
        <v>#REF!</v>
      </c>
      <c r="AK19" s="138" t="e">
        <f>IF(AND(#REF!="Alta",#REF!="Catastrófico"),CONCATENATE("R4C",#REF!),"")</f>
        <v>#REF!</v>
      </c>
      <c r="AL19" s="138" t="e">
        <f>IF(AND(#REF!="Alta",#REF!="Catastrófico"),CONCATENATE("R4C",#REF!),"")</f>
        <v>#REF!</v>
      </c>
      <c r="AM19" s="139" t="e">
        <f>IF(AND(#REF!="Alta",#REF!="Catastrófico"),CONCATENATE("R4C",#REF!),"")</f>
        <v>#REF!</v>
      </c>
      <c r="AN19" s="115"/>
      <c r="AO19" s="803"/>
      <c r="AP19" s="804"/>
      <c r="AQ19" s="804"/>
      <c r="AR19" s="804"/>
      <c r="AS19" s="804"/>
      <c r="AT19" s="805"/>
      <c r="AU19" s="115"/>
      <c r="AV19" s="115"/>
      <c r="AW19" s="115"/>
      <c r="AX19" s="115"/>
      <c r="AY19" s="115"/>
      <c r="AZ19" s="115"/>
      <c r="BA19" s="115"/>
      <c r="BB19" s="115"/>
      <c r="BC19" s="115"/>
      <c r="BD19" s="115"/>
      <c r="BE19" s="115"/>
      <c r="BF19" s="115"/>
      <c r="BG19" s="115"/>
      <c r="BH19" s="115"/>
      <c r="BI19" s="115"/>
    </row>
    <row r="20" spans="1:61" ht="15" customHeight="1" x14ac:dyDescent="0.25">
      <c r="A20" s="115"/>
      <c r="B20" s="781"/>
      <c r="C20" s="804"/>
      <c r="D20" s="780"/>
      <c r="E20" s="783"/>
      <c r="F20" s="804"/>
      <c r="G20" s="804"/>
      <c r="H20" s="804"/>
      <c r="I20" s="804"/>
      <c r="J20" s="146" t="e">
        <f>IF(AND(#REF!="Alta",#REF!="Leve"),CONCATENATE("R5C",#REF!),"")</f>
        <v>#REF!</v>
      </c>
      <c r="K20" s="147" t="e">
        <f>IF(AND(#REF!="Alta",#REF!="Leve"),CONCATENATE("R5C",#REF!),"")</f>
        <v>#REF!</v>
      </c>
      <c r="L20" s="147" t="e">
        <f>IF(AND(#REF!="Alta",#REF!="Leve"),CONCATENATE("R5C",#REF!),"")</f>
        <v>#REF!</v>
      </c>
      <c r="M20" s="147" t="e">
        <f>IF(AND(#REF!="Alta",#REF!="Leve"),CONCATENATE("R5C",#REF!),"")</f>
        <v>#REF!</v>
      </c>
      <c r="N20" s="147" t="e">
        <f>IF(AND(#REF!="Alta",#REF!="Leve"),CONCATENATE("R5C",#REF!),"")</f>
        <v>#REF!</v>
      </c>
      <c r="O20" s="148" t="e">
        <f>IF(AND(#REF!="Alta",#REF!="Leve"),CONCATENATE("R5C",#REF!),"")</f>
        <v>#REF!</v>
      </c>
      <c r="P20" s="146" t="e">
        <f>IF(AND(#REF!="Alta",#REF!="Menor"),CONCATENATE("R5C",#REF!),"")</f>
        <v>#REF!</v>
      </c>
      <c r="Q20" s="147" t="e">
        <f>IF(AND(#REF!="Alta",#REF!="Menor"),CONCATENATE("R5C",#REF!),"")</f>
        <v>#REF!</v>
      </c>
      <c r="R20" s="147" t="e">
        <f>IF(AND(#REF!="Alta",#REF!="Menor"),CONCATENATE("R5C",#REF!),"")</f>
        <v>#REF!</v>
      </c>
      <c r="S20" s="147" t="e">
        <f>IF(AND(#REF!="Alta",#REF!="Menor"),CONCATENATE("R5C",#REF!),"")</f>
        <v>#REF!</v>
      </c>
      <c r="T20" s="147" t="e">
        <f>IF(AND(#REF!="Alta",#REF!="Menor"),CONCATENATE("R5C",#REF!),"")</f>
        <v>#REF!</v>
      </c>
      <c r="U20" s="148" t="e">
        <f>IF(AND(#REF!="Alta",#REF!="Menor"),CONCATENATE("R5C",#REF!),"")</f>
        <v>#REF!</v>
      </c>
      <c r="V20" s="134" t="e">
        <f>IF(AND(#REF!="Alta",#REF!="Moderado"),CONCATENATE("R5C",#REF!),"")</f>
        <v>#REF!</v>
      </c>
      <c r="W20" s="135" t="e">
        <f>IF(AND(#REF!="Alta",#REF!="Moderado"),CONCATENATE("R5C",#REF!),"")</f>
        <v>#REF!</v>
      </c>
      <c r="X20" s="135" t="e">
        <f>IF(AND(#REF!="Alta",#REF!="Moderado"),CONCATENATE("R5C",#REF!),"")</f>
        <v>#REF!</v>
      </c>
      <c r="Y20" s="135" t="e">
        <f>IF(AND(#REF!="Alta",#REF!="Moderado"),CONCATENATE("R5C",#REF!),"")</f>
        <v>#REF!</v>
      </c>
      <c r="Z20" s="135" t="e">
        <f>IF(AND(#REF!="Alta",#REF!="Moderado"),CONCATENATE("R5C",#REF!),"")</f>
        <v>#REF!</v>
      </c>
      <c r="AA20" s="136" t="e">
        <f>IF(AND(#REF!="Alta",#REF!="Moderado"),CONCATENATE("R5C",#REF!),"")</f>
        <v>#REF!</v>
      </c>
      <c r="AB20" s="134" t="e">
        <f>IF(AND(#REF!="Alta",#REF!="Mayor"),CONCATENATE("R5C",#REF!),"")</f>
        <v>#REF!</v>
      </c>
      <c r="AC20" s="135" t="e">
        <f>IF(AND(#REF!="Alta",#REF!="Mayor"),CONCATENATE("R5C",#REF!),"")</f>
        <v>#REF!</v>
      </c>
      <c r="AD20" s="135" t="e">
        <f>IF(AND(#REF!="Alta",#REF!="Mayor"),CONCATENATE("R5C",#REF!),"")</f>
        <v>#REF!</v>
      </c>
      <c r="AE20" s="135" t="e">
        <f>IF(AND(#REF!="Alta",#REF!="Mayor"),CONCATENATE("R5C",#REF!),"")</f>
        <v>#REF!</v>
      </c>
      <c r="AF20" s="135" t="e">
        <f>IF(AND(#REF!="Alta",#REF!="Mayor"),CONCATENATE("R5C",#REF!),"")</f>
        <v>#REF!</v>
      </c>
      <c r="AG20" s="136" t="e">
        <f>IF(AND(#REF!="Alta",#REF!="Mayor"),CONCATENATE("R5C",#REF!),"")</f>
        <v>#REF!</v>
      </c>
      <c r="AH20" s="137" t="e">
        <f>IF(AND(#REF!="Alta",#REF!="Catastrófico"),CONCATENATE("R5C",#REF!),"")</f>
        <v>#REF!</v>
      </c>
      <c r="AI20" s="138" t="e">
        <f>IF(AND(#REF!="Alta",#REF!="Catastrófico"),CONCATENATE("R5C",#REF!),"")</f>
        <v>#REF!</v>
      </c>
      <c r="AJ20" s="138" t="e">
        <f>IF(AND(#REF!="Alta",#REF!="Catastrófico"),CONCATENATE("R5C",#REF!),"")</f>
        <v>#REF!</v>
      </c>
      <c r="AK20" s="138" t="e">
        <f>IF(AND(#REF!="Alta",#REF!="Catastrófico"),CONCATENATE("R5C",#REF!),"")</f>
        <v>#REF!</v>
      </c>
      <c r="AL20" s="138" t="e">
        <f>IF(AND(#REF!="Alta",#REF!="Catastrófico"),CONCATENATE("R5C",#REF!),"")</f>
        <v>#REF!</v>
      </c>
      <c r="AM20" s="139" t="e">
        <f>IF(AND(#REF!="Alta",#REF!="Catastrófico"),CONCATENATE("R5C",#REF!),"")</f>
        <v>#REF!</v>
      </c>
      <c r="AN20" s="115"/>
      <c r="AO20" s="803"/>
      <c r="AP20" s="804"/>
      <c r="AQ20" s="804"/>
      <c r="AR20" s="804"/>
      <c r="AS20" s="804"/>
      <c r="AT20" s="805"/>
      <c r="AU20" s="115"/>
      <c r="AV20" s="115"/>
      <c r="AW20" s="115"/>
      <c r="AX20" s="115"/>
      <c r="AY20" s="115"/>
      <c r="AZ20" s="115"/>
      <c r="BA20" s="115"/>
      <c r="BB20" s="115"/>
      <c r="BC20" s="115"/>
      <c r="BD20" s="115"/>
      <c r="BE20" s="115"/>
      <c r="BF20" s="115"/>
      <c r="BG20" s="115"/>
      <c r="BH20" s="115"/>
      <c r="BI20" s="115"/>
    </row>
    <row r="21" spans="1:61" ht="15" customHeight="1" x14ac:dyDescent="0.25">
      <c r="A21" s="115"/>
      <c r="B21" s="781"/>
      <c r="C21" s="804"/>
      <c r="D21" s="780"/>
      <c r="E21" s="783"/>
      <c r="F21" s="804"/>
      <c r="G21" s="804"/>
      <c r="H21" s="804"/>
      <c r="I21" s="804"/>
      <c r="J21" s="146" t="e">
        <f>IF(AND(#REF!="Alta",#REF!="Leve"),CONCATENATE("R6C",#REF!),"")</f>
        <v>#REF!</v>
      </c>
      <c r="K21" s="147" t="e">
        <f>IF(AND(#REF!="Alta",#REF!="Leve"),CONCATENATE("R6C",#REF!),"")</f>
        <v>#REF!</v>
      </c>
      <c r="L21" s="147" t="e">
        <f>IF(AND(#REF!="Alta",#REF!="Leve"),CONCATENATE("R6C",#REF!),"")</f>
        <v>#REF!</v>
      </c>
      <c r="M21" s="147" t="e">
        <f>IF(AND(#REF!="Alta",#REF!="Leve"),CONCATENATE("R6C",#REF!),"")</f>
        <v>#REF!</v>
      </c>
      <c r="N21" s="147" t="e">
        <f>IF(AND(#REF!="Alta",#REF!="Leve"),CONCATENATE("R6C",#REF!),"")</f>
        <v>#REF!</v>
      </c>
      <c r="O21" s="148" t="e">
        <f>IF(AND(#REF!="Alta",#REF!="Leve"),CONCATENATE("R6C",#REF!),"")</f>
        <v>#REF!</v>
      </c>
      <c r="P21" s="146" t="e">
        <f>IF(AND(#REF!="Alta",#REF!="Menor"),CONCATENATE("R6C",#REF!),"")</f>
        <v>#REF!</v>
      </c>
      <c r="Q21" s="147" t="e">
        <f>IF(AND(#REF!="Alta",#REF!="Menor"),CONCATENATE("R6C",#REF!),"")</f>
        <v>#REF!</v>
      </c>
      <c r="R21" s="147" t="e">
        <f>IF(AND(#REF!="Alta",#REF!="Menor"),CONCATENATE("R6C",#REF!),"")</f>
        <v>#REF!</v>
      </c>
      <c r="S21" s="147" t="e">
        <f>IF(AND(#REF!="Alta",#REF!="Menor"),CONCATENATE("R6C",#REF!),"")</f>
        <v>#REF!</v>
      </c>
      <c r="T21" s="147" t="e">
        <f>IF(AND(#REF!="Alta",#REF!="Menor"),CONCATENATE("R6C",#REF!),"")</f>
        <v>#REF!</v>
      </c>
      <c r="U21" s="148" t="e">
        <f>IF(AND(#REF!="Alta",#REF!="Menor"),CONCATENATE("R6C",#REF!),"")</f>
        <v>#REF!</v>
      </c>
      <c r="V21" s="134" t="e">
        <f>IF(AND(#REF!="Alta",#REF!="Moderado"),CONCATENATE("R6C",#REF!),"")</f>
        <v>#REF!</v>
      </c>
      <c r="W21" s="135" t="e">
        <f>IF(AND(#REF!="Alta",#REF!="Moderado"),CONCATENATE("R6C",#REF!),"")</f>
        <v>#REF!</v>
      </c>
      <c r="X21" s="135" t="e">
        <f>IF(AND(#REF!="Alta",#REF!="Moderado"),CONCATENATE("R6C",#REF!),"")</f>
        <v>#REF!</v>
      </c>
      <c r="Y21" s="135" t="e">
        <f>IF(AND(#REF!="Alta",#REF!="Moderado"),CONCATENATE("R6C",#REF!),"")</f>
        <v>#REF!</v>
      </c>
      <c r="Z21" s="135" t="e">
        <f>IF(AND(#REF!="Alta",#REF!="Moderado"),CONCATENATE("R6C",#REF!),"")</f>
        <v>#REF!</v>
      </c>
      <c r="AA21" s="136" t="e">
        <f>IF(AND(#REF!="Alta",#REF!="Moderado"),CONCATENATE("R6C",#REF!),"")</f>
        <v>#REF!</v>
      </c>
      <c r="AB21" s="134" t="e">
        <f>IF(AND(#REF!="Alta",#REF!="Mayor"),CONCATENATE("R6C",#REF!),"")</f>
        <v>#REF!</v>
      </c>
      <c r="AC21" s="135" t="e">
        <f>IF(AND(#REF!="Alta",#REF!="Mayor"),CONCATENATE("R6C",#REF!),"")</f>
        <v>#REF!</v>
      </c>
      <c r="AD21" s="135" t="e">
        <f>IF(AND(#REF!="Alta",#REF!="Mayor"),CONCATENATE("R6C",#REF!),"")</f>
        <v>#REF!</v>
      </c>
      <c r="AE21" s="135" t="e">
        <f>IF(AND(#REF!="Alta",#REF!="Mayor"),CONCATENATE("R6C",#REF!),"")</f>
        <v>#REF!</v>
      </c>
      <c r="AF21" s="135" t="e">
        <f>IF(AND(#REF!="Alta",#REF!="Mayor"),CONCATENATE("R6C",#REF!),"")</f>
        <v>#REF!</v>
      </c>
      <c r="AG21" s="136" t="e">
        <f>IF(AND(#REF!="Alta",#REF!="Mayor"),CONCATENATE("R6C",#REF!),"")</f>
        <v>#REF!</v>
      </c>
      <c r="AH21" s="137" t="e">
        <f>IF(AND(#REF!="Alta",#REF!="Catastrófico"),CONCATENATE("R6C",#REF!),"")</f>
        <v>#REF!</v>
      </c>
      <c r="AI21" s="138" t="e">
        <f>IF(AND(#REF!="Alta",#REF!="Catastrófico"),CONCATENATE("R6C",#REF!),"")</f>
        <v>#REF!</v>
      </c>
      <c r="AJ21" s="138" t="e">
        <f>IF(AND(#REF!="Alta",#REF!="Catastrófico"),CONCATENATE("R6C",#REF!),"")</f>
        <v>#REF!</v>
      </c>
      <c r="AK21" s="138" t="e">
        <f>IF(AND(#REF!="Alta",#REF!="Catastrófico"),CONCATENATE("R6C",#REF!),"")</f>
        <v>#REF!</v>
      </c>
      <c r="AL21" s="138" t="e">
        <f>IF(AND(#REF!="Alta",#REF!="Catastrófico"),CONCATENATE("R6C",#REF!),"")</f>
        <v>#REF!</v>
      </c>
      <c r="AM21" s="139" t="e">
        <f>IF(AND(#REF!="Alta",#REF!="Catastrófico"),CONCATENATE("R6C",#REF!),"")</f>
        <v>#REF!</v>
      </c>
      <c r="AN21" s="115"/>
      <c r="AO21" s="803"/>
      <c r="AP21" s="804"/>
      <c r="AQ21" s="804"/>
      <c r="AR21" s="804"/>
      <c r="AS21" s="804"/>
      <c r="AT21" s="805"/>
      <c r="AU21" s="115"/>
      <c r="AV21" s="115"/>
      <c r="AW21" s="115"/>
      <c r="AX21" s="115"/>
      <c r="AY21" s="115"/>
      <c r="AZ21" s="115"/>
      <c r="BA21" s="115"/>
      <c r="BB21" s="115"/>
      <c r="BC21" s="115"/>
      <c r="BD21" s="115"/>
      <c r="BE21" s="115"/>
      <c r="BF21" s="115"/>
      <c r="BG21" s="115"/>
      <c r="BH21" s="115"/>
      <c r="BI21" s="115"/>
    </row>
    <row r="22" spans="1:61" ht="15" customHeight="1" x14ac:dyDescent="0.25">
      <c r="A22" s="115"/>
      <c r="B22" s="781"/>
      <c r="C22" s="804"/>
      <c r="D22" s="780"/>
      <c r="E22" s="783"/>
      <c r="F22" s="804"/>
      <c r="G22" s="804"/>
      <c r="H22" s="804"/>
      <c r="I22" s="804"/>
      <c r="J22" s="146" t="e">
        <f>IF(AND(#REF!="Alta",#REF!="Leve"),CONCATENATE("R7C",#REF!),"")</f>
        <v>#REF!</v>
      </c>
      <c r="K22" s="147" t="e">
        <f>IF(AND(#REF!="Alta",#REF!="Leve"),CONCATENATE("R7C",#REF!),"")</f>
        <v>#REF!</v>
      </c>
      <c r="L22" s="147" t="e">
        <f>IF(AND(#REF!="Alta",#REF!="Leve"),CONCATENATE("R7C",#REF!),"")</f>
        <v>#REF!</v>
      </c>
      <c r="M22" s="147" t="e">
        <f>IF(AND(#REF!="Alta",#REF!="Leve"),CONCATENATE("R7C",#REF!),"")</f>
        <v>#REF!</v>
      </c>
      <c r="N22" s="147" t="e">
        <f>IF(AND(#REF!="Alta",#REF!="Leve"),CONCATENATE("R7C",#REF!),"")</f>
        <v>#REF!</v>
      </c>
      <c r="O22" s="148" t="e">
        <f>IF(AND(#REF!="Alta",#REF!="Leve"),CONCATENATE("R7C",#REF!),"")</f>
        <v>#REF!</v>
      </c>
      <c r="P22" s="146" t="e">
        <f>IF(AND(#REF!="Alta",#REF!="Menor"),CONCATENATE("R7C",#REF!),"")</f>
        <v>#REF!</v>
      </c>
      <c r="Q22" s="147" t="e">
        <f>IF(AND(#REF!="Alta",#REF!="Menor"),CONCATENATE("R7C",#REF!),"")</f>
        <v>#REF!</v>
      </c>
      <c r="R22" s="147" t="e">
        <f>IF(AND(#REF!="Alta",#REF!="Menor"),CONCATENATE("R7C",#REF!),"")</f>
        <v>#REF!</v>
      </c>
      <c r="S22" s="147" t="e">
        <f>IF(AND(#REF!="Alta",#REF!="Menor"),CONCATENATE("R7C",#REF!),"")</f>
        <v>#REF!</v>
      </c>
      <c r="T22" s="147" t="e">
        <f>IF(AND(#REF!="Alta",#REF!="Menor"),CONCATENATE("R7C",#REF!),"")</f>
        <v>#REF!</v>
      </c>
      <c r="U22" s="148" t="e">
        <f>IF(AND(#REF!="Alta",#REF!="Menor"),CONCATENATE("R7C",#REF!),"")</f>
        <v>#REF!</v>
      </c>
      <c r="V22" s="134" t="e">
        <f>IF(AND(#REF!="Alta",#REF!="Moderado"),CONCATENATE("R7C",#REF!),"")</f>
        <v>#REF!</v>
      </c>
      <c r="W22" s="135" t="e">
        <f>IF(AND(#REF!="Alta",#REF!="Moderado"),CONCATENATE("R7C",#REF!),"")</f>
        <v>#REF!</v>
      </c>
      <c r="X22" s="135" t="e">
        <f>IF(AND(#REF!="Alta",#REF!="Moderado"),CONCATENATE("R7C",#REF!),"")</f>
        <v>#REF!</v>
      </c>
      <c r="Y22" s="135" t="e">
        <f>IF(AND(#REF!="Alta",#REF!="Moderado"),CONCATENATE("R7C",#REF!),"")</f>
        <v>#REF!</v>
      </c>
      <c r="Z22" s="135" t="e">
        <f>IF(AND(#REF!="Alta",#REF!="Moderado"),CONCATENATE("R7C",#REF!),"")</f>
        <v>#REF!</v>
      </c>
      <c r="AA22" s="136" t="e">
        <f>IF(AND(#REF!="Alta",#REF!="Moderado"),CONCATENATE("R7C",#REF!),"")</f>
        <v>#REF!</v>
      </c>
      <c r="AB22" s="134" t="e">
        <f>IF(AND(#REF!="Alta",#REF!="Mayor"),CONCATENATE("R7C",#REF!),"")</f>
        <v>#REF!</v>
      </c>
      <c r="AC22" s="135" t="e">
        <f>IF(AND(#REF!="Alta",#REF!="Mayor"),CONCATENATE("R7C",#REF!),"")</f>
        <v>#REF!</v>
      </c>
      <c r="AD22" s="135" t="e">
        <f>IF(AND(#REF!="Alta",#REF!="Mayor"),CONCATENATE("R7C",#REF!),"")</f>
        <v>#REF!</v>
      </c>
      <c r="AE22" s="135" t="e">
        <f>IF(AND(#REF!="Alta",#REF!="Mayor"),CONCATENATE("R7C",#REF!),"")</f>
        <v>#REF!</v>
      </c>
      <c r="AF22" s="135" t="e">
        <f>IF(AND(#REF!="Alta",#REF!="Mayor"),CONCATENATE("R7C",#REF!),"")</f>
        <v>#REF!</v>
      </c>
      <c r="AG22" s="136" t="e">
        <f>IF(AND(#REF!="Alta",#REF!="Mayor"),CONCATENATE("R7C",#REF!),"")</f>
        <v>#REF!</v>
      </c>
      <c r="AH22" s="137" t="e">
        <f>IF(AND(#REF!="Alta",#REF!="Catastrófico"),CONCATENATE("R7C",#REF!),"")</f>
        <v>#REF!</v>
      </c>
      <c r="AI22" s="138" t="e">
        <f>IF(AND(#REF!="Alta",#REF!="Catastrófico"),CONCATENATE("R7C",#REF!),"")</f>
        <v>#REF!</v>
      </c>
      <c r="AJ22" s="138" t="e">
        <f>IF(AND(#REF!="Alta",#REF!="Catastrófico"),CONCATENATE("R7C",#REF!),"")</f>
        <v>#REF!</v>
      </c>
      <c r="AK22" s="138" t="e">
        <f>IF(AND(#REF!="Alta",#REF!="Catastrófico"),CONCATENATE("R7C",#REF!),"")</f>
        <v>#REF!</v>
      </c>
      <c r="AL22" s="138" t="e">
        <f>IF(AND(#REF!="Alta",#REF!="Catastrófico"),CONCATENATE("R7C",#REF!),"")</f>
        <v>#REF!</v>
      </c>
      <c r="AM22" s="139" t="e">
        <f>IF(AND(#REF!="Alta",#REF!="Catastrófico"),CONCATENATE("R7C",#REF!),"")</f>
        <v>#REF!</v>
      </c>
      <c r="AN22" s="115"/>
      <c r="AO22" s="803"/>
      <c r="AP22" s="804"/>
      <c r="AQ22" s="804"/>
      <c r="AR22" s="804"/>
      <c r="AS22" s="804"/>
      <c r="AT22" s="805"/>
      <c r="AU22" s="115"/>
      <c r="AV22" s="115"/>
      <c r="AW22" s="115"/>
      <c r="AX22" s="115"/>
      <c r="AY22" s="115"/>
      <c r="AZ22" s="115"/>
      <c r="BA22" s="115"/>
      <c r="BB22" s="115"/>
      <c r="BC22" s="115"/>
      <c r="BD22" s="115"/>
      <c r="BE22" s="115"/>
      <c r="BF22" s="115"/>
      <c r="BG22" s="115"/>
      <c r="BH22" s="115"/>
      <c r="BI22" s="115"/>
    </row>
    <row r="23" spans="1:61" ht="15" customHeight="1" x14ac:dyDescent="0.25">
      <c r="A23" s="115"/>
      <c r="B23" s="781"/>
      <c r="C23" s="804"/>
      <c r="D23" s="780"/>
      <c r="E23" s="783"/>
      <c r="F23" s="804"/>
      <c r="G23" s="804"/>
      <c r="H23" s="804"/>
      <c r="I23" s="804"/>
      <c r="J23" s="146" t="e">
        <f>IF(AND(#REF!="Alta",#REF!="Leve"),CONCATENATE("R8C",#REF!),"")</f>
        <v>#REF!</v>
      </c>
      <c r="K23" s="147" t="e">
        <f>IF(AND(#REF!="Alta",#REF!="Leve"),CONCATENATE("R8C",#REF!),"")</f>
        <v>#REF!</v>
      </c>
      <c r="L23" s="147" t="e">
        <f>IF(AND(#REF!="Alta",#REF!="Leve"),CONCATENATE("R8C",#REF!),"")</f>
        <v>#REF!</v>
      </c>
      <c r="M23" s="147" t="e">
        <f>IF(AND(#REF!="Alta",#REF!="Leve"),CONCATENATE("R8C",#REF!),"")</f>
        <v>#REF!</v>
      </c>
      <c r="N23" s="147" t="e">
        <f>IF(AND(#REF!="Alta",#REF!="Leve"),CONCATENATE("R8C",#REF!),"")</f>
        <v>#REF!</v>
      </c>
      <c r="O23" s="148" t="e">
        <f>IF(AND(#REF!="Alta",#REF!="Leve"),CONCATENATE("R8C",#REF!),"")</f>
        <v>#REF!</v>
      </c>
      <c r="P23" s="146" t="e">
        <f>IF(AND(#REF!="Alta",#REF!="Menor"),CONCATENATE("R8C",#REF!),"")</f>
        <v>#REF!</v>
      </c>
      <c r="Q23" s="147" t="e">
        <f>IF(AND(#REF!="Alta",#REF!="Menor"),CONCATENATE("R8C",#REF!),"")</f>
        <v>#REF!</v>
      </c>
      <c r="R23" s="147" t="e">
        <f>IF(AND(#REF!="Alta",#REF!="Menor"),CONCATENATE("R8C",#REF!),"")</f>
        <v>#REF!</v>
      </c>
      <c r="S23" s="147" t="e">
        <f>IF(AND(#REF!="Alta",#REF!="Menor"),CONCATENATE("R8C",#REF!),"")</f>
        <v>#REF!</v>
      </c>
      <c r="T23" s="147" t="e">
        <f>IF(AND(#REF!="Alta",#REF!="Menor"),CONCATENATE("R8C",#REF!),"")</f>
        <v>#REF!</v>
      </c>
      <c r="U23" s="148" t="e">
        <f>IF(AND(#REF!="Alta",#REF!="Menor"),CONCATENATE("R8C",#REF!),"")</f>
        <v>#REF!</v>
      </c>
      <c r="V23" s="134" t="e">
        <f>IF(AND(#REF!="Alta",#REF!="Moderado"),CONCATENATE("R8C",#REF!),"")</f>
        <v>#REF!</v>
      </c>
      <c r="W23" s="135" t="e">
        <f>IF(AND(#REF!="Alta",#REF!="Moderado"),CONCATENATE("R8C",#REF!),"")</f>
        <v>#REF!</v>
      </c>
      <c r="X23" s="135" t="e">
        <f>IF(AND(#REF!="Alta",#REF!="Moderado"),CONCATENATE("R8C",#REF!),"")</f>
        <v>#REF!</v>
      </c>
      <c r="Y23" s="135" t="e">
        <f>IF(AND(#REF!="Alta",#REF!="Moderado"),CONCATENATE("R8C",#REF!),"")</f>
        <v>#REF!</v>
      </c>
      <c r="Z23" s="135" t="e">
        <f>IF(AND(#REF!="Alta",#REF!="Moderado"),CONCATENATE("R8C",#REF!),"")</f>
        <v>#REF!</v>
      </c>
      <c r="AA23" s="136" t="e">
        <f>IF(AND(#REF!="Alta",#REF!="Moderado"),CONCATENATE("R8C",#REF!),"")</f>
        <v>#REF!</v>
      </c>
      <c r="AB23" s="134" t="e">
        <f>IF(AND(#REF!="Alta",#REF!="Mayor"),CONCATENATE("R8C",#REF!),"")</f>
        <v>#REF!</v>
      </c>
      <c r="AC23" s="135" t="e">
        <f>IF(AND(#REF!="Alta",#REF!="Mayor"),CONCATENATE("R8C",#REF!),"")</f>
        <v>#REF!</v>
      </c>
      <c r="AD23" s="135" t="e">
        <f>IF(AND(#REF!="Alta",#REF!="Mayor"),CONCATENATE("R8C",#REF!),"")</f>
        <v>#REF!</v>
      </c>
      <c r="AE23" s="135" t="e">
        <f>IF(AND(#REF!="Alta",#REF!="Mayor"),CONCATENATE("R8C",#REF!),"")</f>
        <v>#REF!</v>
      </c>
      <c r="AF23" s="135" t="e">
        <f>IF(AND(#REF!="Alta",#REF!="Mayor"),CONCATENATE("R8C",#REF!),"")</f>
        <v>#REF!</v>
      </c>
      <c r="AG23" s="136" t="e">
        <f>IF(AND(#REF!="Alta",#REF!="Mayor"),CONCATENATE("R8C",#REF!),"")</f>
        <v>#REF!</v>
      </c>
      <c r="AH23" s="137" t="e">
        <f>IF(AND(#REF!="Alta",#REF!="Catastrófico"),CONCATENATE("R8C",#REF!),"")</f>
        <v>#REF!</v>
      </c>
      <c r="AI23" s="138" t="e">
        <f>IF(AND(#REF!="Alta",#REF!="Catastrófico"),CONCATENATE("R8C",#REF!),"")</f>
        <v>#REF!</v>
      </c>
      <c r="AJ23" s="138" t="e">
        <f>IF(AND(#REF!="Alta",#REF!="Catastrófico"),CONCATENATE("R8C",#REF!),"")</f>
        <v>#REF!</v>
      </c>
      <c r="AK23" s="138" t="e">
        <f>IF(AND(#REF!="Alta",#REF!="Catastrófico"),CONCATENATE("R8C",#REF!),"")</f>
        <v>#REF!</v>
      </c>
      <c r="AL23" s="138" t="e">
        <f>IF(AND(#REF!="Alta",#REF!="Catastrófico"),CONCATENATE("R8C",#REF!),"")</f>
        <v>#REF!</v>
      </c>
      <c r="AM23" s="139" t="e">
        <f>IF(AND(#REF!="Alta",#REF!="Catastrófico"),CONCATENATE("R8C",#REF!),"")</f>
        <v>#REF!</v>
      </c>
      <c r="AN23" s="115"/>
      <c r="AO23" s="803"/>
      <c r="AP23" s="804"/>
      <c r="AQ23" s="804"/>
      <c r="AR23" s="804"/>
      <c r="AS23" s="804"/>
      <c r="AT23" s="805"/>
      <c r="AU23" s="115"/>
      <c r="AV23" s="115"/>
      <c r="AW23" s="115"/>
      <c r="AX23" s="115"/>
      <c r="AY23" s="115"/>
      <c r="AZ23" s="115"/>
      <c r="BA23" s="115"/>
      <c r="BB23" s="115"/>
      <c r="BC23" s="115"/>
      <c r="BD23" s="115"/>
      <c r="BE23" s="115"/>
      <c r="BF23" s="115"/>
      <c r="BG23" s="115"/>
      <c r="BH23" s="115"/>
      <c r="BI23" s="115"/>
    </row>
    <row r="24" spans="1:61" ht="15" customHeight="1" x14ac:dyDescent="0.25">
      <c r="A24" s="115"/>
      <c r="B24" s="781"/>
      <c r="C24" s="804"/>
      <c r="D24" s="780"/>
      <c r="E24" s="783"/>
      <c r="F24" s="804"/>
      <c r="G24" s="804"/>
      <c r="H24" s="804"/>
      <c r="I24" s="804"/>
      <c r="J24" s="146" t="e">
        <f>IF(AND(#REF!="Alta",#REF!="Leve"),CONCATENATE("R9C",#REF!),"")</f>
        <v>#REF!</v>
      </c>
      <c r="K24" s="147" t="e">
        <f>IF(AND(#REF!="Alta",#REF!="Leve"),CONCATENATE("R9C",#REF!),"")</f>
        <v>#REF!</v>
      </c>
      <c r="L24" s="147" t="e">
        <f>IF(AND(#REF!="Alta",#REF!="Leve"),CONCATENATE("R9C",#REF!),"")</f>
        <v>#REF!</v>
      </c>
      <c r="M24" s="147" t="e">
        <f>IF(AND(#REF!="Alta",#REF!="Leve"),CONCATENATE("R9C",#REF!),"")</f>
        <v>#REF!</v>
      </c>
      <c r="N24" s="147" t="e">
        <f>IF(AND(#REF!="Alta",#REF!="Leve"),CONCATENATE("R9C",#REF!),"")</f>
        <v>#REF!</v>
      </c>
      <c r="O24" s="148" t="e">
        <f>IF(AND(#REF!="Alta",#REF!="Leve"),CONCATENATE("R9C",#REF!),"")</f>
        <v>#REF!</v>
      </c>
      <c r="P24" s="146" t="e">
        <f>IF(AND(#REF!="Alta",#REF!="Menor"),CONCATENATE("R9C",#REF!),"")</f>
        <v>#REF!</v>
      </c>
      <c r="Q24" s="147" t="e">
        <f>IF(AND(#REF!="Alta",#REF!="Menor"),CONCATENATE("R9C",#REF!),"")</f>
        <v>#REF!</v>
      </c>
      <c r="R24" s="147" t="e">
        <f>IF(AND(#REF!="Alta",#REF!="Menor"),CONCATENATE("R9C",#REF!),"")</f>
        <v>#REF!</v>
      </c>
      <c r="S24" s="147" t="e">
        <f>IF(AND(#REF!="Alta",#REF!="Menor"),CONCATENATE("R9C",#REF!),"")</f>
        <v>#REF!</v>
      </c>
      <c r="T24" s="147" t="e">
        <f>IF(AND(#REF!="Alta",#REF!="Menor"),CONCATENATE("R9C",#REF!),"")</f>
        <v>#REF!</v>
      </c>
      <c r="U24" s="148" t="e">
        <f>IF(AND(#REF!="Alta",#REF!="Menor"),CONCATENATE("R9C",#REF!),"")</f>
        <v>#REF!</v>
      </c>
      <c r="V24" s="134" t="e">
        <f>IF(AND(#REF!="Alta",#REF!="Moderado"),CONCATENATE("R9C",#REF!),"")</f>
        <v>#REF!</v>
      </c>
      <c r="W24" s="135" t="e">
        <f>IF(AND(#REF!="Alta",#REF!="Moderado"),CONCATENATE("R9C",#REF!),"")</f>
        <v>#REF!</v>
      </c>
      <c r="X24" s="135" t="e">
        <f>IF(AND(#REF!="Alta",#REF!="Moderado"),CONCATENATE("R9C",#REF!),"")</f>
        <v>#REF!</v>
      </c>
      <c r="Y24" s="135" t="e">
        <f>IF(AND(#REF!="Alta",#REF!="Moderado"),CONCATENATE("R9C",#REF!),"")</f>
        <v>#REF!</v>
      </c>
      <c r="Z24" s="135" t="e">
        <f>IF(AND(#REF!="Alta",#REF!="Moderado"),CONCATENATE("R9C",#REF!),"")</f>
        <v>#REF!</v>
      </c>
      <c r="AA24" s="136" t="e">
        <f>IF(AND(#REF!="Alta",#REF!="Moderado"),CONCATENATE("R9C",#REF!),"")</f>
        <v>#REF!</v>
      </c>
      <c r="AB24" s="134" t="e">
        <f>IF(AND(#REF!="Alta",#REF!="Mayor"),CONCATENATE("R9C",#REF!),"")</f>
        <v>#REF!</v>
      </c>
      <c r="AC24" s="135" t="e">
        <f>IF(AND(#REF!="Alta",#REF!="Mayor"),CONCATENATE("R9C",#REF!),"")</f>
        <v>#REF!</v>
      </c>
      <c r="AD24" s="135" t="e">
        <f>IF(AND(#REF!="Alta",#REF!="Mayor"),CONCATENATE("R9C",#REF!),"")</f>
        <v>#REF!</v>
      </c>
      <c r="AE24" s="135" t="e">
        <f>IF(AND(#REF!="Alta",#REF!="Mayor"),CONCATENATE("R9C",#REF!),"")</f>
        <v>#REF!</v>
      </c>
      <c r="AF24" s="135" t="e">
        <f>IF(AND(#REF!="Alta",#REF!="Mayor"),CONCATENATE("R9C",#REF!),"")</f>
        <v>#REF!</v>
      </c>
      <c r="AG24" s="136" t="e">
        <f>IF(AND(#REF!="Alta",#REF!="Mayor"),CONCATENATE("R9C",#REF!),"")</f>
        <v>#REF!</v>
      </c>
      <c r="AH24" s="137" t="e">
        <f>IF(AND(#REF!="Alta",#REF!="Catastrófico"),CONCATENATE("R9C",#REF!),"")</f>
        <v>#REF!</v>
      </c>
      <c r="AI24" s="138" t="e">
        <f>IF(AND(#REF!="Alta",#REF!="Catastrófico"),CONCATENATE("R9C",#REF!),"")</f>
        <v>#REF!</v>
      </c>
      <c r="AJ24" s="138" t="e">
        <f>IF(AND(#REF!="Alta",#REF!="Catastrófico"),CONCATENATE("R9C",#REF!),"")</f>
        <v>#REF!</v>
      </c>
      <c r="AK24" s="138" t="e">
        <f>IF(AND(#REF!="Alta",#REF!="Catastrófico"),CONCATENATE("R9C",#REF!),"")</f>
        <v>#REF!</v>
      </c>
      <c r="AL24" s="138" t="e">
        <f>IF(AND(#REF!="Alta",#REF!="Catastrófico"),CONCATENATE("R9C",#REF!),"")</f>
        <v>#REF!</v>
      </c>
      <c r="AM24" s="139" t="e">
        <f>IF(AND(#REF!="Alta",#REF!="Catastrófico"),CONCATENATE("R9C",#REF!),"")</f>
        <v>#REF!</v>
      </c>
      <c r="AN24" s="115"/>
      <c r="AO24" s="803"/>
      <c r="AP24" s="804"/>
      <c r="AQ24" s="804"/>
      <c r="AR24" s="804"/>
      <c r="AS24" s="804"/>
      <c r="AT24" s="805"/>
      <c r="AU24" s="115"/>
      <c r="AV24" s="115"/>
      <c r="AW24" s="115"/>
      <c r="AX24" s="115"/>
      <c r="AY24" s="115"/>
      <c r="AZ24" s="115"/>
      <c r="BA24" s="115"/>
      <c r="BB24" s="115"/>
      <c r="BC24" s="115"/>
      <c r="BD24" s="115"/>
      <c r="BE24" s="115"/>
      <c r="BF24" s="115"/>
      <c r="BG24" s="115"/>
      <c r="BH24" s="115"/>
      <c r="BI24" s="115"/>
    </row>
    <row r="25" spans="1:61" ht="15.75" customHeight="1" thickBot="1" x14ac:dyDescent="0.3">
      <c r="A25" s="115"/>
      <c r="B25" s="781"/>
      <c r="C25" s="804"/>
      <c r="D25" s="780"/>
      <c r="E25" s="790"/>
      <c r="F25" s="791"/>
      <c r="G25" s="791"/>
      <c r="H25" s="791"/>
      <c r="I25" s="791"/>
      <c r="J25" s="149" t="e">
        <f>IF(AND(#REF!="Alta",#REF!="Leve"),CONCATENATE("R10C",#REF!),"")</f>
        <v>#REF!</v>
      </c>
      <c r="K25" s="150" t="e">
        <f>IF(AND(#REF!="Alta",#REF!="Leve"),CONCATENATE("R10C",#REF!),"")</f>
        <v>#REF!</v>
      </c>
      <c r="L25" s="150" t="e">
        <f>IF(AND(#REF!="Alta",#REF!="Leve"),CONCATENATE("R10C",#REF!),"")</f>
        <v>#REF!</v>
      </c>
      <c r="M25" s="150" t="e">
        <f>IF(AND(#REF!="Alta",#REF!="Leve"),CONCATENATE("R10C",#REF!),"")</f>
        <v>#REF!</v>
      </c>
      <c r="N25" s="150" t="e">
        <f>IF(AND(#REF!="Alta",#REF!="Leve"),CONCATENATE("R10C",#REF!),"")</f>
        <v>#REF!</v>
      </c>
      <c r="O25" s="151" t="e">
        <f>IF(AND(#REF!="Alta",#REF!="Leve"),CONCATENATE("R10C",#REF!),"")</f>
        <v>#REF!</v>
      </c>
      <c r="P25" s="149" t="e">
        <f>IF(AND(#REF!="Alta",#REF!="Menor"),CONCATENATE("R10C",#REF!),"")</f>
        <v>#REF!</v>
      </c>
      <c r="Q25" s="150" t="e">
        <f>IF(AND(#REF!="Alta",#REF!="Menor"),CONCATENATE("R10C",#REF!),"")</f>
        <v>#REF!</v>
      </c>
      <c r="R25" s="150" t="e">
        <f>IF(AND(#REF!="Alta",#REF!="Menor"),CONCATENATE("R10C",#REF!),"")</f>
        <v>#REF!</v>
      </c>
      <c r="S25" s="150" t="e">
        <f>IF(AND(#REF!="Alta",#REF!="Menor"),CONCATENATE("R10C",#REF!),"")</f>
        <v>#REF!</v>
      </c>
      <c r="T25" s="150" t="e">
        <f>IF(AND(#REF!="Alta",#REF!="Menor"),CONCATENATE("R10C",#REF!),"")</f>
        <v>#REF!</v>
      </c>
      <c r="U25" s="151" t="e">
        <f>IF(AND(#REF!="Alta",#REF!="Menor"),CONCATENATE("R10C",#REF!),"")</f>
        <v>#REF!</v>
      </c>
      <c r="V25" s="140" t="e">
        <f>IF(AND(#REF!="Alta",#REF!="Moderado"),CONCATENATE("R10C",#REF!),"")</f>
        <v>#REF!</v>
      </c>
      <c r="W25" s="141" t="e">
        <f>IF(AND(#REF!="Alta",#REF!="Moderado"),CONCATENATE("R10C",#REF!),"")</f>
        <v>#REF!</v>
      </c>
      <c r="X25" s="141" t="e">
        <f>IF(AND(#REF!="Alta",#REF!="Moderado"),CONCATENATE("R10C",#REF!),"")</f>
        <v>#REF!</v>
      </c>
      <c r="Y25" s="141" t="e">
        <f>IF(AND(#REF!="Alta",#REF!="Moderado"),CONCATENATE("R10C",#REF!),"")</f>
        <v>#REF!</v>
      </c>
      <c r="Z25" s="141" t="e">
        <f>IF(AND(#REF!="Alta",#REF!="Moderado"),CONCATENATE("R10C",#REF!),"")</f>
        <v>#REF!</v>
      </c>
      <c r="AA25" s="142" t="e">
        <f>IF(AND(#REF!="Alta",#REF!="Moderado"),CONCATENATE("R10C",#REF!),"")</f>
        <v>#REF!</v>
      </c>
      <c r="AB25" s="140" t="e">
        <f>IF(AND(#REF!="Alta",#REF!="Mayor"),CONCATENATE("R10C",#REF!),"")</f>
        <v>#REF!</v>
      </c>
      <c r="AC25" s="141" t="e">
        <f>IF(AND(#REF!="Alta",#REF!="Mayor"),CONCATENATE("R10C",#REF!),"")</f>
        <v>#REF!</v>
      </c>
      <c r="AD25" s="141" t="e">
        <f>IF(AND(#REF!="Alta",#REF!="Mayor"),CONCATENATE("R10C",#REF!),"")</f>
        <v>#REF!</v>
      </c>
      <c r="AE25" s="141" t="e">
        <f>IF(AND(#REF!="Alta",#REF!="Mayor"),CONCATENATE("R10C",#REF!),"")</f>
        <v>#REF!</v>
      </c>
      <c r="AF25" s="141" t="e">
        <f>IF(AND(#REF!="Alta",#REF!="Mayor"),CONCATENATE("R10C",#REF!),"")</f>
        <v>#REF!</v>
      </c>
      <c r="AG25" s="142" t="e">
        <f>IF(AND(#REF!="Alta",#REF!="Mayor"),CONCATENATE("R10C",#REF!),"")</f>
        <v>#REF!</v>
      </c>
      <c r="AH25" s="143" t="e">
        <f>IF(AND(#REF!="Alta",#REF!="Catastrófico"),CONCATENATE("R10C",#REF!),"")</f>
        <v>#REF!</v>
      </c>
      <c r="AI25" s="144" t="e">
        <f>IF(AND(#REF!="Alta",#REF!="Catastrófico"),CONCATENATE("R10C",#REF!),"")</f>
        <v>#REF!</v>
      </c>
      <c r="AJ25" s="144" t="e">
        <f>IF(AND(#REF!="Alta",#REF!="Catastrófico"),CONCATENATE("R10C",#REF!),"")</f>
        <v>#REF!</v>
      </c>
      <c r="AK25" s="144" t="e">
        <f>IF(AND(#REF!="Alta",#REF!="Catastrófico"),CONCATENATE("R10C",#REF!),"")</f>
        <v>#REF!</v>
      </c>
      <c r="AL25" s="144" t="e">
        <f>IF(AND(#REF!="Alta",#REF!="Catastrófico"),CONCATENATE("R10C",#REF!),"")</f>
        <v>#REF!</v>
      </c>
      <c r="AM25" s="145" t="e">
        <f>IF(AND(#REF!="Alta",#REF!="Catastrófico"),CONCATENATE("R10C",#REF!),"")</f>
        <v>#REF!</v>
      </c>
      <c r="AN25" s="115"/>
      <c r="AO25" s="806"/>
      <c r="AP25" s="807"/>
      <c r="AQ25" s="807"/>
      <c r="AR25" s="807"/>
      <c r="AS25" s="807"/>
      <c r="AT25" s="808"/>
      <c r="AU25" s="115"/>
      <c r="AV25" s="115"/>
      <c r="AW25" s="115"/>
      <c r="AX25" s="115"/>
      <c r="AY25" s="115"/>
      <c r="AZ25" s="115"/>
      <c r="BA25" s="115"/>
      <c r="BB25" s="115"/>
      <c r="BC25" s="115"/>
      <c r="BD25" s="115"/>
      <c r="BE25" s="115"/>
      <c r="BF25" s="115"/>
      <c r="BG25" s="115"/>
      <c r="BH25" s="115"/>
      <c r="BI25" s="115"/>
    </row>
    <row r="26" spans="1:61" ht="15" customHeight="1" x14ac:dyDescent="0.25">
      <c r="A26" s="115"/>
      <c r="B26" s="781"/>
      <c r="C26" s="804"/>
      <c r="D26" s="780"/>
      <c r="E26" s="823" t="s">
        <v>7</v>
      </c>
      <c r="F26" s="786"/>
      <c r="G26" s="786"/>
      <c r="H26" s="786"/>
      <c r="I26" s="794"/>
      <c r="J26" s="25" t="e">
        <f>IF(AND(#REF!="Media",#REF!="Leve"),CONCATENATE("R1C",#REF!),"")</f>
        <v>#REF!</v>
      </c>
      <c r="K26" s="26" t="e">
        <f>IF(AND(#REF!="Media",#REF!="Leve"),CONCATENATE("R1C",#REF!),"")</f>
        <v>#REF!</v>
      </c>
      <c r="L26" s="26" t="e">
        <f>IF(AND(#REF!="Media",#REF!="Leve"),CONCATENATE("R1C",#REF!),"")</f>
        <v>#REF!</v>
      </c>
      <c r="M26" s="26" t="e">
        <f>IF(AND(#REF!="Media",#REF!="Leve"),CONCATENATE("R1C",#REF!),"")</f>
        <v>#REF!</v>
      </c>
      <c r="N26" s="26" t="e">
        <f>IF(AND(#REF!="Media",#REF!="Leve"),CONCATENATE("R1C",#REF!),"")</f>
        <v>#REF!</v>
      </c>
      <c r="O26" s="27" t="e">
        <f>IF(AND(#REF!="Media",#REF!="Leve"),CONCATENATE("R1C",#REF!),"")</f>
        <v>#REF!</v>
      </c>
      <c r="P26" s="25" t="e">
        <f>IF(AND(#REF!="Media",#REF!="Menor"),CONCATENATE("R1C",#REF!),"")</f>
        <v>#REF!</v>
      </c>
      <c r="Q26" s="26" t="e">
        <f>IF(AND(#REF!="Media",#REF!="Menor"),CONCATENATE("R1C",#REF!),"")</f>
        <v>#REF!</v>
      </c>
      <c r="R26" s="26" t="e">
        <f>IF(AND(#REF!="Media",#REF!="Menor"),CONCATENATE("R1C",#REF!),"")</f>
        <v>#REF!</v>
      </c>
      <c r="S26" s="26" t="e">
        <f>IF(AND(#REF!="Media",#REF!="Menor"),CONCATENATE("R1C",#REF!),"")</f>
        <v>#REF!</v>
      </c>
      <c r="T26" s="26" t="e">
        <f>IF(AND(#REF!="Media",#REF!="Menor"),CONCATENATE("R1C",#REF!),"")</f>
        <v>#REF!</v>
      </c>
      <c r="U26" s="27" t="e">
        <f>IF(AND(#REF!="Media",#REF!="Menor"),CONCATENATE("R1C",#REF!),"")</f>
        <v>#REF!</v>
      </c>
      <c r="V26" s="25" t="e">
        <f>IF(AND(#REF!="Media",#REF!="Moderado"),CONCATENATE("R1C",#REF!),"")</f>
        <v>#REF!</v>
      </c>
      <c r="W26" s="26" t="e">
        <f>IF(AND(#REF!="Media",#REF!="Moderado"),CONCATENATE("R1C",#REF!),"")</f>
        <v>#REF!</v>
      </c>
      <c r="X26" s="26" t="e">
        <f>IF(AND(#REF!="Media",#REF!="Moderado"),CONCATENATE("R1C",#REF!),"")</f>
        <v>#REF!</v>
      </c>
      <c r="Y26" s="26" t="e">
        <f>IF(AND(#REF!="Media",#REF!="Moderado"),CONCATENATE("R1C",#REF!),"")</f>
        <v>#REF!</v>
      </c>
      <c r="Z26" s="26" t="e">
        <f>IF(AND(#REF!="Media",#REF!="Moderado"),CONCATENATE("R1C",#REF!),"")</f>
        <v>#REF!</v>
      </c>
      <c r="AA26" s="27" t="e">
        <f>IF(AND(#REF!="Media",#REF!="Moderado"),CONCATENATE("R1C",#REF!),"")</f>
        <v>#REF!</v>
      </c>
      <c r="AB26" s="19" t="e">
        <f>IF(AND(#REF!="Media",#REF!="Mayor"),CONCATENATE("R1C",#REF!),"")</f>
        <v>#REF!</v>
      </c>
      <c r="AC26" s="20" t="e">
        <f>IF(AND(#REF!="Media",#REF!="Mayor"),CONCATENATE("R1C",#REF!),"")</f>
        <v>#REF!</v>
      </c>
      <c r="AD26" s="20" t="e">
        <f>IF(AND(#REF!="Media",#REF!="Mayor"),CONCATENATE("R1C",#REF!),"")</f>
        <v>#REF!</v>
      </c>
      <c r="AE26" s="20" t="e">
        <f>IF(AND(#REF!="Media",#REF!="Mayor"),CONCATENATE("R1C",#REF!),"")</f>
        <v>#REF!</v>
      </c>
      <c r="AF26" s="20" t="e">
        <f>IF(AND(#REF!="Media",#REF!="Mayor"),CONCATENATE("R1C",#REF!),"")</f>
        <v>#REF!</v>
      </c>
      <c r="AG26" s="21" t="e">
        <f>IF(AND(#REF!="Media",#REF!="Mayor"),CONCATENATE("R1C",#REF!),"")</f>
        <v>#REF!</v>
      </c>
      <c r="AH26" s="22" t="e">
        <f>IF(AND(#REF!="Media",#REF!="Catastrófico"),CONCATENATE("R1C",#REF!),"")</f>
        <v>#REF!</v>
      </c>
      <c r="AI26" s="23" t="e">
        <f>IF(AND(#REF!="Media",#REF!="Catastrófico"),CONCATENATE("R1C",#REF!),"")</f>
        <v>#REF!</v>
      </c>
      <c r="AJ26" s="23" t="e">
        <f>IF(AND(#REF!="Media",#REF!="Catastrófico"),CONCATENATE("R1C",#REF!),"")</f>
        <v>#REF!</v>
      </c>
      <c r="AK26" s="23" t="e">
        <f>IF(AND(#REF!="Media",#REF!="Catastrófico"),CONCATENATE("R1C",#REF!),"")</f>
        <v>#REF!</v>
      </c>
      <c r="AL26" s="23" t="e">
        <f>IF(AND(#REF!="Media",#REF!="Catastrófico"),CONCATENATE("R1C",#REF!),"")</f>
        <v>#REF!</v>
      </c>
      <c r="AM26" s="24" t="e">
        <f>IF(AND(#REF!="Media",#REF!="Catastrófico"),CONCATENATE("R1C",#REF!),"")</f>
        <v>#REF!</v>
      </c>
      <c r="AN26" s="115"/>
      <c r="AO26" s="820" t="s">
        <v>8</v>
      </c>
      <c r="AP26" s="801"/>
      <c r="AQ26" s="801"/>
      <c r="AR26" s="801"/>
      <c r="AS26" s="801"/>
      <c r="AT26" s="802"/>
      <c r="AU26" s="115"/>
      <c r="AV26" s="115"/>
      <c r="AW26" s="115"/>
      <c r="AX26" s="115"/>
      <c r="AY26" s="115"/>
      <c r="AZ26" s="115"/>
      <c r="BA26" s="115"/>
      <c r="BB26" s="115"/>
      <c r="BC26" s="115"/>
      <c r="BD26" s="115"/>
      <c r="BE26" s="115"/>
      <c r="BF26" s="115"/>
      <c r="BG26" s="115"/>
      <c r="BH26" s="115"/>
      <c r="BI26" s="115"/>
    </row>
    <row r="27" spans="1:61" ht="15" customHeight="1" x14ac:dyDescent="0.25">
      <c r="A27" s="115"/>
      <c r="B27" s="781"/>
      <c r="C27" s="804"/>
      <c r="D27" s="780"/>
      <c r="E27" s="783"/>
      <c r="F27" s="804"/>
      <c r="G27" s="804"/>
      <c r="H27" s="804"/>
      <c r="I27" s="780"/>
      <c r="J27" s="146" t="e">
        <f>IF(AND(#REF!="Media",#REF!="Leve"),CONCATENATE("R2C",#REF!),"")</f>
        <v>#REF!</v>
      </c>
      <c r="K27" s="147" t="e">
        <f>IF(AND(#REF!="Media",#REF!="Leve"),CONCATENATE("R2C",#REF!),"")</f>
        <v>#REF!</v>
      </c>
      <c r="L27" s="147" t="e">
        <f>IF(AND(#REF!="Media",#REF!="Leve"),CONCATENATE("R2C",#REF!),"")</f>
        <v>#REF!</v>
      </c>
      <c r="M27" s="147" t="e">
        <f>IF(AND(#REF!="Media",#REF!="Leve"),CONCATENATE("R2C",#REF!),"")</f>
        <v>#REF!</v>
      </c>
      <c r="N27" s="147" t="e">
        <f>IF(AND(#REF!="Media",#REF!="Leve"),CONCATENATE("R2C",#REF!),"")</f>
        <v>#REF!</v>
      </c>
      <c r="O27" s="148" t="e">
        <f>IF(AND(#REF!="Media",#REF!="Leve"),CONCATENATE("R2C",#REF!),"")</f>
        <v>#REF!</v>
      </c>
      <c r="P27" s="146" t="e">
        <f>IF(AND(#REF!="Media",#REF!="Menor"),CONCATENATE("R2C",#REF!),"")</f>
        <v>#REF!</v>
      </c>
      <c r="Q27" s="147" t="e">
        <f>IF(AND(#REF!="Media",#REF!="Menor"),CONCATENATE("R2C",#REF!),"")</f>
        <v>#REF!</v>
      </c>
      <c r="R27" s="147" t="e">
        <f>IF(AND(#REF!="Media",#REF!="Menor"),CONCATENATE("R2C",#REF!),"")</f>
        <v>#REF!</v>
      </c>
      <c r="S27" s="147" t="e">
        <f>IF(AND(#REF!="Media",#REF!="Menor"),CONCATENATE("R2C",#REF!),"")</f>
        <v>#REF!</v>
      </c>
      <c r="T27" s="147" t="e">
        <f>IF(AND(#REF!="Media",#REF!="Menor"),CONCATENATE("R2C",#REF!),"")</f>
        <v>#REF!</v>
      </c>
      <c r="U27" s="148" t="e">
        <f>IF(AND(#REF!="Media",#REF!="Menor"),CONCATENATE("R2C",#REF!),"")</f>
        <v>#REF!</v>
      </c>
      <c r="V27" s="146" t="e">
        <f>IF(AND(#REF!="Media",#REF!="Moderado"),CONCATENATE("R2C",#REF!),"")</f>
        <v>#REF!</v>
      </c>
      <c r="W27" s="147" t="e">
        <f>IF(AND(#REF!="Media",#REF!="Moderado"),CONCATENATE("R2C",#REF!),"")</f>
        <v>#REF!</v>
      </c>
      <c r="X27" s="147" t="e">
        <f>IF(AND(#REF!="Media",#REF!="Moderado"),CONCATENATE("R2C",#REF!),"")</f>
        <v>#REF!</v>
      </c>
      <c r="Y27" s="147" t="e">
        <f>IF(AND(#REF!="Media",#REF!="Moderado"),CONCATENATE("R2C",#REF!),"")</f>
        <v>#REF!</v>
      </c>
      <c r="Z27" s="147" t="e">
        <f>IF(AND(#REF!="Media",#REF!="Moderado"),CONCATENATE("R2C",#REF!),"")</f>
        <v>#REF!</v>
      </c>
      <c r="AA27" s="148" t="e">
        <f>IF(AND(#REF!="Media",#REF!="Moderado"),CONCATENATE("R2C",#REF!),"")</f>
        <v>#REF!</v>
      </c>
      <c r="AB27" s="134" t="e">
        <f>IF(AND(#REF!="Media",#REF!="Mayor"),CONCATENATE("R2C",#REF!),"")</f>
        <v>#REF!</v>
      </c>
      <c r="AC27" s="135" t="e">
        <f>IF(AND(#REF!="Media",#REF!="Mayor"),CONCATENATE("R2C",#REF!),"")</f>
        <v>#REF!</v>
      </c>
      <c r="AD27" s="135" t="e">
        <f>IF(AND(#REF!="Media",#REF!="Mayor"),CONCATENATE("R2C",#REF!),"")</f>
        <v>#REF!</v>
      </c>
      <c r="AE27" s="135" t="e">
        <f>IF(AND(#REF!="Media",#REF!="Mayor"),CONCATENATE("R2C",#REF!),"")</f>
        <v>#REF!</v>
      </c>
      <c r="AF27" s="135" t="e">
        <f>IF(AND(#REF!="Media",#REF!="Mayor"),CONCATENATE("R2C",#REF!),"")</f>
        <v>#REF!</v>
      </c>
      <c r="AG27" s="136" t="e">
        <f>IF(AND(#REF!="Media",#REF!="Mayor"),CONCATENATE("R2C",#REF!),"")</f>
        <v>#REF!</v>
      </c>
      <c r="AH27" s="137" t="e">
        <f>IF(AND(#REF!="Media",#REF!="Catastrófico"),CONCATENATE("R2C",#REF!),"")</f>
        <v>#REF!</v>
      </c>
      <c r="AI27" s="138" t="e">
        <f>IF(AND(#REF!="Media",#REF!="Catastrófico"),CONCATENATE("R2C",#REF!),"")</f>
        <v>#REF!</v>
      </c>
      <c r="AJ27" s="138" t="e">
        <f>IF(AND(#REF!="Media",#REF!="Catastrófico"),CONCATENATE("R2C",#REF!),"")</f>
        <v>#REF!</v>
      </c>
      <c r="AK27" s="138" t="e">
        <f>IF(AND(#REF!="Media",#REF!="Catastrófico"),CONCATENATE("R2C",#REF!),"")</f>
        <v>#REF!</v>
      </c>
      <c r="AL27" s="138" t="e">
        <f>IF(AND(#REF!="Media",#REF!="Catastrófico"),CONCATENATE("R2C",#REF!),"")</f>
        <v>#REF!</v>
      </c>
      <c r="AM27" s="139" t="e">
        <f>IF(AND(#REF!="Media",#REF!="Catastrófico"),CONCATENATE("R2C",#REF!),"")</f>
        <v>#REF!</v>
      </c>
      <c r="AN27" s="115"/>
      <c r="AO27" s="803"/>
      <c r="AP27" s="804"/>
      <c r="AQ27" s="804"/>
      <c r="AR27" s="804"/>
      <c r="AS27" s="804"/>
      <c r="AT27" s="805"/>
      <c r="AU27" s="115"/>
      <c r="AV27" s="115"/>
      <c r="AW27" s="115"/>
      <c r="AX27" s="115"/>
      <c r="AY27" s="115"/>
      <c r="AZ27" s="115"/>
      <c r="BA27" s="115"/>
      <c r="BB27" s="115"/>
      <c r="BC27" s="115"/>
      <c r="BD27" s="115"/>
      <c r="BE27" s="115"/>
      <c r="BF27" s="115"/>
      <c r="BG27" s="115"/>
      <c r="BH27" s="115"/>
      <c r="BI27" s="115"/>
    </row>
    <row r="28" spans="1:61" ht="15" customHeight="1" x14ac:dyDescent="0.25">
      <c r="A28" s="115"/>
      <c r="B28" s="781"/>
      <c r="C28" s="804"/>
      <c r="D28" s="780"/>
      <c r="E28" s="783"/>
      <c r="F28" s="804"/>
      <c r="G28" s="804"/>
      <c r="H28" s="804"/>
      <c r="I28" s="780"/>
      <c r="J28" s="146" t="e">
        <f>IF(AND(#REF!="Media",#REF!="Leve"),CONCATENATE("R3C",#REF!),"")</f>
        <v>#REF!</v>
      </c>
      <c r="K28" s="147" t="e">
        <f>IF(AND(#REF!="Media",#REF!="Leve"),CONCATENATE("R3C",#REF!),"")</f>
        <v>#REF!</v>
      </c>
      <c r="L28" s="147" t="e">
        <f>IF(AND(#REF!="Media",#REF!="Leve"),CONCATENATE("R3C",#REF!),"")</f>
        <v>#REF!</v>
      </c>
      <c r="M28" s="147" t="e">
        <f>IF(AND(#REF!="Media",#REF!="Leve"),CONCATENATE("R3C",#REF!),"")</f>
        <v>#REF!</v>
      </c>
      <c r="N28" s="147" t="e">
        <f>IF(AND(#REF!="Media",#REF!="Leve"),CONCATENATE("R3C",#REF!),"")</f>
        <v>#REF!</v>
      </c>
      <c r="O28" s="148" t="e">
        <f>IF(AND(#REF!="Media",#REF!="Leve"),CONCATENATE("R3C",#REF!),"")</f>
        <v>#REF!</v>
      </c>
      <c r="P28" s="146" t="e">
        <f>IF(AND(#REF!="Media",#REF!="Menor"),CONCATENATE("R3C",#REF!),"")</f>
        <v>#REF!</v>
      </c>
      <c r="Q28" s="147" t="e">
        <f>IF(AND(#REF!="Media",#REF!="Menor"),CONCATENATE("R3C",#REF!),"")</f>
        <v>#REF!</v>
      </c>
      <c r="R28" s="147" t="e">
        <f>IF(AND(#REF!="Media",#REF!="Menor"),CONCATENATE("R3C",#REF!),"")</f>
        <v>#REF!</v>
      </c>
      <c r="S28" s="147" t="e">
        <f>IF(AND(#REF!="Media",#REF!="Menor"),CONCATENATE("R3C",#REF!),"")</f>
        <v>#REF!</v>
      </c>
      <c r="T28" s="147" t="e">
        <f>IF(AND(#REF!="Media",#REF!="Menor"),CONCATENATE("R3C",#REF!),"")</f>
        <v>#REF!</v>
      </c>
      <c r="U28" s="148" t="e">
        <f>IF(AND(#REF!="Media",#REF!="Menor"),CONCATENATE("R3C",#REF!),"")</f>
        <v>#REF!</v>
      </c>
      <c r="V28" s="146" t="e">
        <f>IF(AND(#REF!="Media",#REF!="Moderado"),CONCATENATE("R3C",#REF!),"")</f>
        <v>#REF!</v>
      </c>
      <c r="W28" s="147" t="e">
        <f>IF(AND(#REF!="Media",#REF!="Moderado"),CONCATENATE("R3C",#REF!),"")</f>
        <v>#REF!</v>
      </c>
      <c r="X28" s="147" t="e">
        <f>IF(AND(#REF!="Media",#REF!="Moderado"),CONCATENATE("R3C",#REF!),"")</f>
        <v>#REF!</v>
      </c>
      <c r="Y28" s="147" t="e">
        <f>IF(AND(#REF!="Media",#REF!="Moderado"),CONCATENATE("R3C",#REF!),"")</f>
        <v>#REF!</v>
      </c>
      <c r="Z28" s="147" t="e">
        <f>IF(AND(#REF!="Media",#REF!="Moderado"),CONCATENATE("R3C",#REF!),"")</f>
        <v>#REF!</v>
      </c>
      <c r="AA28" s="148" t="e">
        <f>IF(AND(#REF!="Media",#REF!="Moderado"),CONCATENATE("R3C",#REF!),"")</f>
        <v>#REF!</v>
      </c>
      <c r="AB28" s="134" t="e">
        <f>IF(AND(#REF!="Media",#REF!="Mayor"),CONCATENATE("R3C",#REF!),"")</f>
        <v>#REF!</v>
      </c>
      <c r="AC28" s="135" t="e">
        <f>IF(AND(#REF!="Media",#REF!="Mayor"),CONCATENATE("R3C",#REF!),"")</f>
        <v>#REF!</v>
      </c>
      <c r="AD28" s="135" t="e">
        <f>IF(AND(#REF!="Media",#REF!="Mayor"),CONCATENATE("R3C",#REF!),"")</f>
        <v>#REF!</v>
      </c>
      <c r="AE28" s="135" t="e">
        <f>IF(AND(#REF!="Media",#REF!="Mayor"),CONCATENATE("R3C",#REF!),"")</f>
        <v>#REF!</v>
      </c>
      <c r="AF28" s="135" t="e">
        <f>IF(AND(#REF!="Media",#REF!="Mayor"),CONCATENATE("R3C",#REF!),"")</f>
        <v>#REF!</v>
      </c>
      <c r="AG28" s="136" t="e">
        <f>IF(AND(#REF!="Media",#REF!="Mayor"),CONCATENATE("R3C",#REF!),"")</f>
        <v>#REF!</v>
      </c>
      <c r="AH28" s="137" t="e">
        <f>IF(AND(#REF!="Media",#REF!="Catastrófico"),CONCATENATE("R3C",#REF!),"")</f>
        <v>#REF!</v>
      </c>
      <c r="AI28" s="138" t="e">
        <f>IF(AND(#REF!="Media",#REF!="Catastrófico"),CONCATENATE("R3C",#REF!),"")</f>
        <v>#REF!</v>
      </c>
      <c r="AJ28" s="138" t="e">
        <f>IF(AND(#REF!="Media",#REF!="Catastrófico"),CONCATENATE("R3C",#REF!),"")</f>
        <v>#REF!</v>
      </c>
      <c r="AK28" s="138" t="e">
        <f>IF(AND(#REF!="Media",#REF!="Catastrófico"),CONCATENATE("R3C",#REF!),"")</f>
        <v>#REF!</v>
      </c>
      <c r="AL28" s="138" t="e">
        <f>IF(AND(#REF!="Media",#REF!="Catastrófico"),CONCATENATE("R3C",#REF!),"")</f>
        <v>#REF!</v>
      </c>
      <c r="AM28" s="139" t="e">
        <f>IF(AND(#REF!="Media",#REF!="Catastrófico"),CONCATENATE("R3C",#REF!),"")</f>
        <v>#REF!</v>
      </c>
      <c r="AN28" s="115"/>
      <c r="AO28" s="803"/>
      <c r="AP28" s="804"/>
      <c r="AQ28" s="804"/>
      <c r="AR28" s="804"/>
      <c r="AS28" s="804"/>
      <c r="AT28" s="805"/>
      <c r="AU28" s="115"/>
      <c r="AV28" s="115"/>
      <c r="AW28" s="115"/>
      <c r="AX28" s="115"/>
      <c r="AY28" s="115"/>
      <c r="AZ28" s="115"/>
      <c r="BA28" s="115"/>
      <c r="BB28" s="115"/>
      <c r="BC28" s="115"/>
      <c r="BD28" s="115"/>
      <c r="BE28" s="115"/>
      <c r="BF28" s="115"/>
      <c r="BG28" s="115"/>
      <c r="BH28" s="115"/>
      <c r="BI28" s="115"/>
    </row>
    <row r="29" spans="1:61" ht="15" customHeight="1" x14ac:dyDescent="0.25">
      <c r="A29" s="115"/>
      <c r="B29" s="781"/>
      <c r="C29" s="804"/>
      <c r="D29" s="780"/>
      <c r="E29" s="783"/>
      <c r="F29" s="804"/>
      <c r="G29" s="804"/>
      <c r="H29" s="804"/>
      <c r="I29" s="780"/>
      <c r="J29" s="146" t="e">
        <f>IF(AND(#REF!="Media",#REF!="Leve"),CONCATENATE("R4C",#REF!),"")</f>
        <v>#REF!</v>
      </c>
      <c r="K29" s="147" t="e">
        <f>IF(AND(#REF!="Media",#REF!="Leve"),CONCATENATE("R4C",#REF!),"")</f>
        <v>#REF!</v>
      </c>
      <c r="L29" s="147" t="e">
        <f>IF(AND(#REF!="Media",#REF!="Leve"),CONCATENATE("R4C",#REF!),"")</f>
        <v>#REF!</v>
      </c>
      <c r="M29" s="147" t="e">
        <f>IF(AND(#REF!="Media",#REF!="Leve"),CONCATENATE("R4C",#REF!),"")</f>
        <v>#REF!</v>
      </c>
      <c r="N29" s="147" t="e">
        <f>IF(AND(#REF!="Media",#REF!="Leve"),CONCATENATE("R4C",#REF!),"")</f>
        <v>#REF!</v>
      </c>
      <c r="O29" s="148" t="e">
        <f>IF(AND(#REF!="Media",#REF!="Leve"),CONCATENATE("R4C",#REF!),"")</f>
        <v>#REF!</v>
      </c>
      <c r="P29" s="146" t="e">
        <f>IF(AND(#REF!="Media",#REF!="Menor"),CONCATENATE("R4C",#REF!),"")</f>
        <v>#REF!</v>
      </c>
      <c r="Q29" s="147" t="e">
        <f>IF(AND(#REF!="Media",#REF!="Menor"),CONCATENATE("R4C",#REF!),"")</f>
        <v>#REF!</v>
      </c>
      <c r="R29" s="147" t="e">
        <f>IF(AND(#REF!="Media",#REF!="Menor"),CONCATENATE("R4C",#REF!),"")</f>
        <v>#REF!</v>
      </c>
      <c r="S29" s="147" t="e">
        <f>IF(AND(#REF!="Media",#REF!="Menor"),CONCATENATE("R4C",#REF!),"")</f>
        <v>#REF!</v>
      </c>
      <c r="T29" s="147" t="e">
        <f>IF(AND(#REF!="Media",#REF!="Menor"),CONCATENATE("R4C",#REF!),"")</f>
        <v>#REF!</v>
      </c>
      <c r="U29" s="148" t="e">
        <f>IF(AND(#REF!="Media",#REF!="Menor"),CONCATENATE("R4C",#REF!),"")</f>
        <v>#REF!</v>
      </c>
      <c r="V29" s="146" t="e">
        <f>IF(AND(#REF!="Media",#REF!="Moderado"),CONCATENATE("R4C",#REF!),"")</f>
        <v>#REF!</v>
      </c>
      <c r="W29" s="147" t="e">
        <f>IF(AND(#REF!="Media",#REF!="Moderado"),CONCATENATE("R4C",#REF!),"")</f>
        <v>#REF!</v>
      </c>
      <c r="X29" s="147" t="e">
        <f>IF(AND(#REF!="Media",#REF!="Moderado"),CONCATENATE("R4C",#REF!),"")</f>
        <v>#REF!</v>
      </c>
      <c r="Y29" s="147" t="e">
        <f>IF(AND(#REF!="Media",#REF!="Moderado"),CONCATENATE("R4C",#REF!),"")</f>
        <v>#REF!</v>
      </c>
      <c r="Z29" s="147" t="e">
        <f>IF(AND(#REF!="Media",#REF!="Moderado"),CONCATENATE("R4C",#REF!),"")</f>
        <v>#REF!</v>
      </c>
      <c r="AA29" s="148" t="e">
        <f>IF(AND(#REF!="Media",#REF!="Moderado"),CONCATENATE("R4C",#REF!),"")</f>
        <v>#REF!</v>
      </c>
      <c r="AB29" s="134" t="e">
        <f>IF(AND(#REF!="Media",#REF!="Mayor"),CONCATENATE("R4C",#REF!),"")</f>
        <v>#REF!</v>
      </c>
      <c r="AC29" s="135" t="e">
        <f>IF(AND(#REF!="Media",#REF!="Mayor"),CONCATENATE("R4C",#REF!),"")</f>
        <v>#REF!</v>
      </c>
      <c r="AD29" s="135" t="e">
        <f>IF(AND(#REF!="Media",#REF!="Mayor"),CONCATENATE("R4C",#REF!),"")</f>
        <v>#REF!</v>
      </c>
      <c r="AE29" s="135" t="e">
        <f>IF(AND(#REF!="Media",#REF!="Mayor"),CONCATENATE("R4C",#REF!),"")</f>
        <v>#REF!</v>
      </c>
      <c r="AF29" s="135" t="e">
        <f>IF(AND(#REF!="Media",#REF!="Mayor"),CONCATENATE("R4C",#REF!),"")</f>
        <v>#REF!</v>
      </c>
      <c r="AG29" s="136" t="e">
        <f>IF(AND(#REF!="Media",#REF!="Mayor"),CONCATENATE("R4C",#REF!),"")</f>
        <v>#REF!</v>
      </c>
      <c r="AH29" s="137" t="e">
        <f>IF(AND(#REF!="Media",#REF!="Catastrófico"),CONCATENATE("R4C",#REF!),"")</f>
        <v>#REF!</v>
      </c>
      <c r="AI29" s="138" t="e">
        <f>IF(AND(#REF!="Media",#REF!="Catastrófico"),CONCATENATE("R4C",#REF!),"")</f>
        <v>#REF!</v>
      </c>
      <c r="AJ29" s="138" t="e">
        <f>IF(AND(#REF!="Media",#REF!="Catastrófico"),CONCATENATE("R4C",#REF!),"")</f>
        <v>#REF!</v>
      </c>
      <c r="AK29" s="138" t="e">
        <f>IF(AND(#REF!="Media",#REF!="Catastrófico"),CONCATENATE("R4C",#REF!),"")</f>
        <v>#REF!</v>
      </c>
      <c r="AL29" s="138" t="e">
        <f>IF(AND(#REF!="Media",#REF!="Catastrófico"),CONCATENATE("R4C",#REF!),"")</f>
        <v>#REF!</v>
      </c>
      <c r="AM29" s="139" t="e">
        <f>IF(AND(#REF!="Media",#REF!="Catastrófico"),CONCATENATE("R4C",#REF!),"")</f>
        <v>#REF!</v>
      </c>
      <c r="AN29" s="115"/>
      <c r="AO29" s="803"/>
      <c r="AP29" s="804"/>
      <c r="AQ29" s="804"/>
      <c r="AR29" s="804"/>
      <c r="AS29" s="804"/>
      <c r="AT29" s="805"/>
      <c r="AU29" s="115"/>
      <c r="AV29" s="115"/>
      <c r="AW29" s="115"/>
      <c r="AX29" s="115"/>
      <c r="AY29" s="115"/>
      <c r="AZ29" s="115"/>
      <c r="BA29" s="115"/>
      <c r="BB29" s="115"/>
      <c r="BC29" s="115"/>
      <c r="BD29" s="115"/>
      <c r="BE29" s="115"/>
      <c r="BF29" s="115"/>
      <c r="BG29" s="115"/>
      <c r="BH29" s="115"/>
      <c r="BI29" s="115"/>
    </row>
    <row r="30" spans="1:61" ht="15" customHeight="1" x14ac:dyDescent="0.25">
      <c r="A30" s="115"/>
      <c r="B30" s="781"/>
      <c r="C30" s="804"/>
      <c r="D30" s="780"/>
      <c r="E30" s="783"/>
      <c r="F30" s="804"/>
      <c r="G30" s="804"/>
      <c r="H30" s="804"/>
      <c r="I30" s="780"/>
      <c r="J30" s="146" t="e">
        <f>IF(AND(#REF!="Media",#REF!="Leve"),CONCATENATE("R5C",#REF!),"")</f>
        <v>#REF!</v>
      </c>
      <c r="K30" s="147" t="e">
        <f>IF(AND(#REF!="Media",#REF!="Leve"),CONCATENATE("R5C",#REF!),"")</f>
        <v>#REF!</v>
      </c>
      <c r="L30" s="147" t="e">
        <f>IF(AND(#REF!="Media",#REF!="Leve"),CONCATENATE("R5C",#REF!),"")</f>
        <v>#REF!</v>
      </c>
      <c r="M30" s="147" t="e">
        <f>IF(AND(#REF!="Media",#REF!="Leve"),CONCATENATE("R5C",#REF!),"")</f>
        <v>#REF!</v>
      </c>
      <c r="N30" s="147" t="e">
        <f>IF(AND(#REF!="Media",#REF!="Leve"),CONCATENATE("R5C",#REF!),"")</f>
        <v>#REF!</v>
      </c>
      <c r="O30" s="148" t="e">
        <f>IF(AND(#REF!="Media",#REF!="Leve"),CONCATENATE("R5C",#REF!),"")</f>
        <v>#REF!</v>
      </c>
      <c r="P30" s="146" t="e">
        <f>IF(AND(#REF!="Media",#REF!="Menor"),CONCATENATE("R5C",#REF!),"")</f>
        <v>#REF!</v>
      </c>
      <c r="Q30" s="147" t="e">
        <f>IF(AND(#REF!="Media",#REF!="Menor"),CONCATENATE("R5C",#REF!),"")</f>
        <v>#REF!</v>
      </c>
      <c r="R30" s="147" t="e">
        <f>IF(AND(#REF!="Media",#REF!="Menor"),CONCATENATE("R5C",#REF!),"")</f>
        <v>#REF!</v>
      </c>
      <c r="S30" s="147" t="e">
        <f>IF(AND(#REF!="Media",#REF!="Menor"),CONCATENATE("R5C",#REF!),"")</f>
        <v>#REF!</v>
      </c>
      <c r="T30" s="147" t="e">
        <f>IF(AND(#REF!="Media",#REF!="Menor"),CONCATENATE("R5C",#REF!),"")</f>
        <v>#REF!</v>
      </c>
      <c r="U30" s="148" t="e">
        <f>IF(AND(#REF!="Media",#REF!="Menor"),CONCATENATE("R5C",#REF!),"")</f>
        <v>#REF!</v>
      </c>
      <c r="V30" s="146" t="e">
        <f>IF(AND(#REF!="Media",#REF!="Moderado"),CONCATENATE("R5C",#REF!),"")</f>
        <v>#REF!</v>
      </c>
      <c r="W30" s="147" t="e">
        <f>IF(AND(#REF!="Media",#REF!="Moderado"),CONCATENATE("R5C",#REF!),"")</f>
        <v>#REF!</v>
      </c>
      <c r="X30" s="147" t="e">
        <f>IF(AND(#REF!="Media",#REF!="Moderado"),CONCATENATE("R5C",#REF!),"")</f>
        <v>#REF!</v>
      </c>
      <c r="Y30" s="147" t="e">
        <f>IF(AND(#REF!="Media",#REF!="Moderado"),CONCATENATE("R5C",#REF!),"")</f>
        <v>#REF!</v>
      </c>
      <c r="Z30" s="147" t="e">
        <f>IF(AND(#REF!="Media",#REF!="Moderado"),CONCATENATE("R5C",#REF!),"")</f>
        <v>#REF!</v>
      </c>
      <c r="AA30" s="148" t="e">
        <f>IF(AND(#REF!="Media",#REF!="Moderado"),CONCATENATE("R5C",#REF!),"")</f>
        <v>#REF!</v>
      </c>
      <c r="AB30" s="134" t="e">
        <f>IF(AND(#REF!="Media",#REF!="Mayor"),CONCATENATE("R5C",#REF!),"")</f>
        <v>#REF!</v>
      </c>
      <c r="AC30" s="135" t="e">
        <f>IF(AND(#REF!="Media",#REF!="Mayor"),CONCATENATE("R5C",#REF!),"")</f>
        <v>#REF!</v>
      </c>
      <c r="AD30" s="135" t="e">
        <f>IF(AND(#REF!="Media",#REF!="Mayor"),CONCATENATE("R5C",#REF!),"")</f>
        <v>#REF!</v>
      </c>
      <c r="AE30" s="135" t="e">
        <f>IF(AND(#REF!="Media",#REF!="Mayor"),CONCATENATE("R5C",#REF!),"")</f>
        <v>#REF!</v>
      </c>
      <c r="AF30" s="135" t="e">
        <f>IF(AND(#REF!="Media",#REF!="Mayor"),CONCATENATE("R5C",#REF!),"")</f>
        <v>#REF!</v>
      </c>
      <c r="AG30" s="136" t="e">
        <f>IF(AND(#REF!="Media",#REF!="Mayor"),CONCATENATE("R5C",#REF!),"")</f>
        <v>#REF!</v>
      </c>
      <c r="AH30" s="137" t="e">
        <f>IF(AND(#REF!="Media",#REF!="Catastrófico"),CONCATENATE("R5C",#REF!),"")</f>
        <v>#REF!</v>
      </c>
      <c r="AI30" s="138" t="e">
        <f>IF(AND(#REF!="Media",#REF!="Catastrófico"),CONCATENATE("R5C",#REF!),"")</f>
        <v>#REF!</v>
      </c>
      <c r="AJ30" s="138" t="e">
        <f>IF(AND(#REF!="Media",#REF!="Catastrófico"),CONCATENATE("R5C",#REF!),"")</f>
        <v>#REF!</v>
      </c>
      <c r="AK30" s="138" t="e">
        <f>IF(AND(#REF!="Media",#REF!="Catastrófico"),CONCATENATE("R5C",#REF!),"")</f>
        <v>#REF!</v>
      </c>
      <c r="AL30" s="138" t="e">
        <f>IF(AND(#REF!="Media",#REF!="Catastrófico"),CONCATENATE("R5C",#REF!),"")</f>
        <v>#REF!</v>
      </c>
      <c r="AM30" s="139" t="e">
        <f>IF(AND(#REF!="Media",#REF!="Catastrófico"),CONCATENATE("R5C",#REF!),"")</f>
        <v>#REF!</v>
      </c>
      <c r="AN30" s="115"/>
      <c r="AO30" s="803"/>
      <c r="AP30" s="804"/>
      <c r="AQ30" s="804"/>
      <c r="AR30" s="804"/>
      <c r="AS30" s="804"/>
      <c r="AT30" s="805"/>
      <c r="AU30" s="115"/>
      <c r="AV30" s="115"/>
      <c r="AW30" s="115"/>
      <c r="AX30" s="115"/>
      <c r="AY30" s="115"/>
      <c r="AZ30" s="115"/>
      <c r="BA30" s="115"/>
      <c r="BB30" s="115"/>
      <c r="BC30" s="115"/>
      <c r="BD30" s="115"/>
      <c r="BE30" s="115"/>
      <c r="BF30" s="115"/>
      <c r="BG30" s="115"/>
      <c r="BH30" s="115"/>
      <c r="BI30" s="115"/>
    </row>
    <row r="31" spans="1:61" ht="15" customHeight="1" x14ac:dyDescent="0.25">
      <c r="A31" s="115"/>
      <c r="B31" s="781"/>
      <c r="C31" s="804"/>
      <c r="D31" s="780"/>
      <c r="E31" s="783"/>
      <c r="F31" s="804"/>
      <c r="G31" s="804"/>
      <c r="H31" s="804"/>
      <c r="I31" s="780"/>
      <c r="J31" s="146" t="e">
        <f>IF(AND(#REF!="Media",#REF!="Leve"),CONCATENATE("R6C",#REF!),"")</f>
        <v>#REF!</v>
      </c>
      <c r="K31" s="147" t="e">
        <f>IF(AND(#REF!="Media",#REF!="Leve"),CONCATENATE("R6C",#REF!),"")</f>
        <v>#REF!</v>
      </c>
      <c r="L31" s="147" t="e">
        <f>IF(AND(#REF!="Media",#REF!="Leve"),CONCATENATE("R6C",#REF!),"")</f>
        <v>#REF!</v>
      </c>
      <c r="M31" s="147" t="e">
        <f>IF(AND(#REF!="Media",#REF!="Leve"),CONCATENATE("R6C",#REF!),"")</f>
        <v>#REF!</v>
      </c>
      <c r="N31" s="147" t="e">
        <f>IF(AND(#REF!="Media",#REF!="Leve"),CONCATENATE("R6C",#REF!),"")</f>
        <v>#REF!</v>
      </c>
      <c r="O31" s="148" t="e">
        <f>IF(AND(#REF!="Media",#REF!="Leve"),CONCATENATE("R6C",#REF!),"")</f>
        <v>#REF!</v>
      </c>
      <c r="P31" s="146" t="e">
        <f>IF(AND(#REF!="Media",#REF!="Menor"),CONCATENATE("R6C",#REF!),"")</f>
        <v>#REF!</v>
      </c>
      <c r="Q31" s="147" t="e">
        <f>IF(AND(#REF!="Media",#REF!="Menor"),CONCATENATE("R6C",#REF!),"")</f>
        <v>#REF!</v>
      </c>
      <c r="R31" s="147" t="e">
        <f>IF(AND(#REF!="Media",#REF!="Menor"),CONCATENATE("R6C",#REF!),"")</f>
        <v>#REF!</v>
      </c>
      <c r="S31" s="147" t="e">
        <f>IF(AND(#REF!="Media",#REF!="Menor"),CONCATENATE("R6C",#REF!),"")</f>
        <v>#REF!</v>
      </c>
      <c r="T31" s="147" t="e">
        <f>IF(AND(#REF!="Media",#REF!="Menor"),CONCATENATE("R6C",#REF!),"")</f>
        <v>#REF!</v>
      </c>
      <c r="U31" s="148" t="e">
        <f>IF(AND(#REF!="Media",#REF!="Menor"),CONCATENATE("R6C",#REF!),"")</f>
        <v>#REF!</v>
      </c>
      <c r="V31" s="146" t="e">
        <f>IF(AND(#REF!="Media",#REF!="Moderado"),CONCATENATE("R6C",#REF!),"")</f>
        <v>#REF!</v>
      </c>
      <c r="W31" s="147" t="e">
        <f>IF(AND(#REF!="Media",#REF!="Moderado"),CONCATENATE("R6C",#REF!),"")</f>
        <v>#REF!</v>
      </c>
      <c r="X31" s="147" t="e">
        <f>IF(AND(#REF!="Media",#REF!="Moderado"),CONCATENATE("R6C",#REF!),"")</f>
        <v>#REF!</v>
      </c>
      <c r="Y31" s="147" t="e">
        <f>IF(AND(#REF!="Media",#REF!="Moderado"),CONCATENATE("R6C",#REF!),"")</f>
        <v>#REF!</v>
      </c>
      <c r="Z31" s="147" t="e">
        <f>IF(AND(#REF!="Media",#REF!="Moderado"),CONCATENATE("R6C",#REF!),"")</f>
        <v>#REF!</v>
      </c>
      <c r="AA31" s="148" t="e">
        <f>IF(AND(#REF!="Media",#REF!="Moderado"),CONCATENATE("R6C",#REF!),"")</f>
        <v>#REF!</v>
      </c>
      <c r="AB31" s="134" t="e">
        <f>IF(AND(#REF!="Media",#REF!="Mayor"),CONCATENATE("R6C",#REF!),"")</f>
        <v>#REF!</v>
      </c>
      <c r="AC31" s="135" t="e">
        <f>IF(AND(#REF!="Media",#REF!="Mayor"),CONCATENATE("R6C",#REF!),"")</f>
        <v>#REF!</v>
      </c>
      <c r="AD31" s="135" t="e">
        <f>IF(AND(#REF!="Media",#REF!="Mayor"),CONCATENATE("R6C",#REF!),"")</f>
        <v>#REF!</v>
      </c>
      <c r="AE31" s="135" t="e">
        <f>IF(AND(#REF!="Media",#REF!="Mayor"),CONCATENATE("R6C",#REF!),"")</f>
        <v>#REF!</v>
      </c>
      <c r="AF31" s="135" t="e">
        <f>IF(AND(#REF!="Media",#REF!="Mayor"),CONCATENATE("R6C",#REF!),"")</f>
        <v>#REF!</v>
      </c>
      <c r="AG31" s="136" t="e">
        <f>IF(AND(#REF!="Media",#REF!="Mayor"),CONCATENATE("R6C",#REF!),"")</f>
        <v>#REF!</v>
      </c>
      <c r="AH31" s="137" t="e">
        <f>IF(AND(#REF!="Media",#REF!="Catastrófico"),CONCATENATE("R6C",#REF!),"")</f>
        <v>#REF!</v>
      </c>
      <c r="AI31" s="138" t="e">
        <f>IF(AND(#REF!="Media",#REF!="Catastrófico"),CONCATENATE("R6C",#REF!),"")</f>
        <v>#REF!</v>
      </c>
      <c r="AJ31" s="138" t="e">
        <f>IF(AND(#REF!="Media",#REF!="Catastrófico"),CONCATENATE("R6C",#REF!),"")</f>
        <v>#REF!</v>
      </c>
      <c r="AK31" s="138" t="e">
        <f>IF(AND(#REF!="Media",#REF!="Catastrófico"),CONCATENATE("R6C",#REF!),"")</f>
        <v>#REF!</v>
      </c>
      <c r="AL31" s="138" t="e">
        <f>IF(AND(#REF!="Media",#REF!="Catastrófico"),CONCATENATE("R6C",#REF!),"")</f>
        <v>#REF!</v>
      </c>
      <c r="AM31" s="139" t="e">
        <f>IF(AND(#REF!="Media",#REF!="Catastrófico"),CONCATENATE("R6C",#REF!),"")</f>
        <v>#REF!</v>
      </c>
      <c r="AN31" s="115"/>
      <c r="AO31" s="803"/>
      <c r="AP31" s="804"/>
      <c r="AQ31" s="804"/>
      <c r="AR31" s="804"/>
      <c r="AS31" s="804"/>
      <c r="AT31" s="805"/>
      <c r="AU31" s="115"/>
      <c r="AV31" s="115"/>
      <c r="AW31" s="115"/>
      <c r="AX31" s="115"/>
      <c r="AY31" s="115"/>
      <c r="AZ31" s="115"/>
      <c r="BA31" s="115"/>
      <c r="BB31" s="115"/>
      <c r="BC31" s="115"/>
      <c r="BD31" s="115"/>
      <c r="BE31" s="115"/>
      <c r="BF31" s="115"/>
      <c r="BG31" s="115"/>
      <c r="BH31" s="115"/>
      <c r="BI31" s="115"/>
    </row>
    <row r="32" spans="1:61" ht="15" customHeight="1" x14ac:dyDescent="0.25">
      <c r="A32" s="115"/>
      <c r="B32" s="781"/>
      <c r="C32" s="804"/>
      <c r="D32" s="780"/>
      <c r="E32" s="783"/>
      <c r="F32" s="804"/>
      <c r="G32" s="804"/>
      <c r="H32" s="804"/>
      <c r="I32" s="780"/>
      <c r="J32" s="146" t="e">
        <f>IF(AND(#REF!="Media",#REF!="Leve"),CONCATENATE("R7C",#REF!),"")</f>
        <v>#REF!</v>
      </c>
      <c r="K32" s="147" t="e">
        <f>IF(AND(#REF!="Media",#REF!="Leve"),CONCATENATE("R7C",#REF!),"")</f>
        <v>#REF!</v>
      </c>
      <c r="L32" s="147" t="e">
        <f>IF(AND(#REF!="Media",#REF!="Leve"),CONCATENATE("R7C",#REF!),"")</f>
        <v>#REF!</v>
      </c>
      <c r="M32" s="147" t="e">
        <f>IF(AND(#REF!="Media",#REF!="Leve"),CONCATENATE("R7C",#REF!),"")</f>
        <v>#REF!</v>
      </c>
      <c r="N32" s="147" t="e">
        <f>IF(AND(#REF!="Media",#REF!="Leve"),CONCATENATE("R7C",#REF!),"")</f>
        <v>#REF!</v>
      </c>
      <c r="O32" s="148" t="e">
        <f>IF(AND(#REF!="Media",#REF!="Leve"),CONCATENATE("R7C",#REF!),"")</f>
        <v>#REF!</v>
      </c>
      <c r="P32" s="146" t="e">
        <f>IF(AND(#REF!="Media",#REF!="Menor"),CONCATENATE("R7C",#REF!),"")</f>
        <v>#REF!</v>
      </c>
      <c r="Q32" s="147" t="e">
        <f>IF(AND(#REF!="Media",#REF!="Menor"),CONCATENATE("R7C",#REF!),"")</f>
        <v>#REF!</v>
      </c>
      <c r="R32" s="147" t="e">
        <f>IF(AND(#REF!="Media",#REF!="Menor"),CONCATENATE("R7C",#REF!),"")</f>
        <v>#REF!</v>
      </c>
      <c r="S32" s="147" t="e">
        <f>IF(AND(#REF!="Media",#REF!="Menor"),CONCATENATE("R7C",#REF!),"")</f>
        <v>#REF!</v>
      </c>
      <c r="T32" s="147" t="e">
        <f>IF(AND(#REF!="Media",#REF!="Menor"),CONCATENATE("R7C",#REF!),"")</f>
        <v>#REF!</v>
      </c>
      <c r="U32" s="148" t="e">
        <f>IF(AND(#REF!="Media",#REF!="Menor"),CONCATENATE("R7C",#REF!),"")</f>
        <v>#REF!</v>
      </c>
      <c r="V32" s="146" t="e">
        <f>IF(AND(#REF!="Media",#REF!="Moderado"),CONCATENATE("R7C",#REF!),"")</f>
        <v>#REF!</v>
      </c>
      <c r="W32" s="147" t="e">
        <f>IF(AND(#REF!="Media",#REF!="Moderado"),CONCATENATE("R7C",#REF!),"")</f>
        <v>#REF!</v>
      </c>
      <c r="X32" s="147" t="e">
        <f>IF(AND(#REF!="Media",#REF!="Moderado"),CONCATENATE("R7C",#REF!),"")</f>
        <v>#REF!</v>
      </c>
      <c r="Y32" s="147" t="e">
        <f>IF(AND(#REF!="Media",#REF!="Moderado"),CONCATENATE("R7C",#REF!),"")</f>
        <v>#REF!</v>
      </c>
      <c r="Z32" s="147" t="e">
        <f>IF(AND(#REF!="Media",#REF!="Moderado"),CONCATENATE("R7C",#REF!),"")</f>
        <v>#REF!</v>
      </c>
      <c r="AA32" s="148" t="e">
        <f>IF(AND(#REF!="Media",#REF!="Moderado"),CONCATENATE("R7C",#REF!),"")</f>
        <v>#REF!</v>
      </c>
      <c r="AB32" s="134" t="e">
        <f>IF(AND(#REF!="Media",#REF!="Mayor"),CONCATENATE("R7C",#REF!),"")</f>
        <v>#REF!</v>
      </c>
      <c r="AC32" s="135" t="e">
        <f>IF(AND(#REF!="Media",#REF!="Mayor"),CONCATENATE("R7C",#REF!),"")</f>
        <v>#REF!</v>
      </c>
      <c r="AD32" s="135" t="e">
        <f>IF(AND(#REF!="Media",#REF!="Mayor"),CONCATENATE("R7C",#REF!),"")</f>
        <v>#REF!</v>
      </c>
      <c r="AE32" s="135" t="e">
        <f>IF(AND(#REF!="Media",#REF!="Mayor"),CONCATENATE("R7C",#REF!),"")</f>
        <v>#REF!</v>
      </c>
      <c r="AF32" s="135" t="e">
        <f>IF(AND(#REF!="Media",#REF!="Mayor"),CONCATENATE("R7C",#REF!),"")</f>
        <v>#REF!</v>
      </c>
      <c r="AG32" s="136" t="e">
        <f>IF(AND(#REF!="Media",#REF!="Mayor"),CONCATENATE("R7C",#REF!),"")</f>
        <v>#REF!</v>
      </c>
      <c r="AH32" s="137" t="e">
        <f>IF(AND(#REF!="Media",#REF!="Catastrófico"),CONCATENATE("R7C",#REF!),"")</f>
        <v>#REF!</v>
      </c>
      <c r="AI32" s="138" t="e">
        <f>IF(AND(#REF!="Media",#REF!="Catastrófico"),CONCATENATE("R7C",#REF!),"")</f>
        <v>#REF!</v>
      </c>
      <c r="AJ32" s="138" t="e">
        <f>IF(AND(#REF!="Media",#REF!="Catastrófico"),CONCATENATE("R7C",#REF!),"")</f>
        <v>#REF!</v>
      </c>
      <c r="AK32" s="138" t="e">
        <f>IF(AND(#REF!="Media",#REF!="Catastrófico"),CONCATENATE("R7C",#REF!),"")</f>
        <v>#REF!</v>
      </c>
      <c r="AL32" s="138" t="e">
        <f>IF(AND(#REF!="Media",#REF!="Catastrófico"),CONCATENATE("R7C",#REF!),"")</f>
        <v>#REF!</v>
      </c>
      <c r="AM32" s="139" t="e">
        <f>IF(AND(#REF!="Media",#REF!="Catastrófico"),CONCATENATE("R7C",#REF!),"")</f>
        <v>#REF!</v>
      </c>
      <c r="AN32" s="115"/>
      <c r="AO32" s="803"/>
      <c r="AP32" s="804"/>
      <c r="AQ32" s="804"/>
      <c r="AR32" s="804"/>
      <c r="AS32" s="804"/>
      <c r="AT32" s="805"/>
      <c r="AU32" s="115"/>
      <c r="AV32" s="115"/>
      <c r="AW32" s="115"/>
      <c r="AX32" s="115"/>
      <c r="AY32" s="115"/>
      <c r="AZ32" s="115"/>
      <c r="BA32" s="115"/>
      <c r="BB32" s="115"/>
      <c r="BC32" s="115"/>
      <c r="BD32" s="115"/>
      <c r="BE32" s="115"/>
      <c r="BF32" s="115"/>
      <c r="BG32" s="115"/>
      <c r="BH32" s="115"/>
      <c r="BI32" s="115"/>
    </row>
    <row r="33" spans="1:61" ht="15" customHeight="1" x14ac:dyDescent="0.25">
      <c r="A33" s="115"/>
      <c r="B33" s="781"/>
      <c r="C33" s="804"/>
      <c r="D33" s="780"/>
      <c r="E33" s="783"/>
      <c r="F33" s="804"/>
      <c r="G33" s="804"/>
      <c r="H33" s="804"/>
      <c r="I33" s="780"/>
      <c r="J33" s="146" t="e">
        <f>IF(AND(#REF!="Media",#REF!="Leve"),CONCATENATE("R8C",#REF!),"")</f>
        <v>#REF!</v>
      </c>
      <c r="K33" s="147" t="e">
        <f>IF(AND(#REF!="Media",#REF!="Leve"),CONCATENATE("R8C",#REF!),"")</f>
        <v>#REF!</v>
      </c>
      <c r="L33" s="147" t="e">
        <f>IF(AND(#REF!="Media",#REF!="Leve"),CONCATENATE("R8C",#REF!),"")</f>
        <v>#REF!</v>
      </c>
      <c r="M33" s="147" t="e">
        <f>IF(AND(#REF!="Media",#REF!="Leve"),CONCATENATE("R8C",#REF!),"")</f>
        <v>#REF!</v>
      </c>
      <c r="N33" s="147" t="e">
        <f>IF(AND(#REF!="Media",#REF!="Leve"),CONCATENATE("R8C",#REF!),"")</f>
        <v>#REF!</v>
      </c>
      <c r="O33" s="148" t="e">
        <f>IF(AND(#REF!="Media",#REF!="Leve"),CONCATENATE("R8C",#REF!),"")</f>
        <v>#REF!</v>
      </c>
      <c r="P33" s="146" t="e">
        <f>IF(AND(#REF!="Media",#REF!="Menor"),CONCATENATE("R8C",#REF!),"")</f>
        <v>#REF!</v>
      </c>
      <c r="Q33" s="147" t="e">
        <f>IF(AND(#REF!="Media",#REF!="Menor"),CONCATENATE("R8C",#REF!),"")</f>
        <v>#REF!</v>
      </c>
      <c r="R33" s="147" t="e">
        <f>IF(AND(#REF!="Media",#REF!="Menor"),CONCATENATE("R8C",#REF!),"")</f>
        <v>#REF!</v>
      </c>
      <c r="S33" s="147" t="e">
        <f>IF(AND(#REF!="Media",#REF!="Menor"),CONCATENATE("R8C",#REF!),"")</f>
        <v>#REF!</v>
      </c>
      <c r="T33" s="147" t="e">
        <f>IF(AND(#REF!="Media",#REF!="Menor"),CONCATENATE("R8C",#REF!),"")</f>
        <v>#REF!</v>
      </c>
      <c r="U33" s="148" t="e">
        <f>IF(AND(#REF!="Media",#REF!="Menor"),CONCATENATE("R8C",#REF!),"")</f>
        <v>#REF!</v>
      </c>
      <c r="V33" s="146" t="e">
        <f>IF(AND(#REF!="Media",#REF!="Moderado"),CONCATENATE("R8C",#REF!),"")</f>
        <v>#REF!</v>
      </c>
      <c r="W33" s="147" t="e">
        <f>IF(AND(#REF!="Media",#REF!="Moderado"),CONCATENATE("R8C",#REF!),"")</f>
        <v>#REF!</v>
      </c>
      <c r="X33" s="147" t="e">
        <f>IF(AND(#REF!="Media",#REF!="Moderado"),CONCATENATE("R8C",#REF!),"")</f>
        <v>#REF!</v>
      </c>
      <c r="Y33" s="147" t="e">
        <f>IF(AND(#REF!="Media",#REF!="Moderado"),CONCATENATE("R8C",#REF!),"")</f>
        <v>#REF!</v>
      </c>
      <c r="Z33" s="147" t="e">
        <f>IF(AND(#REF!="Media",#REF!="Moderado"),CONCATENATE("R8C",#REF!),"")</f>
        <v>#REF!</v>
      </c>
      <c r="AA33" s="148" t="e">
        <f>IF(AND(#REF!="Media",#REF!="Moderado"),CONCATENATE("R8C",#REF!),"")</f>
        <v>#REF!</v>
      </c>
      <c r="AB33" s="134" t="e">
        <f>IF(AND(#REF!="Media",#REF!="Mayor"),CONCATENATE("R8C",#REF!),"")</f>
        <v>#REF!</v>
      </c>
      <c r="AC33" s="135" t="e">
        <f>IF(AND(#REF!="Media",#REF!="Mayor"),CONCATENATE("R8C",#REF!),"")</f>
        <v>#REF!</v>
      </c>
      <c r="AD33" s="135" t="e">
        <f>IF(AND(#REF!="Media",#REF!="Mayor"),CONCATENATE("R8C",#REF!),"")</f>
        <v>#REF!</v>
      </c>
      <c r="AE33" s="135" t="e">
        <f>IF(AND(#REF!="Media",#REF!="Mayor"),CONCATENATE("R8C",#REF!),"")</f>
        <v>#REF!</v>
      </c>
      <c r="AF33" s="135" t="e">
        <f>IF(AND(#REF!="Media",#REF!="Mayor"),CONCATENATE("R8C",#REF!),"")</f>
        <v>#REF!</v>
      </c>
      <c r="AG33" s="136" t="e">
        <f>IF(AND(#REF!="Media",#REF!="Mayor"),CONCATENATE("R8C",#REF!),"")</f>
        <v>#REF!</v>
      </c>
      <c r="AH33" s="137" t="e">
        <f>IF(AND(#REF!="Media",#REF!="Catastrófico"),CONCATENATE("R8C",#REF!),"")</f>
        <v>#REF!</v>
      </c>
      <c r="AI33" s="138" t="e">
        <f>IF(AND(#REF!="Media",#REF!="Catastrófico"),CONCATENATE("R8C",#REF!),"")</f>
        <v>#REF!</v>
      </c>
      <c r="AJ33" s="138" t="e">
        <f>IF(AND(#REF!="Media",#REF!="Catastrófico"),CONCATENATE("R8C",#REF!),"")</f>
        <v>#REF!</v>
      </c>
      <c r="AK33" s="138" t="e">
        <f>IF(AND(#REF!="Media",#REF!="Catastrófico"),CONCATENATE("R8C",#REF!),"")</f>
        <v>#REF!</v>
      </c>
      <c r="AL33" s="138" t="e">
        <f>IF(AND(#REF!="Media",#REF!="Catastrófico"),CONCATENATE("R8C",#REF!),"")</f>
        <v>#REF!</v>
      </c>
      <c r="AM33" s="139" t="e">
        <f>IF(AND(#REF!="Media",#REF!="Catastrófico"),CONCATENATE("R8C",#REF!),"")</f>
        <v>#REF!</v>
      </c>
      <c r="AN33" s="115"/>
      <c r="AO33" s="803"/>
      <c r="AP33" s="804"/>
      <c r="AQ33" s="804"/>
      <c r="AR33" s="804"/>
      <c r="AS33" s="804"/>
      <c r="AT33" s="805"/>
      <c r="AU33" s="115"/>
      <c r="AV33" s="115"/>
      <c r="AW33" s="115"/>
      <c r="AX33" s="115"/>
      <c r="AY33" s="115"/>
      <c r="AZ33" s="115"/>
      <c r="BA33" s="115"/>
      <c r="BB33" s="115"/>
      <c r="BC33" s="115"/>
      <c r="BD33" s="115"/>
      <c r="BE33" s="115"/>
      <c r="BF33" s="115"/>
      <c r="BG33" s="115"/>
      <c r="BH33" s="115"/>
      <c r="BI33" s="115"/>
    </row>
    <row r="34" spans="1:61" ht="15" customHeight="1" x14ac:dyDescent="0.25">
      <c r="A34" s="115"/>
      <c r="B34" s="781"/>
      <c r="C34" s="804"/>
      <c r="D34" s="780"/>
      <c r="E34" s="783"/>
      <c r="F34" s="804"/>
      <c r="G34" s="804"/>
      <c r="H34" s="804"/>
      <c r="I34" s="780"/>
      <c r="J34" s="146" t="e">
        <f>IF(AND(#REF!="Media",#REF!="Leve"),CONCATENATE("R9C",#REF!),"")</f>
        <v>#REF!</v>
      </c>
      <c r="K34" s="147" t="e">
        <f>IF(AND(#REF!="Media",#REF!="Leve"),CONCATENATE("R9C",#REF!),"")</f>
        <v>#REF!</v>
      </c>
      <c r="L34" s="147" t="e">
        <f>IF(AND(#REF!="Media",#REF!="Leve"),CONCATENATE("R9C",#REF!),"")</f>
        <v>#REF!</v>
      </c>
      <c r="M34" s="147" t="e">
        <f>IF(AND(#REF!="Media",#REF!="Leve"),CONCATENATE("R9C",#REF!),"")</f>
        <v>#REF!</v>
      </c>
      <c r="N34" s="147" t="e">
        <f>IF(AND(#REF!="Media",#REF!="Leve"),CONCATENATE("R9C",#REF!),"")</f>
        <v>#REF!</v>
      </c>
      <c r="O34" s="148" t="e">
        <f>IF(AND(#REF!="Media",#REF!="Leve"),CONCATENATE("R9C",#REF!),"")</f>
        <v>#REF!</v>
      </c>
      <c r="P34" s="146" t="e">
        <f>IF(AND(#REF!="Media",#REF!="Menor"),CONCATENATE("R9C",#REF!),"")</f>
        <v>#REF!</v>
      </c>
      <c r="Q34" s="147" t="e">
        <f>IF(AND(#REF!="Media",#REF!="Menor"),CONCATENATE("R9C",#REF!),"")</f>
        <v>#REF!</v>
      </c>
      <c r="R34" s="147" t="e">
        <f>IF(AND(#REF!="Media",#REF!="Menor"),CONCATENATE("R9C",#REF!),"")</f>
        <v>#REF!</v>
      </c>
      <c r="S34" s="147" t="e">
        <f>IF(AND(#REF!="Media",#REF!="Menor"),CONCATENATE("R9C",#REF!),"")</f>
        <v>#REF!</v>
      </c>
      <c r="T34" s="147" t="e">
        <f>IF(AND(#REF!="Media",#REF!="Menor"),CONCATENATE("R9C",#REF!),"")</f>
        <v>#REF!</v>
      </c>
      <c r="U34" s="148" t="e">
        <f>IF(AND(#REF!="Media",#REF!="Menor"),CONCATENATE("R9C",#REF!),"")</f>
        <v>#REF!</v>
      </c>
      <c r="V34" s="146" t="e">
        <f>IF(AND(#REF!="Media",#REF!="Moderado"),CONCATENATE("R9C",#REF!),"")</f>
        <v>#REF!</v>
      </c>
      <c r="W34" s="147" t="e">
        <f>IF(AND(#REF!="Media",#REF!="Moderado"),CONCATENATE("R9C",#REF!),"")</f>
        <v>#REF!</v>
      </c>
      <c r="X34" s="147" t="e">
        <f>IF(AND(#REF!="Media",#REF!="Moderado"),CONCATENATE("R9C",#REF!),"")</f>
        <v>#REF!</v>
      </c>
      <c r="Y34" s="147" t="e">
        <f>IF(AND(#REF!="Media",#REF!="Moderado"),CONCATENATE("R9C",#REF!),"")</f>
        <v>#REF!</v>
      </c>
      <c r="Z34" s="147" t="e">
        <f>IF(AND(#REF!="Media",#REF!="Moderado"),CONCATENATE("R9C",#REF!),"")</f>
        <v>#REF!</v>
      </c>
      <c r="AA34" s="148" t="e">
        <f>IF(AND(#REF!="Media",#REF!="Moderado"),CONCATENATE("R9C",#REF!),"")</f>
        <v>#REF!</v>
      </c>
      <c r="AB34" s="134" t="e">
        <f>IF(AND(#REF!="Media",#REF!="Mayor"),CONCATENATE("R9C",#REF!),"")</f>
        <v>#REF!</v>
      </c>
      <c r="AC34" s="135" t="e">
        <f>IF(AND(#REF!="Media",#REF!="Mayor"),CONCATENATE("R9C",#REF!),"")</f>
        <v>#REF!</v>
      </c>
      <c r="AD34" s="135" t="e">
        <f>IF(AND(#REF!="Media",#REF!="Mayor"),CONCATENATE("R9C",#REF!),"")</f>
        <v>#REF!</v>
      </c>
      <c r="AE34" s="135" t="e">
        <f>IF(AND(#REF!="Media",#REF!="Mayor"),CONCATENATE("R9C",#REF!),"")</f>
        <v>#REF!</v>
      </c>
      <c r="AF34" s="135" t="e">
        <f>IF(AND(#REF!="Media",#REF!="Mayor"),CONCATENATE("R9C",#REF!),"")</f>
        <v>#REF!</v>
      </c>
      <c r="AG34" s="136" t="e">
        <f>IF(AND(#REF!="Media",#REF!="Mayor"),CONCATENATE("R9C",#REF!),"")</f>
        <v>#REF!</v>
      </c>
      <c r="AH34" s="137" t="e">
        <f>IF(AND(#REF!="Media",#REF!="Catastrófico"),CONCATENATE("R9C",#REF!),"")</f>
        <v>#REF!</v>
      </c>
      <c r="AI34" s="138" t="e">
        <f>IF(AND(#REF!="Media",#REF!="Catastrófico"),CONCATENATE("R9C",#REF!),"")</f>
        <v>#REF!</v>
      </c>
      <c r="AJ34" s="138" t="e">
        <f>IF(AND(#REF!="Media",#REF!="Catastrófico"),CONCATENATE("R9C",#REF!),"")</f>
        <v>#REF!</v>
      </c>
      <c r="AK34" s="138" t="e">
        <f>IF(AND(#REF!="Media",#REF!="Catastrófico"),CONCATENATE("R9C",#REF!),"")</f>
        <v>#REF!</v>
      </c>
      <c r="AL34" s="138" t="e">
        <f>IF(AND(#REF!="Media",#REF!="Catastrófico"),CONCATENATE("R9C",#REF!),"")</f>
        <v>#REF!</v>
      </c>
      <c r="AM34" s="139" t="e">
        <f>IF(AND(#REF!="Media",#REF!="Catastrófico"),CONCATENATE("R9C",#REF!),"")</f>
        <v>#REF!</v>
      </c>
      <c r="AN34" s="115"/>
      <c r="AO34" s="803"/>
      <c r="AP34" s="804"/>
      <c r="AQ34" s="804"/>
      <c r="AR34" s="804"/>
      <c r="AS34" s="804"/>
      <c r="AT34" s="805"/>
      <c r="AU34" s="115"/>
      <c r="AV34" s="115"/>
      <c r="AW34" s="115"/>
      <c r="AX34" s="115"/>
      <c r="AY34" s="115"/>
      <c r="AZ34" s="115"/>
      <c r="BA34" s="115"/>
      <c r="BB34" s="115"/>
      <c r="BC34" s="115"/>
      <c r="BD34" s="115"/>
      <c r="BE34" s="115"/>
      <c r="BF34" s="115"/>
      <c r="BG34" s="115"/>
      <c r="BH34" s="115"/>
      <c r="BI34" s="115"/>
    </row>
    <row r="35" spans="1:61" ht="15.75" customHeight="1" thickBot="1" x14ac:dyDescent="0.3">
      <c r="A35" s="115"/>
      <c r="B35" s="781"/>
      <c r="C35" s="804"/>
      <c r="D35" s="780"/>
      <c r="E35" s="790"/>
      <c r="F35" s="791"/>
      <c r="G35" s="791"/>
      <c r="H35" s="791"/>
      <c r="I35" s="792"/>
      <c r="J35" s="146" t="e">
        <f>IF(AND(#REF!="Media",#REF!="Leve"),CONCATENATE("R10C",#REF!),"")</f>
        <v>#REF!</v>
      </c>
      <c r="K35" s="147" t="e">
        <f>IF(AND(#REF!="Media",#REF!="Leve"),CONCATENATE("R10C",#REF!),"")</f>
        <v>#REF!</v>
      </c>
      <c r="L35" s="147" t="e">
        <f>IF(AND(#REF!="Media",#REF!="Leve"),CONCATENATE("R10C",#REF!),"")</f>
        <v>#REF!</v>
      </c>
      <c r="M35" s="147" t="e">
        <f>IF(AND(#REF!="Media",#REF!="Leve"),CONCATENATE("R10C",#REF!),"")</f>
        <v>#REF!</v>
      </c>
      <c r="N35" s="147" t="e">
        <f>IF(AND(#REF!="Media",#REF!="Leve"),CONCATENATE("R10C",#REF!),"")</f>
        <v>#REF!</v>
      </c>
      <c r="O35" s="148" t="e">
        <f>IF(AND(#REF!="Media",#REF!="Leve"),CONCATENATE("R10C",#REF!),"")</f>
        <v>#REF!</v>
      </c>
      <c r="P35" s="146" t="e">
        <f>IF(AND(#REF!="Media",#REF!="Menor"),CONCATENATE("R10C",#REF!),"")</f>
        <v>#REF!</v>
      </c>
      <c r="Q35" s="147" t="e">
        <f>IF(AND(#REF!="Media",#REF!="Menor"),CONCATENATE("R10C",#REF!),"")</f>
        <v>#REF!</v>
      </c>
      <c r="R35" s="147" t="e">
        <f>IF(AND(#REF!="Media",#REF!="Menor"),CONCATENATE("R10C",#REF!),"")</f>
        <v>#REF!</v>
      </c>
      <c r="S35" s="147" t="e">
        <f>IF(AND(#REF!="Media",#REF!="Menor"),CONCATENATE("R10C",#REF!),"")</f>
        <v>#REF!</v>
      </c>
      <c r="T35" s="147" t="e">
        <f>IF(AND(#REF!="Media",#REF!="Menor"),CONCATENATE("R10C",#REF!),"")</f>
        <v>#REF!</v>
      </c>
      <c r="U35" s="148" t="e">
        <f>IF(AND(#REF!="Media",#REF!="Menor"),CONCATENATE("R10C",#REF!),"")</f>
        <v>#REF!</v>
      </c>
      <c r="V35" s="146" t="e">
        <f>IF(AND(#REF!="Media",#REF!="Moderado"),CONCATENATE("R10C",#REF!),"")</f>
        <v>#REF!</v>
      </c>
      <c r="W35" s="147" t="e">
        <f>IF(AND(#REF!="Media",#REF!="Moderado"),CONCATENATE("R10C",#REF!),"")</f>
        <v>#REF!</v>
      </c>
      <c r="X35" s="147" t="e">
        <f>IF(AND(#REF!="Media",#REF!="Moderado"),CONCATENATE("R10C",#REF!),"")</f>
        <v>#REF!</v>
      </c>
      <c r="Y35" s="147" t="e">
        <f>IF(AND(#REF!="Media",#REF!="Moderado"),CONCATENATE("R10C",#REF!),"")</f>
        <v>#REF!</v>
      </c>
      <c r="Z35" s="147" t="e">
        <f>IF(AND(#REF!="Media",#REF!="Moderado"),CONCATENATE("R10C",#REF!),"")</f>
        <v>#REF!</v>
      </c>
      <c r="AA35" s="148" t="e">
        <f>IF(AND(#REF!="Media",#REF!="Moderado"),CONCATENATE("R10C",#REF!),"")</f>
        <v>#REF!</v>
      </c>
      <c r="AB35" s="140" t="e">
        <f>IF(AND(#REF!="Media",#REF!="Mayor"),CONCATENATE("R10C",#REF!),"")</f>
        <v>#REF!</v>
      </c>
      <c r="AC35" s="141" t="e">
        <f>IF(AND(#REF!="Media",#REF!="Mayor"),CONCATENATE("R10C",#REF!),"")</f>
        <v>#REF!</v>
      </c>
      <c r="AD35" s="141" t="e">
        <f>IF(AND(#REF!="Media",#REF!="Mayor"),CONCATENATE("R10C",#REF!),"")</f>
        <v>#REF!</v>
      </c>
      <c r="AE35" s="141" t="e">
        <f>IF(AND(#REF!="Media",#REF!="Mayor"),CONCATENATE("R10C",#REF!),"")</f>
        <v>#REF!</v>
      </c>
      <c r="AF35" s="141" t="e">
        <f>IF(AND(#REF!="Media",#REF!="Mayor"),CONCATENATE("R10C",#REF!),"")</f>
        <v>#REF!</v>
      </c>
      <c r="AG35" s="142" t="e">
        <f>IF(AND(#REF!="Media",#REF!="Mayor"),CONCATENATE("R10C",#REF!),"")</f>
        <v>#REF!</v>
      </c>
      <c r="AH35" s="143" t="e">
        <f>IF(AND(#REF!="Media",#REF!="Catastrófico"),CONCATENATE("R10C",#REF!),"")</f>
        <v>#REF!</v>
      </c>
      <c r="AI35" s="144" t="e">
        <f>IF(AND(#REF!="Media",#REF!="Catastrófico"),CONCATENATE("R10C",#REF!),"")</f>
        <v>#REF!</v>
      </c>
      <c r="AJ35" s="144" t="e">
        <f>IF(AND(#REF!="Media",#REF!="Catastrófico"),CONCATENATE("R10C",#REF!),"")</f>
        <v>#REF!</v>
      </c>
      <c r="AK35" s="144" t="e">
        <f>IF(AND(#REF!="Media",#REF!="Catastrófico"),CONCATENATE("R10C",#REF!),"")</f>
        <v>#REF!</v>
      </c>
      <c r="AL35" s="144" t="e">
        <f>IF(AND(#REF!="Media",#REF!="Catastrófico"),CONCATENATE("R10C",#REF!),"")</f>
        <v>#REF!</v>
      </c>
      <c r="AM35" s="145" t="e">
        <f>IF(AND(#REF!="Media",#REF!="Catastrófico"),CONCATENATE("R10C",#REF!),"")</f>
        <v>#REF!</v>
      </c>
      <c r="AN35" s="115"/>
      <c r="AO35" s="806"/>
      <c r="AP35" s="807"/>
      <c r="AQ35" s="807"/>
      <c r="AR35" s="807"/>
      <c r="AS35" s="807"/>
      <c r="AT35" s="808"/>
      <c r="AU35" s="115"/>
      <c r="AV35" s="115"/>
      <c r="AW35" s="115"/>
      <c r="AX35" s="115"/>
      <c r="AY35" s="115"/>
      <c r="AZ35" s="115"/>
      <c r="BA35" s="115"/>
      <c r="BB35" s="115"/>
      <c r="BC35" s="115"/>
      <c r="BD35" s="115"/>
      <c r="BE35" s="115"/>
      <c r="BF35" s="115"/>
      <c r="BG35" s="115"/>
      <c r="BH35" s="115"/>
      <c r="BI35" s="115"/>
    </row>
    <row r="36" spans="1:61" ht="15" customHeight="1" x14ac:dyDescent="0.25">
      <c r="A36" s="115"/>
      <c r="B36" s="781"/>
      <c r="C36" s="804"/>
      <c r="D36" s="780"/>
      <c r="E36" s="823" t="s">
        <v>9</v>
      </c>
      <c r="F36" s="786"/>
      <c r="G36" s="786"/>
      <c r="H36" s="786"/>
      <c r="I36" s="786"/>
      <c r="J36" s="28" t="e">
        <f>IF(AND(#REF!="Baja",#REF!="Leve"),CONCATENATE("R1C",#REF!),"")</f>
        <v>#REF!</v>
      </c>
      <c r="K36" s="29" t="e">
        <f>IF(AND(#REF!="Baja",#REF!="Leve"),CONCATENATE("R1C",#REF!),"")</f>
        <v>#REF!</v>
      </c>
      <c r="L36" s="29" t="e">
        <f>IF(AND(#REF!="Baja",#REF!="Leve"),CONCATENATE("R1C",#REF!),"")</f>
        <v>#REF!</v>
      </c>
      <c r="M36" s="29" t="e">
        <f>IF(AND(#REF!="Baja",#REF!="Leve"),CONCATENATE("R1C",#REF!),"")</f>
        <v>#REF!</v>
      </c>
      <c r="N36" s="29" t="e">
        <f>IF(AND(#REF!="Baja",#REF!="Leve"),CONCATENATE("R1C",#REF!),"")</f>
        <v>#REF!</v>
      </c>
      <c r="O36" s="30" t="e">
        <f>IF(AND(#REF!="Baja",#REF!="Leve"),CONCATENATE("R1C",#REF!),"")</f>
        <v>#REF!</v>
      </c>
      <c r="P36" s="25" t="e">
        <f>IF(AND(#REF!="Baja",#REF!="Menor"),CONCATENATE("R1C",#REF!),"")</f>
        <v>#REF!</v>
      </c>
      <c r="Q36" s="26" t="e">
        <f>IF(AND(#REF!="Baja",#REF!="Menor"),CONCATENATE("R1C",#REF!),"")</f>
        <v>#REF!</v>
      </c>
      <c r="R36" s="26" t="e">
        <f>IF(AND(#REF!="Baja",#REF!="Menor"),CONCATENATE("R1C",#REF!),"")</f>
        <v>#REF!</v>
      </c>
      <c r="S36" s="26" t="e">
        <f>IF(AND(#REF!="Baja",#REF!="Menor"),CONCATENATE("R1C",#REF!),"")</f>
        <v>#REF!</v>
      </c>
      <c r="T36" s="26" t="e">
        <f>IF(AND(#REF!="Baja",#REF!="Menor"),CONCATENATE("R1C",#REF!),"")</f>
        <v>#REF!</v>
      </c>
      <c r="U36" s="27" t="e">
        <f>IF(AND(#REF!="Baja",#REF!="Menor"),CONCATENATE("R1C",#REF!),"")</f>
        <v>#REF!</v>
      </c>
      <c r="V36" s="25" t="e">
        <f>IF(AND(#REF!="Baja",#REF!="Moderado"),CONCATENATE("R1C",#REF!),"")</f>
        <v>#REF!</v>
      </c>
      <c r="W36" s="26" t="e">
        <f>IF(AND(#REF!="Baja",#REF!="Moderado"),CONCATENATE("R1C",#REF!),"")</f>
        <v>#REF!</v>
      </c>
      <c r="X36" s="26" t="e">
        <f>IF(AND(#REF!="Baja",#REF!="Moderado"),CONCATENATE("R1C",#REF!),"")</f>
        <v>#REF!</v>
      </c>
      <c r="Y36" s="26" t="e">
        <f>IF(AND(#REF!="Baja",#REF!="Moderado"),CONCATENATE("R1C",#REF!),"")</f>
        <v>#REF!</v>
      </c>
      <c r="Z36" s="26" t="e">
        <f>IF(AND(#REF!="Baja",#REF!="Moderado"),CONCATENATE("R1C",#REF!),"")</f>
        <v>#REF!</v>
      </c>
      <c r="AA36" s="27" t="e">
        <f>IF(AND(#REF!="Baja",#REF!="Moderado"),CONCATENATE("R1C",#REF!),"")</f>
        <v>#REF!</v>
      </c>
      <c r="AB36" s="19" t="e">
        <f>IF(AND(#REF!="Baja",#REF!="Mayor"),CONCATENATE("R1C",#REF!),"")</f>
        <v>#REF!</v>
      </c>
      <c r="AC36" s="20" t="e">
        <f>IF(AND(#REF!="Baja",#REF!="Mayor"),CONCATENATE("R1C",#REF!),"")</f>
        <v>#REF!</v>
      </c>
      <c r="AD36" s="20" t="e">
        <f>IF(AND(#REF!="Baja",#REF!="Mayor"),CONCATENATE("R1C",#REF!),"")</f>
        <v>#REF!</v>
      </c>
      <c r="AE36" s="20" t="e">
        <f>IF(AND(#REF!="Baja",#REF!="Mayor"),CONCATENATE("R1C",#REF!),"")</f>
        <v>#REF!</v>
      </c>
      <c r="AF36" s="20" t="e">
        <f>IF(AND(#REF!="Baja",#REF!="Mayor"),CONCATENATE("R1C",#REF!),"")</f>
        <v>#REF!</v>
      </c>
      <c r="AG36" s="21" t="e">
        <f>IF(AND(#REF!="Baja",#REF!="Mayor"),CONCATENATE("R1C",#REF!),"")</f>
        <v>#REF!</v>
      </c>
      <c r="AH36" s="22" t="e">
        <f>IF(AND(#REF!="Baja",#REF!="Catastrófico"),CONCATENATE("R1C",#REF!),"")</f>
        <v>#REF!</v>
      </c>
      <c r="AI36" s="23" t="e">
        <f>IF(AND(#REF!="Baja",#REF!="Catastrófico"),CONCATENATE("R1C",#REF!),"")</f>
        <v>#REF!</v>
      </c>
      <c r="AJ36" s="23" t="e">
        <f>IF(AND(#REF!="Baja",#REF!="Catastrófico"),CONCATENATE("R1C",#REF!),"")</f>
        <v>#REF!</v>
      </c>
      <c r="AK36" s="23" t="e">
        <f>IF(AND(#REF!="Baja",#REF!="Catastrófico"),CONCATENATE("R1C",#REF!),"")</f>
        <v>#REF!</v>
      </c>
      <c r="AL36" s="23" t="e">
        <f>IF(AND(#REF!="Baja",#REF!="Catastrófico"),CONCATENATE("R1C",#REF!),"")</f>
        <v>#REF!</v>
      </c>
      <c r="AM36" s="24" t="e">
        <f>IF(AND(#REF!="Baja",#REF!="Catastrófico"),CONCATENATE("R1C",#REF!),"")</f>
        <v>#REF!</v>
      </c>
      <c r="AN36" s="115"/>
      <c r="AO36" s="822" t="s">
        <v>10</v>
      </c>
      <c r="AP36" s="801"/>
      <c r="AQ36" s="801"/>
      <c r="AR36" s="801"/>
      <c r="AS36" s="801"/>
      <c r="AT36" s="802"/>
      <c r="AU36" s="115"/>
      <c r="AV36" s="115"/>
      <c r="AW36" s="115"/>
      <c r="AX36" s="115"/>
      <c r="AY36" s="115"/>
      <c r="AZ36" s="115"/>
      <c r="BA36" s="115"/>
      <c r="BB36" s="115"/>
      <c r="BC36" s="115"/>
      <c r="BD36" s="115"/>
      <c r="BE36" s="115"/>
      <c r="BF36" s="115"/>
      <c r="BG36" s="115"/>
      <c r="BH36" s="115"/>
      <c r="BI36" s="115"/>
    </row>
    <row r="37" spans="1:61" ht="15" customHeight="1" x14ac:dyDescent="0.25">
      <c r="A37" s="115"/>
      <c r="B37" s="781"/>
      <c r="C37" s="804"/>
      <c r="D37" s="780"/>
      <c r="E37" s="783"/>
      <c r="F37" s="804"/>
      <c r="G37" s="804"/>
      <c r="H37" s="804"/>
      <c r="I37" s="804"/>
      <c r="J37" s="152" t="e">
        <f>IF(AND(#REF!="Baja",#REF!="Leve"),CONCATENATE("R2C",#REF!),"")</f>
        <v>#REF!</v>
      </c>
      <c r="K37" s="153" t="e">
        <f>IF(AND(#REF!="Baja",#REF!="Leve"),CONCATENATE("R2C",#REF!),"")</f>
        <v>#REF!</v>
      </c>
      <c r="L37" s="153" t="e">
        <f>IF(AND(#REF!="Baja",#REF!="Leve"),CONCATENATE("R2C",#REF!),"")</f>
        <v>#REF!</v>
      </c>
      <c r="M37" s="153" t="e">
        <f>IF(AND(#REF!="Baja",#REF!="Leve"),CONCATENATE("R2C",#REF!),"")</f>
        <v>#REF!</v>
      </c>
      <c r="N37" s="153" t="e">
        <f>IF(AND(#REF!="Baja",#REF!="Leve"),CONCATENATE("R2C",#REF!),"")</f>
        <v>#REF!</v>
      </c>
      <c r="O37" s="154" t="e">
        <f>IF(AND(#REF!="Baja",#REF!="Leve"),CONCATENATE("R2C",#REF!),"")</f>
        <v>#REF!</v>
      </c>
      <c r="P37" s="146" t="e">
        <f>IF(AND(#REF!="Baja",#REF!="Menor"),CONCATENATE("R2C",#REF!),"")</f>
        <v>#REF!</v>
      </c>
      <c r="Q37" s="147" t="e">
        <f>IF(AND(#REF!="Baja",#REF!="Menor"),CONCATENATE("R2C",#REF!),"")</f>
        <v>#REF!</v>
      </c>
      <c r="R37" s="147" t="e">
        <f>IF(AND(#REF!="Baja",#REF!="Menor"),CONCATENATE("R2C",#REF!),"")</f>
        <v>#REF!</v>
      </c>
      <c r="S37" s="147" t="e">
        <f>IF(AND(#REF!="Baja",#REF!="Menor"),CONCATENATE("R2C",#REF!),"")</f>
        <v>#REF!</v>
      </c>
      <c r="T37" s="147" t="e">
        <f>IF(AND(#REF!="Baja",#REF!="Menor"),CONCATENATE("R2C",#REF!),"")</f>
        <v>#REF!</v>
      </c>
      <c r="U37" s="148" t="e">
        <f>IF(AND(#REF!="Baja",#REF!="Menor"),CONCATENATE("R2C",#REF!),"")</f>
        <v>#REF!</v>
      </c>
      <c r="V37" s="146" t="e">
        <f>IF(AND(#REF!="Baja",#REF!="Moderado"),CONCATENATE("R2C",#REF!),"")</f>
        <v>#REF!</v>
      </c>
      <c r="W37" s="147" t="e">
        <f>IF(AND(#REF!="Baja",#REF!="Moderado"),CONCATENATE("R2C",#REF!),"")</f>
        <v>#REF!</v>
      </c>
      <c r="X37" s="147" t="e">
        <f>IF(AND(#REF!="Baja",#REF!="Moderado"),CONCATENATE("R2C",#REF!),"")</f>
        <v>#REF!</v>
      </c>
      <c r="Y37" s="147" t="e">
        <f>IF(AND(#REF!="Baja",#REF!="Moderado"),CONCATENATE("R2C",#REF!),"")</f>
        <v>#REF!</v>
      </c>
      <c r="Z37" s="147" t="e">
        <f>IF(AND(#REF!="Baja",#REF!="Moderado"),CONCATENATE("R2C",#REF!),"")</f>
        <v>#REF!</v>
      </c>
      <c r="AA37" s="148" t="e">
        <f>IF(AND(#REF!="Baja",#REF!="Moderado"),CONCATENATE("R2C",#REF!),"")</f>
        <v>#REF!</v>
      </c>
      <c r="AB37" s="134" t="e">
        <f>IF(AND(#REF!="Baja",#REF!="Mayor"),CONCATENATE("R2C",#REF!),"")</f>
        <v>#REF!</v>
      </c>
      <c r="AC37" s="135" t="e">
        <f>IF(AND(#REF!="Baja",#REF!="Mayor"),CONCATENATE("R2C",#REF!),"")</f>
        <v>#REF!</v>
      </c>
      <c r="AD37" s="135" t="e">
        <f>IF(AND(#REF!="Baja",#REF!="Mayor"),CONCATENATE("R2C",#REF!),"")</f>
        <v>#REF!</v>
      </c>
      <c r="AE37" s="135" t="e">
        <f>IF(AND(#REF!="Baja",#REF!="Mayor"),CONCATENATE("R2C",#REF!),"")</f>
        <v>#REF!</v>
      </c>
      <c r="AF37" s="135" t="e">
        <f>IF(AND(#REF!="Baja",#REF!="Mayor"),CONCATENATE("R2C",#REF!),"")</f>
        <v>#REF!</v>
      </c>
      <c r="AG37" s="136" t="e">
        <f>IF(AND(#REF!="Baja",#REF!="Mayor"),CONCATENATE("R2C",#REF!),"")</f>
        <v>#REF!</v>
      </c>
      <c r="AH37" s="137" t="e">
        <f>IF(AND(#REF!="Baja",#REF!="Catastrófico"),CONCATENATE("R2C",#REF!),"")</f>
        <v>#REF!</v>
      </c>
      <c r="AI37" s="138" t="e">
        <f>IF(AND(#REF!="Baja",#REF!="Catastrófico"),CONCATENATE("R2C",#REF!),"")</f>
        <v>#REF!</v>
      </c>
      <c r="AJ37" s="138" t="e">
        <f>IF(AND(#REF!="Baja",#REF!="Catastrófico"),CONCATENATE("R2C",#REF!),"")</f>
        <v>#REF!</v>
      </c>
      <c r="AK37" s="138" t="e">
        <f>IF(AND(#REF!="Baja",#REF!="Catastrófico"),CONCATENATE("R2C",#REF!),"")</f>
        <v>#REF!</v>
      </c>
      <c r="AL37" s="138" t="e">
        <f>IF(AND(#REF!="Baja",#REF!="Catastrófico"),CONCATENATE("R2C",#REF!),"")</f>
        <v>#REF!</v>
      </c>
      <c r="AM37" s="139" t="e">
        <f>IF(AND(#REF!="Baja",#REF!="Catastrófico"),CONCATENATE("R2C",#REF!),"")</f>
        <v>#REF!</v>
      </c>
      <c r="AN37" s="115"/>
      <c r="AO37" s="803"/>
      <c r="AP37" s="804"/>
      <c r="AQ37" s="804"/>
      <c r="AR37" s="804"/>
      <c r="AS37" s="804"/>
      <c r="AT37" s="805"/>
      <c r="AU37" s="115"/>
      <c r="AV37" s="115"/>
      <c r="AW37" s="115"/>
      <c r="AX37" s="115"/>
      <c r="AY37" s="115"/>
      <c r="AZ37" s="115"/>
      <c r="BA37" s="115"/>
      <c r="BB37" s="115"/>
      <c r="BC37" s="115"/>
      <c r="BD37" s="115"/>
      <c r="BE37" s="115"/>
      <c r="BF37" s="115"/>
      <c r="BG37" s="115"/>
      <c r="BH37" s="115"/>
      <c r="BI37" s="115"/>
    </row>
    <row r="38" spans="1:61" ht="15" customHeight="1" x14ac:dyDescent="0.25">
      <c r="A38" s="115"/>
      <c r="B38" s="781"/>
      <c r="C38" s="804"/>
      <c r="D38" s="780"/>
      <c r="E38" s="783"/>
      <c r="F38" s="804"/>
      <c r="G38" s="804"/>
      <c r="H38" s="804"/>
      <c r="I38" s="804"/>
      <c r="J38" s="152" t="e">
        <f>IF(AND(#REF!="Baja",#REF!="Leve"),CONCATENATE("R3C",#REF!),"")</f>
        <v>#REF!</v>
      </c>
      <c r="K38" s="153" t="e">
        <f>IF(AND(#REF!="Baja",#REF!="Leve"),CONCATENATE("R3C",#REF!),"")</f>
        <v>#REF!</v>
      </c>
      <c r="L38" s="153" t="e">
        <f>IF(AND(#REF!="Baja",#REF!="Leve"),CONCATENATE("R3C",#REF!),"")</f>
        <v>#REF!</v>
      </c>
      <c r="M38" s="153" t="e">
        <f>IF(AND(#REF!="Baja",#REF!="Leve"),CONCATENATE("R3C",#REF!),"")</f>
        <v>#REF!</v>
      </c>
      <c r="N38" s="153" t="e">
        <f>IF(AND(#REF!="Baja",#REF!="Leve"),CONCATENATE("R3C",#REF!),"")</f>
        <v>#REF!</v>
      </c>
      <c r="O38" s="154" t="e">
        <f>IF(AND(#REF!="Baja",#REF!="Leve"),CONCATENATE("R3C",#REF!),"")</f>
        <v>#REF!</v>
      </c>
      <c r="P38" s="146" t="e">
        <f>IF(AND(#REF!="Baja",#REF!="Menor"),CONCATENATE("R3C",#REF!),"")</f>
        <v>#REF!</v>
      </c>
      <c r="Q38" s="147" t="e">
        <f>IF(AND(#REF!="Baja",#REF!="Menor"),CONCATENATE("R3C",#REF!),"")</f>
        <v>#REF!</v>
      </c>
      <c r="R38" s="147" t="e">
        <f>IF(AND(#REF!="Baja",#REF!="Menor"),CONCATENATE("R3C",#REF!),"")</f>
        <v>#REF!</v>
      </c>
      <c r="S38" s="147" t="e">
        <f>IF(AND(#REF!="Baja",#REF!="Menor"),CONCATENATE("R3C",#REF!),"")</f>
        <v>#REF!</v>
      </c>
      <c r="T38" s="147" t="e">
        <f>IF(AND(#REF!="Baja",#REF!="Menor"),CONCATENATE("R3C",#REF!),"")</f>
        <v>#REF!</v>
      </c>
      <c r="U38" s="148" t="e">
        <f>IF(AND(#REF!="Baja",#REF!="Menor"),CONCATENATE("R3C",#REF!),"")</f>
        <v>#REF!</v>
      </c>
      <c r="V38" s="146" t="e">
        <f>IF(AND(#REF!="Baja",#REF!="Moderado"),CONCATENATE("R3C",#REF!),"")</f>
        <v>#REF!</v>
      </c>
      <c r="W38" s="147" t="e">
        <f>IF(AND(#REF!="Baja",#REF!="Moderado"),CONCATENATE("R3C",#REF!),"")</f>
        <v>#REF!</v>
      </c>
      <c r="X38" s="147" t="e">
        <f>IF(AND(#REF!="Baja",#REF!="Moderado"),CONCATENATE("R3C",#REF!),"")</f>
        <v>#REF!</v>
      </c>
      <c r="Y38" s="147" t="e">
        <f>IF(AND(#REF!="Baja",#REF!="Moderado"),CONCATENATE("R3C",#REF!),"")</f>
        <v>#REF!</v>
      </c>
      <c r="Z38" s="147" t="e">
        <f>IF(AND(#REF!="Baja",#REF!="Moderado"),CONCATENATE("R3C",#REF!),"")</f>
        <v>#REF!</v>
      </c>
      <c r="AA38" s="148" t="e">
        <f>IF(AND(#REF!="Baja",#REF!="Moderado"),CONCATENATE("R3C",#REF!),"")</f>
        <v>#REF!</v>
      </c>
      <c r="AB38" s="134" t="e">
        <f>IF(AND(#REF!="Baja",#REF!="Mayor"),CONCATENATE("R3C",#REF!),"")</f>
        <v>#REF!</v>
      </c>
      <c r="AC38" s="135" t="e">
        <f>IF(AND(#REF!="Baja",#REF!="Mayor"),CONCATENATE("R3C",#REF!),"")</f>
        <v>#REF!</v>
      </c>
      <c r="AD38" s="135" t="e">
        <f>IF(AND(#REF!="Baja",#REF!="Mayor"),CONCATENATE("R3C",#REF!),"")</f>
        <v>#REF!</v>
      </c>
      <c r="AE38" s="135" t="e">
        <f>IF(AND(#REF!="Baja",#REF!="Mayor"),CONCATENATE("R3C",#REF!),"")</f>
        <v>#REF!</v>
      </c>
      <c r="AF38" s="135" t="e">
        <f>IF(AND(#REF!="Baja",#REF!="Mayor"),CONCATENATE("R3C",#REF!),"")</f>
        <v>#REF!</v>
      </c>
      <c r="AG38" s="136" t="e">
        <f>IF(AND(#REF!="Baja",#REF!="Mayor"),CONCATENATE("R3C",#REF!),"")</f>
        <v>#REF!</v>
      </c>
      <c r="AH38" s="137" t="e">
        <f>IF(AND(#REF!="Baja",#REF!="Catastrófico"),CONCATENATE("R3C",#REF!),"")</f>
        <v>#REF!</v>
      </c>
      <c r="AI38" s="138" t="e">
        <f>IF(AND(#REF!="Baja",#REF!="Catastrófico"),CONCATENATE("R3C",#REF!),"")</f>
        <v>#REF!</v>
      </c>
      <c r="AJ38" s="138" t="e">
        <f>IF(AND(#REF!="Baja",#REF!="Catastrófico"),CONCATENATE("R3C",#REF!),"")</f>
        <v>#REF!</v>
      </c>
      <c r="AK38" s="138" t="e">
        <f>IF(AND(#REF!="Baja",#REF!="Catastrófico"),CONCATENATE("R3C",#REF!),"")</f>
        <v>#REF!</v>
      </c>
      <c r="AL38" s="138" t="e">
        <f>IF(AND(#REF!="Baja",#REF!="Catastrófico"),CONCATENATE("R3C",#REF!),"")</f>
        <v>#REF!</v>
      </c>
      <c r="AM38" s="139" t="e">
        <f>IF(AND(#REF!="Baja",#REF!="Catastrófico"),CONCATENATE("R3C",#REF!),"")</f>
        <v>#REF!</v>
      </c>
      <c r="AN38" s="115"/>
      <c r="AO38" s="803"/>
      <c r="AP38" s="804"/>
      <c r="AQ38" s="804"/>
      <c r="AR38" s="804"/>
      <c r="AS38" s="804"/>
      <c r="AT38" s="805"/>
      <c r="AU38" s="115"/>
      <c r="AV38" s="115"/>
      <c r="AW38" s="115"/>
      <c r="AX38" s="115"/>
      <c r="AY38" s="115"/>
      <c r="AZ38" s="115"/>
      <c r="BA38" s="115"/>
      <c r="BB38" s="115"/>
      <c r="BC38" s="115"/>
      <c r="BD38" s="115"/>
      <c r="BE38" s="115"/>
      <c r="BF38" s="115"/>
      <c r="BG38" s="115"/>
      <c r="BH38" s="115"/>
      <c r="BI38" s="115"/>
    </row>
    <row r="39" spans="1:61" ht="15" customHeight="1" x14ac:dyDescent="0.25">
      <c r="A39" s="115"/>
      <c r="B39" s="781"/>
      <c r="C39" s="804"/>
      <c r="D39" s="780"/>
      <c r="E39" s="783"/>
      <c r="F39" s="804"/>
      <c r="G39" s="804"/>
      <c r="H39" s="804"/>
      <c r="I39" s="804"/>
      <c r="J39" s="152" t="e">
        <f>IF(AND(#REF!="Baja",#REF!="Leve"),CONCATENATE("R4C",#REF!),"")</f>
        <v>#REF!</v>
      </c>
      <c r="K39" s="153" t="e">
        <f>IF(AND(#REF!="Baja",#REF!="Leve"),CONCATENATE("R4C",#REF!),"")</f>
        <v>#REF!</v>
      </c>
      <c r="L39" s="153" t="e">
        <f>IF(AND(#REF!="Baja",#REF!="Leve"),CONCATENATE("R4C",#REF!),"")</f>
        <v>#REF!</v>
      </c>
      <c r="M39" s="153" t="e">
        <f>IF(AND(#REF!="Baja",#REF!="Leve"),CONCATENATE("R4C",#REF!),"")</f>
        <v>#REF!</v>
      </c>
      <c r="N39" s="153" t="e">
        <f>IF(AND(#REF!="Baja",#REF!="Leve"),CONCATENATE("R4C",#REF!),"")</f>
        <v>#REF!</v>
      </c>
      <c r="O39" s="154" t="e">
        <f>IF(AND(#REF!="Baja",#REF!="Leve"),CONCATENATE("R4C",#REF!),"")</f>
        <v>#REF!</v>
      </c>
      <c r="P39" s="146" t="e">
        <f>IF(AND(#REF!="Baja",#REF!="Menor"),CONCATENATE("R4C",#REF!),"")</f>
        <v>#REF!</v>
      </c>
      <c r="Q39" s="147" t="e">
        <f>IF(AND(#REF!="Baja",#REF!="Menor"),CONCATENATE("R4C",#REF!),"")</f>
        <v>#REF!</v>
      </c>
      <c r="R39" s="147" t="e">
        <f>IF(AND(#REF!="Baja",#REF!="Menor"),CONCATENATE("R4C",#REF!),"")</f>
        <v>#REF!</v>
      </c>
      <c r="S39" s="147" t="e">
        <f>IF(AND(#REF!="Baja",#REF!="Menor"),CONCATENATE("R4C",#REF!),"")</f>
        <v>#REF!</v>
      </c>
      <c r="T39" s="147" t="e">
        <f>IF(AND(#REF!="Baja",#REF!="Menor"),CONCATENATE("R4C",#REF!),"")</f>
        <v>#REF!</v>
      </c>
      <c r="U39" s="148" t="e">
        <f>IF(AND(#REF!="Baja",#REF!="Menor"),CONCATENATE("R4C",#REF!),"")</f>
        <v>#REF!</v>
      </c>
      <c r="V39" s="146" t="e">
        <f>IF(AND(#REF!="Baja",#REF!="Moderado"),CONCATENATE("R4C",#REF!),"")</f>
        <v>#REF!</v>
      </c>
      <c r="W39" s="147" t="e">
        <f>IF(AND(#REF!="Baja",#REF!="Moderado"),CONCATENATE("R4C",#REF!),"")</f>
        <v>#REF!</v>
      </c>
      <c r="X39" s="147" t="e">
        <f>IF(AND(#REF!="Baja",#REF!="Moderado"),CONCATENATE("R4C",#REF!),"")</f>
        <v>#REF!</v>
      </c>
      <c r="Y39" s="147" t="e">
        <f>IF(AND(#REF!="Baja",#REF!="Moderado"),CONCATENATE("R4C",#REF!),"")</f>
        <v>#REF!</v>
      </c>
      <c r="Z39" s="147" t="e">
        <f>IF(AND(#REF!="Baja",#REF!="Moderado"),CONCATENATE("R4C",#REF!),"")</f>
        <v>#REF!</v>
      </c>
      <c r="AA39" s="148" t="e">
        <f>IF(AND(#REF!="Baja",#REF!="Moderado"),CONCATENATE("R4C",#REF!),"")</f>
        <v>#REF!</v>
      </c>
      <c r="AB39" s="134" t="e">
        <f>IF(AND(#REF!="Baja",#REF!="Mayor"),CONCATENATE("R4C",#REF!),"")</f>
        <v>#REF!</v>
      </c>
      <c r="AC39" s="135" t="e">
        <f>IF(AND(#REF!="Baja",#REF!="Mayor"),CONCATENATE("R4C",#REF!),"")</f>
        <v>#REF!</v>
      </c>
      <c r="AD39" s="135" t="e">
        <f>IF(AND(#REF!="Baja",#REF!="Mayor"),CONCATENATE("R4C",#REF!),"")</f>
        <v>#REF!</v>
      </c>
      <c r="AE39" s="135" t="e">
        <f>IF(AND(#REF!="Baja",#REF!="Mayor"),CONCATENATE("R4C",#REF!),"")</f>
        <v>#REF!</v>
      </c>
      <c r="AF39" s="135" t="e">
        <f>IF(AND(#REF!="Baja",#REF!="Mayor"),CONCATENATE("R4C",#REF!),"")</f>
        <v>#REF!</v>
      </c>
      <c r="AG39" s="136" t="e">
        <f>IF(AND(#REF!="Baja",#REF!="Mayor"),CONCATENATE("R4C",#REF!),"")</f>
        <v>#REF!</v>
      </c>
      <c r="AH39" s="137" t="e">
        <f>IF(AND(#REF!="Baja",#REF!="Catastrófico"),CONCATENATE("R4C",#REF!),"")</f>
        <v>#REF!</v>
      </c>
      <c r="AI39" s="138" t="e">
        <f>IF(AND(#REF!="Baja",#REF!="Catastrófico"),CONCATENATE("R4C",#REF!),"")</f>
        <v>#REF!</v>
      </c>
      <c r="AJ39" s="138" t="e">
        <f>IF(AND(#REF!="Baja",#REF!="Catastrófico"),CONCATENATE("R4C",#REF!),"")</f>
        <v>#REF!</v>
      </c>
      <c r="AK39" s="138" t="e">
        <f>IF(AND(#REF!="Baja",#REF!="Catastrófico"),CONCATENATE("R4C",#REF!),"")</f>
        <v>#REF!</v>
      </c>
      <c r="AL39" s="138" t="e">
        <f>IF(AND(#REF!="Baja",#REF!="Catastrófico"),CONCATENATE("R4C",#REF!),"")</f>
        <v>#REF!</v>
      </c>
      <c r="AM39" s="139" t="e">
        <f>IF(AND(#REF!="Baja",#REF!="Catastrófico"),CONCATENATE("R4C",#REF!),"")</f>
        <v>#REF!</v>
      </c>
      <c r="AN39" s="115"/>
      <c r="AO39" s="803"/>
      <c r="AP39" s="804"/>
      <c r="AQ39" s="804"/>
      <c r="AR39" s="804"/>
      <c r="AS39" s="804"/>
      <c r="AT39" s="805"/>
      <c r="AU39" s="115"/>
      <c r="AV39" s="115"/>
      <c r="AW39" s="115"/>
      <c r="AX39" s="115"/>
      <c r="AY39" s="115"/>
      <c r="AZ39" s="115"/>
      <c r="BA39" s="115"/>
      <c r="BB39" s="115"/>
      <c r="BC39" s="115"/>
      <c r="BD39" s="115"/>
      <c r="BE39" s="115"/>
      <c r="BF39" s="115"/>
      <c r="BG39" s="115"/>
      <c r="BH39" s="115"/>
      <c r="BI39" s="115"/>
    </row>
    <row r="40" spans="1:61" ht="15" customHeight="1" x14ac:dyDescent="0.25">
      <c r="A40" s="115"/>
      <c r="B40" s="781"/>
      <c r="C40" s="804"/>
      <c r="D40" s="780"/>
      <c r="E40" s="783"/>
      <c r="F40" s="804"/>
      <c r="G40" s="804"/>
      <c r="H40" s="804"/>
      <c r="I40" s="804"/>
      <c r="J40" s="152" t="e">
        <f>IF(AND(#REF!="Baja",#REF!="Leve"),CONCATENATE("R5C",#REF!),"")</f>
        <v>#REF!</v>
      </c>
      <c r="K40" s="153" t="e">
        <f>IF(AND(#REF!="Baja",#REF!="Leve"),CONCATENATE("R5C",#REF!),"")</f>
        <v>#REF!</v>
      </c>
      <c r="L40" s="153" t="e">
        <f>IF(AND(#REF!="Baja",#REF!="Leve"),CONCATENATE("R5C",#REF!),"")</f>
        <v>#REF!</v>
      </c>
      <c r="M40" s="153" t="e">
        <f>IF(AND(#REF!="Baja",#REF!="Leve"),CONCATENATE("R5C",#REF!),"")</f>
        <v>#REF!</v>
      </c>
      <c r="N40" s="153" t="e">
        <f>IF(AND(#REF!="Baja",#REF!="Leve"),CONCATENATE("R5C",#REF!),"")</f>
        <v>#REF!</v>
      </c>
      <c r="O40" s="154" t="e">
        <f>IF(AND(#REF!="Baja",#REF!="Leve"),CONCATENATE("R5C",#REF!),"")</f>
        <v>#REF!</v>
      </c>
      <c r="P40" s="146" t="e">
        <f>IF(AND(#REF!="Baja",#REF!="Menor"),CONCATENATE("R5C",#REF!),"")</f>
        <v>#REF!</v>
      </c>
      <c r="Q40" s="147" t="e">
        <f>IF(AND(#REF!="Baja",#REF!="Menor"),CONCATENATE("R5C",#REF!),"")</f>
        <v>#REF!</v>
      </c>
      <c r="R40" s="147" t="e">
        <f>IF(AND(#REF!="Baja",#REF!="Menor"),CONCATENATE("R5C",#REF!),"")</f>
        <v>#REF!</v>
      </c>
      <c r="S40" s="147" t="e">
        <f>IF(AND(#REF!="Baja",#REF!="Menor"),CONCATENATE("R5C",#REF!),"")</f>
        <v>#REF!</v>
      </c>
      <c r="T40" s="147" t="e">
        <f>IF(AND(#REF!="Baja",#REF!="Menor"),CONCATENATE("R5C",#REF!),"")</f>
        <v>#REF!</v>
      </c>
      <c r="U40" s="148" t="e">
        <f>IF(AND(#REF!="Baja",#REF!="Menor"),CONCATENATE("R5C",#REF!),"")</f>
        <v>#REF!</v>
      </c>
      <c r="V40" s="146" t="e">
        <f>IF(AND(#REF!="Baja",#REF!="Moderado"),CONCATENATE("R5C",#REF!),"")</f>
        <v>#REF!</v>
      </c>
      <c r="W40" s="147" t="e">
        <f>IF(AND(#REF!="Baja",#REF!="Moderado"),CONCATENATE("R5C",#REF!),"")</f>
        <v>#REF!</v>
      </c>
      <c r="X40" s="147" t="e">
        <f>IF(AND(#REF!="Baja",#REF!="Moderado"),CONCATENATE("R5C",#REF!),"")</f>
        <v>#REF!</v>
      </c>
      <c r="Y40" s="147" t="e">
        <f>IF(AND(#REF!="Baja",#REF!="Moderado"),CONCATENATE("R5C",#REF!),"")</f>
        <v>#REF!</v>
      </c>
      <c r="Z40" s="147" t="e">
        <f>IF(AND(#REF!="Baja",#REF!="Moderado"),CONCATENATE("R5C",#REF!),"")</f>
        <v>#REF!</v>
      </c>
      <c r="AA40" s="148" t="e">
        <f>IF(AND(#REF!="Baja",#REF!="Moderado"),CONCATENATE("R5C",#REF!),"")</f>
        <v>#REF!</v>
      </c>
      <c r="AB40" s="134" t="e">
        <f>IF(AND(#REF!="Baja",#REF!="Mayor"),CONCATENATE("R5C",#REF!),"")</f>
        <v>#REF!</v>
      </c>
      <c r="AC40" s="135" t="e">
        <f>IF(AND(#REF!="Baja",#REF!="Mayor"),CONCATENATE("R5C",#REF!),"")</f>
        <v>#REF!</v>
      </c>
      <c r="AD40" s="135" t="e">
        <f>IF(AND(#REF!="Baja",#REF!="Mayor"),CONCATENATE("R5C",#REF!),"")</f>
        <v>#REF!</v>
      </c>
      <c r="AE40" s="135" t="e">
        <f>IF(AND(#REF!="Baja",#REF!="Mayor"),CONCATENATE("R5C",#REF!),"")</f>
        <v>#REF!</v>
      </c>
      <c r="AF40" s="135" t="e">
        <f>IF(AND(#REF!="Baja",#REF!="Mayor"),CONCATENATE("R5C",#REF!),"")</f>
        <v>#REF!</v>
      </c>
      <c r="AG40" s="136" t="e">
        <f>IF(AND(#REF!="Baja",#REF!="Mayor"),CONCATENATE("R5C",#REF!),"")</f>
        <v>#REF!</v>
      </c>
      <c r="AH40" s="137" t="e">
        <f>IF(AND(#REF!="Baja",#REF!="Catastrófico"),CONCATENATE("R5C",#REF!),"")</f>
        <v>#REF!</v>
      </c>
      <c r="AI40" s="138" t="e">
        <f>IF(AND(#REF!="Baja",#REF!="Catastrófico"),CONCATENATE("R5C",#REF!),"")</f>
        <v>#REF!</v>
      </c>
      <c r="AJ40" s="138" t="e">
        <f>IF(AND(#REF!="Baja",#REF!="Catastrófico"),CONCATENATE("R5C",#REF!),"")</f>
        <v>#REF!</v>
      </c>
      <c r="AK40" s="138" t="e">
        <f>IF(AND(#REF!="Baja",#REF!="Catastrófico"),CONCATENATE("R5C",#REF!),"")</f>
        <v>#REF!</v>
      </c>
      <c r="AL40" s="138" t="e">
        <f>IF(AND(#REF!="Baja",#REF!="Catastrófico"),CONCATENATE("R5C",#REF!),"")</f>
        <v>#REF!</v>
      </c>
      <c r="AM40" s="139" t="e">
        <f>IF(AND(#REF!="Baja",#REF!="Catastrófico"),CONCATENATE("R5C",#REF!),"")</f>
        <v>#REF!</v>
      </c>
      <c r="AN40" s="115"/>
      <c r="AO40" s="803"/>
      <c r="AP40" s="804"/>
      <c r="AQ40" s="804"/>
      <c r="AR40" s="804"/>
      <c r="AS40" s="804"/>
      <c r="AT40" s="805"/>
      <c r="AU40" s="115"/>
      <c r="AV40" s="115"/>
      <c r="AW40" s="115"/>
      <c r="AX40" s="115"/>
      <c r="AY40" s="115"/>
      <c r="AZ40" s="115"/>
      <c r="BA40" s="115"/>
      <c r="BB40" s="115"/>
      <c r="BC40" s="115"/>
      <c r="BD40" s="115"/>
      <c r="BE40" s="115"/>
      <c r="BF40" s="115"/>
      <c r="BG40" s="115"/>
      <c r="BH40" s="115"/>
      <c r="BI40" s="115"/>
    </row>
    <row r="41" spans="1:61" ht="15" customHeight="1" x14ac:dyDescent="0.25">
      <c r="A41" s="115"/>
      <c r="B41" s="781"/>
      <c r="C41" s="804"/>
      <c r="D41" s="780"/>
      <c r="E41" s="783"/>
      <c r="F41" s="804"/>
      <c r="G41" s="804"/>
      <c r="H41" s="804"/>
      <c r="I41" s="804"/>
      <c r="J41" s="152" t="e">
        <f>IF(AND(#REF!="Baja",#REF!="Leve"),CONCATENATE("R6C",#REF!),"")</f>
        <v>#REF!</v>
      </c>
      <c r="K41" s="153" t="e">
        <f>IF(AND(#REF!="Baja",#REF!="Leve"),CONCATENATE("R6C",#REF!),"")</f>
        <v>#REF!</v>
      </c>
      <c r="L41" s="153" t="e">
        <f>IF(AND(#REF!="Baja",#REF!="Leve"),CONCATENATE("R6C",#REF!),"")</f>
        <v>#REF!</v>
      </c>
      <c r="M41" s="153" t="e">
        <f>IF(AND(#REF!="Baja",#REF!="Leve"),CONCATENATE("R6C",#REF!),"")</f>
        <v>#REF!</v>
      </c>
      <c r="N41" s="153" t="e">
        <f>IF(AND(#REF!="Baja",#REF!="Leve"),CONCATENATE("R6C",#REF!),"")</f>
        <v>#REF!</v>
      </c>
      <c r="O41" s="154" t="e">
        <f>IF(AND(#REF!="Baja",#REF!="Leve"),CONCATENATE("R6C",#REF!),"")</f>
        <v>#REF!</v>
      </c>
      <c r="P41" s="146" t="e">
        <f>IF(AND(#REF!="Baja",#REF!="Menor"),CONCATENATE("R6C",#REF!),"")</f>
        <v>#REF!</v>
      </c>
      <c r="Q41" s="147" t="e">
        <f>IF(AND(#REF!="Baja",#REF!="Menor"),CONCATENATE("R6C",#REF!),"")</f>
        <v>#REF!</v>
      </c>
      <c r="R41" s="147" t="e">
        <f>IF(AND(#REF!="Baja",#REF!="Menor"),CONCATENATE("R6C",#REF!),"")</f>
        <v>#REF!</v>
      </c>
      <c r="S41" s="147" t="e">
        <f>IF(AND(#REF!="Baja",#REF!="Menor"),CONCATENATE("R6C",#REF!),"")</f>
        <v>#REF!</v>
      </c>
      <c r="T41" s="147" t="e">
        <f>IF(AND(#REF!="Baja",#REF!="Menor"),CONCATENATE("R6C",#REF!),"")</f>
        <v>#REF!</v>
      </c>
      <c r="U41" s="148" t="e">
        <f>IF(AND(#REF!="Baja",#REF!="Menor"),CONCATENATE("R6C",#REF!),"")</f>
        <v>#REF!</v>
      </c>
      <c r="V41" s="146" t="e">
        <f>IF(AND(#REF!="Baja",#REF!="Moderado"),CONCATENATE("R6C",#REF!),"")</f>
        <v>#REF!</v>
      </c>
      <c r="W41" s="147" t="e">
        <f>IF(AND(#REF!="Baja",#REF!="Moderado"),CONCATENATE("R6C",#REF!),"")</f>
        <v>#REF!</v>
      </c>
      <c r="X41" s="147" t="e">
        <f>IF(AND(#REF!="Baja",#REF!="Moderado"),CONCATENATE("R6C",#REF!),"")</f>
        <v>#REF!</v>
      </c>
      <c r="Y41" s="147" t="e">
        <f>IF(AND(#REF!="Baja",#REF!="Moderado"),CONCATENATE("R6C",#REF!),"")</f>
        <v>#REF!</v>
      </c>
      <c r="Z41" s="147" t="e">
        <f>IF(AND(#REF!="Baja",#REF!="Moderado"),CONCATENATE("R6C",#REF!),"")</f>
        <v>#REF!</v>
      </c>
      <c r="AA41" s="148" t="e">
        <f>IF(AND(#REF!="Baja",#REF!="Moderado"),CONCATENATE("R6C",#REF!),"")</f>
        <v>#REF!</v>
      </c>
      <c r="AB41" s="134" t="e">
        <f>IF(AND(#REF!="Baja",#REF!="Mayor"),CONCATENATE("R6C",#REF!),"")</f>
        <v>#REF!</v>
      </c>
      <c r="AC41" s="135" t="e">
        <f>IF(AND(#REF!="Baja",#REF!="Mayor"),CONCATENATE("R6C",#REF!),"")</f>
        <v>#REF!</v>
      </c>
      <c r="AD41" s="135" t="e">
        <f>IF(AND(#REF!="Baja",#REF!="Mayor"),CONCATENATE("R6C",#REF!),"")</f>
        <v>#REF!</v>
      </c>
      <c r="AE41" s="135" t="e">
        <f>IF(AND(#REF!="Baja",#REF!="Mayor"),CONCATENATE("R6C",#REF!),"")</f>
        <v>#REF!</v>
      </c>
      <c r="AF41" s="135" t="e">
        <f>IF(AND(#REF!="Baja",#REF!="Mayor"),CONCATENATE("R6C",#REF!),"")</f>
        <v>#REF!</v>
      </c>
      <c r="AG41" s="136" t="e">
        <f>IF(AND(#REF!="Baja",#REF!="Mayor"),CONCATENATE("R6C",#REF!),"")</f>
        <v>#REF!</v>
      </c>
      <c r="AH41" s="137" t="e">
        <f>IF(AND(#REF!="Baja",#REF!="Catastrófico"),CONCATENATE("R6C",#REF!),"")</f>
        <v>#REF!</v>
      </c>
      <c r="AI41" s="138" t="e">
        <f>IF(AND(#REF!="Baja",#REF!="Catastrófico"),CONCATENATE("R6C",#REF!),"")</f>
        <v>#REF!</v>
      </c>
      <c r="AJ41" s="138" t="e">
        <f>IF(AND(#REF!="Baja",#REF!="Catastrófico"),CONCATENATE("R6C",#REF!),"")</f>
        <v>#REF!</v>
      </c>
      <c r="AK41" s="138" t="e">
        <f>IF(AND(#REF!="Baja",#REF!="Catastrófico"),CONCATENATE("R6C",#REF!),"")</f>
        <v>#REF!</v>
      </c>
      <c r="AL41" s="138" t="e">
        <f>IF(AND(#REF!="Baja",#REF!="Catastrófico"),CONCATENATE("R6C",#REF!),"")</f>
        <v>#REF!</v>
      </c>
      <c r="AM41" s="139" t="e">
        <f>IF(AND(#REF!="Baja",#REF!="Catastrófico"),CONCATENATE("R6C",#REF!),"")</f>
        <v>#REF!</v>
      </c>
      <c r="AN41" s="115"/>
      <c r="AO41" s="803"/>
      <c r="AP41" s="804"/>
      <c r="AQ41" s="804"/>
      <c r="AR41" s="804"/>
      <c r="AS41" s="804"/>
      <c r="AT41" s="805"/>
      <c r="AU41" s="115"/>
      <c r="AV41" s="115"/>
      <c r="AW41" s="115"/>
      <c r="AX41" s="115"/>
      <c r="AY41" s="115"/>
      <c r="AZ41" s="115"/>
      <c r="BA41" s="115"/>
      <c r="BB41" s="115"/>
      <c r="BC41" s="115"/>
      <c r="BD41" s="115"/>
      <c r="BE41" s="115"/>
      <c r="BF41" s="115"/>
      <c r="BG41" s="115"/>
      <c r="BH41" s="115"/>
      <c r="BI41" s="115"/>
    </row>
    <row r="42" spans="1:61" ht="15" customHeight="1" x14ac:dyDescent="0.25">
      <c r="A42" s="115"/>
      <c r="B42" s="781"/>
      <c r="C42" s="804"/>
      <c r="D42" s="780"/>
      <c r="E42" s="783"/>
      <c r="F42" s="804"/>
      <c r="G42" s="804"/>
      <c r="H42" s="804"/>
      <c r="I42" s="804"/>
      <c r="J42" s="152" t="e">
        <f>IF(AND(#REF!="Baja",#REF!="Leve"),CONCATENATE("R7C",#REF!),"")</f>
        <v>#REF!</v>
      </c>
      <c r="K42" s="153" t="e">
        <f>IF(AND(#REF!="Baja",#REF!="Leve"),CONCATENATE("R7C",#REF!),"")</f>
        <v>#REF!</v>
      </c>
      <c r="L42" s="153" t="e">
        <f>IF(AND(#REF!="Baja",#REF!="Leve"),CONCATENATE("R7C",#REF!),"")</f>
        <v>#REF!</v>
      </c>
      <c r="M42" s="153" t="e">
        <f>IF(AND(#REF!="Baja",#REF!="Leve"),CONCATENATE("R7C",#REF!),"")</f>
        <v>#REF!</v>
      </c>
      <c r="N42" s="153" t="e">
        <f>IF(AND(#REF!="Baja",#REF!="Leve"),CONCATENATE("R7C",#REF!),"")</f>
        <v>#REF!</v>
      </c>
      <c r="O42" s="154" t="e">
        <f>IF(AND(#REF!="Baja",#REF!="Leve"),CONCATENATE("R7C",#REF!),"")</f>
        <v>#REF!</v>
      </c>
      <c r="P42" s="146" t="e">
        <f>IF(AND(#REF!="Baja",#REF!="Menor"),CONCATENATE("R7C",#REF!),"")</f>
        <v>#REF!</v>
      </c>
      <c r="Q42" s="147" t="e">
        <f>IF(AND(#REF!="Baja",#REF!="Menor"),CONCATENATE("R7C",#REF!),"")</f>
        <v>#REF!</v>
      </c>
      <c r="R42" s="147" t="e">
        <f>IF(AND(#REF!="Baja",#REF!="Menor"),CONCATENATE("R7C",#REF!),"")</f>
        <v>#REF!</v>
      </c>
      <c r="S42" s="147" t="e">
        <f>IF(AND(#REF!="Baja",#REF!="Menor"),CONCATENATE("R7C",#REF!),"")</f>
        <v>#REF!</v>
      </c>
      <c r="T42" s="147" t="e">
        <f>IF(AND(#REF!="Baja",#REF!="Menor"),CONCATENATE("R7C",#REF!),"")</f>
        <v>#REF!</v>
      </c>
      <c r="U42" s="148" t="e">
        <f>IF(AND(#REF!="Baja",#REF!="Menor"),CONCATENATE("R7C",#REF!),"")</f>
        <v>#REF!</v>
      </c>
      <c r="V42" s="146" t="e">
        <f>IF(AND(#REF!="Baja",#REF!="Moderado"),CONCATENATE("R7C",#REF!),"")</f>
        <v>#REF!</v>
      </c>
      <c r="W42" s="147" t="e">
        <f>IF(AND(#REF!="Baja",#REF!="Moderado"),CONCATENATE("R7C",#REF!),"")</f>
        <v>#REF!</v>
      </c>
      <c r="X42" s="147" t="e">
        <f>IF(AND(#REF!="Baja",#REF!="Moderado"),CONCATENATE("R7C",#REF!),"")</f>
        <v>#REF!</v>
      </c>
      <c r="Y42" s="147" t="e">
        <f>IF(AND(#REF!="Baja",#REF!="Moderado"),CONCATENATE("R7C",#REF!),"")</f>
        <v>#REF!</v>
      </c>
      <c r="Z42" s="147" t="e">
        <f>IF(AND(#REF!="Baja",#REF!="Moderado"),CONCATENATE("R7C",#REF!),"")</f>
        <v>#REF!</v>
      </c>
      <c r="AA42" s="148" t="e">
        <f>IF(AND(#REF!="Baja",#REF!="Moderado"),CONCATENATE("R7C",#REF!),"")</f>
        <v>#REF!</v>
      </c>
      <c r="AB42" s="134" t="e">
        <f>IF(AND(#REF!="Baja",#REF!="Mayor"),CONCATENATE("R7C",#REF!),"")</f>
        <v>#REF!</v>
      </c>
      <c r="AC42" s="135" t="e">
        <f>IF(AND(#REF!="Baja",#REF!="Mayor"),CONCATENATE("R7C",#REF!),"")</f>
        <v>#REF!</v>
      </c>
      <c r="AD42" s="135" t="e">
        <f>IF(AND(#REF!="Baja",#REF!="Mayor"),CONCATENATE("R7C",#REF!),"")</f>
        <v>#REF!</v>
      </c>
      <c r="AE42" s="135" t="e">
        <f>IF(AND(#REF!="Baja",#REF!="Mayor"),CONCATENATE("R7C",#REF!),"")</f>
        <v>#REF!</v>
      </c>
      <c r="AF42" s="135" t="e">
        <f>IF(AND(#REF!="Baja",#REF!="Mayor"),CONCATENATE("R7C",#REF!),"")</f>
        <v>#REF!</v>
      </c>
      <c r="AG42" s="136" t="e">
        <f>IF(AND(#REF!="Baja",#REF!="Mayor"),CONCATENATE("R7C",#REF!),"")</f>
        <v>#REF!</v>
      </c>
      <c r="AH42" s="137" t="e">
        <f>IF(AND(#REF!="Baja",#REF!="Catastrófico"),CONCATENATE("R7C",#REF!),"")</f>
        <v>#REF!</v>
      </c>
      <c r="AI42" s="138" t="e">
        <f>IF(AND(#REF!="Baja",#REF!="Catastrófico"),CONCATENATE("R7C",#REF!),"")</f>
        <v>#REF!</v>
      </c>
      <c r="AJ42" s="138" t="e">
        <f>IF(AND(#REF!="Baja",#REF!="Catastrófico"),CONCATENATE("R7C",#REF!),"")</f>
        <v>#REF!</v>
      </c>
      <c r="AK42" s="138" t="e">
        <f>IF(AND(#REF!="Baja",#REF!="Catastrófico"),CONCATENATE("R7C",#REF!),"")</f>
        <v>#REF!</v>
      </c>
      <c r="AL42" s="138" t="e">
        <f>IF(AND(#REF!="Baja",#REF!="Catastrófico"),CONCATENATE("R7C",#REF!),"")</f>
        <v>#REF!</v>
      </c>
      <c r="AM42" s="139" t="e">
        <f>IF(AND(#REF!="Baja",#REF!="Catastrófico"),CONCATENATE("R7C",#REF!),"")</f>
        <v>#REF!</v>
      </c>
      <c r="AN42" s="115"/>
      <c r="AO42" s="803"/>
      <c r="AP42" s="804"/>
      <c r="AQ42" s="804"/>
      <c r="AR42" s="804"/>
      <c r="AS42" s="804"/>
      <c r="AT42" s="805"/>
      <c r="AU42" s="115"/>
      <c r="AV42" s="115"/>
      <c r="AW42" s="115"/>
      <c r="AX42" s="115"/>
      <c r="AY42" s="115"/>
      <c r="AZ42" s="115"/>
      <c r="BA42" s="115"/>
      <c r="BB42" s="115"/>
      <c r="BC42" s="115"/>
      <c r="BD42" s="115"/>
      <c r="BE42" s="115"/>
      <c r="BF42" s="115"/>
      <c r="BG42" s="115"/>
      <c r="BH42" s="115"/>
      <c r="BI42" s="115"/>
    </row>
    <row r="43" spans="1:61" ht="15" customHeight="1" x14ac:dyDescent="0.25">
      <c r="A43" s="115"/>
      <c r="B43" s="781"/>
      <c r="C43" s="804"/>
      <c r="D43" s="780"/>
      <c r="E43" s="783"/>
      <c r="F43" s="804"/>
      <c r="G43" s="804"/>
      <c r="H43" s="804"/>
      <c r="I43" s="804"/>
      <c r="J43" s="152" t="e">
        <f>IF(AND(#REF!="Baja",#REF!="Leve"),CONCATENATE("R8C",#REF!),"")</f>
        <v>#REF!</v>
      </c>
      <c r="K43" s="153" t="e">
        <f>IF(AND(#REF!="Baja",#REF!="Leve"),CONCATENATE("R8C",#REF!),"")</f>
        <v>#REF!</v>
      </c>
      <c r="L43" s="153" t="e">
        <f>IF(AND(#REF!="Baja",#REF!="Leve"),CONCATENATE("R8C",#REF!),"")</f>
        <v>#REF!</v>
      </c>
      <c r="M43" s="153" t="e">
        <f>IF(AND(#REF!="Baja",#REF!="Leve"),CONCATENATE("R8C",#REF!),"")</f>
        <v>#REF!</v>
      </c>
      <c r="N43" s="153" t="e">
        <f>IF(AND(#REF!="Baja",#REF!="Leve"),CONCATENATE("R8C",#REF!),"")</f>
        <v>#REF!</v>
      </c>
      <c r="O43" s="154" t="e">
        <f>IF(AND(#REF!="Baja",#REF!="Leve"),CONCATENATE("R8C",#REF!),"")</f>
        <v>#REF!</v>
      </c>
      <c r="P43" s="146" t="e">
        <f>IF(AND(#REF!="Baja",#REF!="Menor"),CONCATENATE("R8C",#REF!),"")</f>
        <v>#REF!</v>
      </c>
      <c r="Q43" s="147" t="e">
        <f>IF(AND(#REF!="Baja",#REF!="Menor"),CONCATENATE("R8C",#REF!),"")</f>
        <v>#REF!</v>
      </c>
      <c r="R43" s="147" t="e">
        <f>IF(AND(#REF!="Baja",#REF!="Menor"),CONCATENATE("R8C",#REF!),"")</f>
        <v>#REF!</v>
      </c>
      <c r="S43" s="147" t="e">
        <f>IF(AND(#REF!="Baja",#REF!="Menor"),CONCATENATE("R8C",#REF!),"")</f>
        <v>#REF!</v>
      </c>
      <c r="T43" s="147" t="e">
        <f>IF(AND(#REF!="Baja",#REF!="Menor"),CONCATENATE("R8C",#REF!),"")</f>
        <v>#REF!</v>
      </c>
      <c r="U43" s="148" t="e">
        <f>IF(AND(#REF!="Baja",#REF!="Menor"),CONCATENATE("R8C",#REF!),"")</f>
        <v>#REF!</v>
      </c>
      <c r="V43" s="146" t="e">
        <f>IF(AND(#REF!="Baja",#REF!="Moderado"),CONCATENATE("R8C",#REF!),"")</f>
        <v>#REF!</v>
      </c>
      <c r="W43" s="147" t="e">
        <f>IF(AND(#REF!="Baja",#REF!="Moderado"),CONCATENATE("R8C",#REF!),"")</f>
        <v>#REF!</v>
      </c>
      <c r="X43" s="147" t="e">
        <f>IF(AND(#REF!="Baja",#REF!="Moderado"),CONCATENATE("R8C",#REF!),"")</f>
        <v>#REF!</v>
      </c>
      <c r="Y43" s="147" t="e">
        <f>IF(AND(#REF!="Baja",#REF!="Moderado"),CONCATENATE("R8C",#REF!),"")</f>
        <v>#REF!</v>
      </c>
      <c r="Z43" s="147" t="e">
        <f>IF(AND(#REF!="Baja",#REF!="Moderado"),CONCATENATE("R8C",#REF!),"")</f>
        <v>#REF!</v>
      </c>
      <c r="AA43" s="148" t="e">
        <f>IF(AND(#REF!="Baja",#REF!="Moderado"),CONCATENATE("R8C",#REF!),"")</f>
        <v>#REF!</v>
      </c>
      <c r="AB43" s="134" t="e">
        <f>IF(AND(#REF!="Baja",#REF!="Mayor"),CONCATENATE("R8C",#REF!),"")</f>
        <v>#REF!</v>
      </c>
      <c r="AC43" s="135" t="e">
        <f>IF(AND(#REF!="Baja",#REF!="Mayor"),CONCATENATE("R8C",#REF!),"")</f>
        <v>#REF!</v>
      </c>
      <c r="AD43" s="135" t="e">
        <f>IF(AND(#REF!="Baja",#REF!="Mayor"),CONCATENATE("R8C",#REF!),"")</f>
        <v>#REF!</v>
      </c>
      <c r="AE43" s="135" t="e">
        <f>IF(AND(#REF!="Baja",#REF!="Mayor"),CONCATENATE("R8C",#REF!),"")</f>
        <v>#REF!</v>
      </c>
      <c r="AF43" s="135" t="e">
        <f>IF(AND(#REF!="Baja",#REF!="Mayor"),CONCATENATE("R8C",#REF!),"")</f>
        <v>#REF!</v>
      </c>
      <c r="AG43" s="136" t="e">
        <f>IF(AND(#REF!="Baja",#REF!="Mayor"),CONCATENATE("R8C",#REF!),"")</f>
        <v>#REF!</v>
      </c>
      <c r="AH43" s="137" t="e">
        <f>IF(AND(#REF!="Baja",#REF!="Catastrófico"),CONCATENATE("R8C",#REF!),"")</f>
        <v>#REF!</v>
      </c>
      <c r="AI43" s="138" t="e">
        <f>IF(AND(#REF!="Baja",#REF!="Catastrófico"),CONCATENATE("R8C",#REF!),"")</f>
        <v>#REF!</v>
      </c>
      <c r="AJ43" s="138" t="e">
        <f>IF(AND(#REF!="Baja",#REF!="Catastrófico"),CONCATENATE("R8C",#REF!),"")</f>
        <v>#REF!</v>
      </c>
      <c r="AK43" s="138" t="e">
        <f>IF(AND(#REF!="Baja",#REF!="Catastrófico"),CONCATENATE("R8C",#REF!),"")</f>
        <v>#REF!</v>
      </c>
      <c r="AL43" s="138" t="e">
        <f>IF(AND(#REF!="Baja",#REF!="Catastrófico"),CONCATENATE("R8C",#REF!),"")</f>
        <v>#REF!</v>
      </c>
      <c r="AM43" s="139" t="e">
        <f>IF(AND(#REF!="Baja",#REF!="Catastrófico"),CONCATENATE("R8C",#REF!),"")</f>
        <v>#REF!</v>
      </c>
      <c r="AN43" s="115"/>
      <c r="AO43" s="803"/>
      <c r="AP43" s="804"/>
      <c r="AQ43" s="804"/>
      <c r="AR43" s="804"/>
      <c r="AS43" s="804"/>
      <c r="AT43" s="805"/>
      <c r="AU43" s="115"/>
      <c r="AV43" s="115"/>
      <c r="AW43" s="115"/>
      <c r="AX43" s="115"/>
      <c r="AY43" s="115"/>
      <c r="AZ43" s="115"/>
      <c r="BA43" s="115"/>
      <c r="BB43" s="115"/>
      <c r="BC43" s="115"/>
      <c r="BD43" s="115"/>
      <c r="BE43" s="115"/>
      <c r="BF43" s="115"/>
      <c r="BG43" s="115"/>
      <c r="BH43" s="115"/>
      <c r="BI43" s="115"/>
    </row>
    <row r="44" spans="1:61" ht="15" customHeight="1" x14ac:dyDescent="0.25">
      <c r="A44" s="115"/>
      <c r="B44" s="781"/>
      <c r="C44" s="804"/>
      <c r="D44" s="780"/>
      <c r="E44" s="783"/>
      <c r="F44" s="804"/>
      <c r="G44" s="804"/>
      <c r="H44" s="804"/>
      <c r="I44" s="804"/>
      <c r="J44" s="152" t="e">
        <f>IF(AND(#REF!="Baja",#REF!="Leve"),CONCATENATE("R9C",#REF!),"")</f>
        <v>#REF!</v>
      </c>
      <c r="K44" s="153" t="e">
        <f>IF(AND(#REF!="Baja",#REF!="Leve"),CONCATENATE("R9C",#REF!),"")</f>
        <v>#REF!</v>
      </c>
      <c r="L44" s="153" t="e">
        <f>IF(AND(#REF!="Baja",#REF!="Leve"),CONCATENATE("R9C",#REF!),"")</f>
        <v>#REF!</v>
      </c>
      <c r="M44" s="153" t="e">
        <f>IF(AND(#REF!="Baja",#REF!="Leve"),CONCATENATE("R9C",#REF!),"")</f>
        <v>#REF!</v>
      </c>
      <c r="N44" s="153" t="e">
        <f>IF(AND(#REF!="Baja",#REF!="Leve"),CONCATENATE("R9C",#REF!),"")</f>
        <v>#REF!</v>
      </c>
      <c r="O44" s="154" t="e">
        <f>IF(AND(#REF!="Baja",#REF!="Leve"),CONCATENATE("R9C",#REF!),"")</f>
        <v>#REF!</v>
      </c>
      <c r="P44" s="146" t="e">
        <f>IF(AND(#REF!="Baja",#REF!="Menor"),CONCATENATE("R9C",#REF!),"")</f>
        <v>#REF!</v>
      </c>
      <c r="Q44" s="147" t="e">
        <f>IF(AND(#REF!="Baja",#REF!="Menor"),CONCATENATE("R9C",#REF!),"")</f>
        <v>#REF!</v>
      </c>
      <c r="R44" s="147" t="e">
        <f>IF(AND(#REF!="Baja",#REF!="Menor"),CONCATENATE("R9C",#REF!),"")</f>
        <v>#REF!</v>
      </c>
      <c r="S44" s="147" t="e">
        <f>IF(AND(#REF!="Baja",#REF!="Menor"),CONCATENATE("R9C",#REF!),"")</f>
        <v>#REF!</v>
      </c>
      <c r="T44" s="147" t="e">
        <f>IF(AND(#REF!="Baja",#REF!="Menor"),CONCATENATE("R9C",#REF!),"")</f>
        <v>#REF!</v>
      </c>
      <c r="U44" s="148" t="e">
        <f>IF(AND(#REF!="Baja",#REF!="Menor"),CONCATENATE("R9C",#REF!),"")</f>
        <v>#REF!</v>
      </c>
      <c r="V44" s="146" t="e">
        <f>IF(AND(#REF!="Baja",#REF!="Moderado"),CONCATENATE("R9C",#REF!),"")</f>
        <v>#REF!</v>
      </c>
      <c r="W44" s="147" t="e">
        <f>IF(AND(#REF!="Baja",#REF!="Moderado"),CONCATENATE("R9C",#REF!),"")</f>
        <v>#REF!</v>
      </c>
      <c r="X44" s="147" t="e">
        <f>IF(AND(#REF!="Baja",#REF!="Moderado"),CONCATENATE("R9C",#REF!),"")</f>
        <v>#REF!</v>
      </c>
      <c r="Y44" s="147" t="e">
        <f>IF(AND(#REF!="Baja",#REF!="Moderado"),CONCATENATE("R9C",#REF!),"")</f>
        <v>#REF!</v>
      </c>
      <c r="Z44" s="147" t="e">
        <f>IF(AND(#REF!="Baja",#REF!="Moderado"),CONCATENATE("R9C",#REF!),"")</f>
        <v>#REF!</v>
      </c>
      <c r="AA44" s="148" t="e">
        <f>IF(AND(#REF!="Baja",#REF!="Moderado"),CONCATENATE("R9C",#REF!),"")</f>
        <v>#REF!</v>
      </c>
      <c r="AB44" s="134" t="e">
        <f>IF(AND(#REF!="Baja",#REF!="Mayor"),CONCATENATE("R9C",#REF!),"")</f>
        <v>#REF!</v>
      </c>
      <c r="AC44" s="135" t="e">
        <f>IF(AND(#REF!="Baja",#REF!="Mayor"),CONCATENATE("R9C",#REF!),"")</f>
        <v>#REF!</v>
      </c>
      <c r="AD44" s="135" t="e">
        <f>IF(AND(#REF!="Baja",#REF!="Mayor"),CONCATENATE("R9C",#REF!),"")</f>
        <v>#REF!</v>
      </c>
      <c r="AE44" s="135" t="e">
        <f>IF(AND(#REF!="Baja",#REF!="Mayor"),CONCATENATE("R9C",#REF!),"")</f>
        <v>#REF!</v>
      </c>
      <c r="AF44" s="135" t="e">
        <f>IF(AND(#REF!="Baja",#REF!="Mayor"),CONCATENATE("R9C",#REF!),"")</f>
        <v>#REF!</v>
      </c>
      <c r="AG44" s="136" t="e">
        <f>IF(AND(#REF!="Baja",#REF!="Mayor"),CONCATENATE("R9C",#REF!),"")</f>
        <v>#REF!</v>
      </c>
      <c r="AH44" s="137" t="e">
        <f>IF(AND(#REF!="Baja",#REF!="Catastrófico"),CONCATENATE("R9C",#REF!),"")</f>
        <v>#REF!</v>
      </c>
      <c r="AI44" s="138" t="e">
        <f>IF(AND(#REF!="Baja",#REF!="Catastrófico"),CONCATENATE("R9C",#REF!),"")</f>
        <v>#REF!</v>
      </c>
      <c r="AJ44" s="138" t="e">
        <f>IF(AND(#REF!="Baja",#REF!="Catastrófico"),CONCATENATE("R9C",#REF!),"")</f>
        <v>#REF!</v>
      </c>
      <c r="AK44" s="138" t="e">
        <f>IF(AND(#REF!="Baja",#REF!="Catastrófico"),CONCATENATE("R9C",#REF!),"")</f>
        <v>#REF!</v>
      </c>
      <c r="AL44" s="138" t="e">
        <f>IF(AND(#REF!="Baja",#REF!="Catastrófico"),CONCATENATE("R9C",#REF!),"")</f>
        <v>#REF!</v>
      </c>
      <c r="AM44" s="139" t="e">
        <f>IF(AND(#REF!="Baja",#REF!="Catastrófico"),CONCATENATE("R9C",#REF!),"")</f>
        <v>#REF!</v>
      </c>
      <c r="AN44" s="115"/>
      <c r="AO44" s="803"/>
      <c r="AP44" s="804"/>
      <c r="AQ44" s="804"/>
      <c r="AR44" s="804"/>
      <c r="AS44" s="804"/>
      <c r="AT44" s="805"/>
      <c r="AU44" s="115"/>
      <c r="AV44" s="115"/>
      <c r="AW44" s="115"/>
      <c r="AX44" s="115"/>
      <c r="AY44" s="115"/>
      <c r="AZ44" s="115"/>
      <c r="BA44" s="115"/>
      <c r="BB44" s="115"/>
      <c r="BC44" s="115"/>
      <c r="BD44" s="115"/>
      <c r="BE44" s="115"/>
      <c r="BF44" s="115"/>
      <c r="BG44" s="115"/>
      <c r="BH44" s="115"/>
      <c r="BI44" s="115"/>
    </row>
    <row r="45" spans="1:61" ht="15.75" customHeight="1" thickBot="1" x14ac:dyDescent="0.3">
      <c r="A45" s="115"/>
      <c r="B45" s="781"/>
      <c r="C45" s="804"/>
      <c r="D45" s="780"/>
      <c r="E45" s="790"/>
      <c r="F45" s="791"/>
      <c r="G45" s="791"/>
      <c r="H45" s="791"/>
      <c r="I45" s="791"/>
      <c r="J45" s="155" t="e">
        <f>IF(AND(#REF!="Baja",#REF!="Leve"),CONCATENATE("R10C",#REF!),"")</f>
        <v>#REF!</v>
      </c>
      <c r="K45" s="156" t="e">
        <f>IF(AND(#REF!="Baja",#REF!="Leve"),CONCATENATE("R10C",#REF!),"")</f>
        <v>#REF!</v>
      </c>
      <c r="L45" s="156" t="e">
        <f>IF(AND(#REF!="Baja",#REF!="Leve"),CONCATENATE("R10C",#REF!),"")</f>
        <v>#REF!</v>
      </c>
      <c r="M45" s="156" t="e">
        <f>IF(AND(#REF!="Baja",#REF!="Leve"),CONCATENATE("R10C",#REF!),"")</f>
        <v>#REF!</v>
      </c>
      <c r="N45" s="156" t="e">
        <f>IF(AND(#REF!="Baja",#REF!="Leve"),CONCATENATE("R10C",#REF!),"")</f>
        <v>#REF!</v>
      </c>
      <c r="O45" s="157" t="e">
        <f>IF(AND(#REF!="Baja",#REF!="Leve"),CONCATENATE("R10C",#REF!),"")</f>
        <v>#REF!</v>
      </c>
      <c r="P45" s="146" t="e">
        <f>IF(AND(#REF!="Baja",#REF!="Menor"),CONCATENATE("R10C",#REF!),"")</f>
        <v>#REF!</v>
      </c>
      <c r="Q45" s="147" t="e">
        <f>IF(AND(#REF!="Baja",#REF!="Menor"),CONCATENATE("R10C",#REF!),"")</f>
        <v>#REF!</v>
      </c>
      <c r="R45" s="147" t="e">
        <f>IF(AND(#REF!="Baja",#REF!="Menor"),CONCATENATE("R10C",#REF!),"")</f>
        <v>#REF!</v>
      </c>
      <c r="S45" s="147" t="e">
        <f>IF(AND(#REF!="Baja",#REF!="Menor"),CONCATENATE("R10C",#REF!),"")</f>
        <v>#REF!</v>
      </c>
      <c r="T45" s="147" t="e">
        <f>IF(AND(#REF!="Baja",#REF!="Menor"),CONCATENATE("R10C",#REF!),"")</f>
        <v>#REF!</v>
      </c>
      <c r="U45" s="148" t="e">
        <f>IF(AND(#REF!="Baja",#REF!="Menor"),CONCATENATE("R10C",#REF!),"")</f>
        <v>#REF!</v>
      </c>
      <c r="V45" s="149" t="e">
        <f>IF(AND(#REF!="Baja",#REF!="Moderado"),CONCATENATE("R10C",#REF!),"")</f>
        <v>#REF!</v>
      </c>
      <c r="W45" s="150" t="e">
        <f>IF(AND(#REF!="Baja",#REF!="Moderado"),CONCATENATE("R10C",#REF!),"")</f>
        <v>#REF!</v>
      </c>
      <c r="X45" s="150" t="e">
        <f>IF(AND(#REF!="Baja",#REF!="Moderado"),CONCATENATE("R10C",#REF!),"")</f>
        <v>#REF!</v>
      </c>
      <c r="Y45" s="150" t="e">
        <f>IF(AND(#REF!="Baja",#REF!="Moderado"),CONCATENATE("R10C",#REF!),"")</f>
        <v>#REF!</v>
      </c>
      <c r="Z45" s="150" t="e">
        <f>IF(AND(#REF!="Baja",#REF!="Moderado"),CONCATENATE("R10C",#REF!),"")</f>
        <v>#REF!</v>
      </c>
      <c r="AA45" s="151" t="e">
        <f>IF(AND(#REF!="Baja",#REF!="Moderado"),CONCATENATE("R10C",#REF!),"")</f>
        <v>#REF!</v>
      </c>
      <c r="AB45" s="140" t="e">
        <f>IF(AND(#REF!="Baja",#REF!="Mayor"),CONCATENATE("R10C",#REF!),"")</f>
        <v>#REF!</v>
      </c>
      <c r="AC45" s="141" t="e">
        <f>IF(AND(#REF!="Baja",#REF!="Mayor"),CONCATENATE("R10C",#REF!),"")</f>
        <v>#REF!</v>
      </c>
      <c r="AD45" s="141" t="e">
        <f>IF(AND(#REF!="Baja",#REF!="Mayor"),CONCATENATE("R10C",#REF!),"")</f>
        <v>#REF!</v>
      </c>
      <c r="AE45" s="141" t="e">
        <f>IF(AND(#REF!="Baja",#REF!="Mayor"),CONCATENATE("R10C",#REF!),"")</f>
        <v>#REF!</v>
      </c>
      <c r="AF45" s="141" t="e">
        <f>IF(AND(#REF!="Baja",#REF!="Mayor"),CONCATENATE("R10C",#REF!),"")</f>
        <v>#REF!</v>
      </c>
      <c r="AG45" s="142" t="e">
        <f>IF(AND(#REF!="Baja",#REF!="Mayor"),CONCATENATE("R10C",#REF!),"")</f>
        <v>#REF!</v>
      </c>
      <c r="AH45" s="143" t="e">
        <f>IF(AND(#REF!="Baja",#REF!="Catastrófico"),CONCATENATE("R10C",#REF!),"")</f>
        <v>#REF!</v>
      </c>
      <c r="AI45" s="144" t="e">
        <f>IF(AND(#REF!="Baja",#REF!="Catastrófico"),CONCATENATE("R10C",#REF!),"")</f>
        <v>#REF!</v>
      </c>
      <c r="AJ45" s="144" t="e">
        <f>IF(AND(#REF!="Baja",#REF!="Catastrófico"),CONCATENATE("R10C",#REF!),"")</f>
        <v>#REF!</v>
      </c>
      <c r="AK45" s="144" t="e">
        <f>IF(AND(#REF!="Baja",#REF!="Catastrófico"),CONCATENATE("R10C",#REF!),"")</f>
        <v>#REF!</v>
      </c>
      <c r="AL45" s="144" t="e">
        <f>IF(AND(#REF!="Baja",#REF!="Catastrófico"),CONCATENATE("R10C",#REF!),"")</f>
        <v>#REF!</v>
      </c>
      <c r="AM45" s="145" t="e">
        <f>IF(AND(#REF!="Baja",#REF!="Catastrófico"),CONCATENATE("R10C",#REF!),"")</f>
        <v>#REF!</v>
      </c>
      <c r="AN45" s="115"/>
      <c r="AO45" s="806"/>
      <c r="AP45" s="807"/>
      <c r="AQ45" s="807"/>
      <c r="AR45" s="807"/>
      <c r="AS45" s="807"/>
      <c r="AT45" s="808"/>
    </row>
    <row r="46" spans="1:61" ht="46.5" customHeight="1" x14ac:dyDescent="0.35">
      <c r="A46" s="115"/>
      <c r="B46" s="781"/>
      <c r="C46" s="804"/>
      <c r="D46" s="780"/>
      <c r="E46" s="823" t="s">
        <v>11</v>
      </c>
      <c r="F46" s="786"/>
      <c r="G46" s="786"/>
      <c r="H46" s="786"/>
      <c r="I46" s="794"/>
      <c r="J46" s="28" t="e">
        <f>IF(AND(#REF!="Muy Baja",#REF!="Leve"),CONCATENATE("R1C",#REF!),"")</f>
        <v>#REF!</v>
      </c>
      <c r="K46" s="29" t="e">
        <f>IF(AND(#REF!="Muy Baja",#REF!="Leve"),CONCATENATE("R1C",#REF!),"")</f>
        <v>#REF!</v>
      </c>
      <c r="L46" s="29" t="e">
        <f>IF(AND(#REF!="Muy Baja",#REF!="Leve"),CONCATENATE("R1C",#REF!),"")</f>
        <v>#REF!</v>
      </c>
      <c r="M46" s="29" t="e">
        <f>IF(AND(#REF!="Muy Baja",#REF!="Leve"),CONCATENATE("R1C",#REF!),"")</f>
        <v>#REF!</v>
      </c>
      <c r="N46" s="29" t="e">
        <f>IF(AND(#REF!="Muy Baja",#REF!="Leve"),CONCATENATE("R1C",#REF!),"")</f>
        <v>#REF!</v>
      </c>
      <c r="O46" s="30" t="e">
        <f>IF(AND(#REF!="Muy Baja",#REF!="Leve"),CONCATENATE("R1C",#REF!),"")</f>
        <v>#REF!</v>
      </c>
      <c r="P46" s="28" t="e">
        <f>IF(AND(#REF!="Muy Baja",#REF!="Menor"),CONCATENATE("R1C",#REF!),"")</f>
        <v>#REF!</v>
      </c>
      <c r="Q46" s="29" t="e">
        <f>IF(AND(#REF!="Muy Baja",#REF!="Menor"),CONCATENATE("R1C",#REF!),"")</f>
        <v>#REF!</v>
      </c>
      <c r="R46" s="29" t="e">
        <f>IF(AND(#REF!="Muy Baja",#REF!="Menor"),CONCATENATE("R1C",#REF!),"")</f>
        <v>#REF!</v>
      </c>
      <c r="S46" s="29" t="e">
        <f>IF(AND(#REF!="Muy Baja",#REF!="Menor"),CONCATENATE("R1C",#REF!),"")</f>
        <v>#REF!</v>
      </c>
      <c r="T46" s="29" t="e">
        <f>IF(AND(#REF!="Muy Baja",#REF!="Menor"),CONCATENATE("R1C",#REF!),"")</f>
        <v>#REF!</v>
      </c>
      <c r="U46" s="30" t="e">
        <f>IF(AND(#REF!="Muy Baja",#REF!="Menor"),CONCATENATE("R1C",#REF!),"")</f>
        <v>#REF!</v>
      </c>
      <c r="V46" s="25" t="e">
        <f>IF(AND(#REF!="Muy Baja",#REF!="Moderado"),CONCATENATE("R1C",#REF!),"")</f>
        <v>#REF!</v>
      </c>
      <c r="W46" s="31" t="e">
        <f>IF(AND(#REF!="Muy Baja",#REF!="Moderado"),CONCATENATE("R1C",#REF!),"")</f>
        <v>#REF!</v>
      </c>
      <c r="X46" s="26" t="e">
        <f>IF(AND(#REF!="Muy Baja",#REF!="Moderado"),CONCATENATE("R1C",#REF!),"")</f>
        <v>#REF!</v>
      </c>
      <c r="Y46" s="26" t="e">
        <f>IF(AND(#REF!="Muy Baja",#REF!="Moderado"),CONCATENATE("R1C",#REF!),"")</f>
        <v>#REF!</v>
      </c>
      <c r="Z46" s="26" t="e">
        <f>IF(AND(#REF!="Muy Baja",#REF!="Moderado"),CONCATENATE("R1C",#REF!),"")</f>
        <v>#REF!</v>
      </c>
      <c r="AA46" s="27" t="e">
        <f>IF(AND(#REF!="Muy Baja",#REF!="Moderado"),CONCATENATE("R1C",#REF!),"")</f>
        <v>#REF!</v>
      </c>
      <c r="AB46" s="19" t="e">
        <f>IF(AND(#REF!="Muy Baja",#REF!="Mayor"),CONCATENATE("R1C",#REF!),"")</f>
        <v>#REF!</v>
      </c>
      <c r="AC46" s="20" t="e">
        <f>IF(AND(#REF!="Muy Baja",#REF!="Mayor"),CONCATENATE("R1C",#REF!),"")</f>
        <v>#REF!</v>
      </c>
      <c r="AD46" s="20" t="e">
        <f>IF(AND(#REF!="Muy Baja",#REF!="Mayor"),CONCATENATE("R1C",#REF!),"")</f>
        <v>#REF!</v>
      </c>
      <c r="AE46" s="20" t="e">
        <f>IF(AND(#REF!="Muy Baja",#REF!="Mayor"),CONCATENATE("R1C",#REF!),"")</f>
        <v>#REF!</v>
      </c>
      <c r="AF46" s="20" t="e">
        <f>IF(AND(#REF!="Muy Baja",#REF!="Mayor"),CONCATENATE("R1C",#REF!),"")</f>
        <v>#REF!</v>
      </c>
      <c r="AG46" s="21" t="e">
        <f>IF(AND(#REF!="Muy Baja",#REF!="Mayor"),CONCATENATE("R1C",#REF!),"")</f>
        <v>#REF!</v>
      </c>
      <c r="AH46" s="22" t="e">
        <f>IF(AND(#REF!="Muy Baja",#REF!="Catastrófico"),CONCATENATE("R1C",#REF!),"")</f>
        <v>#REF!</v>
      </c>
      <c r="AI46" s="23" t="e">
        <f>IF(AND(#REF!="Muy Baja",#REF!="Catastrófico"),CONCATENATE("R1C",#REF!),"")</f>
        <v>#REF!</v>
      </c>
      <c r="AJ46" s="23" t="e">
        <f>IF(AND(#REF!="Muy Baja",#REF!="Catastrófico"),CONCATENATE("R1C",#REF!),"")</f>
        <v>#REF!</v>
      </c>
      <c r="AK46" s="23" t="e">
        <f>IF(AND(#REF!="Muy Baja",#REF!="Catastrófico"),CONCATENATE("R1C",#REF!),"")</f>
        <v>#REF!</v>
      </c>
      <c r="AL46" s="23" t="e">
        <f>IF(AND(#REF!="Muy Baja",#REF!="Catastrófico"),CONCATENATE("R1C",#REF!),"")</f>
        <v>#REF!</v>
      </c>
      <c r="AM46" s="24" t="e">
        <f>IF(AND(#REF!="Muy Baja",#REF!="Catastrófico"),CONCATENATE("R1C",#REF!),"")</f>
        <v>#REF!</v>
      </c>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row>
    <row r="47" spans="1:61" ht="46.5" customHeight="1" x14ac:dyDescent="0.25">
      <c r="A47" s="115"/>
      <c r="B47" s="781"/>
      <c r="C47" s="804"/>
      <c r="D47" s="780"/>
      <c r="E47" s="783"/>
      <c r="F47" s="804"/>
      <c r="G47" s="804"/>
      <c r="H47" s="804"/>
      <c r="I47" s="780"/>
      <c r="J47" s="152" t="e">
        <f>IF(AND(#REF!="Muy Baja",#REF!="Leve"),CONCATENATE("R2C",#REF!),"")</f>
        <v>#REF!</v>
      </c>
      <c r="K47" s="153" t="e">
        <f>IF(AND(#REF!="Muy Baja",#REF!="Leve"),CONCATENATE("R2C",#REF!),"")</f>
        <v>#REF!</v>
      </c>
      <c r="L47" s="153" t="e">
        <f>IF(AND(#REF!="Muy Baja",#REF!="Leve"),CONCATENATE("R2C",#REF!),"")</f>
        <v>#REF!</v>
      </c>
      <c r="M47" s="153" t="e">
        <f>IF(AND(#REF!="Muy Baja",#REF!="Leve"),CONCATENATE("R2C",#REF!),"")</f>
        <v>#REF!</v>
      </c>
      <c r="N47" s="153" t="e">
        <f>IF(AND(#REF!="Muy Baja",#REF!="Leve"),CONCATENATE("R2C",#REF!),"")</f>
        <v>#REF!</v>
      </c>
      <c r="O47" s="154" t="e">
        <f>IF(AND(#REF!="Muy Baja",#REF!="Leve"),CONCATENATE("R2C",#REF!),"")</f>
        <v>#REF!</v>
      </c>
      <c r="P47" s="152" t="e">
        <f>IF(AND(#REF!="Muy Baja",#REF!="Menor"),CONCATENATE("R2C",#REF!),"")</f>
        <v>#REF!</v>
      </c>
      <c r="Q47" s="153" t="e">
        <f>IF(AND(#REF!="Muy Baja",#REF!="Menor"),CONCATENATE("R2C",#REF!),"")</f>
        <v>#REF!</v>
      </c>
      <c r="R47" s="153" t="e">
        <f>IF(AND(#REF!="Muy Baja",#REF!="Menor"),CONCATENATE("R2C",#REF!),"")</f>
        <v>#REF!</v>
      </c>
      <c r="S47" s="153" t="e">
        <f>IF(AND(#REF!="Muy Baja",#REF!="Menor"),CONCATENATE("R2C",#REF!),"")</f>
        <v>#REF!</v>
      </c>
      <c r="T47" s="153" t="e">
        <f>IF(AND(#REF!="Muy Baja",#REF!="Menor"),CONCATENATE("R2C",#REF!),"")</f>
        <v>#REF!</v>
      </c>
      <c r="U47" s="154" t="e">
        <f>IF(AND(#REF!="Muy Baja",#REF!="Menor"),CONCATENATE("R2C",#REF!),"")</f>
        <v>#REF!</v>
      </c>
      <c r="V47" s="146" t="e">
        <f>IF(AND(#REF!="Muy Baja",#REF!="Moderado"),CONCATENATE("R2C",#REF!),"")</f>
        <v>#REF!</v>
      </c>
      <c r="W47" s="147" t="e">
        <f>IF(AND(#REF!="Muy Baja",#REF!="Moderado"),CONCATENATE("R2C",#REF!),"")</f>
        <v>#REF!</v>
      </c>
      <c r="X47" s="147" t="e">
        <f>IF(AND(#REF!="Muy Baja",#REF!="Moderado"),CONCATENATE("R2C",#REF!),"")</f>
        <v>#REF!</v>
      </c>
      <c r="Y47" s="147" t="e">
        <f>IF(AND(#REF!="Muy Baja",#REF!="Moderado"),CONCATENATE("R2C",#REF!),"")</f>
        <v>#REF!</v>
      </c>
      <c r="Z47" s="147" t="e">
        <f>IF(AND(#REF!="Muy Baja",#REF!="Moderado"),CONCATENATE("R2C",#REF!),"")</f>
        <v>#REF!</v>
      </c>
      <c r="AA47" s="148" t="e">
        <f>IF(AND(#REF!="Muy Baja",#REF!="Moderado"),CONCATENATE("R2C",#REF!),"")</f>
        <v>#REF!</v>
      </c>
      <c r="AB47" s="134" t="e">
        <f>IF(AND(#REF!="Muy Baja",#REF!="Mayor"),CONCATENATE("R2C",#REF!),"")</f>
        <v>#REF!</v>
      </c>
      <c r="AC47" s="135" t="e">
        <f>IF(AND(#REF!="Muy Baja",#REF!="Mayor"),CONCATENATE("R2C",#REF!),"")</f>
        <v>#REF!</v>
      </c>
      <c r="AD47" s="135" t="e">
        <f>IF(AND(#REF!="Muy Baja",#REF!="Mayor"),CONCATENATE("R2C",#REF!),"")</f>
        <v>#REF!</v>
      </c>
      <c r="AE47" s="135" t="e">
        <f>IF(AND(#REF!="Muy Baja",#REF!="Mayor"),CONCATENATE("R2C",#REF!),"")</f>
        <v>#REF!</v>
      </c>
      <c r="AF47" s="135" t="e">
        <f>IF(AND(#REF!="Muy Baja",#REF!="Mayor"),CONCATENATE("R2C",#REF!),"")</f>
        <v>#REF!</v>
      </c>
      <c r="AG47" s="136" t="e">
        <f>IF(AND(#REF!="Muy Baja",#REF!="Mayor"),CONCATENATE("R2C",#REF!),"")</f>
        <v>#REF!</v>
      </c>
      <c r="AH47" s="137" t="e">
        <f>IF(AND(#REF!="Muy Baja",#REF!="Catastrófico"),CONCATENATE("R2C",#REF!),"")</f>
        <v>#REF!</v>
      </c>
      <c r="AI47" s="138" t="e">
        <f>IF(AND(#REF!="Muy Baja",#REF!="Catastrófico"),CONCATENATE("R2C",#REF!),"")</f>
        <v>#REF!</v>
      </c>
      <c r="AJ47" s="138" t="e">
        <f>IF(AND(#REF!="Muy Baja",#REF!="Catastrófico"),CONCATENATE("R2C",#REF!),"")</f>
        <v>#REF!</v>
      </c>
      <c r="AK47" s="138" t="e">
        <f>IF(AND(#REF!="Muy Baja",#REF!="Catastrófico"),CONCATENATE("R2C",#REF!),"")</f>
        <v>#REF!</v>
      </c>
      <c r="AL47" s="138" t="e">
        <f>IF(AND(#REF!="Muy Baja",#REF!="Catastrófico"),CONCATENATE("R2C",#REF!),"")</f>
        <v>#REF!</v>
      </c>
      <c r="AM47" s="139" t="e">
        <f>IF(AND(#REF!="Muy Baja",#REF!="Catastrófico"),CONCATENATE("R2C",#REF!),"")</f>
        <v>#REF!</v>
      </c>
      <c r="AN47" s="115"/>
      <c r="AO47" s="115"/>
      <c r="AP47" s="115"/>
      <c r="AQ47" s="115"/>
      <c r="AR47" s="115"/>
      <c r="AS47" s="115"/>
      <c r="AT47" s="115"/>
      <c r="AU47" s="115"/>
      <c r="AV47" s="115"/>
      <c r="AW47" s="115"/>
      <c r="AX47" s="115"/>
      <c r="AY47" s="115"/>
      <c r="AZ47" s="115"/>
      <c r="BA47" s="115"/>
      <c r="BB47" s="115"/>
      <c r="BC47" s="115"/>
      <c r="BD47" s="115"/>
      <c r="BE47" s="115"/>
      <c r="BF47" s="115"/>
      <c r="BG47" s="115"/>
      <c r="BH47" s="115"/>
      <c r="BI47" s="115"/>
    </row>
    <row r="48" spans="1:61" ht="15" customHeight="1" x14ac:dyDescent="0.25">
      <c r="A48" s="115"/>
      <c r="B48" s="781"/>
      <c r="C48" s="804"/>
      <c r="D48" s="780"/>
      <c r="E48" s="783"/>
      <c r="F48" s="804"/>
      <c r="G48" s="804"/>
      <c r="H48" s="804"/>
      <c r="I48" s="780"/>
      <c r="J48" s="152" t="e">
        <f>IF(AND(#REF!="Muy Baja",#REF!="Leve"),CONCATENATE("R3C",#REF!),"")</f>
        <v>#REF!</v>
      </c>
      <c r="K48" s="153" t="e">
        <f>IF(AND(#REF!="Muy Baja",#REF!="Leve"),CONCATENATE("R3C",#REF!),"")</f>
        <v>#REF!</v>
      </c>
      <c r="L48" s="153" t="e">
        <f>IF(AND(#REF!="Muy Baja",#REF!="Leve"),CONCATENATE("R3C",#REF!),"")</f>
        <v>#REF!</v>
      </c>
      <c r="M48" s="153" t="e">
        <f>IF(AND(#REF!="Muy Baja",#REF!="Leve"),CONCATENATE("R3C",#REF!),"")</f>
        <v>#REF!</v>
      </c>
      <c r="N48" s="153" t="e">
        <f>IF(AND(#REF!="Muy Baja",#REF!="Leve"),CONCATENATE("R3C",#REF!),"")</f>
        <v>#REF!</v>
      </c>
      <c r="O48" s="154" t="e">
        <f>IF(AND(#REF!="Muy Baja",#REF!="Leve"),CONCATENATE("R3C",#REF!),"")</f>
        <v>#REF!</v>
      </c>
      <c r="P48" s="152" t="e">
        <f>IF(AND(#REF!="Muy Baja",#REF!="Menor"),CONCATENATE("R3C",#REF!),"")</f>
        <v>#REF!</v>
      </c>
      <c r="Q48" s="153" t="e">
        <f>IF(AND(#REF!="Muy Baja",#REF!="Menor"),CONCATENATE("R3C",#REF!),"")</f>
        <v>#REF!</v>
      </c>
      <c r="R48" s="153" t="e">
        <f>IF(AND(#REF!="Muy Baja",#REF!="Menor"),CONCATENATE("R3C",#REF!),"")</f>
        <v>#REF!</v>
      </c>
      <c r="S48" s="153" t="e">
        <f>IF(AND(#REF!="Muy Baja",#REF!="Menor"),CONCATENATE("R3C",#REF!),"")</f>
        <v>#REF!</v>
      </c>
      <c r="T48" s="153" t="e">
        <f>IF(AND(#REF!="Muy Baja",#REF!="Menor"),CONCATENATE("R3C",#REF!),"")</f>
        <v>#REF!</v>
      </c>
      <c r="U48" s="154" t="e">
        <f>IF(AND(#REF!="Muy Baja",#REF!="Menor"),CONCATENATE("R3C",#REF!),"")</f>
        <v>#REF!</v>
      </c>
      <c r="V48" s="146" t="e">
        <f>IF(AND(#REF!="Muy Baja",#REF!="Moderado"),CONCATENATE("R3C",#REF!),"")</f>
        <v>#REF!</v>
      </c>
      <c r="W48" s="147" t="e">
        <f>IF(AND(#REF!="Muy Baja",#REF!="Moderado"),CONCATENATE("R3C",#REF!),"")</f>
        <v>#REF!</v>
      </c>
      <c r="X48" s="147" t="e">
        <f>IF(AND(#REF!="Muy Baja",#REF!="Moderado"),CONCATENATE("R3C",#REF!),"")</f>
        <v>#REF!</v>
      </c>
      <c r="Y48" s="147" t="e">
        <f>IF(AND(#REF!="Muy Baja",#REF!="Moderado"),CONCATENATE("R3C",#REF!),"")</f>
        <v>#REF!</v>
      </c>
      <c r="Z48" s="147" t="e">
        <f>IF(AND(#REF!="Muy Baja",#REF!="Moderado"),CONCATENATE("R3C",#REF!),"")</f>
        <v>#REF!</v>
      </c>
      <c r="AA48" s="148" t="e">
        <f>IF(AND(#REF!="Muy Baja",#REF!="Moderado"),CONCATENATE("R3C",#REF!),"")</f>
        <v>#REF!</v>
      </c>
      <c r="AB48" s="134" t="e">
        <f>IF(AND(#REF!="Muy Baja",#REF!="Mayor"),CONCATENATE("R3C",#REF!),"")</f>
        <v>#REF!</v>
      </c>
      <c r="AC48" s="135" t="e">
        <f>IF(AND(#REF!="Muy Baja",#REF!="Mayor"),CONCATENATE("R3C",#REF!),"")</f>
        <v>#REF!</v>
      </c>
      <c r="AD48" s="135" t="e">
        <f>IF(AND(#REF!="Muy Baja",#REF!="Mayor"),CONCATENATE("R3C",#REF!),"")</f>
        <v>#REF!</v>
      </c>
      <c r="AE48" s="135" t="e">
        <f>IF(AND(#REF!="Muy Baja",#REF!="Mayor"),CONCATENATE("R3C",#REF!),"")</f>
        <v>#REF!</v>
      </c>
      <c r="AF48" s="135" t="e">
        <f>IF(AND(#REF!="Muy Baja",#REF!="Mayor"),CONCATENATE("R3C",#REF!),"")</f>
        <v>#REF!</v>
      </c>
      <c r="AG48" s="136" t="e">
        <f>IF(AND(#REF!="Muy Baja",#REF!="Mayor"),CONCATENATE("R3C",#REF!),"")</f>
        <v>#REF!</v>
      </c>
      <c r="AH48" s="137" t="e">
        <f>IF(AND(#REF!="Muy Baja",#REF!="Catastrófico"),CONCATENATE("R3C",#REF!),"")</f>
        <v>#REF!</v>
      </c>
      <c r="AI48" s="138" t="e">
        <f>IF(AND(#REF!="Muy Baja",#REF!="Catastrófico"),CONCATENATE("R3C",#REF!),"")</f>
        <v>#REF!</v>
      </c>
      <c r="AJ48" s="138" t="e">
        <f>IF(AND(#REF!="Muy Baja",#REF!="Catastrófico"),CONCATENATE("R3C",#REF!),"")</f>
        <v>#REF!</v>
      </c>
      <c r="AK48" s="138" t="e">
        <f>IF(AND(#REF!="Muy Baja",#REF!="Catastrófico"),CONCATENATE("R3C",#REF!),"")</f>
        <v>#REF!</v>
      </c>
      <c r="AL48" s="138" t="e">
        <f>IF(AND(#REF!="Muy Baja",#REF!="Catastrófico"),CONCATENATE("R3C",#REF!),"")</f>
        <v>#REF!</v>
      </c>
      <c r="AM48" s="139" t="e">
        <f>IF(AND(#REF!="Muy Baja",#REF!="Catastrófico"),CONCATENATE("R3C",#REF!),"")</f>
        <v>#REF!</v>
      </c>
      <c r="AN48" s="115"/>
      <c r="AO48" s="115"/>
      <c r="AP48" s="115"/>
      <c r="AQ48" s="115"/>
      <c r="AR48" s="115"/>
      <c r="AS48" s="115"/>
      <c r="AT48" s="115"/>
      <c r="AU48" s="115"/>
      <c r="AV48" s="115"/>
      <c r="AW48" s="115"/>
      <c r="AX48" s="115"/>
      <c r="AY48" s="115"/>
      <c r="AZ48" s="115"/>
      <c r="BA48" s="115"/>
      <c r="BB48" s="115"/>
      <c r="BC48" s="115"/>
      <c r="BD48" s="115"/>
      <c r="BE48" s="115"/>
      <c r="BF48" s="115"/>
      <c r="BG48" s="115"/>
      <c r="BH48" s="115"/>
      <c r="BI48" s="115"/>
    </row>
    <row r="49" spans="1:61" ht="15" customHeight="1" x14ac:dyDescent="0.25">
      <c r="A49" s="115"/>
      <c r="B49" s="781"/>
      <c r="C49" s="804"/>
      <c r="D49" s="780"/>
      <c r="E49" s="783"/>
      <c r="F49" s="804"/>
      <c r="G49" s="804"/>
      <c r="H49" s="804"/>
      <c r="I49" s="780"/>
      <c r="J49" s="152" t="e">
        <f>IF(AND(#REF!="Muy Baja",#REF!="Leve"),CONCATENATE("R4C",#REF!),"")</f>
        <v>#REF!</v>
      </c>
      <c r="K49" s="153" t="e">
        <f>IF(AND(#REF!="Muy Baja",#REF!="Leve"),CONCATENATE("R4C",#REF!),"")</f>
        <v>#REF!</v>
      </c>
      <c r="L49" s="153" t="e">
        <f>IF(AND(#REF!="Muy Baja",#REF!="Leve"),CONCATENATE("R4C",#REF!),"")</f>
        <v>#REF!</v>
      </c>
      <c r="M49" s="153" t="e">
        <f>IF(AND(#REF!="Muy Baja",#REF!="Leve"),CONCATENATE("R4C",#REF!),"")</f>
        <v>#REF!</v>
      </c>
      <c r="N49" s="153" t="e">
        <f>IF(AND(#REF!="Muy Baja",#REF!="Leve"),CONCATENATE("R4C",#REF!),"")</f>
        <v>#REF!</v>
      </c>
      <c r="O49" s="154" t="e">
        <f>IF(AND(#REF!="Muy Baja",#REF!="Leve"),CONCATENATE("R4C",#REF!),"")</f>
        <v>#REF!</v>
      </c>
      <c r="P49" s="152" t="e">
        <f>IF(AND(#REF!="Muy Baja",#REF!="Menor"),CONCATENATE("R4C",#REF!),"")</f>
        <v>#REF!</v>
      </c>
      <c r="Q49" s="153" t="e">
        <f>IF(AND(#REF!="Muy Baja",#REF!="Menor"),CONCATENATE("R4C",#REF!),"")</f>
        <v>#REF!</v>
      </c>
      <c r="R49" s="153" t="e">
        <f>IF(AND(#REF!="Muy Baja",#REF!="Menor"),CONCATENATE("R4C",#REF!),"")</f>
        <v>#REF!</v>
      </c>
      <c r="S49" s="153" t="e">
        <f>IF(AND(#REF!="Muy Baja",#REF!="Menor"),CONCATENATE("R4C",#REF!),"")</f>
        <v>#REF!</v>
      </c>
      <c r="T49" s="153" t="e">
        <f>IF(AND(#REF!="Muy Baja",#REF!="Menor"),CONCATENATE("R4C",#REF!),"")</f>
        <v>#REF!</v>
      </c>
      <c r="U49" s="154" t="e">
        <f>IF(AND(#REF!="Muy Baja",#REF!="Menor"),CONCATENATE("R4C",#REF!),"")</f>
        <v>#REF!</v>
      </c>
      <c r="V49" s="146" t="e">
        <f>IF(AND(#REF!="Muy Baja",#REF!="Moderado"),CONCATENATE("R4C",#REF!),"")</f>
        <v>#REF!</v>
      </c>
      <c r="W49" s="147" t="e">
        <f>IF(AND(#REF!="Muy Baja",#REF!="Moderado"),CONCATENATE("R4C",#REF!),"")</f>
        <v>#REF!</v>
      </c>
      <c r="X49" s="147" t="e">
        <f>IF(AND(#REF!="Muy Baja",#REF!="Moderado"),CONCATENATE("R4C",#REF!),"")</f>
        <v>#REF!</v>
      </c>
      <c r="Y49" s="147" t="e">
        <f>IF(AND(#REF!="Muy Baja",#REF!="Moderado"),CONCATENATE("R4C",#REF!),"")</f>
        <v>#REF!</v>
      </c>
      <c r="Z49" s="147" t="e">
        <f>IF(AND(#REF!="Muy Baja",#REF!="Moderado"),CONCATENATE("R4C",#REF!),"")</f>
        <v>#REF!</v>
      </c>
      <c r="AA49" s="148" t="e">
        <f>IF(AND(#REF!="Muy Baja",#REF!="Moderado"),CONCATENATE("R4C",#REF!),"")</f>
        <v>#REF!</v>
      </c>
      <c r="AB49" s="134" t="e">
        <f>IF(AND(#REF!="Muy Baja",#REF!="Mayor"),CONCATENATE("R4C",#REF!),"")</f>
        <v>#REF!</v>
      </c>
      <c r="AC49" s="135" t="e">
        <f>IF(AND(#REF!="Muy Baja",#REF!="Mayor"),CONCATENATE("R4C",#REF!),"")</f>
        <v>#REF!</v>
      </c>
      <c r="AD49" s="135" t="e">
        <f>IF(AND(#REF!="Muy Baja",#REF!="Mayor"),CONCATENATE("R4C",#REF!),"")</f>
        <v>#REF!</v>
      </c>
      <c r="AE49" s="135" t="e">
        <f>IF(AND(#REF!="Muy Baja",#REF!="Mayor"),CONCATENATE("R4C",#REF!),"")</f>
        <v>#REF!</v>
      </c>
      <c r="AF49" s="135" t="e">
        <f>IF(AND(#REF!="Muy Baja",#REF!="Mayor"),CONCATENATE("R4C",#REF!),"")</f>
        <v>#REF!</v>
      </c>
      <c r="AG49" s="136" t="e">
        <f>IF(AND(#REF!="Muy Baja",#REF!="Mayor"),CONCATENATE("R4C",#REF!),"")</f>
        <v>#REF!</v>
      </c>
      <c r="AH49" s="137" t="e">
        <f>IF(AND(#REF!="Muy Baja",#REF!="Catastrófico"),CONCATENATE("R4C",#REF!),"")</f>
        <v>#REF!</v>
      </c>
      <c r="AI49" s="138" t="e">
        <f>IF(AND(#REF!="Muy Baja",#REF!="Catastrófico"),CONCATENATE("R4C",#REF!),"")</f>
        <v>#REF!</v>
      </c>
      <c r="AJ49" s="138" t="e">
        <f>IF(AND(#REF!="Muy Baja",#REF!="Catastrófico"),CONCATENATE("R4C",#REF!),"")</f>
        <v>#REF!</v>
      </c>
      <c r="AK49" s="138" t="e">
        <f>IF(AND(#REF!="Muy Baja",#REF!="Catastrófico"),CONCATENATE("R4C",#REF!),"")</f>
        <v>#REF!</v>
      </c>
      <c r="AL49" s="138" t="e">
        <f>IF(AND(#REF!="Muy Baja",#REF!="Catastrófico"),CONCATENATE("R4C",#REF!),"")</f>
        <v>#REF!</v>
      </c>
      <c r="AM49" s="139" t="e">
        <f>IF(AND(#REF!="Muy Baja",#REF!="Catastrófico"),CONCATENATE("R4C",#REF!),"")</f>
        <v>#REF!</v>
      </c>
      <c r="AN49" s="115"/>
      <c r="AO49" s="115"/>
      <c r="AP49" s="115"/>
      <c r="AQ49" s="115"/>
      <c r="AR49" s="115"/>
      <c r="AS49" s="115"/>
      <c r="AT49" s="115"/>
      <c r="AU49" s="115"/>
      <c r="AV49" s="115"/>
      <c r="AW49" s="115"/>
      <c r="AX49" s="115"/>
      <c r="AY49" s="115"/>
      <c r="AZ49" s="115"/>
      <c r="BA49" s="115"/>
      <c r="BB49" s="115"/>
      <c r="BC49" s="115"/>
      <c r="BD49" s="115"/>
      <c r="BE49" s="115"/>
      <c r="BF49" s="115"/>
      <c r="BG49" s="115"/>
      <c r="BH49" s="115"/>
      <c r="BI49" s="115"/>
    </row>
    <row r="50" spans="1:61" ht="15" customHeight="1" x14ac:dyDescent="0.25">
      <c r="A50" s="115"/>
      <c r="B50" s="781"/>
      <c r="C50" s="804"/>
      <c r="D50" s="780"/>
      <c r="E50" s="783"/>
      <c r="F50" s="804"/>
      <c r="G50" s="804"/>
      <c r="H50" s="804"/>
      <c r="I50" s="780"/>
      <c r="J50" s="152" t="e">
        <f>IF(AND(#REF!="Muy Baja",#REF!="Leve"),CONCATENATE("R5C",#REF!),"")</f>
        <v>#REF!</v>
      </c>
      <c r="K50" s="153" t="e">
        <f>IF(AND(#REF!="Muy Baja",#REF!="Leve"),CONCATENATE("R5C",#REF!),"")</f>
        <v>#REF!</v>
      </c>
      <c r="L50" s="153" t="e">
        <f>IF(AND(#REF!="Muy Baja",#REF!="Leve"),CONCATENATE("R5C",#REF!),"")</f>
        <v>#REF!</v>
      </c>
      <c r="M50" s="153" t="e">
        <f>IF(AND(#REF!="Muy Baja",#REF!="Leve"),CONCATENATE("R5C",#REF!),"")</f>
        <v>#REF!</v>
      </c>
      <c r="N50" s="153" t="e">
        <f>IF(AND(#REF!="Muy Baja",#REF!="Leve"),CONCATENATE("R5C",#REF!),"")</f>
        <v>#REF!</v>
      </c>
      <c r="O50" s="154" t="e">
        <f>IF(AND(#REF!="Muy Baja",#REF!="Leve"),CONCATENATE("R5C",#REF!),"")</f>
        <v>#REF!</v>
      </c>
      <c r="P50" s="152" t="e">
        <f>IF(AND(#REF!="Muy Baja",#REF!="Menor"),CONCATENATE("R5C",#REF!),"")</f>
        <v>#REF!</v>
      </c>
      <c r="Q50" s="153" t="e">
        <f>IF(AND(#REF!="Muy Baja",#REF!="Menor"),CONCATENATE("R5C",#REF!),"")</f>
        <v>#REF!</v>
      </c>
      <c r="R50" s="153" t="e">
        <f>IF(AND(#REF!="Muy Baja",#REF!="Menor"),CONCATENATE("R5C",#REF!),"")</f>
        <v>#REF!</v>
      </c>
      <c r="S50" s="153" t="e">
        <f>IF(AND(#REF!="Muy Baja",#REF!="Menor"),CONCATENATE("R5C",#REF!),"")</f>
        <v>#REF!</v>
      </c>
      <c r="T50" s="153" t="e">
        <f>IF(AND(#REF!="Muy Baja",#REF!="Menor"),CONCATENATE("R5C",#REF!),"")</f>
        <v>#REF!</v>
      </c>
      <c r="U50" s="154" t="e">
        <f>IF(AND(#REF!="Muy Baja",#REF!="Menor"),CONCATENATE("R5C",#REF!),"")</f>
        <v>#REF!</v>
      </c>
      <c r="V50" s="146" t="e">
        <f>IF(AND(#REF!="Muy Baja",#REF!="Moderado"),CONCATENATE("R5C",#REF!),"")</f>
        <v>#REF!</v>
      </c>
      <c r="W50" s="147" t="e">
        <f>IF(AND(#REF!="Muy Baja",#REF!="Moderado"),CONCATENATE("R5C",#REF!),"")</f>
        <v>#REF!</v>
      </c>
      <c r="X50" s="147" t="e">
        <f>IF(AND(#REF!="Muy Baja",#REF!="Moderado"),CONCATENATE("R5C",#REF!),"")</f>
        <v>#REF!</v>
      </c>
      <c r="Y50" s="147" t="e">
        <f>IF(AND(#REF!="Muy Baja",#REF!="Moderado"),CONCATENATE("R5C",#REF!),"")</f>
        <v>#REF!</v>
      </c>
      <c r="Z50" s="147" t="e">
        <f>IF(AND(#REF!="Muy Baja",#REF!="Moderado"),CONCATENATE("R5C",#REF!),"")</f>
        <v>#REF!</v>
      </c>
      <c r="AA50" s="148" t="e">
        <f>IF(AND(#REF!="Muy Baja",#REF!="Moderado"),CONCATENATE("R5C",#REF!),"")</f>
        <v>#REF!</v>
      </c>
      <c r="AB50" s="134" t="e">
        <f>IF(AND(#REF!="Muy Baja",#REF!="Mayor"),CONCATENATE("R5C",#REF!),"")</f>
        <v>#REF!</v>
      </c>
      <c r="AC50" s="135" t="e">
        <f>IF(AND(#REF!="Muy Baja",#REF!="Mayor"),CONCATENATE("R5C",#REF!),"")</f>
        <v>#REF!</v>
      </c>
      <c r="AD50" s="135" t="e">
        <f>IF(AND(#REF!="Muy Baja",#REF!="Mayor"),CONCATENATE("R5C",#REF!),"")</f>
        <v>#REF!</v>
      </c>
      <c r="AE50" s="135" t="e">
        <f>IF(AND(#REF!="Muy Baja",#REF!="Mayor"),CONCATENATE("R5C",#REF!),"")</f>
        <v>#REF!</v>
      </c>
      <c r="AF50" s="135" t="e">
        <f>IF(AND(#REF!="Muy Baja",#REF!="Mayor"),CONCATENATE("R5C",#REF!),"")</f>
        <v>#REF!</v>
      </c>
      <c r="AG50" s="136" t="e">
        <f>IF(AND(#REF!="Muy Baja",#REF!="Mayor"),CONCATENATE("R5C",#REF!),"")</f>
        <v>#REF!</v>
      </c>
      <c r="AH50" s="137" t="e">
        <f>IF(AND(#REF!="Muy Baja",#REF!="Catastrófico"),CONCATENATE("R5C",#REF!),"")</f>
        <v>#REF!</v>
      </c>
      <c r="AI50" s="138" t="e">
        <f>IF(AND(#REF!="Muy Baja",#REF!="Catastrófico"),CONCATENATE("R5C",#REF!),"")</f>
        <v>#REF!</v>
      </c>
      <c r="AJ50" s="138" t="e">
        <f>IF(AND(#REF!="Muy Baja",#REF!="Catastrófico"),CONCATENATE("R5C",#REF!),"")</f>
        <v>#REF!</v>
      </c>
      <c r="AK50" s="138" t="e">
        <f>IF(AND(#REF!="Muy Baja",#REF!="Catastrófico"),CONCATENATE("R5C",#REF!),"")</f>
        <v>#REF!</v>
      </c>
      <c r="AL50" s="138" t="e">
        <f>IF(AND(#REF!="Muy Baja",#REF!="Catastrófico"),CONCATENATE("R5C",#REF!),"")</f>
        <v>#REF!</v>
      </c>
      <c r="AM50" s="139" t="e">
        <f>IF(AND(#REF!="Muy Baja",#REF!="Catastrófico"),CONCATENATE("R5C",#REF!),"")</f>
        <v>#REF!</v>
      </c>
      <c r="AN50" s="115"/>
      <c r="AO50" s="115"/>
      <c r="AP50" s="115"/>
      <c r="AQ50" s="115"/>
      <c r="AR50" s="115"/>
      <c r="AS50" s="115"/>
      <c r="AT50" s="115"/>
      <c r="AU50" s="115"/>
      <c r="AV50" s="115"/>
      <c r="AW50" s="115"/>
      <c r="AX50" s="115"/>
      <c r="AY50" s="115"/>
      <c r="AZ50" s="115"/>
      <c r="BA50" s="115"/>
      <c r="BB50" s="115"/>
      <c r="BC50" s="115"/>
      <c r="BD50" s="115"/>
      <c r="BE50" s="115"/>
      <c r="BF50" s="115"/>
      <c r="BG50" s="115"/>
      <c r="BH50" s="115"/>
      <c r="BI50" s="115"/>
    </row>
    <row r="51" spans="1:61" ht="15" customHeight="1" x14ac:dyDescent="0.25">
      <c r="A51" s="115"/>
      <c r="B51" s="781"/>
      <c r="C51" s="804"/>
      <c r="D51" s="780"/>
      <c r="E51" s="783"/>
      <c r="F51" s="804"/>
      <c r="G51" s="804"/>
      <c r="H51" s="804"/>
      <c r="I51" s="780"/>
      <c r="J51" s="152" t="e">
        <f>IF(AND(#REF!="Muy Baja",#REF!="Leve"),CONCATENATE("R6C",#REF!),"")</f>
        <v>#REF!</v>
      </c>
      <c r="K51" s="153" t="e">
        <f>IF(AND(#REF!="Muy Baja",#REF!="Leve"),CONCATENATE("R6C",#REF!),"")</f>
        <v>#REF!</v>
      </c>
      <c r="L51" s="153" t="e">
        <f>IF(AND(#REF!="Muy Baja",#REF!="Leve"),CONCATENATE("R6C",#REF!),"")</f>
        <v>#REF!</v>
      </c>
      <c r="M51" s="153" t="e">
        <f>IF(AND(#REF!="Muy Baja",#REF!="Leve"),CONCATENATE("R6C",#REF!),"")</f>
        <v>#REF!</v>
      </c>
      <c r="N51" s="153" t="e">
        <f>IF(AND(#REF!="Muy Baja",#REF!="Leve"),CONCATENATE("R6C",#REF!),"")</f>
        <v>#REF!</v>
      </c>
      <c r="O51" s="154" t="e">
        <f>IF(AND(#REF!="Muy Baja",#REF!="Leve"),CONCATENATE("R6C",#REF!),"")</f>
        <v>#REF!</v>
      </c>
      <c r="P51" s="152" t="e">
        <f>IF(AND(#REF!="Muy Baja",#REF!="Menor"),CONCATENATE("R6C",#REF!),"")</f>
        <v>#REF!</v>
      </c>
      <c r="Q51" s="153" t="e">
        <f>IF(AND(#REF!="Muy Baja",#REF!="Menor"),CONCATENATE("R6C",#REF!),"")</f>
        <v>#REF!</v>
      </c>
      <c r="R51" s="153" t="e">
        <f>IF(AND(#REF!="Muy Baja",#REF!="Menor"),CONCATENATE("R6C",#REF!),"")</f>
        <v>#REF!</v>
      </c>
      <c r="S51" s="153" t="e">
        <f>IF(AND(#REF!="Muy Baja",#REF!="Menor"),CONCATENATE("R6C",#REF!),"")</f>
        <v>#REF!</v>
      </c>
      <c r="T51" s="153" t="e">
        <f>IF(AND(#REF!="Muy Baja",#REF!="Menor"),CONCATENATE("R6C",#REF!),"")</f>
        <v>#REF!</v>
      </c>
      <c r="U51" s="154" t="e">
        <f>IF(AND(#REF!="Muy Baja",#REF!="Menor"),CONCATENATE("R6C",#REF!),"")</f>
        <v>#REF!</v>
      </c>
      <c r="V51" s="146" t="e">
        <f>IF(AND(#REF!="Muy Baja",#REF!="Moderado"),CONCATENATE("R6C",#REF!),"")</f>
        <v>#REF!</v>
      </c>
      <c r="W51" s="147" t="e">
        <f>IF(AND(#REF!="Muy Baja",#REF!="Moderado"),CONCATENATE("R6C",#REF!),"")</f>
        <v>#REF!</v>
      </c>
      <c r="X51" s="147" t="e">
        <f>IF(AND(#REF!="Muy Baja",#REF!="Moderado"),CONCATENATE("R6C",#REF!),"")</f>
        <v>#REF!</v>
      </c>
      <c r="Y51" s="147" t="e">
        <f>IF(AND(#REF!="Muy Baja",#REF!="Moderado"),CONCATENATE("R6C",#REF!),"")</f>
        <v>#REF!</v>
      </c>
      <c r="Z51" s="147" t="e">
        <f>IF(AND(#REF!="Muy Baja",#REF!="Moderado"),CONCATENATE("R6C",#REF!),"")</f>
        <v>#REF!</v>
      </c>
      <c r="AA51" s="148" t="e">
        <f>IF(AND(#REF!="Muy Baja",#REF!="Moderado"),CONCATENATE("R6C",#REF!),"")</f>
        <v>#REF!</v>
      </c>
      <c r="AB51" s="134" t="e">
        <f>IF(AND(#REF!="Muy Baja",#REF!="Mayor"),CONCATENATE("R6C",#REF!),"")</f>
        <v>#REF!</v>
      </c>
      <c r="AC51" s="135" t="e">
        <f>IF(AND(#REF!="Muy Baja",#REF!="Mayor"),CONCATENATE("R6C",#REF!),"")</f>
        <v>#REF!</v>
      </c>
      <c r="AD51" s="135" t="e">
        <f>IF(AND(#REF!="Muy Baja",#REF!="Mayor"),CONCATENATE("R6C",#REF!),"")</f>
        <v>#REF!</v>
      </c>
      <c r="AE51" s="135" t="e">
        <f>IF(AND(#REF!="Muy Baja",#REF!="Mayor"),CONCATENATE("R6C",#REF!),"")</f>
        <v>#REF!</v>
      </c>
      <c r="AF51" s="135" t="e">
        <f>IF(AND(#REF!="Muy Baja",#REF!="Mayor"),CONCATENATE("R6C",#REF!),"")</f>
        <v>#REF!</v>
      </c>
      <c r="AG51" s="136" t="e">
        <f>IF(AND(#REF!="Muy Baja",#REF!="Mayor"),CONCATENATE("R6C",#REF!),"")</f>
        <v>#REF!</v>
      </c>
      <c r="AH51" s="137" t="e">
        <f>IF(AND(#REF!="Muy Baja",#REF!="Catastrófico"),CONCATENATE("R6C",#REF!),"")</f>
        <v>#REF!</v>
      </c>
      <c r="AI51" s="138" t="e">
        <f>IF(AND(#REF!="Muy Baja",#REF!="Catastrófico"),CONCATENATE("R6C",#REF!),"")</f>
        <v>#REF!</v>
      </c>
      <c r="AJ51" s="138" t="e">
        <f>IF(AND(#REF!="Muy Baja",#REF!="Catastrófico"),CONCATENATE("R6C",#REF!),"")</f>
        <v>#REF!</v>
      </c>
      <c r="AK51" s="138" t="e">
        <f>IF(AND(#REF!="Muy Baja",#REF!="Catastrófico"),CONCATENATE("R6C",#REF!),"")</f>
        <v>#REF!</v>
      </c>
      <c r="AL51" s="138" t="e">
        <f>IF(AND(#REF!="Muy Baja",#REF!="Catastrófico"),CONCATENATE("R6C",#REF!),"")</f>
        <v>#REF!</v>
      </c>
      <c r="AM51" s="139" t="e">
        <f>IF(AND(#REF!="Muy Baja",#REF!="Catastrófico"),CONCATENATE("R6C",#REF!),"")</f>
        <v>#REF!</v>
      </c>
      <c r="AN51" s="115"/>
      <c r="AO51" s="115"/>
      <c r="AP51" s="115"/>
      <c r="AQ51" s="115"/>
      <c r="AR51" s="115"/>
      <c r="AS51" s="115"/>
      <c r="AT51" s="115"/>
      <c r="AU51" s="115"/>
      <c r="AV51" s="115"/>
      <c r="AW51" s="115"/>
      <c r="AX51" s="115"/>
      <c r="AY51" s="115"/>
      <c r="AZ51" s="115"/>
      <c r="BA51" s="115"/>
      <c r="BB51" s="115"/>
      <c r="BC51" s="115"/>
      <c r="BD51" s="115"/>
      <c r="BE51" s="115"/>
      <c r="BF51" s="115"/>
      <c r="BG51" s="115"/>
      <c r="BH51" s="115"/>
      <c r="BI51" s="115"/>
    </row>
    <row r="52" spans="1:61" ht="15" customHeight="1" x14ac:dyDescent="0.25">
      <c r="A52" s="115"/>
      <c r="B52" s="781"/>
      <c r="C52" s="804"/>
      <c r="D52" s="780"/>
      <c r="E52" s="783"/>
      <c r="F52" s="804"/>
      <c r="G52" s="804"/>
      <c r="H52" s="804"/>
      <c r="I52" s="780"/>
      <c r="J52" s="152" t="e">
        <f>IF(AND(#REF!="Muy Baja",#REF!="Leve"),CONCATENATE("R7C",#REF!),"")</f>
        <v>#REF!</v>
      </c>
      <c r="K52" s="153" t="e">
        <f>IF(AND(#REF!="Muy Baja",#REF!="Leve"),CONCATENATE("R7C",#REF!),"")</f>
        <v>#REF!</v>
      </c>
      <c r="L52" s="153" t="e">
        <f>IF(AND(#REF!="Muy Baja",#REF!="Leve"),CONCATENATE("R7C",#REF!),"")</f>
        <v>#REF!</v>
      </c>
      <c r="M52" s="153" t="e">
        <f>IF(AND(#REF!="Muy Baja",#REF!="Leve"),CONCATENATE("R7C",#REF!),"")</f>
        <v>#REF!</v>
      </c>
      <c r="N52" s="153" t="e">
        <f>IF(AND(#REF!="Muy Baja",#REF!="Leve"),CONCATENATE("R7C",#REF!),"")</f>
        <v>#REF!</v>
      </c>
      <c r="O52" s="154" t="e">
        <f>IF(AND(#REF!="Muy Baja",#REF!="Leve"),CONCATENATE("R7C",#REF!),"")</f>
        <v>#REF!</v>
      </c>
      <c r="P52" s="152" t="e">
        <f>IF(AND(#REF!="Muy Baja",#REF!="Menor"),CONCATENATE("R7C",#REF!),"")</f>
        <v>#REF!</v>
      </c>
      <c r="Q52" s="153" t="e">
        <f>IF(AND(#REF!="Muy Baja",#REF!="Menor"),CONCATENATE("R7C",#REF!),"")</f>
        <v>#REF!</v>
      </c>
      <c r="R52" s="153" t="e">
        <f>IF(AND(#REF!="Muy Baja",#REF!="Menor"),CONCATENATE("R7C",#REF!),"")</f>
        <v>#REF!</v>
      </c>
      <c r="S52" s="153" t="e">
        <f>IF(AND(#REF!="Muy Baja",#REF!="Menor"),CONCATENATE("R7C",#REF!),"")</f>
        <v>#REF!</v>
      </c>
      <c r="T52" s="153" t="e">
        <f>IF(AND(#REF!="Muy Baja",#REF!="Menor"),CONCATENATE("R7C",#REF!),"")</f>
        <v>#REF!</v>
      </c>
      <c r="U52" s="154" t="e">
        <f>IF(AND(#REF!="Muy Baja",#REF!="Menor"),CONCATENATE("R7C",#REF!),"")</f>
        <v>#REF!</v>
      </c>
      <c r="V52" s="146" t="e">
        <f>IF(AND(#REF!="Muy Baja",#REF!="Moderado"),CONCATENATE("R7C",#REF!),"")</f>
        <v>#REF!</v>
      </c>
      <c r="W52" s="147" t="e">
        <f>IF(AND(#REF!="Muy Baja",#REF!="Moderado"),CONCATENATE("R7C",#REF!),"")</f>
        <v>#REF!</v>
      </c>
      <c r="X52" s="147" t="e">
        <f>IF(AND(#REF!="Muy Baja",#REF!="Moderado"),CONCATENATE("R7C",#REF!),"")</f>
        <v>#REF!</v>
      </c>
      <c r="Y52" s="147" t="e">
        <f>IF(AND(#REF!="Muy Baja",#REF!="Moderado"),CONCATENATE("R7C",#REF!),"")</f>
        <v>#REF!</v>
      </c>
      <c r="Z52" s="147" t="e">
        <f>IF(AND(#REF!="Muy Baja",#REF!="Moderado"),CONCATENATE("R7C",#REF!),"")</f>
        <v>#REF!</v>
      </c>
      <c r="AA52" s="148" t="e">
        <f>IF(AND(#REF!="Muy Baja",#REF!="Moderado"),CONCATENATE("R7C",#REF!),"")</f>
        <v>#REF!</v>
      </c>
      <c r="AB52" s="134" t="e">
        <f>IF(AND(#REF!="Muy Baja",#REF!="Mayor"),CONCATENATE("R7C",#REF!),"")</f>
        <v>#REF!</v>
      </c>
      <c r="AC52" s="135" t="e">
        <f>IF(AND(#REF!="Muy Baja",#REF!="Mayor"),CONCATENATE("R7C",#REF!),"")</f>
        <v>#REF!</v>
      </c>
      <c r="AD52" s="135" t="e">
        <f>IF(AND(#REF!="Muy Baja",#REF!="Mayor"),CONCATENATE("R7C",#REF!),"")</f>
        <v>#REF!</v>
      </c>
      <c r="AE52" s="135" t="e">
        <f>IF(AND(#REF!="Muy Baja",#REF!="Mayor"),CONCATENATE("R7C",#REF!),"")</f>
        <v>#REF!</v>
      </c>
      <c r="AF52" s="135" t="e">
        <f>IF(AND(#REF!="Muy Baja",#REF!="Mayor"),CONCATENATE("R7C",#REF!),"")</f>
        <v>#REF!</v>
      </c>
      <c r="AG52" s="136" t="e">
        <f>IF(AND(#REF!="Muy Baja",#REF!="Mayor"),CONCATENATE("R7C",#REF!),"")</f>
        <v>#REF!</v>
      </c>
      <c r="AH52" s="137" t="e">
        <f>IF(AND(#REF!="Muy Baja",#REF!="Catastrófico"),CONCATENATE("R7C",#REF!),"")</f>
        <v>#REF!</v>
      </c>
      <c r="AI52" s="138" t="e">
        <f>IF(AND(#REF!="Muy Baja",#REF!="Catastrófico"),CONCATENATE("R7C",#REF!),"")</f>
        <v>#REF!</v>
      </c>
      <c r="AJ52" s="138" t="e">
        <f>IF(AND(#REF!="Muy Baja",#REF!="Catastrófico"),CONCATENATE("R7C",#REF!),"")</f>
        <v>#REF!</v>
      </c>
      <c r="AK52" s="138" t="e">
        <f>IF(AND(#REF!="Muy Baja",#REF!="Catastrófico"),CONCATENATE("R7C",#REF!),"")</f>
        <v>#REF!</v>
      </c>
      <c r="AL52" s="138" t="e">
        <f>IF(AND(#REF!="Muy Baja",#REF!="Catastrófico"),CONCATENATE("R7C",#REF!),"")</f>
        <v>#REF!</v>
      </c>
      <c r="AM52" s="139" t="e">
        <f>IF(AND(#REF!="Muy Baja",#REF!="Catastrófico"),CONCATENATE("R7C",#REF!),"")</f>
        <v>#REF!</v>
      </c>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row>
    <row r="53" spans="1:61" ht="15" customHeight="1" x14ac:dyDescent="0.25">
      <c r="A53" s="115"/>
      <c r="B53" s="781"/>
      <c r="C53" s="804"/>
      <c r="D53" s="780"/>
      <c r="E53" s="783"/>
      <c r="F53" s="804"/>
      <c r="G53" s="804"/>
      <c r="H53" s="804"/>
      <c r="I53" s="780"/>
      <c r="J53" s="152" t="e">
        <f>IF(AND(#REF!="Muy Baja",#REF!="Leve"),CONCATENATE("R8C",#REF!),"")</f>
        <v>#REF!</v>
      </c>
      <c r="K53" s="153" t="e">
        <f>IF(AND(#REF!="Muy Baja",#REF!="Leve"),CONCATENATE("R8C",#REF!),"")</f>
        <v>#REF!</v>
      </c>
      <c r="L53" s="153" t="e">
        <f>IF(AND(#REF!="Muy Baja",#REF!="Leve"),CONCATENATE("R8C",#REF!),"")</f>
        <v>#REF!</v>
      </c>
      <c r="M53" s="153" t="e">
        <f>IF(AND(#REF!="Muy Baja",#REF!="Leve"),CONCATENATE("R8C",#REF!),"")</f>
        <v>#REF!</v>
      </c>
      <c r="N53" s="153" t="e">
        <f>IF(AND(#REF!="Muy Baja",#REF!="Leve"),CONCATENATE("R8C",#REF!),"")</f>
        <v>#REF!</v>
      </c>
      <c r="O53" s="154" t="e">
        <f>IF(AND(#REF!="Muy Baja",#REF!="Leve"),CONCATENATE("R8C",#REF!),"")</f>
        <v>#REF!</v>
      </c>
      <c r="P53" s="152" t="e">
        <f>IF(AND(#REF!="Muy Baja",#REF!="Menor"),CONCATENATE("R8C",#REF!),"")</f>
        <v>#REF!</v>
      </c>
      <c r="Q53" s="153" t="e">
        <f>IF(AND(#REF!="Muy Baja",#REF!="Menor"),CONCATENATE("R8C",#REF!),"")</f>
        <v>#REF!</v>
      </c>
      <c r="R53" s="153" t="e">
        <f>IF(AND(#REF!="Muy Baja",#REF!="Menor"),CONCATENATE("R8C",#REF!),"")</f>
        <v>#REF!</v>
      </c>
      <c r="S53" s="153" t="e">
        <f>IF(AND(#REF!="Muy Baja",#REF!="Menor"),CONCATENATE("R8C",#REF!),"")</f>
        <v>#REF!</v>
      </c>
      <c r="T53" s="153" t="e">
        <f>IF(AND(#REF!="Muy Baja",#REF!="Menor"),CONCATENATE("R8C",#REF!),"")</f>
        <v>#REF!</v>
      </c>
      <c r="U53" s="154" t="e">
        <f>IF(AND(#REF!="Muy Baja",#REF!="Menor"),CONCATENATE("R8C",#REF!),"")</f>
        <v>#REF!</v>
      </c>
      <c r="V53" s="146" t="e">
        <f>IF(AND(#REF!="Muy Baja",#REF!="Moderado"),CONCATENATE("R8C",#REF!),"")</f>
        <v>#REF!</v>
      </c>
      <c r="W53" s="147" t="e">
        <f>IF(AND(#REF!="Muy Baja",#REF!="Moderado"),CONCATENATE("R8C",#REF!),"")</f>
        <v>#REF!</v>
      </c>
      <c r="X53" s="147" t="e">
        <f>IF(AND(#REF!="Muy Baja",#REF!="Moderado"),CONCATENATE("R8C",#REF!),"")</f>
        <v>#REF!</v>
      </c>
      <c r="Y53" s="147" t="e">
        <f>IF(AND(#REF!="Muy Baja",#REF!="Moderado"),CONCATENATE("R8C",#REF!),"")</f>
        <v>#REF!</v>
      </c>
      <c r="Z53" s="147" t="e">
        <f>IF(AND(#REF!="Muy Baja",#REF!="Moderado"),CONCATENATE("R8C",#REF!),"")</f>
        <v>#REF!</v>
      </c>
      <c r="AA53" s="148" t="e">
        <f>IF(AND(#REF!="Muy Baja",#REF!="Moderado"),CONCATENATE("R8C",#REF!),"")</f>
        <v>#REF!</v>
      </c>
      <c r="AB53" s="134" t="e">
        <f>IF(AND(#REF!="Muy Baja",#REF!="Mayor"),CONCATENATE("R8C",#REF!),"")</f>
        <v>#REF!</v>
      </c>
      <c r="AC53" s="135" t="e">
        <f>IF(AND(#REF!="Muy Baja",#REF!="Mayor"),CONCATENATE("R8C",#REF!),"")</f>
        <v>#REF!</v>
      </c>
      <c r="AD53" s="135" t="e">
        <f>IF(AND(#REF!="Muy Baja",#REF!="Mayor"),CONCATENATE("R8C",#REF!),"")</f>
        <v>#REF!</v>
      </c>
      <c r="AE53" s="135" t="e">
        <f>IF(AND(#REF!="Muy Baja",#REF!="Mayor"),CONCATENATE("R8C",#REF!),"")</f>
        <v>#REF!</v>
      </c>
      <c r="AF53" s="135" t="e">
        <f>IF(AND(#REF!="Muy Baja",#REF!="Mayor"),CONCATENATE("R8C",#REF!),"")</f>
        <v>#REF!</v>
      </c>
      <c r="AG53" s="136" t="e">
        <f>IF(AND(#REF!="Muy Baja",#REF!="Mayor"),CONCATENATE("R8C",#REF!),"")</f>
        <v>#REF!</v>
      </c>
      <c r="AH53" s="137" t="e">
        <f>IF(AND(#REF!="Muy Baja",#REF!="Catastrófico"),CONCATENATE("R8C",#REF!),"")</f>
        <v>#REF!</v>
      </c>
      <c r="AI53" s="138" t="e">
        <f>IF(AND(#REF!="Muy Baja",#REF!="Catastrófico"),CONCATENATE("R8C",#REF!),"")</f>
        <v>#REF!</v>
      </c>
      <c r="AJ53" s="138" t="e">
        <f>IF(AND(#REF!="Muy Baja",#REF!="Catastrófico"),CONCATENATE("R8C",#REF!),"")</f>
        <v>#REF!</v>
      </c>
      <c r="AK53" s="138" t="e">
        <f>IF(AND(#REF!="Muy Baja",#REF!="Catastrófico"),CONCATENATE("R8C",#REF!),"")</f>
        <v>#REF!</v>
      </c>
      <c r="AL53" s="138" t="e">
        <f>IF(AND(#REF!="Muy Baja",#REF!="Catastrófico"),CONCATENATE("R8C",#REF!),"")</f>
        <v>#REF!</v>
      </c>
      <c r="AM53" s="139" t="e">
        <f>IF(AND(#REF!="Muy Baja",#REF!="Catastrófico"),CONCATENATE("R8C",#REF!),"")</f>
        <v>#REF!</v>
      </c>
      <c r="AN53" s="115"/>
      <c r="AO53" s="115"/>
      <c r="AP53" s="115"/>
      <c r="AQ53" s="115"/>
      <c r="AR53" s="115"/>
      <c r="AS53" s="115"/>
      <c r="AT53" s="115"/>
      <c r="AU53" s="115"/>
      <c r="AV53" s="115"/>
      <c r="AW53" s="115"/>
      <c r="AX53" s="115"/>
      <c r="AY53" s="115"/>
      <c r="AZ53" s="115"/>
      <c r="BA53" s="115"/>
      <c r="BB53" s="115"/>
      <c r="BC53" s="115"/>
      <c r="BD53" s="115"/>
      <c r="BE53" s="115"/>
      <c r="BF53" s="115"/>
      <c r="BG53" s="115"/>
      <c r="BH53" s="115"/>
      <c r="BI53" s="115"/>
    </row>
    <row r="54" spans="1:61" ht="15" customHeight="1" x14ac:dyDescent="0.25">
      <c r="A54" s="115"/>
      <c r="B54" s="781"/>
      <c r="C54" s="804"/>
      <c r="D54" s="780"/>
      <c r="E54" s="783"/>
      <c r="F54" s="804"/>
      <c r="G54" s="804"/>
      <c r="H54" s="804"/>
      <c r="I54" s="780"/>
      <c r="J54" s="152" t="e">
        <f>IF(AND(#REF!="Muy Baja",#REF!="Leve"),CONCATENATE("R9C",#REF!),"")</f>
        <v>#REF!</v>
      </c>
      <c r="K54" s="153" t="e">
        <f>IF(AND(#REF!="Muy Baja",#REF!="Leve"),CONCATENATE("R9C",#REF!),"")</f>
        <v>#REF!</v>
      </c>
      <c r="L54" s="153" t="e">
        <f>IF(AND(#REF!="Muy Baja",#REF!="Leve"),CONCATENATE("R9C",#REF!),"")</f>
        <v>#REF!</v>
      </c>
      <c r="M54" s="153" t="e">
        <f>IF(AND(#REF!="Muy Baja",#REF!="Leve"),CONCATENATE("R9C",#REF!),"")</f>
        <v>#REF!</v>
      </c>
      <c r="N54" s="153" t="e">
        <f>IF(AND(#REF!="Muy Baja",#REF!="Leve"),CONCATENATE("R9C",#REF!),"")</f>
        <v>#REF!</v>
      </c>
      <c r="O54" s="154" t="e">
        <f>IF(AND(#REF!="Muy Baja",#REF!="Leve"),CONCATENATE("R9C",#REF!),"")</f>
        <v>#REF!</v>
      </c>
      <c r="P54" s="152" t="e">
        <f>IF(AND(#REF!="Muy Baja",#REF!="Menor"),CONCATENATE("R9C",#REF!),"")</f>
        <v>#REF!</v>
      </c>
      <c r="Q54" s="153" t="e">
        <f>IF(AND(#REF!="Muy Baja",#REF!="Menor"),CONCATENATE("R9C",#REF!),"")</f>
        <v>#REF!</v>
      </c>
      <c r="R54" s="153" t="e">
        <f>IF(AND(#REF!="Muy Baja",#REF!="Menor"),CONCATENATE("R9C",#REF!),"")</f>
        <v>#REF!</v>
      </c>
      <c r="S54" s="153" t="e">
        <f>IF(AND(#REF!="Muy Baja",#REF!="Menor"),CONCATENATE("R9C",#REF!),"")</f>
        <v>#REF!</v>
      </c>
      <c r="T54" s="153" t="e">
        <f>IF(AND(#REF!="Muy Baja",#REF!="Menor"),CONCATENATE("R9C",#REF!),"")</f>
        <v>#REF!</v>
      </c>
      <c r="U54" s="154" t="e">
        <f>IF(AND(#REF!="Muy Baja",#REF!="Menor"),CONCATENATE("R9C",#REF!),"")</f>
        <v>#REF!</v>
      </c>
      <c r="V54" s="146" t="e">
        <f>IF(AND(#REF!="Muy Baja",#REF!="Moderado"),CONCATENATE("R9C",#REF!),"")</f>
        <v>#REF!</v>
      </c>
      <c r="W54" s="147" t="e">
        <f>IF(AND(#REF!="Muy Baja",#REF!="Moderado"),CONCATENATE("R9C",#REF!),"")</f>
        <v>#REF!</v>
      </c>
      <c r="X54" s="147" t="e">
        <f>IF(AND(#REF!="Muy Baja",#REF!="Moderado"),CONCATENATE("R9C",#REF!),"")</f>
        <v>#REF!</v>
      </c>
      <c r="Y54" s="147" t="e">
        <f>IF(AND(#REF!="Muy Baja",#REF!="Moderado"),CONCATENATE("R9C",#REF!),"")</f>
        <v>#REF!</v>
      </c>
      <c r="Z54" s="147" t="e">
        <f>IF(AND(#REF!="Muy Baja",#REF!="Moderado"),CONCATENATE("R9C",#REF!),"")</f>
        <v>#REF!</v>
      </c>
      <c r="AA54" s="148" t="e">
        <f>IF(AND(#REF!="Muy Baja",#REF!="Moderado"),CONCATENATE("R9C",#REF!),"")</f>
        <v>#REF!</v>
      </c>
      <c r="AB54" s="134" t="e">
        <f>IF(AND(#REF!="Muy Baja",#REF!="Mayor"),CONCATENATE("R9C",#REF!),"")</f>
        <v>#REF!</v>
      </c>
      <c r="AC54" s="135" t="e">
        <f>IF(AND(#REF!="Muy Baja",#REF!="Mayor"),CONCATENATE("R9C",#REF!),"")</f>
        <v>#REF!</v>
      </c>
      <c r="AD54" s="135" t="e">
        <f>IF(AND(#REF!="Muy Baja",#REF!="Mayor"),CONCATENATE("R9C",#REF!),"")</f>
        <v>#REF!</v>
      </c>
      <c r="AE54" s="135" t="e">
        <f>IF(AND(#REF!="Muy Baja",#REF!="Mayor"),CONCATENATE("R9C",#REF!),"")</f>
        <v>#REF!</v>
      </c>
      <c r="AF54" s="135" t="e">
        <f>IF(AND(#REF!="Muy Baja",#REF!="Mayor"),CONCATENATE("R9C",#REF!),"")</f>
        <v>#REF!</v>
      </c>
      <c r="AG54" s="136" t="e">
        <f>IF(AND(#REF!="Muy Baja",#REF!="Mayor"),CONCATENATE("R9C",#REF!),"")</f>
        <v>#REF!</v>
      </c>
      <c r="AH54" s="137" t="e">
        <f>IF(AND(#REF!="Muy Baja",#REF!="Catastrófico"),CONCATENATE("R9C",#REF!),"")</f>
        <v>#REF!</v>
      </c>
      <c r="AI54" s="138" t="e">
        <f>IF(AND(#REF!="Muy Baja",#REF!="Catastrófico"),CONCATENATE("R9C",#REF!),"")</f>
        <v>#REF!</v>
      </c>
      <c r="AJ54" s="138" t="e">
        <f>IF(AND(#REF!="Muy Baja",#REF!="Catastrófico"),CONCATENATE("R9C",#REF!),"")</f>
        <v>#REF!</v>
      </c>
      <c r="AK54" s="138" t="e">
        <f>IF(AND(#REF!="Muy Baja",#REF!="Catastrófico"),CONCATENATE("R9C",#REF!),"")</f>
        <v>#REF!</v>
      </c>
      <c r="AL54" s="138" t="e">
        <f>IF(AND(#REF!="Muy Baja",#REF!="Catastrófico"),CONCATENATE("R9C",#REF!),"")</f>
        <v>#REF!</v>
      </c>
      <c r="AM54" s="139" t="e">
        <f>IF(AND(#REF!="Muy Baja",#REF!="Catastrófico"),CONCATENATE("R9C",#REF!),"")</f>
        <v>#REF!</v>
      </c>
      <c r="AN54" s="115"/>
      <c r="AO54" s="115"/>
      <c r="AP54" s="115"/>
      <c r="AQ54" s="115"/>
      <c r="AR54" s="115"/>
      <c r="AS54" s="115"/>
      <c r="AT54" s="115"/>
      <c r="AU54" s="115"/>
      <c r="AV54" s="115"/>
      <c r="AW54" s="115"/>
      <c r="AX54" s="115"/>
      <c r="AY54" s="115"/>
      <c r="AZ54" s="115"/>
      <c r="BA54" s="115"/>
      <c r="BB54" s="115"/>
      <c r="BC54" s="115"/>
      <c r="BD54" s="115"/>
      <c r="BE54" s="115"/>
      <c r="BF54" s="115"/>
      <c r="BG54" s="115"/>
      <c r="BH54" s="115"/>
      <c r="BI54" s="115"/>
    </row>
    <row r="55" spans="1:61" ht="15.75" customHeight="1" thickBot="1" x14ac:dyDescent="0.3">
      <c r="A55" s="115"/>
      <c r="B55" s="781"/>
      <c r="C55" s="781"/>
      <c r="D55" s="780"/>
      <c r="E55" s="790"/>
      <c r="F55" s="791"/>
      <c r="G55" s="791"/>
      <c r="H55" s="791"/>
      <c r="I55" s="792"/>
      <c r="J55" s="155" t="e">
        <f>IF(AND(#REF!="Muy Baja",#REF!="Leve"),CONCATENATE("R10C",#REF!),"")</f>
        <v>#REF!</v>
      </c>
      <c r="K55" s="156" t="e">
        <f>IF(AND(#REF!="Muy Baja",#REF!="Leve"),CONCATENATE("R10C",#REF!),"")</f>
        <v>#REF!</v>
      </c>
      <c r="L55" s="156" t="e">
        <f>IF(AND(#REF!="Muy Baja",#REF!="Leve"),CONCATENATE("R10C",#REF!),"")</f>
        <v>#REF!</v>
      </c>
      <c r="M55" s="156" t="e">
        <f>IF(AND(#REF!="Muy Baja",#REF!="Leve"),CONCATENATE("R10C",#REF!),"")</f>
        <v>#REF!</v>
      </c>
      <c r="N55" s="156" t="e">
        <f>IF(AND(#REF!="Muy Baja",#REF!="Leve"),CONCATENATE("R10C",#REF!),"")</f>
        <v>#REF!</v>
      </c>
      <c r="O55" s="157" t="e">
        <f>IF(AND(#REF!="Muy Baja",#REF!="Leve"),CONCATENATE("R10C",#REF!),"")</f>
        <v>#REF!</v>
      </c>
      <c r="P55" s="155" t="e">
        <f>IF(AND(#REF!="Muy Baja",#REF!="Menor"),CONCATENATE("R10C",#REF!),"")</f>
        <v>#REF!</v>
      </c>
      <c r="Q55" s="156" t="e">
        <f>IF(AND(#REF!="Muy Baja",#REF!="Menor"),CONCATENATE("R10C",#REF!),"")</f>
        <v>#REF!</v>
      </c>
      <c r="R55" s="156" t="e">
        <f>IF(AND(#REF!="Muy Baja",#REF!="Menor"),CONCATENATE("R10C",#REF!),"")</f>
        <v>#REF!</v>
      </c>
      <c r="S55" s="156" t="e">
        <f>IF(AND(#REF!="Muy Baja",#REF!="Menor"),CONCATENATE("R10C",#REF!),"")</f>
        <v>#REF!</v>
      </c>
      <c r="T55" s="156" t="e">
        <f>IF(AND(#REF!="Muy Baja",#REF!="Menor"),CONCATENATE("R10C",#REF!),"")</f>
        <v>#REF!</v>
      </c>
      <c r="U55" s="157" t="e">
        <f>IF(AND(#REF!="Muy Baja",#REF!="Menor"),CONCATENATE("R10C",#REF!),"")</f>
        <v>#REF!</v>
      </c>
      <c r="V55" s="149" t="e">
        <f>IF(AND(#REF!="Muy Baja",#REF!="Moderado"),CONCATENATE("R10C",#REF!),"")</f>
        <v>#REF!</v>
      </c>
      <c r="W55" s="150" t="e">
        <f>IF(AND(#REF!="Muy Baja",#REF!="Moderado"),CONCATENATE("R10C",#REF!),"")</f>
        <v>#REF!</v>
      </c>
      <c r="X55" s="150" t="e">
        <f>IF(AND(#REF!="Muy Baja",#REF!="Moderado"),CONCATENATE("R10C",#REF!),"")</f>
        <v>#REF!</v>
      </c>
      <c r="Y55" s="150" t="e">
        <f>IF(AND(#REF!="Muy Baja",#REF!="Moderado"),CONCATENATE("R10C",#REF!),"")</f>
        <v>#REF!</v>
      </c>
      <c r="Z55" s="150" t="e">
        <f>IF(AND(#REF!="Muy Baja",#REF!="Moderado"),CONCATENATE("R10C",#REF!),"")</f>
        <v>#REF!</v>
      </c>
      <c r="AA55" s="151" t="e">
        <f>IF(AND(#REF!="Muy Baja",#REF!="Moderado"),CONCATENATE("R10C",#REF!),"")</f>
        <v>#REF!</v>
      </c>
      <c r="AB55" s="140" t="e">
        <f>IF(AND(#REF!="Muy Baja",#REF!="Mayor"),CONCATENATE("R10C",#REF!),"")</f>
        <v>#REF!</v>
      </c>
      <c r="AC55" s="141" t="e">
        <f>IF(AND(#REF!="Muy Baja",#REF!="Mayor"),CONCATENATE("R10C",#REF!),"")</f>
        <v>#REF!</v>
      </c>
      <c r="AD55" s="141" t="e">
        <f>IF(AND(#REF!="Muy Baja",#REF!="Mayor"),CONCATENATE("R10C",#REF!),"")</f>
        <v>#REF!</v>
      </c>
      <c r="AE55" s="141" t="e">
        <f>IF(AND(#REF!="Muy Baja",#REF!="Mayor"),CONCATENATE("R10C",#REF!),"")</f>
        <v>#REF!</v>
      </c>
      <c r="AF55" s="141" t="e">
        <f>IF(AND(#REF!="Muy Baja",#REF!="Mayor"),CONCATENATE("R10C",#REF!),"")</f>
        <v>#REF!</v>
      </c>
      <c r="AG55" s="142" t="e">
        <f>IF(AND(#REF!="Muy Baja",#REF!="Mayor"),CONCATENATE("R10C",#REF!),"")</f>
        <v>#REF!</v>
      </c>
      <c r="AH55" s="143" t="e">
        <f>IF(AND(#REF!="Muy Baja",#REF!="Catastrófico"),CONCATENATE("R10C",#REF!),"")</f>
        <v>#REF!</v>
      </c>
      <c r="AI55" s="144" t="e">
        <f>IF(AND(#REF!="Muy Baja",#REF!="Catastrófico"),CONCATENATE("R10C",#REF!),"")</f>
        <v>#REF!</v>
      </c>
      <c r="AJ55" s="144" t="e">
        <f>IF(AND(#REF!="Muy Baja",#REF!="Catastrófico"),CONCATENATE("R10C",#REF!),"")</f>
        <v>#REF!</v>
      </c>
      <c r="AK55" s="144" t="e">
        <f>IF(AND(#REF!="Muy Baja",#REF!="Catastrófico"),CONCATENATE("R10C",#REF!),"")</f>
        <v>#REF!</v>
      </c>
      <c r="AL55" s="144" t="e">
        <f>IF(AND(#REF!="Muy Baja",#REF!="Catastrófico"),CONCATENATE("R10C",#REF!),"")</f>
        <v>#REF!</v>
      </c>
      <c r="AM55" s="145" t="e">
        <f>IF(AND(#REF!="Muy Baja",#REF!="Catastrófico"),CONCATENATE("R10C",#REF!),"")</f>
        <v>#REF!</v>
      </c>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row>
    <row r="56" spans="1:61" ht="15.75" customHeight="1" x14ac:dyDescent="0.25">
      <c r="A56" s="115"/>
      <c r="B56" s="115"/>
      <c r="C56" s="115"/>
      <c r="D56" s="115"/>
      <c r="E56" s="115"/>
      <c r="F56" s="115"/>
      <c r="G56" s="115"/>
      <c r="H56" s="115"/>
      <c r="I56" s="115"/>
      <c r="J56" s="823" t="s">
        <v>12</v>
      </c>
      <c r="K56" s="786"/>
      <c r="L56" s="786"/>
      <c r="M56" s="786"/>
      <c r="N56" s="786"/>
      <c r="O56" s="794"/>
      <c r="P56" s="823" t="s">
        <v>13</v>
      </c>
      <c r="Q56" s="786"/>
      <c r="R56" s="786"/>
      <c r="S56" s="786"/>
      <c r="T56" s="786"/>
      <c r="U56" s="794"/>
      <c r="V56" s="823" t="s">
        <v>14</v>
      </c>
      <c r="W56" s="786"/>
      <c r="X56" s="786"/>
      <c r="Y56" s="786"/>
      <c r="Z56" s="786"/>
      <c r="AA56" s="794"/>
      <c r="AB56" s="823" t="s">
        <v>15</v>
      </c>
      <c r="AC56" s="786"/>
      <c r="AD56" s="786"/>
      <c r="AE56" s="786"/>
      <c r="AF56" s="786"/>
      <c r="AG56" s="794"/>
      <c r="AH56" s="823" t="s">
        <v>16</v>
      </c>
      <c r="AI56" s="786"/>
      <c r="AJ56" s="786"/>
      <c r="AK56" s="786"/>
      <c r="AL56" s="786"/>
      <c r="AM56" s="794"/>
      <c r="AN56" s="115"/>
      <c r="AO56" s="115"/>
      <c r="AP56" s="115"/>
      <c r="AQ56" s="115"/>
      <c r="AR56" s="115"/>
      <c r="AS56" s="115"/>
      <c r="AT56" s="115"/>
      <c r="AU56" s="115"/>
      <c r="AV56" s="115"/>
      <c r="AW56" s="115"/>
      <c r="AX56" s="115"/>
      <c r="AY56" s="115"/>
      <c r="AZ56" s="115"/>
      <c r="BA56" s="115"/>
      <c r="BB56" s="115"/>
      <c r="BC56" s="115"/>
      <c r="BD56" s="115"/>
      <c r="BE56" s="115"/>
      <c r="BF56" s="115"/>
      <c r="BG56" s="115"/>
      <c r="BH56" s="115"/>
      <c r="BI56" s="115"/>
    </row>
    <row r="57" spans="1:61" ht="15.75" customHeight="1" x14ac:dyDescent="0.25">
      <c r="A57" s="115"/>
      <c r="B57" s="115"/>
      <c r="C57" s="115"/>
      <c r="D57" s="115"/>
      <c r="E57" s="115"/>
      <c r="F57" s="115"/>
      <c r="G57" s="115"/>
      <c r="H57" s="115"/>
      <c r="I57" s="115"/>
      <c r="J57" s="783"/>
      <c r="K57" s="804"/>
      <c r="L57" s="804"/>
      <c r="M57" s="804"/>
      <c r="N57" s="804"/>
      <c r="O57" s="780"/>
      <c r="P57" s="783"/>
      <c r="Q57" s="804"/>
      <c r="R57" s="804"/>
      <c r="S57" s="804"/>
      <c r="T57" s="804"/>
      <c r="U57" s="780"/>
      <c r="V57" s="783"/>
      <c r="W57" s="804"/>
      <c r="X57" s="804"/>
      <c r="Y57" s="804"/>
      <c r="Z57" s="804"/>
      <c r="AA57" s="780"/>
      <c r="AB57" s="783"/>
      <c r="AC57" s="804"/>
      <c r="AD57" s="804"/>
      <c r="AE57" s="804"/>
      <c r="AF57" s="804"/>
      <c r="AG57" s="780"/>
      <c r="AH57" s="783"/>
      <c r="AI57" s="804"/>
      <c r="AJ57" s="804"/>
      <c r="AK57" s="804"/>
      <c r="AL57" s="804"/>
      <c r="AM57" s="780"/>
      <c r="AN57" s="115"/>
      <c r="AO57" s="115"/>
      <c r="AP57" s="115"/>
      <c r="AQ57" s="115"/>
      <c r="AR57" s="115"/>
      <c r="AS57" s="115"/>
      <c r="AT57" s="115"/>
      <c r="AU57" s="115"/>
      <c r="AV57" s="115"/>
      <c r="AW57" s="115"/>
      <c r="AX57" s="115"/>
      <c r="AY57" s="115"/>
      <c r="AZ57" s="115"/>
      <c r="BA57" s="115"/>
      <c r="BB57" s="115"/>
      <c r="BC57" s="115"/>
      <c r="BD57" s="115"/>
      <c r="BE57" s="115"/>
      <c r="BF57" s="115"/>
      <c r="BG57" s="115"/>
      <c r="BH57" s="115"/>
      <c r="BI57" s="115"/>
    </row>
    <row r="58" spans="1:61" ht="15.75" customHeight="1" x14ac:dyDescent="0.25">
      <c r="A58" s="115"/>
      <c r="B58" s="115"/>
      <c r="C58" s="115"/>
      <c r="D58" s="115"/>
      <c r="E58" s="115"/>
      <c r="F58" s="115"/>
      <c r="G58" s="115"/>
      <c r="H58" s="115"/>
      <c r="I58" s="115"/>
      <c r="J58" s="783"/>
      <c r="K58" s="804"/>
      <c r="L58" s="804"/>
      <c r="M58" s="804"/>
      <c r="N58" s="804"/>
      <c r="O58" s="780"/>
      <c r="P58" s="783"/>
      <c r="Q58" s="804"/>
      <c r="R58" s="804"/>
      <c r="S58" s="804"/>
      <c r="T58" s="804"/>
      <c r="U58" s="780"/>
      <c r="V58" s="783"/>
      <c r="W58" s="804"/>
      <c r="X58" s="804"/>
      <c r="Y58" s="804"/>
      <c r="Z58" s="804"/>
      <c r="AA58" s="780"/>
      <c r="AB58" s="783"/>
      <c r="AC58" s="804"/>
      <c r="AD58" s="804"/>
      <c r="AE58" s="804"/>
      <c r="AF58" s="804"/>
      <c r="AG58" s="780"/>
      <c r="AH58" s="783"/>
      <c r="AI58" s="804"/>
      <c r="AJ58" s="804"/>
      <c r="AK58" s="804"/>
      <c r="AL58" s="804"/>
      <c r="AM58" s="780"/>
      <c r="AN58" s="115"/>
      <c r="AO58" s="115"/>
      <c r="AP58" s="115"/>
      <c r="AQ58" s="115"/>
      <c r="AR58" s="115"/>
      <c r="AS58" s="115"/>
      <c r="AT58" s="115"/>
      <c r="AU58" s="115"/>
      <c r="AV58" s="115"/>
      <c r="AW58" s="115"/>
      <c r="AX58" s="115"/>
      <c r="AY58" s="115"/>
      <c r="AZ58" s="115"/>
      <c r="BA58" s="115"/>
      <c r="BB58" s="115"/>
      <c r="BC58" s="115"/>
      <c r="BD58" s="115"/>
      <c r="BE58" s="115"/>
      <c r="BF58" s="115"/>
      <c r="BG58" s="115"/>
      <c r="BH58" s="115"/>
      <c r="BI58" s="115"/>
    </row>
    <row r="59" spans="1:61" ht="15.75" customHeight="1" x14ac:dyDescent="0.25">
      <c r="A59" s="115"/>
      <c r="B59" s="115"/>
      <c r="C59" s="115"/>
      <c r="D59" s="115"/>
      <c r="E59" s="115"/>
      <c r="F59" s="115"/>
      <c r="G59" s="115"/>
      <c r="H59" s="115"/>
      <c r="I59" s="115"/>
      <c r="J59" s="783"/>
      <c r="K59" s="804"/>
      <c r="L59" s="804"/>
      <c r="M59" s="804"/>
      <c r="N59" s="804"/>
      <c r="O59" s="780"/>
      <c r="P59" s="783"/>
      <c r="Q59" s="804"/>
      <c r="R59" s="804"/>
      <c r="S59" s="804"/>
      <c r="T59" s="804"/>
      <c r="U59" s="780"/>
      <c r="V59" s="783"/>
      <c r="W59" s="804"/>
      <c r="X59" s="804"/>
      <c r="Y59" s="804"/>
      <c r="Z59" s="804"/>
      <c r="AA59" s="780"/>
      <c r="AB59" s="783"/>
      <c r="AC59" s="804"/>
      <c r="AD59" s="804"/>
      <c r="AE59" s="804"/>
      <c r="AF59" s="804"/>
      <c r="AG59" s="780"/>
      <c r="AH59" s="783"/>
      <c r="AI59" s="804"/>
      <c r="AJ59" s="804"/>
      <c r="AK59" s="804"/>
      <c r="AL59" s="804"/>
      <c r="AM59" s="780"/>
      <c r="AN59" s="115"/>
      <c r="AO59" s="115"/>
      <c r="AP59" s="115"/>
      <c r="AQ59" s="115"/>
      <c r="AR59" s="115"/>
      <c r="AS59" s="115"/>
      <c r="AT59" s="115"/>
      <c r="AU59" s="115"/>
      <c r="AV59" s="115"/>
      <c r="AW59" s="115"/>
      <c r="AX59" s="115"/>
      <c r="AY59" s="115"/>
      <c r="AZ59" s="115"/>
      <c r="BA59" s="115"/>
      <c r="BB59" s="115"/>
      <c r="BC59" s="115"/>
      <c r="BD59" s="115"/>
      <c r="BE59" s="115"/>
      <c r="BF59" s="115"/>
      <c r="BG59" s="115"/>
      <c r="BH59" s="115"/>
      <c r="BI59" s="115"/>
    </row>
    <row r="60" spans="1:61" ht="15.75" customHeight="1" x14ac:dyDescent="0.25">
      <c r="A60" s="115"/>
      <c r="B60" s="115"/>
      <c r="C60" s="115"/>
      <c r="D60" s="115"/>
      <c r="E60" s="115"/>
      <c r="F60" s="115"/>
      <c r="G60" s="115"/>
      <c r="H60" s="115"/>
      <c r="I60" s="115"/>
      <c r="J60" s="783"/>
      <c r="K60" s="804"/>
      <c r="L60" s="804"/>
      <c r="M60" s="804"/>
      <c r="N60" s="804"/>
      <c r="O60" s="780"/>
      <c r="P60" s="783"/>
      <c r="Q60" s="804"/>
      <c r="R60" s="804"/>
      <c r="S60" s="804"/>
      <c r="T60" s="804"/>
      <c r="U60" s="780"/>
      <c r="V60" s="783"/>
      <c r="W60" s="804"/>
      <c r="X60" s="804"/>
      <c r="Y60" s="804"/>
      <c r="Z60" s="804"/>
      <c r="AA60" s="780"/>
      <c r="AB60" s="783"/>
      <c r="AC60" s="804"/>
      <c r="AD60" s="804"/>
      <c r="AE60" s="804"/>
      <c r="AF60" s="804"/>
      <c r="AG60" s="780"/>
      <c r="AH60" s="783"/>
      <c r="AI60" s="804"/>
      <c r="AJ60" s="804"/>
      <c r="AK60" s="804"/>
      <c r="AL60" s="804"/>
      <c r="AM60" s="780"/>
      <c r="AN60" s="115"/>
      <c r="AO60" s="115"/>
      <c r="AP60" s="115"/>
      <c r="AQ60" s="115"/>
      <c r="AR60" s="115"/>
      <c r="AS60" s="115"/>
      <c r="AT60" s="115"/>
      <c r="AU60" s="115"/>
      <c r="AV60" s="115"/>
      <c r="AW60" s="115"/>
      <c r="AX60" s="115"/>
      <c r="AY60" s="115"/>
      <c r="AZ60" s="115"/>
      <c r="BA60" s="115"/>
      <c r="BB60" s="115"/>
      <c r="BC60" s="115"/>
      <c r="BD60" s="115"/>
      <c r="BE60" s="115"/>
      <c r="BF60" s="115"/>
      <c r="BG60" s="115"/>
      <c r="BH60" s="115"/>
      <c r="BI60" s="115"/>
    </row>
    <row r="61" spans="1:61" ht="15.75" customHeight="1" thickBot="1" x14ac:dyDescent="0.3">
      <c r="A61" s="115"/>
      <c r="B61" s="115"/>
      <c r="C61" s="115"/>
      <c r="D61" s="115"/>
      <c r="E61" s="115"/>
      <c r="F61" s="115"/>
      <c r="G61" s="115"/>
      <c r="H61" s="115"/>
      <c r="I61" s="115"/>
      <c r="J61" s="790"/>
      <c r="K61" s="791"/>
      <c r="L61" s="791"/>
      <c r="M61" s="791"/>
      <c r="N61" s="791"/>
      <c r="O61" s="792"/>
      <c r="P61" s="790"/>
      <c r="Q61" s="791"/>
      <c r="R61" s="791"/>
      <c r="S61" s="791"/>
      <c r="T61" s="791"/>
      <c r="U61" s="792"/>
      <c r="V61" s="790"/>
      <c r="W61" s="791"/>
      <c r="X61" s="791"/>
      <c r="Y61" s="791"/>
      <c r="Z61" s="791"/>
      <c r="AA61" s="792"/>
      <c r="AB61" s="790"/>
      <c r="AC61" s="791"/>
      <c r="AD61" s="791"/>
      <c r="AE61" s="791"/>
      <c r="AF61" s="791"/>
      <c r="AG61" s="792"/>
      <c r="AH61" s="790"/>
      <c r="AI61" s="791"/>
      <c r="AJ61" s="791"/>
      <c r="AK61" s="791"/>
      <c r="AL61" s="791"/>
      <c r="AM61" s="792"/>
      <c r="AN61" s="115"/>
      <c r="AO61" s="115"/>
      <c r="AP61" s="115"/>
      <c r="AQ61" s="115"/>
      <c r="AR61" s="115"/>
      <c r="AS61" s="115"/>
      <c r="AT61" s="115"/>
      <c r="AU61" s="115"/>
      <c r="AV61" s="115"/>
      <c r="AW61" s="115"/>
      <c r="AX61" s="115"/>
      <c r="AY61" s="115"/>
      <c r="AZ61" s="115"/>
      <c r="BA61" s="115"/>
      <c r="BB61" s="115"/>
      <c r="BC61" s="115"/>
      <c r="BD61" s="115"/>
      <c r="BE61" s="115"/>
      <c r="BF61" s="115"/>
      <c r="BG61" s="115"/>
      <c r="BH61" s="115"/>
      <c r="BI61" s="115"/>
    </row>
    <row r="62" spans="1:61" ht="15.75" customHeight="1" x14ac:dyDescent="0.25">
      <c r="A62" s="115"/>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c r="BA62" s="115"/>
      <c r="BB62" s="115"/>
      <c r="BC62" s="115"/>
      <c r="BD62" s="115"/>
      <c r="BE62" s="115"/>
      <c r="BF62" s="115"/>
      <c r="BG62" s="115"/>
      <c r="BH62" s="115"/>
    </row>
    <row r="63" spans="1:61" ht="15" customHeight="1" x14ac:dyDescent="0.25">
      <c r="A63" s="115"/>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15"/>
      <c r="AV63" s="115"/>
      <c r="AW63" s="115"/>
      <c r="AX63" s="115"/>
      <c r="AY63" s="115"/>
      <c r="AZ63" s="115"/>
      <c r="BA63" s="115"/>
      <c r="BB63" s="115"/>
      <c r="BC63" s="115"/>
      <c r="BD63" s="115"/>
      <c r="BE63" s="115"/>
      <c r="BF63" s="115"/>
      <c r="BG63" s="115"/>
      <c r="BH63" s="115"/>
    </row>
    <row r="64" spans="1:61" ht="15" customHeight="1" x14ac:dyDescent="0.25">
      <c r="A64" s="115"/>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c r="AH64" s="133"/>
      <c r="AI64" s="133"/>
      <c r="AJ64" s="133"/>
      <c r="AK64" s="133"/>
      <c r="AL64" s="133"/>
      <c r="AM64" s="133"/>
      <c r="AN64" s="133"/>
      <c r="AO64" s="133"/>
      <c r="AP64" s="133"/>
      <c r="AQ64" s="133"/>
      <c r="AR64" s="133"/>
      <c r="AS64" s="133"/>
      <c r="AT64" s="133"/>
      <c r="AU64" s="115"/>
      <c r="AV64" s="115"/>
      <c r="AW64" s="115"/>
      <c r="AX64" s="115"/>
      <c r="AY64" s="115"/>
      <c r="AZ64" s="115"/>
      <c r="BA64" s="115"/>
      <c r="BB64" s="115"/>
      <c r="BC64" s="115"/>
      <c r="BD64" s="115"/>
      <c r="BE64" s="115"/>
      <c r="BF64" s="115"/>
      <c r="BG64" s="115"/>
      <c r="BH64" s="115"/>
    </row>
    <row r="65" spans="1:60" ht="15.75" customHeight="1" x14ac:dyDescent="0.25">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row>
    <row r="66" spans="1:60" ht="15.75" customHeight="1" x14ac:dyDescent="0.25">
      <c r="A66" s="115"/>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c r="BC66" s="115"/>
      <c r="BD66" s="115"/>
      <c r="BE66" s="115"/>
      <c r="BF66" s="115"/>
      <c r="BG66" s="115"/>
      <c r="BH66" s="115"/>
    </row>
    <row r="67" spans="1:60" ht="15.75" customHeight="1" x14ac:dyDescent="0.25">
      <c r="A67" s="115"/>
      <c r="B67" s="115"/>
      <c r="C67" s="115"/>
      <c r="D67" s="115"/>
      <c r="E67" s="115"/>
      <c r="F67" s="115"/>
      <c r="G67" s="115"/>
      <c r="H67" s="115"/>
      <c r="I67" s="115"/>
      <c r="J67" s="115"/>
      <c r="K67" s="115"/>
      <c r="L67" s="115"/>
      <c r="M67" s="115"/>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c r="AN67" s="115"/>
      <c r="AO67" s="115"/>
      <c r="AP67" s="115"/>
      <c r="AQ67" s="115"/>
      <c r="AR67" s="115"/>
      <c r="AS67" s="115"/>
      <c r="AT67" s="115"/>
      <c r="AU67" s="115"/>
      <c r="AV67" s="115"/>
      <c r="AW67" s="115"/>
      <c r="AX67" s="115"/>
      <c r="AY67" s="115"/>
      <c r="AZ67" s="115"/>
      <c r="BA67" s="115"/>
      <c r="BB67" s="115"/>
      <c r="BC67" s="115"/>
      <c r="BD67" s="115"/>
      <c r="BE67" s="115"/>
      <c r="BF67" s="115"/>
      <c r="BG67" s="115"/>
      <c r="BH67" s="115"/>
    </row>
    <row r="68" spans="1:60" ht="15.75" customHeight="1" x14ac:dyDescent="0.25">
      <c r="A68" s="115"/>
      <c r="B68" s="115"/>
      <c r="C68" s="115"/>
      <c r="D68" s="115"/>
      <c r="E68" s="115"/>
      <c r="F68" s="115"/>
      <c r="G68" s="115"/>
      <c r="H68" s="115"/>
      <c r="I68" s="115"/>
      <c r="J68" s="115"/>
      <c r="K68" s="115"/>
      <c r="L68" s="115"/>
      <c r="M68" s="115"/>
      <c r="N68" s="115"/>
      <c r="O68" s="115"/>
      <c r="P68" s="115"/>
      <c r="Q68" s="115"/>
      <c r="R68" s="115"/>
      <c r="S68" s="115"/>
      <c r="T68" s="115"/>
      <c r="U68" s="115"/>
      <c r="V68" s="115"/>
      <c r="W68" s="115"/>
      <c r="X68" s="115"/>
      <c r="Y68" s="115"/>
      <c r="Z68" s="115"/>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c r="BA68" s="115"/>
      <c r="BB68" s="115"/>
      <c r="BC68" s="115"/>
      <c r="BD68" s="115"/>
      <c r="BE68" s="115"/>
      <c r="BF68" s="115"/>
      <c r="BG68" s="115"/>
      <c r="BH68" s="115"/>
    </row>
    <row r="69" spans="1:60" ht="15.75" customHeight="1" x14ac:dyDescent="0.25">
      <c r="A69" s="115"/>
      <c r="B69" s="115"/>
      <c r="C69" s="115"/>
      <c r="D69" s="115"/>
      <c r="E69" s="115"/>
      <c r="F69" s="115"/>
      <c r="G69" s="115"/>
      <c r="H69" s="115"/>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c r="AN69" s="115"/>
      <c r="AO69" s="115"/>
      <c r="AP69" s="115"/>
      <c r="AQ69" s="115"/>
      <c r="AR69" s="115"/>
      <c r="AS69" s="115"/>
      <c r="AT69" s="115"/>
      <c r="AU69" s="115"/>
      <c r="AV69" s="115"/>
      <c r="AW69" s="115"/>
      <c r="AX69" s="115"/>
      <c r="AY69" s="115"/>
      <c r="AZ69" s="115"/>
      <c r="BA69" s="115"/>
      <c r="BB69" s="115"/>
      <c r="BC69" s="115"/>
      <c r="BD69" s="115"/>
      <c r="BE69" s="115"/>
      <c r="BF69" s="115"/>
      <c r="BG69" s="115"/>
      <c r="BH69" s="115"/>
    </row>
    <row r="70" spans="1:60" ht="15.75" customHeight="1" x14ac:dyDescent="0.25">
      <c r="A70" s="115"/>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c r="AI70" s="115"/>
      <c r="AJ70" s="115"/>
      <c r="AK70" s="115"/>
      <c r="AL70" s="115"/>
      <c r="AM70" s="115"/>
      <c r="AN70" s="115"/>
      <c r="AO70" s="115"/>
      <c r="AP70" s="115"/>
      <c r="AQ70" s="115"/>
      <c r="AR70" s="115"/>
      <c r="AS70" s="115"/>
      <c r="AT70" s="115"/>
      <c r="AU70" s="115"/>
      <c r="AV70" s="115"/>
      <c r="AW70" s="115"/>
      <c r="AX70" s="115"/>
      <c r="AY70" s="115"/>
      <c r="AZ70" s="115"/>
      <c r="BA70" s="115"/>
      <c r="BB70" s="115"/>
      <c r="BC70" s="115"/>
      <c r="BD70" s="115"/>
      <c r="BE70" s="115"/>
      <c r="BF70" s="115"/>
      <c r="BG70" s="115"/>
      <c r="BH70" s="115"/>
    </row>
    <row r="71" spans="1:60" ht="15.75" customHeight="1" x14ac:dyDescent="0.25">
      <c r="A71" s="115"/>
      <c r="B71" s="115"/>
      <c r="C71" s="115"/>
      <c r="D71" s="115"/>
      <c r="E71" s="115"/>
      <c r="F71" s="115"/>
      <c r="G71" s="115"/>
      <c r="H71" s="115"/>
      <c r="I71" s="115"/>
      <c r="J71" s="115"/>
      <c r="K71" s="115"/>
      <c r="L71" s="115"/>
      <c r="M71" s="115"/>
      <c r="N71" s="115"/>
      <c r="O71" s="115"/>
      <c r="P71" s="115"/>
      <c r="Q71" s="115"/>
      <c r="R71" s="115"/>
      <c r="S71" s="115"/>
      <c r="T71" s="115"/>
      <c r="U71" s="115"/>
      <c r="V71" s="115"/>
      <c r="W71" s="115"/>
      <c r="X71" s="115"/>
      <c r="Y71" s="115"/>
      <c r="Z71" s="115"/>
      <c r="AA71" s="115"/>
      <c r="AB71" s="115"/>
      <c r="AC71" s="115"/>
      <c r="AD71" s="115"/>
      <c r="AE71" s="115"/>
      <c r="AF71" s="115"/>
      <c r="AG71" s="115"/>
      <c r="AH71" s="115"/>
      <c r="AI71" s="115"/>
      <c r="AJ71" s="115"/>
      <c r="AK71" s="115"/>
      <c r="AL71" s="115"/>
      <c r="AM71" s="115"/>
      <c r="AN71" s="115"/>
      <c r="AO71" s="115"/>
      <c r="AP71" s="115"/>
      <c r="AQ71" s="115"/>
      <c r="AR71" s="115"/>
      <c r="AS71" s="115"/>
      <c r="AT71" s="115"/>
      <c r="AU71" s="115"/>
      <c r="AV71" s="115"/>
      <c r="AW71" s="115"/>
      <c r="AX71" s="115"/>
      <c r="AY71" s="115"/>
      <c r="AZ71" s="115"/>
      <c r="BA71" s="115"/>
      <c r="BB71" s="115"/>
      <c r="BC71" s="115"/>
      <c r="BD71" s="115"/>
      <c r="BE71" s="115"/>
      <c r="BF71" s="115"/>
      <c r="BG71" s="115"/>
      <c r="BH71" s="115"/>
    </row>
    <row r="72" spans="1:60" ht="15.75" customHeight="1" x14ac:dyDescent="0.25">
      <c r="A72" s="115"/>
      <c r="B72" s="115"/>
      <c r="C72" s="115"/>
      <c r="D72" s="115"/>
      <c r="E72" s="115"/>
      <c r="F72" s="115"/>
      <c r="G72" s="115"/>
      <c r="H72" s="115"/>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c r="AN72" s="115"/>
      <c r="AO72" s="115"/>
      <c r="AP72" s="115"/>
      <c r="AQ72" s="115"/>
      <c r="AR72" s="115"/>
      <c r="AS72" s="115"/>
      <c r="AT72" s="115"/>
      <c r="AU72" s="115"/>
      <c r="AV72" s="115"/>
      <c r="AW72" s="115"/>
      <c r="AX72" s="115"/>
      <c r="AY72" s="115"/>
      <c r="AZ72" s="115"/>
      <c r="BA72" s="115"/>
      <c r="BB72" s="115"/>
      <c r="BC72" s="115"/>
      <c r="BD72" s="115"/>
      <c r="BE72" s="115"/>
      <c r="BF72" s="115"/>
      <c r="BG72" s="115"/>
      <c r="BH72" s="115"/>
    </row>
    <row r="73" spans="1:60" ht="15.75" customHeight="1" x14ac:dyDescent="0.25">
      <c r="A73" s="115"/>
      <c r="B73" s="115"/>
      <c r="C73" s="115"/>
      <c r="D73" s="115"/>
      <c r="E73" s="115"/>
      <c r="F73" s="115"/>
      <c r="G73" s="115"/>
      <c r="H73" s="115"/>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c r="AN73" s="115"/>
      <c r="AO73" s="115"/>
      <c r="AP73" s="115"/>
      <c r="AQ73" s="115"/>
      <c r="AR73" s="115"/>
      <c r="AS73" s="115"/>
      <c r="AT73" s="115"/>
      <c r="AU73" s="115"/>
      <c r="AV73" s="115"/>
      <c r="AW73" s="115"/>
      <c r="AX73" s="115"/>
      <c r="AY73" s="115"/>
      <c r="AZ73" s="115"/>
      <c r="BA73" s="115"/>
      <c r="BB73" s="115"/>
      <c r="BC73" s="115"/>
      <c r="BD73" s="115"/>
      <c r="BE73" s="115"/>
      <c r="BF73" s="115"/>
      <c r="BG73" s="115"/>
      <c r="BH73" s="115"/>
    </row>
    <row r="74" spans="1:60" ht="15.75" customHeight="1" x14ac:dyDescent="0.2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c r="AN74" s="115"/>
      <c r="AO74" s="115"/>
      <c r="AP74" s="115"/>
      <c r="AQ74" s="115"/>
      <c r="AR74" s="115"/>
      <c r="AS74" s="115"/>
      <c r="AT74" s="115"/>
      <c r="AU74" s="115"/>
      <c r="AV74" s="115"/>
      <c r="AW74" s="115"/>
      <c r="AX74" s="115"/>
      <c r="AY74" s="115"/>
      <c r="AZ74" s="115"/>
      <c r="BA74" s="115"/>
      <c r="BB74" s="115"/>
      <c r="BC74" s="115"/>
      <c r="BD74" s="115"/>
      <c r="BE74" s="115"/>
      <c r="BF74" s="115"/>
      <c r="BG74" s="115"/>
      <c r="BH74" s="115"/>
    </row>
    <row r="75" spans="1:60" ht="15.75" customHeight="1" x14ac:dyDescent="0.25">
      <c r="A75" s="115"/>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c r="AN75" s="115"/>
      <c r="AO75" s="115"/>
      <c r="AP75" s="115"/>
      <c r="AQ75" s="115"/>
      <c r="AR75" s="115"/>
      <c r="AS75" s="115"/>
      <c r="AT75" s="115"/>
      <c r="AU75" s="115"/>
      <c r="AV75" s="115"/>
      <c r="AW75" s="115"/>
      <c r="AX75" s="115"/>
      <c r="AY75" s="115"/>
      <c r="AZ75" s="115"/>
      <c r="BA75" s="115"/>
      <c r="BB75" s="115"/>
      <c r="BC75" s="115"/>
      <c r="BD75" s="115"/>
      <c r="BE75" s="115"/>
      <c r="BF75" s="115"/>
      <c r="BG75" s="115"/>
      <c r="BH75" s="115"/>
    </row>
    <row r="76" spans="1:60" ht="15.75" customHeight="1" x14ac:dyDescent="0.25">
      <c r="A76" s="115"/>
      <c r="B76" s="115"/>
      <c r="C76" s="115"/>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115"/>
      <c r="AW76" s="115"/>
      <c r="AX76" s="115"/>
      <c r="AY76" s="115"/>
      <c r="AZ76" s="115"/>
      <c r="BA76" s="115"/>
      <c r="BB76" s="115"/>
      <c r="BC76" s="115"/>
      <c r="BD76" s="115"/>
      <c r="BE76" s="115"/>
      <c r="BF76" s="115"/>
      <c r="BG76" s="115"/>
      <c r="BH76" s="115"/>
    </row>
    <row r="77" spans="1:60" ht="15.75" customHeight="1" x14ac:dyDescent="0.25">
      <c r="A77" s="115"/>
      <c r="B77" s="115"/>
      <c r="C77" s="115"/>
      <c r="D77" s="115"/>
      <c r="E77" s="115"/>
      <c r="F77" s="115"/>
      <c r="G77" s="115"/>
      <c r="H77" s="115"/>
      <c r="I77" s="115"/>
      <c r="J77" s="115"/>
      <c r="K77" s="115"/>
      <c r="L77" s="115"/>
      <c r="M77" s="115"/>
      <c r="N77" s="115"/>
      <c r="O77" s="115"/>
      <c r="P77" s="115"/>
      <c r="Q77" s="115"/>
      <c r="R77" s="115"/>
      <c r="S77" s="115"/>
      <c r="T77" s="115"/>
      <c r="U77" s="115"/>
      <c r="V77" s="115"/>
      <c r="W77" s="115"/>
      <c r="X77" s="115"/>
      <c r="Y77" s="115"/>
      <c r="Z77" s="115"/>
      <c r="AA77" s="115"/>
      <c r="AB77" s="115"/>
      <c r="AC77" s="115"/>
      <c r="AD77" s="115"/>
      <c r="AE77" s="115"/>
      <c r="AF77" s="115"/>
      <c r="AG77" s="115"/>
      <c r="AH77" s="115"/>
      <c r="AI77" s="115"/>
      <c r="AJ77" s="115"/>
      <c r="AK77" s="115"/>
      <c r="AL77" s="115"/>
      <c r="AM77" s="115"/>
      <c r="AN77" s="115"/>
      <c r="AO77" s="115"/>
      <c r="AP77" s="115"/>
      <c r="AQ77" s="115"/>
      <c r="AR77" s="115"/>
      <c r="AS77" s="115"/>
      <c r="AT77" s="115"/>
      <c r="AU77" s="115"/>
      <c r="AV77" s="115"/>
      <c r="AW77" s="115"/>
      <c r="AX77" s="115"/>
      <c r="AY77" s="115"/>
      <c r="AZ77" s="115"/>
      <c r="BA77" s="115"/>
      <c r="BB77" s="115"/>
      <c r="BC77" s="115"/>
      <c r="BD77" s="115"/>
      <c r="BE77" s="115"/>
      <c r="BF77" s="115"/>
      <c r="BG77" s="115"/>
      <c r="BH77" s="115"/>
    </row>
    <row r="78" spans="1:60" ht="15.75" customHeight="1" x14ac:dyDescent="0.25">
      <c r="A78" s="115"/>
      <c r="B78" s="115"/>
      <c r="C78" s="115"/>
      <c r="D78" s="115"/>
      <c r="E78" s="115"/>
      <c r="F78" s="115"/>
      <c r="G78" s="115"/>
      <c r="H78" s="115"/>
      <c r="I78" s="115"/>
      <c r="J78" s="115"/>
      <c r="K78" s="115"/>
      <c r="L78" s="115"/>
      <c r="M78" s="115"/>
      <c r="N78" s="115"/>
      <c r="O78" s="115"/>
      <c r="P78" s="115"/>
      <c r="Q78" s="115"/>
      <c r="R78" s="115"/>
      <c r="S78" s="115"/>
      <c r="T78" s="115"/>
      <c r="U78" s="115"/>
      <c r="V78" s="115"/>
      <c r="W78" s="115"/>
      <c r="X78" s="115"/>
      <c r="Y78" s="115"/>
      <c r="Z78" s="115"/>
      <c r="AA78" s="115"/>
      <c r="AB78" s="115"/>
      <c r="AC78" s="115"/>
      <c r="AD78" s="115"/>
      <c r="AE78" s="115"/>
      <c r="AF78" s="115"/>
      <c r="AG78" s="115"/>
      <c r="AH78" s="115"/>
      <c r="AI78" s="115"/>
      <c r="AJ78" s="115"/>
      <c r="AK78" s="115"/>
      <c r="AL78" s="115"/>
      <c r="AM78" s="115"/>
      <c r="AN78" s="115"/>
      <c r="AO78" s="115"/>
      <c r="AP78" s="115"/>
      <c r="AQ78" s="115"/>
      <c r="AR78" s="115"/>
      <c r="AS78" s="115"/>
      <c r="AT78" s="115"/>
      <c r="AU78" s="115"/>
      <c r="AV78" s="115"/>
      <c r="AW78" s="115"/>
      <c r="AX78" s="115"/>
      <c r="AY78" s="115"/>
      <c r="AZ78" s="115"/>
      <c r="BA78" s="115"/>
      <c r="BB78" s="115"/>
      <c r="BC78" s="115"/>
      <c r="BD78" s="115"/>
      <c r="BE78" s="115"/>
      <c r="BF78" s="115"/>
      <c r="BG78" s="115"/>
      <c r="BH78" s="115"/>
    </row>
    <row r="79" spans="1:60" ht="15.75" customHeight="1" x14ac:dyDescent="0.25">
      <c r="A79" s="11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c r="AN79" s="115"/>
      <c r="AO79" s="115"/>
      <c r="AP79" s="115"/>
      <c r="AQ79" s="115"/>
      <c r="AR79" s="115"/>
      <c r="AS79" s="115"/>
      <c r="AT79" s="115"/>
      <c r="AU79" s="115"/>
      <c r="AV79" s="115"/>
      <c r="AW79" s="115"/>
      <c r="AX79" s="115"/>
      <c r="AY79" s="115"/>
      <c r="AZ79" s="115"/>
      <c r="BA79" s="115"/>
      <c r="BB79" s="115"/>
      <c r="BC79" s="115"/>
      <c r="BD79" s="115"/>
      <c r="BE79" s="115"/>
      <c r="BF79" s="115"/>
      <c r="BG79" s="115"/>
      <c r="BH79" s="115"/>
    </row>
    <row r="80" spans="1:60" ht="15.75" customHeight="1" x14ac:dyDescent="0.25">
      <c r="A80" s="11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5"/>
      <c r="AY80" s="115"/>
      <c r="AZ80" s="115"/>
      <c r="BA80" s="115"/>
      <c r="BB80" s="115"/>
      <c r="BC80" s="115"/>
      <c r="BD80" s="115"/>
      <c r="BE80" s="115"/>
      <c r="BF80" s="115"/>
      <c r="BG80" s="115"/>
      <c r="BH80" s="115"/>
    </row>
    <row r="81" spans="1:60" ht="15.75" customHeight="1" x14ac:dyDescent="0.25">
      <c r="A81" s="1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c r="AN81" s="115"/>
      <c r="AO81" s="115"/>
      <c r="AP81" s="115"/>
      <c r="AQ81" s="115"/>
      <c r="AR81" s="115"/>
      <c r="AS81" s="115"/>
      <c r="AT81" s="115"/>
      <c r="AU81" s="115"/>
      <c r="AV81" s="115"/>
      <c r="AW81" s="115"/>
      <c r="AX81" s="115"/>
      <c r="AY81" s="115"/>
      <c r="AZ81" s="115"/>
      <c r="BA81" s="115"/>
      <c r="BB81" s="115"/>
      <c r="BC81" s="115"/>
      <c r="BD81" s="115"/>
      <c r="BE81" s="115"/>
      <c r="BF81" s="115"/>
      <c r="BG81" s="115"/>
      <c r="BH81" s="115"/>
    </row>
    <row r="82" spans="1:60" ht="15.75" customHeight="1" x14ac:dyDescent="0.25">
      <c r="A82" s="1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c r="AN82" s="115"/>
      <c r="AO82" s="115"/>
      <c r="AP82" s="115"/>
      <c r="AQ82" s="115"/>
      <c r="AR82" s="115"/>
      <c r="AS82" s="115"/>
      <c r="AT82" s="115"/>
      <c r="AU82" s="115"/>
      <c r="AV82" s="115"/>
      <c r="AW82" s="115"/>
      <c r="AX82" s="115"/>
      <c r="AY82" s="115"/>
      <c r="AZ82" s="115"/>
      <c r="BA82" s="115"/>
      <c r="BB82" s="115"/>
      <c r="BC82" s="115"/>
      <c r="BD82" s="115"/>
      <c r="BE82" s="115"/>
      <c r="BF82" s="115"/>
      <c r="BG82" s="115"/>
      <c r="BH82" s="115"/>
    </row>
    <row r="83" spans="1:60" ht="15.75" customHeight="1" x14ac:dyDescent="0.25">
      <c r="A83" s="11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c r="AV83" s="115"/>
      <c r="AW83" s="115"/>
      <c r="AX83" s="115"/>
      <c r="AY83" s="115"/>
      <c r="AZ83" s="115"/>
      <c r="BA83" s="115"/>
      <c r="BB83" s="115"/>
      <c r="BC83" s="115"/>
      <c r="BD83" s="115"/>
      <c r="BE83" s="115"/>
      <c r="BF83" s="115"/>
      <c r="BG83" s="115"/>
      <c r="BH83" s="115"/>
    </row>
    <row r="84" spans="1:60" ht="15.75" customHeight="1" x14ac:dyDescent="0.2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row>
    <row r="85" spans="1:60" ht="15.75" customHeight="1" x14ac:dyDescent="0.25">
      <c r="A85" s="11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c r="BG85" s="115"/>
      <c r="BH85" s="115"/>
    </row>
    <row r="86" spans="1:60" ht="15.75" customHeight="1" x14ac:dyDescent="0.25">
      <c r="A86" s="11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c r="BG86" s="115"/>
      <c r="BH86" s="115"/>
    </row>
    <row r="87" spans="1:60" ht="15.75" customHeight="1" x14ac:dyDescent="0.25">
      <c r="A87" s="11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c r="BG87" s="115"/>
      <c r="BH87" s="115"/>
    </row>
    <row r="88" spans="1:60" ht="15.75" customHeight="1" x14ac:dyDescent="0.25">
      <c r="A88" s="11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c r="AN88" s="115"/>
      <c r="AO88" s="115"/>
      <c r="AP88" s="115"/>
      <c r="AQ88" s="115"/>
      <c r="AR88" s="115"/>
      <c r="AS88" s="115"/>
      <c r="AT88" s="115"/>
      <c r="AU88" s="115"/>
      <c r="AV88" s="115"/>
      <c r="AW88" s="115"/>
      <c r="AX88" s="115"/>
      <c r="AY88" s="115"/>
      <c r="AZ88" s="115"/>
      <c r="BA88" s="115"/>
      <c r="BB88" s="115"/>
      <c r="BC88" s="115"/>
      <c r="BD88" s="115"/>
      <c r="BE88" s="115"/>
      <c r="BF88" s="115"/>
      <c r="BG88" s="115"/>
      <c r="BH88" s="115"/>
    </row>
    <row r="89" spans="1:60" ht="15.75" customHeight="1" x14ac:dyDescent="0.25">
      <c r="A89" s="11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c r="AN89" s="115"/>
      <c r="AO89" s="115"/>
      <c r="AP89" s="115"/>
      <c r="AQ89" s="115"/>
      <c r="AR89" s="115"/>
      <c r="AS89" s="115"/>
      <c r="AT89" s="115"/>
      <c r="AU89" s="115"/>
      <c r="AV89" s="115"/>
      <c r="AW89" s="115"/>
      <c r="AX89" s="115"/>
      <c r="AY89" s="115"/>
      <c r="AZ89" s="115"/>
      <c r="BA89" s="115"/>
      <c r="BB89" s="115"/>
      <c r="BC89" s="115"/>
      <c r="BD89" s="115"/>
      <c r="BE89" s="115"/>
      <c r="BF89" s="115"/>
      <c r="BG89" s="115"/>
      <c r="BH89" s="115"/>
    </row>
    <row r="90" spans="1:60" ht="15.75" customHeight="1" x14ac:dyDescent="0.25">
      <c r="A90" s="11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c r="AP90" s="115"/>
      <c r="AQ90" s="115"/>
      <c r="AR90" s="115"/>
      <c r="AS90" s="115"/>
      <c r="AT90" s="115"/>
      <c r="AU90" s="115"/>
      <c r="AV90" s="115"/>
      <c r="AW90" s="115"/>
      <c r="AX90" s="115"/>
      <c r="AY90" s="115"/>
      <c r="AZ90" s="115"/>
      <c r="BA90" s="115"/>
      <c r="BB90" s="115"/>
      <c r="BC90" s="115"/>
      <c r="BD90" s="115"/>
      <c r="BE90" s="115"/>
      <c r="BF90" s="115"/>
      <c r="BG90" s="115"/>
      <c r="BH90" s="115"/>
    </row>
    <row r="91" spans="1:60" ht="15.75" customHeight="1" x14ac:dyDescent="0.2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c r="AP91" s="115"/>
      <c r="AQ91" s="115"/>
      <c r="AR91" s="115"/>
      <c r="AS91" s="115"/>
      <c r="AT91" s="115"/>
      <c r="AU91" s="115"/>
      <c r="AV91" s="115"/>
      <c r="AW91" s="115"/>
      <c r="AX91" s="115"/>
      <c r="AY91" s="115"/>
      <c r="AZ91" s="115"/>
      <c r="BA91" s="115"/>
      <c r="BB91" s="115"/>
      <c r="BC91" s="115"/>
      <c r="BD91" s="115"/>
      <c r="BE91" s="115"/>
      <c r="BF91" s="115"/>
      <c r="BG91" s="115"/>
      <c r="BH91" s="115"/>
    </row>
    <row r="92" spans="1:60" ht="15.75" customHeight="1" x14ac:dyDescent="0.2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5"/>
      <c r="BF92" s="115"/>
      <c r="BG92" s="115"/>
      <c r="BH92" s="115"/>
    </row>
    <row r="93" spans="1:60" ht="15.75" customHeight="1" x14ac:dyDescent="0.25">
      <c r="A93" s="11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115"/>
      <c r="AQ93" s="115"/>
      <c r="AR93" s="115"/>
      <c r="AS93" s="115"/>
      <c r="AT93" s="115"/>
      <c r="AU93" s="115"/>
      <c r="AV93" s="115"/>
      <c r="AW93" s="115"/>
      <c r="AX93" s="115"/>
      <c r="AY93" s="115"/>
      <c r="AZ93" s="115"/>
      <c r="BA93" s="115"/>
      <c r="BB93" s="115"/>
      <c r="BC93" s="115"/>
      <c r="BD93" s="115"/>
      <c r="BE93" s="115"/>
      <c r="BF93" s="115"/>
      <c r="BG93" s="115"/>
      <c r="BH93" s="115"/>
    </row>
    <row r="94" spans="1:60" ht="15.75" customHeight="1" x14ac:dyDescent="0.2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c r="BG94" s="115"/>
      <c r="BH94" s="115"/>
    </row>
    <row r="95" spans="1:60" ht="15.75" customHeight="1" x14ac:dyDescent="0.25">
      <c r="A95" s="115"/>
      <c r="B95" s="115"/>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c r="BG95" s="115"/>
      <c r="BH95" s="115"/>
    </row>
    <row r="96" spans="1:60" ht="15.75" customHeight="1" x14ac:dyDescent="0.25">
      <c r="A96" s="115"/>
      <c r="B96" s="115"/>
      <c r="C96" s="115"/>
      <c r="D96" s="115"/>
      <c r="E96" s="115"/>
      <c r="F96" s="115"/>
      <c r="G96" s="115"/>
      <c r="H96" s="115"/>
      <c r="I96" s="115"/>
      <c r="J96" s="115"/>
      <c r="K96" s="115"/>
      <c r="L96" s="115"/>
      <c r="M96" s="115"/>
      <c r="N96" s="115"/>
      <c r="O96" s="115"/>
      <c r="P96" s="115"/>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c r="AN96" s="115"/>
      <c r="AO96" s="115"/>
      <c r="AP96" s="115"/>
      <c r="AQ96" s="115"/>
      <c r="AR96" s="115"/>
      <c r="AS96" s="115"/>
      <c r="AT96" s="115"/>
      <c r="AU96" s="115"/>
      <c r="AV96" s="115"/>
      <c r="AW96" s="115"/>
      <c r="AX96" s="115"/>
      <c r="AY96" s="115"/>
      <c r="AZ96" s="115"/>
      <c r="BA96" s="115"/>
      <c r="BB96" s="115"/>
      <c r="BC96" s="115"/>
      <c r="BD96" s="115"/>
      <c r="BE96" s="115"/>
      <c r="BF96" s="115"/>
      <c r="BG96" s="115"/>
      <c r="BH96" s="115"/>
    </row>
    <row r="97" spans="1:60" ht="15.75" customHeight="1" x14ac:dyDescent="0.25">
      <c r="A97" s="115"/>
      <c r="B97" s="115"/>
      <c r="C97" s="115"/>
      <c r="D97" s="115"/>
      <c r="E97" s="115"/>
      <c r="F97" s="115"/>
      <c r="G97" s="115"/>
      <c r="H97" s="115"/>
      <c r="I97" s="115"/>
      <c r="J97" s="115"/>
      <c r="K97" s="115"/>
      <c r="L97" s="115"/>
      <c r="M97" s="115"/>
      <c r="N97" s="115"/>
      <c r="O97" s="115"/>
      <c r="P97" s="115"/>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c r="AN97" s="115"/>
      <c r="AO97" s="115"/>
      <c r="AP97" s="115"/>
      <c r="AQ97" s="115"/>
      <c r="AR97" s="115"/>
      <c r="AS97" s="115"/>
      <c r="AT97" s="115"/>
      <c r="AU97" s="115"/>
      <c r="AV97" s="115"/>
      <c r="AW97" s="115"/>
      <c r="AX97" s="115"/>
      <c r="AY97" s="115"/>
      <c r="AZ97" s="115"/>
      <c r="BA97" s="115"/>
      <c r="BB97" s="115"/>
      <c r="BC97" s="115"/>
      <c r="BD97" s="115"/>
      <c r="BE97" s="115"/>
      <c r="BF97" s="115"/>
      <c r="BG97" s="115"/>
      <c r="BH97" s="115"/>
    </row>
    <row r="98" spans="1:60" ht="15.75" customHeight="1" x14ac:dyDescent="0.25">
      <c r="A98" s="115"/>
      <c r="B98" s="115"/>
      <c r="C98" s="115"/>
      <c r="D98" s="115"/>
      <c r="E98" s="115"/>
      <c r="F98" s="115"/>
      <c r="G98" s="115"/>
      <c r="H98" s="115"/>
      <c r="I98" s="115"/>
      <c r="J98" s="115"/>
      <c r="K98" s="115"/>
      <c r="L98" s="115"/>
      <c r="M98" s="115"/>
      <c r="N98" s="115"/>
      <c r="O98" s="115"/>
      <c r="P98" s="115"/>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c r="AN98" s="115"/>
      <c r="AO98" s="115"/>
      <c r="AP98" s="115"/>
      <c r="AQ98" s="115"/>
      <c r="AR98" s="115"/>
      <c r="AS98" s="115"/>
      <c r="AT98" s="115"/>
      <c r="AU98" s="115"/>
      <c r="AV98" s="115"/>
      <c r="AW98" s="115"/>
      <c r="AX98" s="115"/>
      <c r="AY98" s="115"/>
      <c r="AZ98" s="115"/>
      <c r="BA98" s="115"/>
      <c r="BB98" s="115"/>
      <c r="BC98" s="115"/>
      <c r="BD98" s="115"/>
      <c r="BE98" s="115"/>
      <c r="BF98" s="115"/>
      <c r="BG98" s="115"/>
      <c r="BH98" s="115"/>
    </row>
    <row r="99" spans="1:60" ht="15.75" customHeight="1" x14ac:dyDescent="0.25">
      <c r="A99" s="115"/>
      <c r="B99" s="115"/>
      <c r="C99" s="115"/>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c r="BF99" s="115"/>
      <c r="BG99" s="115"/>
      <c r="BH99" s="115"/>
    </row>
    <row r="100" spans="1:60" ht="15.75" customHeight="1" x14ac:dyDescent="0.25">
      <c r="A100" s="115"/>
      <c r="B100" s="115"/>
      <c r="C100" s="115"/>
      <c r="D100" s="115"/>
      <c r="E100" s="115"/>
      <c r="F100" s="115"/>
      <c r="G100" s="115"/>
      <c r="H100" s="115"/>
      <c r="I100" s="115"/>
      <c r="J100" s="115"/>
      <c r="K100" s="115"/>
      <c r="L100" s="115"/>
      <c r="M100" s="115"/>
      <c r="N100" s="115"/>
      <c r="O100" s="115"/>
      <c r="P100" s="115"/>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c r="AN100" s="115"/>
      <c r="AO100" s="115"/>
      <c r="AP100" s="115"/>
      <c r="AQ100" s="115"/>
      <c r="AR100" s="115"/>
      <c r="AS100" s="115"/>
      <c r="AT100" s="115"/>
      <c r="AU100" s="115"/>
      <c r="AV100" s="115"/>
      <c r="AW100" s="115"/>
      <c r="AX100" s="115"/>
      <c r="AY100" s="115"/>
      <c r="AZ100" s="115"/>
      <c r="BA100" s="115"/>
      <c r="BB100" s="115"/>
      <c r="BC100" s="115"/>
      <c r="BD100" s="115"/>
      <c r="BE100" s="115"/>
      <c r="BF100" s="115"/>
      <c r="BG100" s="115"/>
      <c r="BH100" s="115"/>
    </row>
    <row r="101" spans="1:60" ht="15.75" customHeight="1" x14ac:dyDescent="0.25">
      <c r="A101" s="115"/>
      <c r="B101" s="115"/>
      <c r="C101" s="115"/>
      <c r="D101" s="115"/>
      <c r="E101" s="115"/>
      <c r="F101" s="115"/>
      <c r="G101" s="115"/>
      <c r="H101" s="115"/>
      <c r="I101" s="115"/>
      <c r="J101" s="115"/>
      <c r="K101" s="115"/>
      <c r="L101" s="115"/>
      <c r="M101" s="115"/>
      <c r="N101" s="115"/>
      <c r="O101" s="115"/>
      <c r="P101" s="115"/>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c r="AN101" s="115"/>
      <c r="AO101" s="115"/>
      <c r="AP101" s="115"/>
      <c r="AQ101" s="115"/>
      <c r="AR101" s="115"/>
      <c r="AS101" s="115"/>
      <c r="AT101" s="115"/>
      <c r="AU101" s="115"/>
      <c r="AV101" s="115"/>
      <c r="AW101" s="115"/>
      <c r="AX101" s="115"/>
      <c r="AY101" s="115"/>
      <c r="AZ101" s="115"/>
      <c r="BA101" s="115"/>
      <c r="BB101" s="115"/>
      <c r="BC101" s="115"/>
      <c r="BD101" s="115"/>
      <c r="BE101" s="115"/>
      <c r="BF101" s="115"/>
      <c r="BG101" s="115"/>
      <c r="BH101" s="115"/>
    </row>
    <row r="102" spans="1:60" ht="15.75" customHeight="1" x14ac:dyDescent="0.25">
      <c r="A102" s="1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c r="BG102" s="115"/>
      <c r="BH102" s="115"/>
    </row>
    <row r="103" spans="1:60" ht="15.75" customHeight="1" x14ac:dyDescent="0.25">
      <c r="A103" s="115"/>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5"/>
      <c r="AT103" s="115"/>
      <c r="AU103" s="115"/>
      <c r="AV103" s="115"/>
      <c r="AW103" s="115"/>
      <c r="AX103" s="115"/>
      <c r="AY103" s="115"/>
      <c r="AZ103" s="115"/>
      <c r="BA103" s="115"/>
      <c r="BB103" s="115"/>
      <c r="BC103" s="115"/>
      <c r="BD103" s="115"/>
      <c r="BE103" s="115"/>
      <c r="BF103" s="115"/>
      <c r="BG103" s="115"/>
      <c r="BH103" s="115"/>
    </row>
    <row r="104" spans="1:60" ht="15.75" customHeight="1" x14ac:dyDescent="0.25">
      <c r="A104" s="115"/>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c r="BG104" s="115"/>
      <c r="BH104" s="115"/>
    </row>
    <row r="105" spans="1:60" ht="15.75" customHeight="1" x14ac:dyDescent="0.25">
      <c r="A105" s="115"/>
      <c r="B105" s="115"/>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15"/>
      <c r="BF105" s="115"/>
      <c r="BG105" s="115"/>
      <c r="BH105" s="115"/>
    </row>
    <row r="106" spans="1:60" ht="15.75" customHeight="1" x14ac:dyDescent="0.25">
      <c r="A106" s="115"/>
      <c r="B106" s="115"/>
      <c r="C106" s="115"/>
      <c r="D106" s="115"/>
      <c r="E106" s="115"/>
      <c r="F106" s="115"/>
      <c r="G106" s="115"/>
      <c r="H106" s="115"/>
      <c r="I106" s="115"/>
      <c r="J106" s="115"/>
      <c r="K106" s="115"/>
      <c r="L106" s="115"/>
      <c r="M106" s="115"/>
      <c r="N106" s="115"/>
      <c r="O106" s="115"/>
      <c r="P106" s="115"/>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5"/>
      <c r="AT106" s="115"/>
      <c r="AU106" s="115"/>
      <c r="AV106" s="115"/>
      <c r="AW106" s="115"/>
      <c r="AX106" s="115"/>
      <c r="AY106" s="115"/>
      <c r="AZ106" s="115"/>
      <c r="BA106" s="115"/>
      <c r="BB106" s="115"/>
      <c r="BC106" s="115"/>
      <c r="BD106" s="115"/>
      <c r="BE106" s="115"/>
      <c r="BF106" s="115"/>
      <c r="BG106" s="115"/>
      <c r="BH106" s="115"/>
    </row>
    <row r="107" spans="1:60" ht="15.75" customHeight="1" x14ac:dyDescent="0.25">
      <c r="A107" s="115"/>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115"/>
    </row>
    <row r="108" spans="1:60" ht="15.75" customHeight="1" x14ac:dyDescent="0.25">
      <c r="A108" s="11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c r="AN108" s="115"/>
      <c r="AO108" s="115"/>
      <c r="AP108" s="115"/>
      <c r="AQ108" s="115"/>
      <c r="AR108" s="115"/>
      <c r="AS108" s="115"/>
      <c r="AT108" s="115"/>
      <c r="AU108" s="115"/>
      <c r="AV108" s="115"/>
      <c r="AW108" s="115"/>
      <c r="AX108" s="115"/>
      <c r="AY108" s="115"/>
      <c r="AZ108" s="115"/>
      <c r="BA108" s="115"/>
      <c r="BB108" s="115"/>
      <c r="BC108" s="115"/>
      <c r="BD108" s="115"/>
      <c r="BE108" s="115"/>
      <c r="BF108" s="115"/>
      <c r="BG108" s="115"/>
      <c r="BH108" s="115"/>
    </row>
    <row r="109" spans="1:60" ht="15.75" customHeight="1" x14ac:dyDescent="0.25">
      <c r="A109" s="115"/>
      <c r="B109" s="115"/>
      <c r="C109" s="115"/>
      <c r="D109" s="115"/>
      <c r="E109" s="115"/>
      <c r="F109" s="115"/>
      <c r="G109" s="115"/>
      <c r="H109" s="115"/>
      <c r="I109" s="115"/>
      <c r="J109" s="115"/>
      <c r="K109" s="115"/>
      <c r="L109" s="115"/>
      <c r="M109" s="115"/>
      <c r="N109" s="115"/>
      <c r="O109" s="115"/>
      <c r="P109" s="115"/>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c r="AN109" s="115"/>
      <c r="AO109" s="115"/>
      <c r="AP109" s="115"/>
      <c r="AQ109" s="115"/>
      <c r="AR109" s="115"/>
      <c r="AS109" s="115"/>
      <c r="AT109" s="115"/>
      <c r="AU109" s="115"/>
      <c r="AV109" s="115"/>
      <c r="AW109" s="115"/>
      <c r="AX109" s="115"/>
      <c r="AY109" s="115"/>
      <c r="AZ109" s="115"/>
      <c r="BA109" s="115"/>
      <c r="BB109" s="115"/>
      <c r="BC109" s="115"/>
      <c r="BD109" s="115"/>
      <c r="BE109" s="115"/>
      <c r="BF109" s="115"/>
      <c r="BG109" s="115"/>
      <c r="BH109" s="115"/>
    </row>
    <row r="110" spans="1:60" ht="15.75" customHeight="1" x14ac:dyDescent="0.25">
      <c r="A110" s="115"/>
      <c r="B110" s="115"/>
      <c r="C110" s="115"/>
      <c r="D110" s="115"/>
      <c r="E110" s="115"/>
      <c r="F110" s="115"/>
      <c r="G110" s="115"/>
      <c r="H110" s="115"/>
      <c r="I110" s="115"/>
      <c r="J110" s="115"/>
      <c r="K110" s="115"/>
      <c r="L110" s="115"/>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115"/>
      <c r="BH110" s="115"/>
    </row>
    <row r="111" spans="1:60" ht="15.75" customHeight="1" x14ac:dyDescent="0.25">
      <c r="A111" s="115"/>
      <c r="B111" s="115"/>
      <c r="C111" s="115"/>
      <c r="D111" s="115"/>
      <c r="E111" s="115"/>
      <c r="F111" s="115"/>
      <c r="G111" s="115"/>
      <c r="H111" s="115"/>
      <c r="I111" s="115"/>
      <c r="J111" s="115"/>
      <c r="K111" s="115"/>
      <c r="L111" s="115"/>
      <c r="M111" s="115"/>
      <c r="N111" s="115"/>
      <c r="O111" s="115"/>
      <c r="P111" s="115"/>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c r="AN111" s="115"/>
      <c r="AO111" s="115"/>
      <c r="AP111" s="115"/>
      <c r="AQ111" s="115"/>
      <c r="AR111" s="115"/>
      <c r="AS111" s="115"/>
      <c r="AT111" s="115"/>
      <c r="AU111" s="115"/>
      <c r="AV111" s="115"/>
      <c r="AW111" s="115"/>
      <c r="AX111" s="115"/>
      <c r="AY111" s="115"/>
      <c r="AZ111" s="115"/>
      <c r="BA111" s="115"/>
      <c r="BB111" s="115"/>
      <c r="BC111" s="115"/>
      <c r="BD111" s="115"/>
      <c r="BE111" s="115"/>
      <c r="BF111" s="115"/>
      <c r="BG111" s="115"/>
      <c r="BH111" s="115"/>
    </row>
    <row r="112" spans="1:60" ht="15.75" customHeight="1" x14ac:dyDescent="0.25">
      <c r="A112" s="115"/>
      <c r="B112" s="115"/>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15"/>
      <c r="BF112" s="115"/>
      <c r="BG112" s="115"/>
      <c r="BH112" s="115"/>
    </row>
    <row r="113" spans="1:60" ht="15.75" customHeight="1" x14ac:dyDescent="0.25">
      <c r="A113" s="115"/>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c r="AN113" s="115"/>
      <c r="AO113" s="115"/>
      <c r="AP113" s="115"/>
      <c r="AQ113" s="115"/>
      <c r="AR113" s="115"/>
      <c r="AS113" s="115"/>
      <c r="AT113" s="115"/>
      <c r="AU113" s="115"/>
      <c r="AV113" s="115"/>
      <c r="AW113" s="115"/>
      <c r="AX113" s="115"/>
      <c r="AY113" s="115"/>
      <c r="AZ113" s="115"/>
      <c r="BA113" s="115"/>
      <c r="BB113" s="115"/>
      <c r="BC113" s="115"/>
      <c r="BD113" s="115"/>
      <c r="BE113" s="115"/>
      <c r="BF113" s="115"/>
      <c r="BG113" s="115"/>
      <c r="BH113" s="115"/>
    </row>
    <row r="114" spans="1:60" ht="15.75" customHeight="1" x14ac:dyDescent="0.25">
      <c r="A114" s="115"/>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15"/>
      <c r="AY114" s="115"/>
      <c r="AZ114" s="115"/>
      <c r="BA114" s="115"/>
      <c r="BB114" s="115"/>
      <c r="BC114" s="115"/>
      <c r="BD114" s="115"/>
      <c r="BE114" s="115"/>
      <c r="BF114" s="115"/>
      <c r="BG114" s="115"/>
      <c r="BH114" s="115"/>
    </row>
    <row r="115" spans="1:60" ht="15.75" customHeight="1" x14ac:dyDescent="0.25">
      <c r="A115" s="115"/>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c r="AN115" s="115"/>
      <c r="AO115" s="115"/>
      <c r="AP115" s="115"/>
      <c r="AQ115" s="115"/>
      <c r="AR115" s="115"/>
      <c r="AS115" s="115"/>
      <c r="AT115" s="115"/>
      <c r="AU115" s="115"/>
      <c r="AV115" s="115"/>
      <c r="AW115" s="115"/>
      <c r="AX115" s="115"/>
      <c r="AY115" s="115"/>
      <c r="AZ115" s="115"/>
      <c r="BA115" s="115"/>
      <c r="BB115" s="115"/>
      <c r="BC115" s="115"/>
      <c r="BD115" s="115"/>
      <c r="BE115" s="115"/>
      <c r="BF115" s="115"/>
      <c r="BG115" s="115"/>
      <c r="BH115" s="115"/>
    </row>
    <row r="116" spans="1:60" ht="15.75" customHeight="1" x14ac:dyDescent="0.25">
      <c r="A116" s="115"/>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5"/>
      <c r="BF116" s="115"/>
      <c r="BG116" s="115"/>
      <c r="BH116" s="115"/>
    </row>
    <row r="117" spans="1:60" ht="15.75" customHeight="1" x14ac:dyDescent="0.25">
      <c r="A117" s="115"/>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c r="AN117" s="115"/>
      <c r="AO117" s="115"/>
      <c r="AP117" s="115"/>
      <c r="AQ117" s="115"/>
      <c r="AR117" s="115"/>
      <c r="AS117" s="115"/>
      <c r="AT117" s="115"/>
      <c r="AU117" s="115"/>
      <c r="AV117" s="115"/>
      <c r="AW117" s="115"/>
      <c r="AX117" s="115"/>
      <c r="AY117" s="115"/>
      <c r="AZ117" s="115"/>
      <c r="BA117" s="115"/>
      <c r="BB117" s="115"/>
      <c r="BC117" s="115"/>
      <c r="BD117" s="115"/>
      <c r="BE117" s="115"/>
      <c r="BF117" s="115"/>
      <c r="BG117" s="115"/>
      <c r="BH117" s="115"/>
    </row>
    <row r="118" spans="1:60" ht="15.75" customHeight="1" x14ac:dyDescent="0.25">
      <c r="A118" s="115"/>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c r="BG118" s="115"/>
      <c r="BH118" s="115"/>
    </row>
    <row r="119" spans="1:60" ht="15.75" customHeight="1" x14ac:dyDescent="0.25">
      <c r="A119" s="115"/>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15"/>
      <c r="BF119" s="115"/>
      <c r="BG119" s="115"/>
      <c r="BH119" s="115"/>
    </row>
    <row r="120" spans="1:60" ht="15.75" customHeight="1" x14ac:dyDescent="0.25">
      <c r="A120" s="115"/>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W120" s="115"/>
      <c r="AX120" s="115"/>
      <c r="AY120" s="115"/>
      <c r="AZ120" s="115"/>
      <c r="BA120" s="115"/>
      <c r="BB120" s="115"/>
      <c r="BC120" s="115"/>
      <c r="BD120" s="115"/>
      <c r="BE120" s="115"/>
      <c r="BF120" s="115"/>
      <c r="BG120" s="115"/>
      <c r="BH120" s="115"/>
    </row>
    <row r="121" spans="1:60" ht="15.75" customHeight="1" x14ac:dyDescent="0.25">
      <c r="A121" s="11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W121" s="115"/>
      <c r="AX121" s="115"/>
      <c r="AY121" s="115"/>
      <c r="AZ121" s="115"/>
      <c r="BA121" s="115"/>
      <c r="BB121" s="115"/>
      <c r="BC121" s="115"/>
      <c r="BD121" s="115"/>
      <c r="BE121" s="115"/>
      <c r="BF121" s="115"/>
      <c r="BG121" s="115"/>
      <c r="BH121" s="115"/>
    </row>
    <row r="122" spans="1:60" ht="15.75" customHeight="1" x14ac:dyDescent="0.25">
      <c r="A122" s="115"/>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115"/>
      <c r="BF122" s="115"/>
      <c r="BG122" s="115"/>
      <c r="BH122" s="115"/>
    </row>
    <row r="123" spans="1:60" ht="15.75" customHeight="1" x14ac:dyDescent="0.25">
      <c r="A123" s="115"/>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c r="AN123" s="115"/>
      <c r="AO123" s="115"/>
      <c r="AP123" s="115"/>
      <c r="AQ123" s="115"/>
      <c r="AR123" s="115"/>
      <c r="AS123" s="115"/>
      <c r="AT123" s="115"/>
      <c r="AU123" s="115"/>
      <c r="AV123" s="115"/>
      <c r="AW123" s="115"/>
      <c r="AX123" s="115"/>
      <c r="AY123" s="115"/>
      <c r="AZ123" s="115"/>
      <c r="BA123" s="115"/>
      <c r="BB123" s="115"/>
      <c r="BC123" s="115"/>
      <c r="BD123" s="115"/>
      <c r="BE123" s="115"/>
      <c r="BF123" s="115"/>
      <c r="BG123" s="115"/>
      <c r="BH123" s="115"/>
    </row>
    <row r="124" spans="1:60" ht="15.75" customHeight="1" x14ac:dyDescent="0.25">
      <c r="A124" s="115"/>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115"/>
      <c r="BH124" s="115"/>
    </row>
    <row r="125" spans="1:60" ht="15.75" customHeight="1" x14ac:dyDescent="0.25">
      <c r="A125" s="115"/>
      <c r="B125" s="115"/>
      <c r="C125" s="115"/>
      <c r="D125" s="115"/>
      <c r="E125" s="115"/>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row>
    <row r="126" spans="1:60" ht="15.75" customHeight="1" x14ac:dyDescent="0.25">
      <c r="A126" s="11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5"/>
      <c r="BF126" s="115"/>
      <c r="BG126" s="115"/>
      <c r="BH126" s="115"/>
    </row>
    <row r="127" spans="1:60" ht="15.75" customHeight="1" x14ac:dyDescent="0.25">
      <c r="A127" s="115"/>
      <c r="B127" s="115"/>
      <c r="C127" s="115"/>
      <c r="D127" s="115"/>
      <c r="E127" s="115"/>
      <c r="F127" s="115"/>
      <c r="G127" s="115"/>
      <c r="H127" s="115"/>
      <c r="I127" s="115"/>
      <c r="J127" s="115"/>
      <c r="K127" s="115"/>
      <c r="L127" s="115"/>
      <c r="M127" s="115"/>
      <c r="N127" s="115"/>
      <c r="O127" s="115"/>
      <c r="P127" s="115"/>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c r="AN127" s="115"/>
      <c r="AO127" s="115"/>
      <c r="AP127" s="115"/>
      <c r="AQ127" s="115"/>
      <c r="AR127" s="115"/>
      <c r="AS127" s="115"/>
      <c r="AT127" s="115"/>
      <c r="AU127" s="115"/>
      <c r="AV127" s="115"/>
      <c r="AW127" s="115"/>
      <c r="AX127" s="115"/>
      <c r="AY127" s="115"/>
      <c r="AZ127" s="115"/>
      <c r="BA127" s="115"/>
      <c r="BB127" s="115"/>
      <c r="BC127" s="115"/>
      <c r="BD127" s="115"/>
      <c r="BE127" s="115"/>
      <c r="BF127" s="115"/>
      <c r="BG127" s="115"/>
      <c r="BH127" s="115"/>
    </row>
    <row r="128" spans="1:60" ht="15.75" customHeight="1" x14ac:dyDescent="0.25">
      <c r="A128" s="115"/>
      <c r="B128" s="115"/>
      <c r="C128" s="115"/>
      <c r="D128" s="115"/>
      <c r="E128" s="115"/>
      <c r="F128" s="115"/>
      <c r="G128" s="115"/>
      <c r="H128" s="115"/>
      <c r="I128" s="115"/>
      <c r="J128" s="115"/>
      <c r="K128" s="115"/>
      <c r="L128" s="115"/>
      <c r="M128" s="115"/>
      <c r="N128" s="115"/>
      <c r="O128" s="115"/>
      <c r="P128" s="115"/>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c r="AN128" s="115"/>
      <c r="AO128" s="115"/>
      <c r="AP128" s="115"/>
      <c r="AQ128" s="115"/>
      <c r="AR128" s="115"/>
      <c r="AS128" s="115"/>
      <c r="AT128" s="115"/>
      <c r="AU128" s="115"/>
      <c r="AV128" s="115"/>
      <c r="AW128" s="115"/>
      <c r="AX128" s="115"/>
      <c r="AY128" s="115"/>
      <c r="AZ128" s="115"/>
      <c r="BA128" s="115"/>
      <c r="BB128" s="115"/>
      <c r="BC128" s="115"/>
      <c r="BD128" s="115"/>
      <c r="BE128" s="115"/>
      <c r="BF128" s="115"/>
      <c r="BG128" s="115"/>
      <c r="BH128" s="115"/>
    </row>
    <row r="129" spans="1:60" ht="15.75" customHeight="1" x14ac:dyDescent="0.25">
      <c r="A129" s="11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c r="BG129" s="115"/>
      <c r="BH129" s="115"/>
    </row>
    <row r="130" spans="1:60" ht="15.75" customHeight="1" x14ac:dyDescent="0.25">
      <c r="A130" s="115"/>
      <c r="B130" s="115"/>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15"/>
      <c r="BF130" s="115"/>
      <c r="BG130" s="115"/>
      <c r="BH130" s="115"/>
    </row>
    <row r="131" spans="1:60" ht="15.75" customHeight="1" x14ac:dyDescent="0.25">
      <c r="A131" s="115"/>
      <c r="B131" s="115"/>
      <c r="C131" s="115"/>
      <c r="D131" s="115"/>
      <c r="E131" s="115"/>
      <c r="F131" s="115"/>
      <c r="G131" s="115"/>
      <c r="H131" s="115"/>
      <c r="I131" s="115"/>
      <c r="J131" s="115"/>
      <c r="K131" s="115"/>
      <c r="L131" s="115"/>
      <c r="M131" s="115"/>
      <c r="N131" s="115"/>
      <c r="O131" s="115"/>
      <c r="P131" s="115"/>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c r="AN131" s="115"/>
      <c r="AO131" s="115"/>
      <c r="AP131" s="115"/>
      <c r="AQ131" s="115"/>
      <c r="AR131" s="115"/>
      <c r="AS131" s="115"/>
      <c r="AT131" s="115"/>
      <c r="AU131" s="115"/>
      <c r="AV131" s="115"/>
      <c r="AW131" s="115"/>
      <c r="AX131" s="115"/>
      <c r="AY131" s="115"/>
      <c r="AZ131" s="115"/>
      <c r="BA131" s="115"/>
      <c r="BB131" s="115"/>
      <c r="BC131" s="115"/>
      <c r="BD131" s="115"/>
      <c r="BE131" s="115"/>
      <c r="BF131" s="115"/>
      <c r="BG131" s="115"/>
      <c r="BH131" s="115"/>
    </row>
    <row r="132" spans="1:60" ht="15.75" customHeight="1" x14ac:dyDescent="0.25">
      <c r="A132" s="11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row>
    <row r="133" spans="1:60" ht="15.75" customHeight="1" x14ac:dyDescent="0.25">
      <c r="A133" s="11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c r="AN133" s="115"/>
      <c r="AO133" s="115"/>
      <c r="AP133" s="115"/>
      <c r="AQ133" s="115"/>
      <c r="AR133" s="115"/>
      <c r="AS133" s="115"/>
      <c r="AT133" s="115"/>
      <c r="AU133" s="115"/>
      <c r="AV133" s="115"/>
      <c r="AW133" s="115"/>
      <c r="AX133" s="115"/>
      <c r="AY133" s="115"/>
      <c r="AZ133" s="115"/>
      <c r="BA133" s="115"/>
      <c r="BB133" s="115"/>
      <c r="BC133" s="115"/>
      <c r="BD133" s="115"/>
      <c r="BE133" s="115"/>
      <c r="BF133" s="115"/>
      <c r="BG133" s="115"/>
      <c r="BH133" s="115"/>
    </row>
    <row r="134" spans="1:60" ht="15.75" customHeight="1" x14ac:dyDescent="0.25">
      <c r="A134" s="115"/>
      <c r="B134" s="115"/>
      <c r="C134" s="115"/>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c r="BF134" s="115"/>
      <c r="BG134" s="115"/>
      <c r="BH134" s="115"/>
    </row>
    <row r="135" spans="1:60" ht="15.75" customHeight="1" x14ac:dyDescent="0.25">
      <c r="A135" s="115"/>
      <c r="B135" s="115"/>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115"/>
      <c r="BH135" s="115"/>
    </row>
    <row r="136" spans="1:60" ht="15.75" customHeight="1" x14ac:dyDescent="0.25">
      <c r="A136" s="115"/>
      <c r="B136" s="115"/>
      <c r="C136" s="115"/>
      <c r="D136" s="115"/>
      <c r="E136" s="115"/>
      <c r="F136" s="115"/>
      <c r="G136" s="115"/>
      <c r="H136" s="115"/>
      <c r="I136" s="115"/>
      <c r="J136" s="115"/>
      <c r="K136" s="115"/>
      <c r="L136" s="115"/>
      <c r="M136" s="115"/>
      <c r="N136" s="115"/>
      <c r="O136" s="115"/>
      <c r="P136" s="115"/>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c r="AN136" s="115"/>
      <c r="AO136" s="115"/>
      <c r="AP136" s="115"/>
      <c r="AQ136" s="115"/>
      <c r="AR136" s="115"/>
      <c r="AS136" s="115"/>
      <c r="AT136" s="115"/>
      <c r="AU136" s="115"/>
      <c r="AV136" s="115"/>
      <c r="AW136" s="115"/>
      <c r="AX136" s="115"/>
      <c r="AY136" s="115"/>
      <c r="AZ136" s="115"/>
      <c r="BA136" s="115"/>
      <c r="BB136" s="115"/>
      <c r="BC136" s="115"/>
      <c r="BD136" s="115"/>
      <c r="BE136" s="115"/>
      <c r="BF136" s="115"/>
      <c r="BG136" s="115"/>
      <c r="BH136" s="115"/>
    </row>
    <row r="137" spans="1:60" ht="15.75" customHeight="1" x14ac:dyDescent="0.25">
      <c r="A137" s="115"/>
      <c r="B137" s="115"/>
      <c r="C137" s="115"/>
      <c r="D137" s="115"/>
      <c r="E137" s="115"/>
      <c r="F137" s="115"/>
      <c r="G137" s="115"/>
      <c r="H137" s="115"/>
      <c r="I137" s="115"/>
      <c r="J137" s="115"/>
      <c r="K137" s="115"/>
      <c r="L137" s="115"/>
      <c r="M137" s="115"/>
      <c r="N137" s="115"/>
      <c r="O137" s="115"/>
      <c r="P137" s="115"/>
      <c r="Q137" s="115"/>
      <c r="R137" s="115"/>
      <c r="S137" s="115"/>
      <c r="T137" s="115"/>
      <c r="U137" s="115"/>
      <c r="V137" s="115"/>
      <c r="W137" s="115"/>
      <c r="X137" s="115"/>
      <c r="Y137" s="115"/>
      <c r="Z137" s="115"/>
      <c r="AA137" s="115"/>
      <c r="AB137" s="115"/>
      <c r="AC137" s="115"/>
      <c r="AD137" s="115"/>
      <c r="AE137" s="115"/>
      <c r="AF137" s="115"/>
      <c r="AG137" s="115"/>
      <c r="AH137" s="115"/>
      <c r="AI137" s="115"/>
      <c r="AJ137" s="115"/>
      <c r="AK137" s="115"/>
      <c r="AL137" s="115"/>
      <c r="AM137" s="115"/>
      <c r="AN137" s="115"/>
      <c r="AO137" s="115"/>
      <c r="AP137" s="115"/>
      <c r="AQ137" s="115"/>
      <c r="AR137" s="115"/>
      <c r="AS137" s="115"/>
      <c r="AT137" s="115"/>
      <c r="AU137" s="115"/>
      <c r="AV137" s="115"/>
      <c r="AW137" s="115"/>
      <c r="AX137" s="115"/>
      <c r="AY137" s="115"/>
      <c r="AZ137" s="115"/>
      <c r="BA137" s="115"/>
      <c r="BB137" s="115"/>
      <c r="BC137" s="115"/>
      <c r="BD137" s="115"/>
      <c r="BE137" s="115"/>
      <c r="BF137" s="115"/>
      <c r="BG137" s="115"/>
      <c r="BH137" s="115"/>
    </row>
    <row r="138" spans="1:60" ht="15.75" customHeight="1" x14ac:dyDescent="0.25">
      <c r="A138" s="115"/>
      <c r="B138" s="115"/>
      <c r="C138" s="115"/>
      <c r="D138" s="115"/>
      <c r="E138" s="115"/>
      <c r="F138" s="115"/>
      <c r="G138" s="115"/>
      <c r="H138" s="115"/>
      <c r="I138" s="115"/>
      <c r="J138" s="115"/>
      <c r="K138" s="115"/>
      <c r="L138" s="115"/>
      <c r="M138" s="115"/>
      <c r="N138" s="115"/>
      <c r="O138" s="115"/>
      <c r="P138" s="115"/>
      <c r="Q138" s="115"/>
      <c r="R138" s="115"/>
      <c r="S138" s="115"/>
      <c r="T138" s="115"/>
      <c r="U138" s="115"/>
      <c r="V138" s="115"/>
      <c r="W138" s="115"/>
      <c r="X138" s="115"/>
      <c r="Y138" s="115"/>
      <c r="Z138" s="115"/>
      <c r="AA138" s="115"/>
      <c r="AB138" s="115"/>
      <c r="AC138" s="115"/>
      <c r="AD138" s="115"/>
      <c r="AE138" s="115"/>
      <c r="AF138" s="115"/>
      <c r="AG138" s="115"/>
      <c r="AH138" s="115"/>
      <c r="AI138" s="115"/>
      <c r="AJ138" s="115"/>
      <c r="AK138" s="115"/>
      <c r="AL138" s="115"/>
      <c r="AM138" s="115"/>
      <c r="AN138" s="115"/>
      <c r="AO138" s="115"/>
      <c r="AP138" s="115"/>
      <c r="AQ138" s="115"/>
      <c r="AR138" s="115"/>
      <c r="AS138" s="115"/>
      <c r="AT138" s="115"/>
      <c r="AU138" s="115"/>
      <c r="AV138" s="115"/>
      <c r="AW138" s="115"/>
      <c r="AX138" s="115"/>
      <c r="AY138" s="115"/>
      <c r="AZ138" s="115"/>
      <c r="BA138" s="115"/>
      <c r="BB138" s="115"/>
      <c r="BC138" s="115"/>
      <c r="BD138" s="115"/>
      <c r="BE138" s="115"/>
      <c r="BF138" s="115"/>
      <c r="BG138" s="115"/>
      <c r="BH138" s="115"/>
    </row>
    <row r="139" spans="1:60" ht="15.75" customHeight="1" x14ac:dyDescent="0.25">
      <c r="A139" s="115"/>
      <c r="B139" s="115"/>
      <c r="C139" s="115"/>
      <c r="D139" s="115"/>
      <c r="E139" s="115"/>
      <c r="F139" s="115"/>
      <c r="G139" s="115"/>
      <c r="H139" s="115"/>
      <c r="I139" s="115"/>
      <c r="J139" s="115"/>
      <c r="K139" s="115"/>
      <c r="L139" s="115"/>
      <c r="M139" s="115"/>
      <c r="N139" s="115"/>
      <c r="O139" s="115"/>
      <c r="P139" s="115"/>
      <c r="Q139" s="115"/>
      <c r="R139" s="115"/>
      <c r="S139" s="115"/>
      <c r="T139" s="115"/>
      <c r="U139" s="115"/>
      <c r="V139" s="115"/>
      <c r="W139" s="115"/>
      <c r="X139" s="115"/>
      <c r="Y139" s="115"/>
      <c r="Z139" s="115"/>
      <c r="AA139" s="115"/>
      <c r="AB139" s="115"/>
      <c r="AC139" s="115"/>
      <c r="AD139" s="115"/>
      <c r="AE139" s="115"/>
      <c r="AF139" s="115"/>
      <c r="AG139" s="115"/>
      <c r="AH139" s="115"/>
      <c r="AI139" s="115"/>
      <c r="AJ139" s="115"/>
      <c r="AK139" s="115"/>
      <c r="AL139" s="115"/>
      <c r="AM139" s="115"/>
      <c r="AN139" s="115"/>
      <c r="AO139" s="115"/>
      <c r="AP139" s="115"/>
      <c r="AQ139" s="115"/>
      <c r="AR139" s="115"/>
      <c r="AS139" s="115"/>
      <c r="AT139" s="115"/>
      <c r="AU139" s="115"/>
      <c r="AV139" s="115"/>
      <c r="AW139" s="115"/>
      <c r="AX139" s="115"/>
      <c r="AY139" s="115"/>
      <c r="AZ139" s="115"/>
      <c r="BA139" s="115"/>
      <c r="BB139" s="115"/>
      <c r="BC139" s="115"/>
      <c r="BD139" s="115"/>
      <c r="BE139" s="115"/>
      <c r="BF139" s="115"/>
      <c r="BG139" s="115"/>
      <c r="BH139" s="115"/>
    </row>
    <row r="140" spans="1:60" ht="15.75" customHeight="1" x14ac:dyDescent="0.25">
      <c r="A140" s="115"/>
      <c r="B140" s="115"/>
      <c r="C140" s="115"/>
      <c r="D140" s="115"/>
      <c r="E140" s="115"/>
      <c r="F140" s="115"/>
      <c r="G140" s="115"/>
      <c r="H140" s="115"/>
      <c r="I140" s="115"/>
      <c r="J140" s="115"/>
      <c r="K140" s="115"/>
      <c r="L140" s="115"/>
      <c r="M140" s="115"/>
      <c r="N140" s="115"/>
      <c r="O140" s="115"/>
      <c r="P140" s="115"/>
      <c r="Q140" s="115"/>
      <c r="R140" s="115"/>
      <c r="S140" s="115"/>
      <c r="T140" s="115"/>
      <c r="U140" s="115"/>
      <c r="V140" s="115"/>
      <c r="W140" s="115"/>
      <c r="X140" s="115"/>
      <c r="Y140" s="115"/>
      <c r="Z140" s="115"/>
      <c r="AA140" s="115"/>
      <c r="AB140" s="115"/>
      <c r="AC140" s="115"/>
      <c r="AD140" s="115"/>
      <c r="AE140" s="115"/>
      <c r="AF140" s="115"/>
      <c r="AG140" s="115"/>
      <c r="AH140" s="115"/>
      <c r="AI140" s="115"/>
      <c r="AJ140" s="115"/>
      <c r="AK140" s="115"/>
      <c r="AL140" s="115"/>
      <c r="AM140" s="115"/>
      <c r="AN140" s="115"/>
      <c r="AO140" s="115"/>
      <c r="AP140" s="115"/>
      <c r="AQ140" s="115"/>
      <c r="AR140" s="115"/>
      <c r="AS140" s="115"/>
      <c r="AT140" s="115"/>
      <c r="AU140" s="115"/>
      <c r="AV140" s="115"/>
      <c r="AW140" s="115"/>
      <c r="AX140" s="115"/>
      <c r="AY140" s="115"/>
      <c r="AZ140" s="115"/>
      <c r="BA140" s="115"/>
      <c r="BB140" s="115"/>
      <c r="BC140" s="115"/>
      <c r="BD140" s="115"/>
      <c r="BE140" s="115"/>
      <c r="BF140" s="115"/>
      <c r="BG140" s="115"/>
      <c r="BH140" s="115"/>
    </row>
    <row r="141" spans="1:60" ht="15.75" customHeight="1" x14ac:dyDescent="0.25">
      <c r="A141" s="115"/>
      <c r="B141" s="115"/>
      <c r="C141" s="115"/>
      <c r="D141" s="115"/>
      <c r="E141" s="115"/>
      <c r="F141" s="115"/>
      <c r="G141" s="115"/>
      <c r="H141" s="115"/>
      <c r="I141" s="115"/>
      <c r="J141" s="115"/>
      <c r="K141" s="115"/>
      <c r="L141" s="115"/>
      <c r="M141" s="115"/>
      <c r="N141" s="115"/>
      <c r="O141" s="115"/>
      <c r="P141" s="115"/>
      <c r="Q141" s="115"/>
      <c r="R141" s="115"/>
      <c r="S141" s="115"/>
      <c r="T141" s="115"/>
      <c r="U141" s="115"/>
      <c r="V141" s="115"/>
      <c r="W141" s="115"/>
      <c r="X141" s="115"/>
      <c r="Y141" s="115"/>
      <c r="Z141" s="115"/>
      <c r="AA141" s="115"/>
      <c r="AB141" s="115"/>
      <c r="AC141" s="115"/>
      <c r="AD141" s="115"/>
      <c r="AE141" s="115"/>
      <c r="AF141" s="115"/>
      <c r="AG141" s="115"/>
      <c r="AH141" s="115"/>
      <c r="AI141" s="115"/>
      <c r="AJ141" s="115"/>
      <c r="AK141" s="115"/>
      <c r="AL141" s="115"/>
      <c r="AM141" s="115"/>
      <c r="AN141" s="115"/>
      <c r="AO141" s="115"/>
      <c r="AP141" s="115"/>
      <c r="AQ141" s="115"/>
      <c r="AR141" s="115"/>
      <c r="AS141" s="115"/>
      <c r="AT141" s="115"/>
      <c r="AU141" s="115"/>
      <c r="AV141" s="115"/>
      <c r="AW141" s="115"/>
      <c r="AX141" s="115"/>
      <c r="AY141" s="115"/>
      <c r="AZ141" s="115"/>
      <c r="BA141" s="115"/>
      <c r="BB141" s="115"/>
      <c r="BC141" s="115"/>
      <c r="BD141" s="115"/>
      <c r="BE141" s="115"/>
      <c r="BF141" s="115"/>
      <c r="BG141" s="115"/>
      <c r="BH141" s="115"/>
    </row>
    <row r="142" spans="1:60" ht="15.75" customHeight="1" x14ac:dyDescent="0.25">
      <c r="A142" s="115"/>
      <c r="B142" s="115"/>
      <c r="C142" s="115"/>
      <c r="D142" s="115"/>
      <c r="E142" s="115"/>
      <c r="F142" s="115"/>
      <c r="G142" s="115"/>
      <c r="H142" s="115"/>
      <c r="I142" s="115"/>
      <c r="J142" s="115"/>
      <c r="K142" s="115"/>
      <c r="L142" s="115"/>
      <c r="M142" s="115"/>
      <c r="N142" s="115"/>
      <c r="O142" s="115"/>
      <c r="P142" s="115"/>
      <c r="Q142" s="115"/>
      <c r="R142" s="115"/>
      <c r="S142" s="115"/>
      <c r="T142" s="115"/>
      <c r="U142" s="115"/>
      <c r="V142" s="115"/>
      <c r="W142" s="115"/>
      <c r="X142" s="115"/>
      <c r="Y142" s="115"/>
      <c r="Z142" s="115"/>
      <c r="AA142" s="115"/>
      <c r="AB142" s="115"/>
      <c r="AC142" s="115"/>
      <c r="AD142" s="115"/>
      <c r="AE142" s="115"/>
      <c r="AF142" s="115"/>
      <c r="AG142" s="115"/>
      <c r="AH142" s="115"/>
      <c r="AI142" s="115"/>
      <c r="AJ142" s="115"/>
      <c r="AK142" s="115"/>
      <c r="AL142" s="115"/>
      <c r="AM142" s="115"/>
      <c r="AN142" s="115"/>
      <c r="AO142" s="115"/>
      <c r="AP142" s="115"/>
      <c r="AQ142" s="115"/>
      <c r="AR142" s="115"/>
      <c r="AS142" s="115"/>
      <c r="AT142" s="115"/>
      <c r="AU142" s="115"/>
      <c r="AV142" s="115"/>
      <c r="AW142" s="115"/>
      <c r="AX142" s="115"/>
      <c r="AY142" s="115"/>
      <c r="AZ142" s="115"/>
      <c r="BA142" s="115"/>
      <c r="BB142" s="115"/>
      <c r="BC142" s="115"/>
      <c r="BD142" s="115"/>
      <c r="BE142" s="115"/>
      <c r="BF142" s="115"/>
      <c r="BG142" s="115"/>
      <c r="BH142" s="115"/>
    </row>
    <row r="143" spans="1:60" ht="15.75" customHeight="1" x14ac:dyDescent="0.25">
      <c r="A143" s="115"/>
      <c r="B143" s="115"/>
      <c r="C143" s="115"/>
      <c r="D143" s="115"/>
      <c r="E143" s="115"/>
      <c r="F143" s="115"/>
      <c r="G143" s="115"/>
      <c r="H143" s="115"/>
      <c r="I143" s="115"/>
      <c r="J143" s="115"/>
      <c r="K143" s="115"/>
      <c r="L143" s="115"/>
      <c r="M143" s="115"/>
      <c r="N143" s="115"/>
      <c r="O143" s="115"/>
      <c r="P143" s="115"/>
      <c r="Q143" s="115"/>
      <c r="R143" s="115"/>
      <c r="S143" s="115"/>
      <c r="T143" s="115"/>
      <c r="U143" s="115"/>
      <c r="V143" s="115"/>
      <c r="W143" s="115"/>
      <c r="X143" s="115"/>
      <c r="Y143" s="115"/>
      <c r="Z143" s="115"/>
      <c r="AA143" s="115"/>
      <c r="AB143" s="115"/>
      <c r="AC143" s="115"/>
      <c r="AD143" s="115"/>
      <c r="AE143" s="115"/>
      <c r="AF143" s="115"/>
      <c r="AG143" s="115"/>
      <c r="AH143" s="115"/>
      <c r="AI143" s="115"/>
      <c r="AJ143" s="115"/>
      <c r="AK143" s="115"/>
      <c r="AL143" s="115"/>
      <c r="AM143" s="115"/>
      <c r="AN143" s="115"/>
      <c r="AO143" s="115"/>
      <c r="AP143" s="115"/>
      <c r="AQ143" s="115"/>
      <c r="AR143" s="115"/>
      <c r="AS143" s="115"/>
      <c r="AT143" s="115"/>
      <c r="AU143" s="115"/>
      <c r="AV143" s="115"/>
      <c r="AW143" s="115"/>
      <c r="AX143" s="115"/>
      <c r="AY143" s="115"/>
      <c r="AZ143" s="115"/>
      <c r="BA143" s="115"/>
      <c r="BB143" s="115"/>
      <c r="BC143" s="115"/>
      <c r="BD143" s="115"/>
      <c r="BE143" s="115"/>
      <c r="BF143" s="115"/>
      <c r="BG143" s="115"/>
      <c r="BH143" s="115"/>
    </row>
    <row r="144" spans="1:60" ht="15.75" customHeight="1" x14ac:dyDescent="0.25">
      <c r="A144" s="115"/>
      <c r="B144" s="115"/>
      <c r="C144" s="115"/>
      <c r="D144" s="115"/>
      <c r="E144" s="115"/>
      <c r="F144" s="115"/>
      <c r="G144" s="115"/>
      <c r="H144" s="115"/>
      <c r="I144" s="115"/>
      <c r="J144" s="115"/>
      <c r="K144" s="115"/>
      <c r="L144" s="115"/>
      <c r="M144" s="115"/>
      <c r="N144" s="115"/>
      <c r="O144" s="115"/>
      <c r="P144" s="115"/>
      <c r="Q144" s="115"/>
      <c r="R144" s="115"/>
      <c r="S144" s="115"/>
      <c r="T144" s="115"/>
      <c r="U144" s="115"/>
      <c r="V144" s="115"/>
      <c r="W144" s="115"/>
      <c r="X144" s="115"/>
      <c r="Y144" s="115"/>
      <c r="Z144" s="115"/>
      <c r="AA144" s="115"/>
      <c r="AB144" s="115"/>
      <c r="AC144" s="115"/>
      <c r="AD144" s="115"/>
      <c r="AE144" s="115"/>
      <c r="AF144" s="115"/>
      <c r="AG144" s="115"/>
      <c r="AH144" s="115"/>
      <c r="AI144" s="115"/>
      <c r="AJ144" s="115"/>
      <c r="AK144" s="115"/>
      <c r="AL144" s="115"/>
      <c r="AM144" s="115"/>
      <c r="AN144" s="115"/>
      <c r="AO144" s="115"/>
      <c r="AP144" s="115"/>
      <c r="AQ144" s="115"/>
      <c r="AR144" s="115"/>
      <c r="AS144" s="115"/>
      <c r="AT144" s="115"/>
      <c r="AU144" s="115"/>
      <c r="AV144" s="115"/>
      <c r="AW144" s="115"/>
      <c r="AX144" s="115"/>
      <c r="AY144" s="115"/>
      <c r="AZ144" s="115"/>
      <c r="BA144" s="115"/>
      <c r="BB144" s="115"/>
      <c r="BC144" s="115"/>
      <c r="BD144" s="115"/>
      <c r="BE144" s="115"/>
      <c r="BF144" s="115"/>
      <c r="BG144" s="115"/>
      <c r="BH144" s="115"/>
    </row>
    <row r="145" spans="1:60" ht="15.75" customHeight="1" x14ac:dyDescent="0.25">
      <c r="A145" s="115"/>
      <c r="B145" s="115"/>
      <c r="C145" s="115"/>
      <c r="D145" s="115"/>
      <c r="E145" s="115"/>
      <c r="F145" s="115"/>
      <c r="G145" s="115"/>
      <c r="H145" s="115"/>
      <c r="I145" s="115"/>
      <c r="J145" s="115"/>
      <c r="K145" s="115"/>
      <c r="L145" s="115"/>
      <c r="M145" s="115"/>
      <c r="N145" s="115"/>
      <c r="O145" s="115"/>
      <c r="P145" s="115"/>
      <c r="Q145" s="115"/>
      <c r="R145" s="115"/>
      <c r="S145" s="115"/>
      <c r="T145" s="115"/>
      <c r="U145" s="115"/>
      <c r="V145" s="115"/>
      <c r="W145" s="115"/>
      <c r="X145" s="115"/>
      <c r="Y145" s="115"/>
      <c r="Z145" s="115"/>
      <c r="AA145" s="115"/>
      <c r="AB145" s="115"/>
      <c r="AC145" s="115"/>
      <c r="AD145" s="115"/>
      <c r="AE145" s="115"/>
      <c r="AF145" s="115"/>
      <c r="AG145" s="115"/>
      <c r="AH145" s="115"/>
      <c r="AI145" s="115"/>
      <c r="AJ145" s="115"/>
      <c r="AK145" s="115"/>
      <c r="AL145" s="115"/>
      <c r="AM145" s="115"/>
      <c r="AN145" s="115"/>
      <c r="AO145" s="115"/>
      <c r="AP145" s="115"/>
      <c r="AQ145" s="115"/>
      <c r="AR145" s="115"/>
      <c r="AS145" s="115"/>
      <c r="AT145" s="115"/>
      <c r="AU145" s="115"/>
      <c r="AV145" s="115"/>
      <c r="AW145" s="115"/>
      <c r="AX145" s="115"/>
      <c r="AY145" s="115"/>
      <c r="AZ145" s="115"/>
      <c r="BA145" s="115"/>
      <c r="BB145" s="115"/>
      <c r="BC145" s="115"/>
      <c r="BD145" s="115"/>
      <c r="BE145" s="115"/>
      <c r="BF145" s="115"/>
      <c r="BG145" s="115"/>
      <c r="BH145" s="115"/>
    </row>
    <row r="146" spans="1:60" ht="15.75" customHeight="1" x14ac:dyDescent="0.25">
      <c r="A146" s="115"/>
      <c r="B146" s="115"/>
      <c r="C146" s="115"/>
      <c r="D146" s="115"/>
      <c r="E146" s="115"/>
      <c r="F146" s="115"/>
      <c r="G146" s="115"/>
      <c r="H146" s="115"/>
      <c r="I146" s="115"/>
      <c r="J146" s="115"/>
      <c r="K146" s="115"/>
      <c r="L146" s="115"/>
      <c r="M146" s="115"/>
      <c r="N146" s="115"/>
      <c r="O146" s="115"/>
      <c r="P146" s="115"/>
      <c r="Q146" s="115"/>
      <c r="R146" s="115"/>
      <c r="S146" s="115"/>
      <c r="T146" s="115"/>
      <c r="U146" s="115"/>
      <c r="V146" s="115"/>
      <c r="W146" s="115"/>
      <c r="X146" s="115"/>
      <c r="Y146" s="115"/>
      <c r="Z146" s="115"/>
      <c r="AA146" s="115"/>
      <c r="AB146" s="115"/>
      <c r="AC146" s="115"/>
      <c r="AD146" s="115"/>
      <c r="AE146" s="115"/>
      <c r="AF146" s="115"/>
      <c r="AG146" s="115"/>
      <c r="AH146" s="115"/>
      <c r="AI146" s="115"/>
      <c r="AJ146" s="115"/>
      <c r="AK146" s="115"/>
      <c r="AL146" s="115"/>
      <c r="AM146" s="115"/>
      <c r="AN146" s="115"/>
      <c r="AO146" s="115"/>
      <c r="AP146" s="115"/>
      <c r="AQ146" s="115"/>
      <c r="AR146" s="115"/>
      <c r="AS146" s="115"/>
      <c r="AT146" s="115"/>
      <c r="AU146" s="115"/>
      <c r="AV146" s="115"/>
      <c r="AW146" s="115"/>
      <c r="AX146" s="115"/>
      <c r="AY146" s="115"/>
      <c r="AZ146" s="115"/>
      <c r="BA146" s="115"/>
      <c r="BB146" s="115"/>
      <c r="BC146" s="115"/>
      <c r="BD146" s="115"/>
      <c r="BE146" s="115"/>
      <c r="BF146" s="115"/>
      <c r="BG146" s="115"/>
      <c r="BH146" s="115"/>
    </row>
    <row r="147" spans="1:60" ht="15.75" customHeight="1" x14ac:dyDescent="0.25">
      <c r="A147" s="115"/>
      <c r="B147" s="115"/>
      <c r="C147" s="115"/>
      <c r="D147" s="115"/>
      <c r="E147" s="115"/>
      <c r="F147" s="115"/>
      <c r="G147" s="115"/>
      <c r="H147" s="115"/>
      <c r="I147" s="115"/>
      <c r="J147" s="115"/>
      <c r="K147" s="115"/>
      <c r="L147" s="115"/>
      <c r="M147" s="115"/>
      <c r="N147" s="115"/>
      <c r="O147" s="115"/>
      <c r="P147" s="115"/>
      <c r="Q147" s="115"/>
      <c r="R147" s="115"/>
      <c r="S147" s="115"/>
      <c r="T147" s="115"/>
      <c r="U147" s="115"/>
      <c r="V147" s="115"/>
      <c r="W147" s="115"/>
      <c r="X147" s="115"/>
      <c r="Y147" s="115"/>
      <c r="Z147" s="115"/>
      <c r="AA147" s="115"/>
      <c r="AB147" s="115"/>
      <c r="AC147" s="115"/>
      <c r="AD147" s="115"/>
      <c r="AE147" s="115"/>
      <c r="AF147" s="115"/>
      <c r="AG147" s="115"/>
      <c r="AH147" s="115"/>
      <c r="AI147" s="115"/>
      <c r="AJ147" s="115"/>
      <c r="AK147" s="115"/>
      <c r="AL147" s="115"/>
      <c r="AM147" s="115"/>
      <c r="AN147" s="115"/>
      <c r="AO147" s="115"/>
      <c r="AP147" s="115"/>
      <c r="AQ147" s="115"/>
      <c r="AR147" s="115"/>
      <c r="AS147" s="115"/>
      <c r="AT147" s="115"/>
      <c r="AU147" s="115"/>
      <c r="AV147" s="115"/>
      <c r="AW147" s="115"/>
      <c r="AX147" s="115"/>
      <c r="AY147" s="115"/>
      <c r="AZ147" s="115"/>
      <c r="BA147" s="115"/>
      <c r="BB147" s="115"/>
      <c r="BC147" s="115"/>
      <c r="BD147" s="115"/>
      <c r="BE147" s="115"/>
      <c r="BF147" s="115"/>
      <c r="BG147" s="115"/>
      <c r="BH147" s="115"/>
    </row>
    <row r="148" spans="1:60" ht="15.75" customHeight="1" x14ac:dyDescent="0.25">
      <c r="A148" s="115"/>
      <c r="B148" s="115"/>
      <c r="C148" s="115"/>
      <c r="D148" s="115"/>
      <c r="E148" s="115"/>
      <c r="F148" s="115"/>
      <c r="G148" s="115"/>
      <c r="H148" s="115"/>
      <c r="I148" s="115"/>
      <c r="J148" s="115"/>
      <c r="K148" s="115"/>
      <c r="L148" s="115"/>
      <c r="M148" s="115"/>
      <c r="N148" s="115"/>
      <c r="O148" s="115"/>
      <c r="P148" s="115"/>
      <c r="Q148" s="115"/>
      <c r="R148" s="115"/>
      <c r="S148" s="115"/>
      <c r="T148" s="115"/>
      <c r="U148" s="115"/>
      <c r="V148" s="115"/>
      <c r="W148" s="115"/>
      <c r="X148" s="115"/>
      <c r="Y148" s="115"/>
      <c r="Z148" s="115"/>
      <c r="AA148" s="115"/>
      <c r="AB148" s="115"/>
      <c r="AC148" s="115"/>
      <c r="AD148" s="115"/>
      <c r="AE148" s="115"/>
      <c r="AF148" s="115"/>
      <c r="AG148" s="115"/>
      <c r="AH148" s="115"/>
      <c r="AI148" s="115"/>
      <c r="AJ148" s="115"/>
      <c r="AK148" s="115"/>
      <c r="AL148" s="115"/>
      <c r="AM148" s="115"/>
      <c r="AN148" s="115"/>
      <c r="AO148" s="115"/>
      <c r="AP148" s="115"/>
      <c r="AQ148" s="115"/>
      <c r="AR148" s="115"/>
      <c r="AS148" s="115"/>
      <c r="AT148" s="115"/>
      <c r="AU148" s="115"/>
      <c r="AV148" s="115"/>
      <c r="AW148" s="115"/>
      <c r="AX148" s="115"/>
      <c r="AY148" s="115"/>
      <c r="AZ148" s="115"/>
      <c r="BA148" s="115"/>
      <c r="BB148" s="115"/>
      <c r="BC148" s="115"/>
      <c r="BD148" s="115"/>
      <c r="BE148" s="115"/>
      <c r="BF148" s="115"/>
      <c r="BG148" s="115"/>
      <c r="BH148" s="115"/>
    </row>
    <row r="149" spans="1:60" ht="15.75" customHeight="1" x14ac:dyDescent="0.25">
      <c r="A149" s="115"/>
      <c r="B149" s="115"/>
      <c r="C149" s="115"/>
      <c r="D149" s="115"/>
      <c r="E149" s="115"/>
      <c r="F149" s="115"/>
      <c r="G149" s="115"/>
      <c r="H149" s="115"/>
      <c r="I149" s="115"/>
      <c r="J149" s="115"/>
      <c r="K149" s="115"/>
      <c r="L149" s="115"/>
      <c r="M149" s="115"/>
      <c r="N149" s="115"/>
      <c r="O149" s="115"/>
      <c r="P149" s="115"/>
      <c r="Q149" s="115"/>
      <c r="R149" s="115"/>
      <c r="S149" s="115"/>
      <c r="T149" s="115"/>
      <c r="U149" s="115"/>
      <c r="V149" s="115"/>
      <c r="W149" s="115"/>
      <c r="X149" s="115"/>
      <c r="Y149" s="115"/>
      <c r="Z149" s="115"/>
      <c r="AA149" s="115"/>
      <c r="AB149" s="115"/>
      <c r="AC149" s="115"/>
      <c r="AD149" s="115"/>
      <c r="AE149" s="115"/>
      <c r="AF149" s="115"/>
      <c r="AG149" s="115"/>
      <c r="AH149" s="115"/>
      <c r="AI149" s="115"/>
      <c r="AJ149" s="115"/>
      <c r="AK149" s="115"/>
      <c r="AL149" s="115"/>
      <c r="AM149" s="115"/>
      <c r="AN149" s="115"/>
      <c r="AO149" s="115"/>
      <c r="AP149" s="115"/>
      <c r="AQ149" s="115"/>
      <c r="AR149" s="115"/>
      <c r="AS149" s="115"/>
      <c r="AT149" s="115"/>
      <c r="AU149" s="115"/>
      <c r="AV149" s="115"/>
      <c r="AW149" s="115"/>
      <c r="AX149" s="115"/>
      <c r="AY149" s="115"/>
      <c r="AZ149" s="115"/>
      <c r="BA149" s="115"/>
      <c r="BB149" s="115"/>
      <c r="BC149" s="115"/>
      <c r="BD149" s="115"/>
      <c r="BE149" s="115"/>
      <c r="BF149" s="115"/>
      <c r="BG149" s="115"/>
      <c r="BH149" s="115"/>
    </row>
    <row r="150" spans="1:60" ht="15.75" customHeight="1" x14ac:dyDescent="0.25">
      <c r="A150" s="115"/>
      <c r="B150" s="115"/>
      <c r="C150" s="115"/>
      <c r="D150" s="115"/>
      <c r="E150" s="115"/>
      <c r="F150" s="115"/>
      <c r="G150" s="115"/>
      <c r="H150" s="115"/>
      <c r="I150" s="115"/>
      <c r="J150" s="115"/>
      <c r="K150" s="115"/>
      <c r="L150" s="115"/>
      <c r="M150" s="115"/>
      <c r="N150" s="115"/>
      <c r="O150" s="115"/>
      <c r="P150" s="115"/>
      <c r="Q150" s="115"/>
      <c r="R150" s="115"/>
      <c r="S150" s="115"/>
      <c r="T150" s="115"/>
      <c r="U150" s="115"/>
      <c r="V150" s="115"/>
      <c r="W150" s="115"/>
      <c r="X150" s="115"/>
      <c r="Y150" s="115"/>
      <c r="Z150" s="115"/>
      <c r="AA150" s="115"/>
      <c r="AB150" s="115"/>
      <c r="AC150" s="115"/>
      <c r="AD150" s="115"/>
      <c r="AE150" s="115"/>
      <c r="AF150" s="115"/>
      <c r="AG150" s="115"/>
      <c r="AH150" s="115"/>
      <c r="AI150" s="115"/>
      <c r="AJ150" s="115"/>
      <c r="AK150" s="115"/>
      <c r="AL150" s="115"/>
      <c r="AM150" s="115"/>
      <c r="AN150" s="115"/>
      <c r="AO150" s="115"/>
      <c r="AP150" s="115"/>
      <c r="AQ150" s="115"/>
      <c r="AR150" s="115"/>
      <c r="AS150" s="115"/>
      <c r="AT150" s="115"/>
      <c r="AU150" s="115"/>
      <c r="AV150" s="115"/>
      <c r="AW150" s="115"/>
      <c r="AX150" s="115"/>
      <c r="AY150" s="115"/>
      <c r="AZ150" s="115"/>
      <c r="BA150" s="115"/>
      <c r="BB150" s="115"/>
      <c r="BC150" s="115"/>
      <c r="BD150" s="115"/>
      <c r="BE150" s="115"/>
      <c r="BF150" s="115"/>
      <c r="BG150" s="115"/>
      <c r="BH150" s="115"/>
    </row>
    <row r="151" spans="1:60" ht="15.75" customHeight="1" x14ac:dyDescent="0.25">
      <c r="A151" s="115"/>
      <c r="B151" s="115"/>
      <c r="C151" s="115"/>
      <c r="D151" s="115"/>
      <c r="E151" s="115"/>
      <c r="F151" s="115"/>
      <c r="G151" s="115"/>
      <c r="H151" s="115"/>
      <c r="I151" s="115"/>
      <c r="J151" s="115"/>
      <c r="K151" s="115"/>
      <c r="L151" s="115"/>
      <c r="M151" s="115"/>
      <c r="N151" s="115"/>
      <c r="O151" s="115"/>
      <c r="P151" s="115"/>
      <c r="Q151" s="115"/>
      <c r="R151" s="115"/>
      <c r="S151" s="115"/>
      <c r="T151" s="115"/>
      <c r="U151" s="115"/>
      <c r="V151" s="115"/>
      <c r="W151" s="115"/>
      <c r="X151" s="115"/>
      <c r="Y151" s="115"/>
      <c r="Z151" s="115"/>
      <c r="AA151" s="115"/>
      <c r="AB151" s="115"/>
      <c r="AC151" s="115"/>
      <c r="AD151" s="115"/>
      <c r="AE151" s="115"/>
      <c r="AF151" s="115"/>
      <c r="AG151" s="115"/>
      <c r="AH151" s="115"/>
      <c r="AI151" s="115"/>
      <c r="AJ151" s="115"/>
      <c r="AK151" s="115"/>
      <c r="AL151" s="115"/>
      <c r="AM151" s="115"/>
      <c r="AN151" s="115"/>
      <c r="AO151" s="115"/>
      <c r="AP151" s="115"/>
      <c r="AQ151" s="115"/>
      <c r="AR151" s="115"/>
      <c r="AS151" s="115"/>
      <c r="AT151" s="115"/>
      <c r="AU151" s="115"/>
      <c r="AV151" s="115"/>
      <c r="AW151" s="115"/>
      <c r="AX151" s="115"/>
      <c r="AY151" s="115"/>
      <c r="AZ151" s="115"/>
      <c r="BA151" s="115"/>
      <c r="BB151" s="115"/>
      <c r="BC151" s="115"/>
      <c r="BD151" s="115"/>
      <c r="BE151" s="115"/>
      <c r="BF151" s="115"/>
      <c r="BG151" s="115"/>
      <c r="BH151" s="115"/>
    </row>
    <row r="152" spans="1:60" ht="15.75" customHeight="1" x14ac:dyDescent="0.25">
      <c r="A152" s="115"/>
      <c r="B152" s="115"/>
      <c r="C152" s="115"/>
      <c r="D152" s="115"/>
      <c r="E152" s="115"/>
      <c r="F152" s="115"/>
      <c r="G152" s="115"/>
      <c r="H152" s="115"/>
      <c r="I152" s="115"/>
      <c r="J152" s="115"/>
      <c r="K152" s="115"/>
      <c r="L152" s="115"/>
      <c r="M152" s="115"/>
      <c r="N152" s="115"/>
      <c r="O152" s="115"/>
      <c r="P152" s="115"/>
      <c r="Q152" s="115"/>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15"/>
      <c r="AQ152" s="115"/>
      <c r="AR152" s="115"/>
      <c r="AS152" s="115"/>
      <c r="AT152" s="115"/>
      <c r="AU152" s="115"/>
      <c r="AV152" s="115"/>
      <c r="AW152" s="115"/>
      <c r="AX152" s="115"/>
      <c r="AY152" s="115"/>
      <c r="AZ152" s="115"/>
      <c r="BA152" s="115"/>
      <c r="BB152" s="115"/>
      <c r="BC152" s="115"/>
      <c r="BD152" s="115"/>
      <c r="BE152" s="115"/>
      <c r="BF152" s="115"/>
      <c r="BG152" s="115"/>
      <c r="BH152" s="115"/>
    </row>
    <row r="153" spans="1:60" ht="15.75" customHeight="1" x14ac:dyDescent="0.25">
      <c r="A153" s="115"/>
      <c r="B153" s="115"/>
      <c r="C153" s="115"/>
      <c r="D153" s="115"/>
      <c r="E153" s="115"/>
      <c r="F153" s="115"/>
      <c r="G153" s="115"/>
      <c r="H153" s="115"/>
      <c r="I153" s="115"/>
      <c r="J153" s="115"/>
      <c r="K153" s="115"/>
      <c r="L153" s="115"/>
      <c r="M153" s="115"/>
      <c r="N153" s="115"/>
      <c r="O153" s="115"/>
      <c r="P153" s="115"/>
      <c r="Q153" s="115"/>
      <c r="R153" s="115"/>
      <c r="S153" s="115"/>
      <c r="T153" s="115"/>
      <c r="U153" s="115"/>
      <c r="V153" s="115"/>
      <c r="W153" s="115"/>
      <c r="X153" s="115"/>
      <c r="Y153" s="115"/>
      <c r="Z153" s="115"/>
      <c r="AA153" s="115"/>
      <c r="AB153" s="115"/>
      <c r="AC153" s="115"/>
      <c r="AD153" s="115"/>
      <c r="AE153" s="115"/>
      <c r="AF153" s="115"/>
      <c r="AG153" s="115"/>
      <c r="AH153" s="115"/>
      <c r="AI153" s="115"/>
      <c r="AJ153" s="115"/>
      <c r="AK153" s="115"/>
      <c r="AL153" s="115"/>
      <c r="AM153" s="115"/>
      <c r="AN153" s="115"/>
      <c r="AO153" s="115"/>
      <c r="AP153" s="115"/>
      <c r="AQ153" s="115"/>
      <c r="AR153" s="115"/>
      <c r="AS153" s="115"/>
      <c r="AT153" s="115"/>
      <c r="AU153" s="115"/>
      <c r="AV153" s="115"/>
      <c r="AW153" s="115"/>
      <c r="AX153" s="115"/>
      <c r="AY153" s="115"/>
      <c r="AZ153" s="115"/>
      <c r="BA153" s="115"/>
      <c r="BB153" s="115"/>
      <c r="BC153" s="115"/>
      <c r="BD153" s="115"/>
      <c r="BE153" s="115"/>
      <c r="BF153" s="115"/>
      <c r="BG153" s="115"/>
      <c r="BH153" s="115"/>
    </row>
    <row r="154" spans="1:60" ht="15.75" customHeight="1" x14ac:dyDescent="0.25">
      <c r="A154" s="115"/>
      <c r="B154" s="115"/>
      <c r="C154" s="115"/>
      <c r="D154" s="115"/>
      <c r="E154" s="115"/>
      <c r="F154" s="115"/>
      <c r="G154" s="115"/>
      <c r="H154" s="115"/>
      <c r="I154" s="115"/>
      <c r="J154" s="115"/>
      <c r="K154" s="115"/>
      <c r="L154" s="115"/>
      <c r="M154" s="115"/>
      <c r="N154" s="115"/>
      <c r="O154" s="115"/>
      <c r="P154" s="115"/>
      <c r="Q154" s="115"/>
      <c r="R154" s="115"/>
      <c r="S154" s="115"/>
      <c r="T154" s="115"/>
      <c r="U154" s="115"/>
      <c r="V154" s="115"/>
      <c r="W154" s="115"/>
      <c r="X154" s="115"/>
      <c r="Y154" s="115"/>
      <c r="Z154" s="115"/>
      <c r="AA154" s="115"/>
      <c r="AB154" s="115"/>
      <c r="AC154" s="115"/>
      <c r="AD154" s="115"/>
      <c r="AE154" s="115"/>
      <c r="AF154" s="115"/>
      <c r="AG154" s="115"/>
      <c r="AH154" s="115"/>
      <c r="AI154" s="115"/>
      <c r="AJ154" s="115"/>
      <c r="AK154" s="115"/>
      <c r="AL154" s="115"/>
      <c r="AM154" s="115"/>
      <c r="AN154" s="115"/>
      <c r="AO154" s="115"/>
      <c r="AP154" s="115"/>
      <c r="AQ154" s="115"/>
      <c r="AR154" s="115"/>
      <c r="AS154" s="115"/>
      <c r="AT154" s="115"/>
      <c r="AU154" s="115"/>
      <c r="AV154" s="115"/>
      <c r="AW154" s="115"/>
      <c r="AX154" s="115"/>
      <c r="AY154" s="115"/>
      <c r="AZ154" s="115"/>
      <c r="BA154" s="115"/>
      <c r="BB154" s="115"/>
      <c r="BC154" s="115"/>
      <c r="BD154" s="115"/>
      <c r="BE154" s="115"/>
      <c r="BF154" s="115"/>
      <c r="BG154" s="115"/>
      <c r="BH154" s="115"/>
    </row>
    <row r="155" spans="1:60" ht="15.75" customHeight="1" x14ac:dyDescent="0.25">
      <c r="A155" s="115"/>
      <c r="B155" s="115"/>
      <c r="C155" s="115"/>
      <c r="D155" s="115"/>
      <c r="E155" s="115"/>
      <c r="F155" s="115"/>
      <c r="G155" s="115"/>
      <c r="H155" s="115"/>
      <c r="I155" s="115"/>
      <c r="J155" s="115"/>
      <c r="K155" s="115"/>
      <c r="L155" s="115"/>
      <c r="M155" s="115"/>
      <c r="N155" s="115"/>
      <c r="O155" s="115"/>
      <c r="P155" s="115"/>
      <c r="Q155" s="115"/>
      <c r="R155" s="115"/>
      <c r="S155" s="115"/>
      <c r="T155" s="115"/>
      <c r="U155" s="115"/>
      <c r="V155" s="115"/>
      <c r="W155" s="115"/>
      <c r="X155" s="115"/>
      <c r="Y155" s="115"/>
      <c r="Z155" s="115"/>
      <c r="AA155" s="115"/>
      <c r="AB155" s="115"/>
      <c r="AC155" s="115"/>
      <c r="AD155" s="115"/>
      <c r="AE155" s="115"/>
      <c r="AF155" s="115"/>
      <c r="AG155" s="115"/>
      <c r="AH155" s="115"/>
      <c r="AI155" s="115"/>
      <c r="AJ155" s="115"/>
      <c r="AK155" s="115"/>
      <c r="AL155" s="115"/>
      <c r="AM155" s="115"/>
      <c r="AN155" s="115"/>
      <c r="AO155" s="115"/>
      <c r="AP155" s="115"/>
      <c r="AQ155" s="115"/>
      <c r="AR155" s="115"/>
      <c r="AS155" s="115"/>
      <c r="AT155" s="115"/>
      <c r="AU155" s="115"/>
      <c r="AV155" s="115"/>
      <c r="AW155" s="115"/>
      <c r="AX155" s="115"/>
      <c r="AY155" s="115"/>
      <c r="AZ155" s="115"/>
      <c r="BA155" s="115"/>
      <c r="BB155" s="115"/>
      <c r="BC155" s="115"/>
      <c r="BD155" s="115"/>
      <c r="BE155" s="115"/>
      <c r="BF155" s="115"/>
      <c r="BG155" s="115"/>
      <c r="BH155" s="115"/>
    </row>
    <row r="156" spans="1:60" ht="15.75" customHeight="1" x14ac:dyDescent="0.25">
      <c r="A156" s="115"/>
      <c r="B156" s="115"/>
      <c r="C156" s="115"/>
      <c r="D156" s="115"/>
      <c r="E156" s="115"/>
      <c r="F156" s="115"/>
      <c r="G156" s="115"/>
      <c r="H156" s="115"/>
      <c r="I156" s="115"/>
      <c r="J156" s="115"/>
      <c r="K156" s="115"/>
      <c r="L156" s="115"/>
      <c r="M156" s="115"/>
      <c r="N156" s="115"/>
      <c r="O156" s="115"/>
      <c r="P156" s="115"/>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115"/>
      <c r="BA156" s="115"/>
      <c r="BB156" s="115"/>
      <c r="BC156" s="115"/>
      <c r="BD156" s="115"/>
      <c r="BE156" s="115"/>
      <c r="BF156" s="115"/>
      <c r="BG156" s="115"/>
      <c r="BH156" s="115"/>
    </row>
    <row r="157" spans="1:60" ht="15.75" customHeight="1" x14ac:dyDescent="0.25">
      <c r="A157" s="115"/>
      <c r="B157" s="115"/>
      <c r="C157" s="115"/>
      <c r="D157" s="115"/>
      <c r="E157" s="115"/>
      <c r="F157" s="115"/>
      <c r="G157" s="115"/>
      <c r="H157" s="115"/>
      <c r="I157" s="115"/>
      <c r="J157" s="115"/>
      <c r="K157" s="115"/>
      <c r="L157" s="115"/>
      <c r="M157" s="115"/>
      <c r="N157" s="115"/>
      <c r="O157" s="115"/>
      <c r="P157" s="115"/>
      <c r="Q157" s="115"/>
      <c r="R157" s="115"/>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c r="AN157" s="115"/>
      <c r="AO157" s="115"/>
      <c r="AP157" s="115"/>
      <c r="AQ157" s="115"/>
      <c r="AR157" s="115"/>
      <c r="AS157" s="115"/>
      <c r="AT157" s="115"/>
      <c r="AU157" s="115"/>
      <c r="AV157" s="115"/>
      <c r="AW157" s="115"/>
      <c r="AX157" s="115"/>
      <c r="AY157" s="115"/>
      <c r="AZ157" s="115"/>
      <c r="BA157" s="115"/>
      <c r="BB157" s="115"/>
      <c r="BC157" s="115"/>
      <c r="BD157" s="115"/>
      <c r="BE157" s="115"/>
      <c r="BF157" s="115"/>
      <c r="BG157" s="115"/>
      <c r="BH157" s="115"/>
    </row>
    <row r="158" spans="1:60" ht="15.75" customHeight="1" x14ac:dyDescent="0.25">
      <c r="A158" s="115"/>
      <c r="B158" s="115"/>
      <c r="C158" s="115"/>
      <c r="D158" s="115"/>
      <c r="E158" s="115"/>
      <c r="F158" s="115"/>
      <c r="G158" s="115"/>
      <c r="H158" s="115"/>
      <c r="I158" s="115"/>
      <c r="J158" s="115"/>
      <c r="K158" s="115"/>
      <c r="L158" s="115"/>
      <c r="M158" s="115"/>
      <c r="N158" s="115"/>
      <c r="O158" s="115"/>
      <c r="P158" s="115"/>
      <c r="Q158" s="115"/>
      <c r="R158" s="115"/>
      <c r="S158" s="115"/>
      <c r="T158" s="115"/>
      <c r="U158" s="115"/>
      <c r="V158" s="115"/>
      <c r="W158" s="115"/>
      <c r="X158" s="115"/>
      <c r="Y158" s="115"/>
      <c r="Z158" s="115"/>
      <c r="AA158" s="115"/>
      <c r="AB158" s="115"/>
      <c r="AC158" s="115"/>
      <c r="AD158" s="115"/>
      <c r="AE158" s="115"/>
      <c r="AF158" s="115"/>
      <c r="AG158" s="115"/>
      <c r="AH158" s="115"/>
      <c r="AI158" s="115"/>
      <c r="AJ158" s="115"/>
      <c r="AK158" s="115"/>
      <c r="AL158" s="115"/>
      <c r="AM158" s="115"/>
      <c r="AN158" s="115"/>
      <c r="AO158" s="115"/>
      <c r="AP158" s="115"/>
      <c r="AQ158" s="115"/>
      <c r="AR158" s="115"/>
      <c r="AS158" s="115"/>
      <c r="AT158" s="115"/>
      <c r="AU158" s="115"/>
      <c r="AV158" s="115"/>
      <c r="AW158" s="115"/>
      <c r="AX158" s="115"/>
      <c r="AY158" s="115"/>
      <c r="AZ158" s="115"/>
      <c r="BA158" s="115"/>
      <c r="BB158" s="115"/>
      <c r="BC158" s="115"/>
      <c r="BD158" s="115"/>
      <c r="BE158" s="115"/>
      <c r="BF158" s="115"/>
      <c r="BG158" s="115"/>
      <c r="BH158" s="115"/>
    </row>
    <row r="159" spans="1:60" ht="15.75" customHeight="1" x14ac:dyDescent="0.25">
      <c r="A159" s="115"/>
      <c r="B159" s="115"/>
      <c r="C159" s="115"/>
      <c r="D159" s="115"/>
      <c r="E159" s="115"/>
      <c r="F159" s="115"/>
      <c r="G159" s="115"/>
      <c r="H159" s="115"/>
      <c r="I159" s="115"/>
      <c r="J159" s="115"/>
      <c r="K159" s="115"/>
      <c r="L159" s="115"/>
      <c r="M159" s="115"/>
      <c r="N159" s="115"/>
      <c r="O159" s="115"/>
      <c r="P159" s="115"/>
      <c r="Q159" s="115"/>
      <c r="R159" s="115"/>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c r="AN159" s="115"/>
      <c r="AO159" s="115"/>
      <c r="AP159" s="115"/>
      <c r="AQ159" s="115"/>
      <c r="AR159" s="115"/>
      <c r="AS159" s="115"/>
      <c r="AT159" s="115"/>
      <c r="AU159" s="115"/>
      <c r="AV159" s="115"/>
      <c r="AW159" s="115"/>
      <c r="AX159" s="115"/>
      <c r="AY159" s="115"/>
      <c r="AZ159" s="115"/>
      <c r="BA159" s="115"/>
      <c r="BB159" s="115"/>
      <c r="BC159" s="115"/>
      <c r="BD159" s="115"/>
      <c r="BE159" s="115"/>
      <c r="BF159" s="115"/>
      <c r="BG159" s="115"/>
      <c r="BH159" s="115"/>
    </row>
    <row r="160" spans="1:60" ht="15.75" customHeight="1" x14ac:dyDescent="0.25">
      <c r="A160" s="115"/>
      <c r="B160" s="115"/>
      <c r="C160" s="115"/>
      <c r="D160" s="115"/>
      <c r="E160" s="115"/>
      <c r="F160" s="115"/>
      <c r="G160" s="115"/>
      <c r="H160" s="115"/>
      <c r="I160" s="115"/>
      <c r="J160" s="115"/>
      <c r="K160" s="115"/>
      <c r="L160" s="115"/>
      <c r="M160" s="115"/>
      <c r="N160" s="115"/>
      <c r="O160" s="115"/>
      <c r="P160" s="115"/>
      <c r="Q160" s="115"/>
      <c r="R160" s="115"/>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c r="AN160" s="115"/>
      <c r="AO160" s="115"/>
      <c r="AP160" s="115"/>
      <c r="AQ160" s="115"/>
      <c r="AR160" s="115"/>
      <c r="AS160" s="115"/>
      <c r="AT160" s="115"/>
      <c r="AU160" s="115"/>
      <c r="AV160" s="115"/>
      <c r="AW160" s="115"/>
      <c r="AX160" s="115"/>
      <c r="AY160" s="115"/>
      <c r="AZ160" s="115"/>
      <c r="BA160" s="115"/>
      <c r="BB160" s="115"/>
      <c r="BC160" s="115"/>
      <c r="BD160" s="115"/>
      <c r="BE160" s="115"/>
      <c r="BF160" s="115"/>
      <c r="BG160" s="115"/>
      <c r="BH160" s="115"/>
    </row>
    <row r="161" spans="1:60" ht="15.75" customHeight="1" x14ac:dyDescent="0.25">
      <c r="A161" s="115"/>
      <c r="B161" s="115"/>
      <c r="C161" s="115"/>
      <c r="D161" s="115"/>
      <c r="E161" s="115"/>
      <c r="F161" s="115"/>
      <c r="G161" s="115"/>
      <c r="H161" s="115"/>
      <c r="I161" s="115"/>
      <c r="J161" s="115"/>
      <c r="K161" s="115"/>
      <c r="L161" s="115"/>
      <c r="M161" s="115"/>
      <c r="N161" s="115"/>
      <c r="O161" s="115"/>
      <c r="P161" s="115"/>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15"/>
      <c r="AQ161" s="115"/>
      <c r="AR161" s="115"/>
      <c r="AS161" s="115"/>
      <c r="AT161" s="115"/>
      <c r="AU161" s="115"/>
      <c r="AV161" s="115"/>
      <c r="AW161" s="115"/>
      <c r="AX161" s="115"/>
      <c r="AY161" s="115"/>
      <c r="AZ161" s="115"/>
      <c r="BA161" s="115"/>
      <c r="BB161" s="115"/>
      <c r="BC161" s="115"/>
      <c r="BD161" s="115"/>
      <c r="BE161" s="115"/>
      <c r="BF161" s="115"/>
      <c r="BG161" s="115"/>
      <c r="BH161" s="115"/>
    </row>
    <row r="162" spans="1:60" ht="15.75" customHeight="1" x14ac:dyDescent="0.25">
      <c r="A162" s="115"/>
      <c r="B162" s="115"/>
      <c r="C162" s="115"/>
      <c r="D162" s="115"/>
      <c r="E162" s="115"/>
      <c r="F162" s="115"/>
      <c r="G162" s="115"/>
      <c r="H162" s="115"/>
      <c r="I162" s="115"/>
      <c r="J162" s="115"/>
      <c r="K162" s="115"/>
      <c r="L162" s="115"/>
      <c r="M162" s="115"/>
      <c r="N162" s="115"/>
      <c r="O162" s="115"/>
      <c r="P162" s="115"/>
      <c r="Q162" s="115"/>
      <c r="R162" s="115"/>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c r="AN162" s="115"/>
      <c r="AO162" s="115"/>
      <c r="AP162" s="115"/>
      <c r="AQ162" s="115"/>
      <c r="AR162" s="115"/>
      <c r="AS162" s="115"/>
      <c r="AT162" s="115"/>
      <c r="AU162" s="115"/>
      <c r="AV162" s="115"/>
      <c r="AW162" s="115"/>
      <c r="AX162" s="115"/>
      <c r="AY162" s="115"/>
      <c r="AZ162" s="115"/>
      <c r="BA162" s="115"/>
      <c r="BB162" s="115"/>
      <c r="BC162" s="115"/>
      <c r="BD162" s="115"/>
      <c r="BE162" s="115"/>
      <c r="BF162" s="115"/>
      <c r="BG162" s="115"/>
      <c r="BH162" s="115"/>
    </row>
    <row r="163" spans="1:60" ht="15.75" customHeight="1" x14ac:dyDescent="0.25">
      <c r="A163" s="115"/>
      <c r="B163" s="115"/>
      <c r="C163" s="115"/>
      <c r="D163" s="115"/>
      <c r="E163" s="115"/>
      <c r="F163" s="115"/>
      <c r="G163" s="115"/>
      <c r="H163" s="115"/>
      <c r="I163" s="115"/>
      <c r="J163" s="115"/>
      <c r="K163" s="115"/>
      <c r="L163" s="115"/>
      <c r="M163" s="115"/>
      <c r="N163" s="115"/>
      <c r="O163" s="115"/>
      <c r="P163" s="115"/>
      <c r="Q163" s="115"/>
      <c r="R163" s="115"/>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115"/>
      <c r="BA163" s="115"/>
      <c r="BB163" s="115"/>
      <c r="BC163" s="115"/>
      <c r="BD163" s="115"/>
      <c r="BE163" s="115"/>
      <c r="BF163" s="115"/>
      <c r="BG163" s="115"/>
      <c r="BH163" s="115"/>
    </row>
    <row r="164" spans="1:60" ht="15.75" customHeight="1" x14ac:dyDescent="0.25">
      <c r="A164" s="115"/>
      <c r="B164" s="115"/>
      <c r="C164" s="115"/>
      <c r="D164" s="115"/>
      <c r="E164" s="115"/>
      <c r="F164" s="115"/>
      <c r="G164" s="115"/>
      <c r="H164" s="115"/>
      <c r="I164" s="115"/>
      <c r="J164" s="115"/>
      <c r="K164" s="115"/>
      <c r="L164" s="115"/>
      <c r="M164" s="115"/>
      <c r="N164" s="115"/>
      <c r="O164" s="115"/>
      <c r="P164" s="115"/>
      <c r="Q164" s="115"/>
      <c r="R164" s="115"/>
      <c r="S164" s="115"/>
      <c r="T164" s="115"/>
      <c r="U164" s="115"/>
      <c r="V164" s="115"/>
      <c r="W164" s="115"/>
      <c r="X164" s="115"/>
      <c r="Y164" s="115"/>
      <c r="Z164" s="115"/>
      <c r="AA164" s="115"/>
      <c r="AB164" s="115"/>
      <c r="AC164" s="115"/>
      <c r="AD164" s="115"/>
      <c r="AE164" s="115"/>
      <c r="AF164" s="115"/>
      <c r="AG164" s="115"/>
      <c r="AH164" s="115"/>
      <c r="AI164" s="115"/>
      <c r="AJ164" s="115"/>
      <c r="AK164" s="115"/>
      <c r="AL164" s="115"/>
      <c r="AM164" s="115"/>
      <c r="AN164" s="115"/>
      <c r="AO164" s="115"/>
      <c r="AP164" s="115"/>
      <c r="AQ164" s="115"/>
      <c r="AR164" s="115"/>
      <c r="AS164" s="115"/>
      <c r="AT164" s="115"/>
      <c r="AU164" s="115"/>
      <c r="AV164" s="115"/>
      <c r="AW164" s="115"/>
      <c r="AX164" s="115"/>
      <c r="AY164" s="115"/>
      <c r="AZ164" s="115"/>
      <c r="BA164" s="115"/>
      <c r="BB164" s="115"/>
      <c r="BC164" s="115"/>
      <c r="BD164" s="115"/>
      <c r="BE164" s="115"/>
      <c r="BF164" s="115"/>
      <c r="BG164" s="115"/>
      <c r="BH164" s="115"/>
    </row>
    <row r="165" spans="1:60" ht="15.75" customHeight="1" x14ac:dyDescent="0.25">
      <c r="A165" s="115"/>
      <c r="B165" s="115"/>
      <c r="C165" s="115"/>
      <c r="D165" s="115"/>
      <c r="E165" s="115"/>
      <c r="F165" s="115"/>
      <c r="G165" s="115"/>
      <c r="H165" s="115"/>
      <c r="I165" s="115"/>
      <c r="J165" s="115"/>
      <c r="K165" s="115"/>
      <c r="L165" s="115"/>
      <c r="M165" s="115"/>
      <c r="N165" s="115"/>
      <c r="O165" s="115"/>
      <c r="P165" s="115"/>
      <c r="Q165" s="115"/>
      <c r="R165" s="115"/>
      <c r="S165" s="115"/>
      <c r="T165" s="115"/>
      <c r="U165" s="115"/>
      <c r="V165" s="115"/>
      <c r="W165" s="115"/>
      <c r="X165" s="115"/>
      <c r="Y165" s="115"/>
      <c r="Z165" s="115"/>
      <c r="AA165" s="115"/>
      <c r="AB165" s="115"/>
      <c r="AC165" s="115"/>
      <c r="AD165" s="115"/>
      <c r="AE165" s="115"/>
      <c r="AF165" s="115"/>
      <c r="AG165" s="115"/>
      <c r="AH165" s="115"/>
      <c r="AI165" s="115"/>
      <c r="AJ165" s="115"/>
      <c r="AK165" s="115"/>
      <c r="AL165" s="115"/>
      <c r="AM165" s="115"/>
      <c r="AN165" s="115"/>
      <c r="AO165" s="115"/>
      <c r="AP165" s="115"/>
      <c r="AQ165" s="115"/>
      <c r="AR165" s="115"/>
      <c r="AS165" s="115"/>
      <c r="AT165" s="115"/>
      <c r="AU165" s="115"/>
      <c r="AV165" s="115"/>
      <c r="AW165" s="115"/>
      <c r="AX165" s="115"/>
      <c r="AY165" s="115"/>
      <c r="AZ165" s="115"/>
      <c r="BA165" s="115"/>
      <c r="BB165" s="115"/>
      <c r="BC165" s="115"/>
      <c r="BD165" s="115"/>
      <c r="BE165" s="115"/>
      <c r="BF165" s="115"/>
      <c r="BG165" s="115"/>
      <c r="BH165" s="115"/>
    </row>
    <row r="166" spans="1:60" ht="15.75" customHeight="1" x14ac:dyDescent="0.25">
      <c r="A166" s="115"/>
      <c r="B166" s="115"/>
      <c r="C166" s="115"/>
      <c r="D166" s="115"/>
      <c r="E166" s="115"/>
      <c r="F166" s="115"/>
      <c r="G166" s="115"/>
      <c r="H166" s="115"/>
      <c r="I166" s="115"/>
      <c r="J166" s="115"/>
      <c r="K166" s="115"/>
      <c r="L166" s="115"/>
      <c r="M166" s="115"/>
      <c r="N166" s="115"/>
      <c r="O166" s="115"/>
      <c r="P166" s="115"/>
      <c r="Q166" s="115"/>
      <c r="R166" s="115"/>
      <c r="S166" s="115"/>
      <c r="T166" s="115"/>
      <c r="U166" s="115"/>
      <c r="V166" s="115"/>
      <c r="W166" s="115"/>
      <c r="X166" s="115"/>
      <c r="Y166" s="115"/>
      <c r="Z166" s="115"/>
      <c r="AA166" s="115"/>
      <c r="AB166" s="115"/>
      <c r="AC166" s="115"/>
      <c r="AD166" s="115"/>
      <c r="AE166" s="115"/>
      <c r="AF166" s="115"/>
      <c r="AG166" s="115"/>
      <c r="AH166" s="115"/>
      <c r="AI166" s="115"/>
      <c r="AJ166" s="115"/>
      <c r="AK166" s="115"/>
      <c r="AL166" s="115"/>
      <c r="AM166" s="115"/>
      <c r="AN166" s="115"/>
      <c r="AO166" s="115"/>
      <c r="AP166" s="115"/>
      <c r="AQ166" s="115"/>
      <c r="AR166" s="115"/>
      <c r="AS166" s="115"/>
      <c r="AT166" s="115"/>
      <c r="AU166" s="115"/>
      <c r="AV166" s="115"/>
      <c r="AW166" s="115"/>
      <c r="AX166" s="115"/>
      <c r="AY166" s="115"/>
      <c r="AZ166" s="115"/>
      <c r="BA166" s="115"/>
      <c r="BB166" s="115"/>
      <c r="BC166" s="115"/>
      <c r="BD166" s="115"/>
      <c r="BE166" s="115"/>
      <c r="BF166" s="115"/>
      <c r="BG166" s="115"/>
      <c r="BH166" s="115"/>
    </row>
    <row r="167" spans="1:60" ht="15.75" customHeight="1" x14ac:dyDescent="0.25">
      <c r="A167" s="115"/>
      <c r="B167" s="115"/>
      <c r="C167" s="115"/>
      <c r="D167" s="115"/>
      <c r="E167" s="115"/>
      <c r="F167" s="115"/>
      <c r="G167" s="115"/>
      <c r="H167" s="115"/>
      <c r="I167" s="115"/>
      <c r="J167" s="115"/>
      <c r="K167" s="115"/>
      <c r="L167" s="115"/>
      <c r="M167" s="115"/>
      <c r="N167" s="115"/>
      <c r="O167" s="115"/>
      <c r="P167" s="115"/>
      <c r="Q167" s="115"/>
      <c r="R167" s="115"/>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c r="AN167" s="115"/>
      <c r="AO167" s="115"/>
      <c r="AP167" s="115"/>
      <c r="AQ167" s="115"/>
      <c r="AR167" s="115"/>
      <c r="AS167" s="115"/>
      <c r="AT167" s="115"/>
      <c r="AU167" s="115"/>
      <c r="AV167" s="115"/>
      <c r="AW167" s="115"/>
      <c r="AX167" s="115"/>
      <c r="AY167" s="115"/>
      <c r="AZ167" s="115"/>
      <c r="BA167" s="115"/>
      <c r="BB167" s="115"/>
      <c r="BC167" s="115"/>
      <c r="BD167" s="115"/>
      <c r="BE167" s="115"/>
      <c r="BF167" s="115"/>
      <c r="BG167" s="115"/>
      <c r="BH167" s="115"/>
    </row>
    <row r="168" spans="1:60" ht="15.75" customHeight="1" x14ac:dyDescent="0.25">
      <c r="A168" s="115"/>
      <c r="B168" s="115"/>
      <c r="C168" s="115"/>
      <c r="D168" s="115"/>
      <c r="E168" s="115"/>
      <c r="F168" s="115"/>
      <c r="G168" s="115"/>
      <c r="H168" s="115"/>
      <c r="I168" s="115"/>
      <c r="J168" s="115"/>
      <c r="K168" s="115"/>
      <c r="L168" s="115"/>
      <c r="M168" s="115"/>
      <c r="N168" s="115"/>
      <c r="O168" s="115"/>
      <c r="P168" s="115"/>
      <c r="Q168" s="115"/>
      <c r="R168" s="115"/>
      <c r="S168" s="115"/>
      <c r="T168" s="115"/>
      <c r="U168" s="115"/>
      <c r="V168" s="115"/>
      <c r="W168" s="115"/>
      <c r="X168" s="115"/>
      <c r="Y168" s="115"/>
      <c r="Z168" s="115"/>
      <c r="AA168" s="115"/>
      <c r="AB168" s="115"/>
      <c r="AC168" s="115"/>
      <c r="AD168" s="115"/>
      <c r="AE168" s="115"/>
      <c r="AF168" s="115"/>
      <c r="AG168" s="115"/>
      <c r="AH168" s="115"/>
      <c r="AI168" s="115"/>
      <c r="AJ168" s="115"/>
      <c r="AK168" s="115"/>
      <c r="AL168" s="115"/>
      <c r="AM168" s="115"/>
      <c r="AN168" s="115"/>
      <c r="AO168" s="115"/>
      <c r="AP168" s="115"/>
      <c r="AQ168" s="115"/>
      <c r="AR168" s="115"/>
      <c r="AS168" s="115"/>
      <c r="AT168" s="115"/>
      <c r="AU168" s="115"/>
      <c r="AV168" s="115"/>
      <c r="AW168" s="115"/>
      <c r="AX168" s="115"/>
      <c r="AY168" s="115"/>
      <c r="AZ168" s="115"/>
      <c r="BA168" s="115"/>
      <c r="BB168" s="115"/>
      <c r="BC168" s="115"/>
      <c r="BD168" s="115"/>
      <c r="BE168" s="115"/>
      <c r="BF168" s="115"/>
      <c r="BG168" s="115"/>
      <c r="BH168" s="115"/>
    </row>
    <row r="169" spans="1:60" ht="15.75" customHeight="1" x14ac:dyDescent="0.25">
      <c r="A169" s="115"/>
      <c r="B169" s="115"/>
      <c r="C169" s="115"/>
      <c r="D169" s="115"/>
      <c r="E169" s="115"/>
      <c r="F169" s="115"/>
      <c r="G169" s="115"/>
      <c r="H169" s="115"/>
      <c r="I169" s="115"/>
      <c r="J169" s="115"/>
      <c r="K169" s="115"/>
      <c r="L169" s="115"/>
      <c r="M169" s="115"/>
      <c r="N169" s="115"/>
      <c r="O169" s="115"/>
      <c r="P169" s="115"/>
      <c r="Q169" s="115"/>
      <c r="R169" s="115"/>
      <c r="S169" s="115"/>
      <c r="T169" s="115"/>
      <c r="U169" s="115"/>
      <c r="V169" s="115"/>
      <c r="W169" s="115"/>
      <c r="X169" s="115"/>
      <c r="Y169" s="115"/>
      <c r="Z169" s="115"/>
      <c r="AA169" s="115"/>
      <c r="AB169" s="115"/>
      <c r="AC169" s="115"/>
      <c r="AD169" s="115"/>
      <c r="AE169" s="115"/>
      <c r="AF169" s="115"/>
      <c r="AG169" s="115"/>
      <c r="AH169" s="115"/>
      <c r="AI169" s="115"/>
      <c r="AJ169" s="115"/>
      <c r="AK169" s="115"/>
      <c r="AL169" s="115"/>
      <c r="AM169" s="115"/>
      <c r="AN169" s="115"/>
      <c r="AO169" s="115"/>
      <c r="AP169" s="115"/>
      <c r="AQ169" s="115"/>
      <c r="AR169" s="115"/>
      <c r="AS169" s="115"/>
      <c r="AT169" s="115"/>
      <c r="AU169" s="115"/>
      <c r="AV169" s="115"/>
      <c r="AW169" s="115"/>
      <c r="AX169" s="115"/>
      <c r="AY169" s="115"/>
      <c r="AZ169" s="115"/>
      <c r="BA169" s="115"/>
      <c r="BB169" s="115"/>
      <c r="BC169" s="115"/>
      <c r="BD169" s="115"/>
      <c r="BE169" s="115"/>
      <c r="BF169" s="115"/>
      <c r="BG169" s="115"/>
      <c r="BH169" s="115"/>
    </row>
    <row r="170" spans="1:60" ht="15.75" customHeight="1" x14ac:dyDescent="0.25">
      <c r="A170" s="115"/>
      <c r="B170" s="115"/>
      <c r="C170" s="115"/>
      <c r="D170" s="115"/>
      <c r="E170" s="115"/>
      <c r="F170" s="115"/>
      <c r="G170" s="115"/>
      <c r="H170" s="115"/>
      <c r="I170" s="115"/>
      <c r="J170" s="115"/>
      <c r="K170" s="115"/>
      <c r="L170" s="115"/>
      <c r="M170" s="115"/>
      <c r="N170" s="115"/>
      <c r="O170" s="115"/>
      <c r="P170" s="115"/>
      <c r="Q170" s="115"/>
      <c r="R170" s="115"/>
      <c r="S170" s="115"/>
      <c r="T170" s="115"/>
      <c r="U170" s="115"/>
      <c r="V170" s="115"/>
      <c r="W170" s="115"/>
      <c r="X170" s="115"/>
      <c r="Y170" s="115"/>
      <c r="Z170" s="115"/>
      <c r="AA170" s="115"/>
      <c r="AB170" s="115"/>
      <c r="AC170" s="115"/>
      <c r="AD170" s="115"/>
      <c r="AE170" s="115"/>
      <c r="AF170" s="115"/>
      <c r="AG170" s="115"/>
      <c r="AH170" s="115"/>
      <c r="AI170" s="115"/>
      <c r="AJ170" s="115"/>
      <c r="AK170" s="115"/>
      <c r="AL170" s="115"/>
      <c r="AM170" s="115"/>
      <c r="AN170" s="115"/>
      <c r="AO170" s="115"/>
      <c r="AP170" s="115"/>
      <c r="AQ170" s="115"/>
      <c r="AR170" s="115"/>
      <c r="AS170" s="115"/>
      <c r="AT170" s="115"/>
      <c r="AU170" s="115"/>
      <c r="AV170" s="115"/>
      <c r="AW170" s="115"/>
      <c r="AX170" s="115"/>
      <c r="AY170" s="115"/>
      <c r="AZ170" s="115"/>
      <c r="BA170" s="115"/>
      <c r="BB170" s="115"/>
      <c r="BC170" s="115"/>
      <c r="BD170" s="115"/>
      <c r="BE170" s="115"/>
      <c r="BF170" s="115"/>
      <c r="BG170" s="115"/>
      <c r="BH170" s="115"/>
    </row>
    <row r="171" spans="1:60" ht="15.75" customHeight="1" x14ac:dyDescent="0.25">
      <c r="A171" s="115"/>
      <c r="B171" s="115"/>
      <c r="C171" s="115"/>
      <c r="D171" s="115"/>
      <c r="E171" s="115"/>
      <c r="F171" s="115"/>
      <c r="G171" s="115"/>
      <c r="H171" s="115"/>
      <c r="I171" s="115"/>
      <c r="J171" s="115"/>
      <c r="K171" s="115"/>
      <c r="L171" s="115"/>
      <c r="M171" s="115"/>
      <c r="N171" s="115"/>
      <c r="O171" s="115"/>
      <c r="P171" s="115"/>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c r="AN171" s="115"/>
      <c r="AO171" s="115"/>
      <c r="AP171" s="115"/>
      <c r="AQ171" s="115"/>
      <c r="AR171" s="115"/>
      <c r="AS171" s="115"/>
      <c r="AT171" s="115"/>
      <c r="AU171" s="115"/>
      <c r="AV171" s="115"/>
      <c r="AW171" s="115"/>
      <c r="AX171" s="115"/>
      <c r="AY171" s="115"/>
      <c r="AZ171" s="115"/>
      <c r="BA171" s="115"/>
      <c r="BB171" s="115"/>
      <c r="BC171" s="115"/>
      <c r="BD171" s="115"/>
      <c r="BE171" s="115"/>
      <c r="BF171" s="115"/>
      <c r="BG171" s="115"/>
      <c r="BH171" s="115"/>
    </row>
    <row r="172" spans="1:60" ht="15.75" customHeight="1" x14ac:dyDescent="0.25">
      <c r="A172" s="115"/>
      <c r="B172" s="115"/>
      <c r="C172" s="115"/>
      <c r="D172" s="115"/>
      <c r="E172" s="115"/>
      <c r="F172" s="115"/>
      <c r="G172" s="115"/>
      <c r="H172" s="115"/>
      <c r="I172" s="115"/>
      <c r="J172" s="115"/>
      <c r="K172" s="115"/>
      <c r="L172" s="115"/>
      <c r="M172" s="115"/>
      <c r="N172" s="115"/>
      <c r="O172" s="115"/>
      <c r="P172" s="115"/>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c r="AN172" s="115"/>
      <c r="AO172" s="115"/>
      <c r="AP172" s="115"/>
      <c r="AQ172" s="115"/>
      <c r="AR172" s="115"/>
      <c r="AS172" s="115"/>
      <c r="AT172" s="115"/>
      <c r="AU172" s="115"/>
      <c r="AV172" s="115"/>
      <c r="AW172" s="115"/>
      <c r="AX172" s="115"/>
      <c r="AY172" s="115"/>
      <c r="AZ172" s="115"/>
      <c r="BA172" s="115"/>
      <c r="BB172" s="115"/>
      <c r="BC172" s="115"/>
      <c r="BD172" s="115"/>
      <c r="BE172" s="115"/>
      <c r="BF172" s="115"/>
      <c r="BG172" s="115"/>
      <c r="BH172" s="115"/>
    </row>
    <row r="173" spans="1:60" ht="15.75" customHeight="1" x14ac:dyDescent="0.25">
      <c r="A173" s="115"/>
      <c r="B173" s="115"/>
      <c r="C173" s="115"/>
      <c r="D173" s="115"/>
      <c r="E173" s="115"/>
      <c r="F173" s="115"/>
      <c r="G173" s="115"/>
      <c r="H173" s="115"/>
      <c r="I173" s="115"/>
      <c r="J173" s="115"/>
      <c r="K173" s="115"/>
      <c r="L173" s="115"/>
      <c r="M173" s="115"/>
      <c r="N173" s="115"/>
      <c r="O173" s="115"/>
      <c r="P173" s="115"/>
      <c r="Q173" s="115"/>
      <c r="R173" s="115"/>
      <c r="S173" s="115"/>
      <c r="T173" s="115"/>
      <c r="U173" s="115"/>
      <c r="V173" s="115"/>
      <c r="W173" s="115"/>
      <c r="X173" s="115"/>
      <c r="Y173" s="115"/>
      <c r="Z173" s="115"/>
      <c r="AA173" s="115"/>
      <c r="AB173" s="115"/>
      <c r="AC173" s="115"/>
      <c r="AD173" s="115"/>
      <c r="AE173" s="115"/>
      <c r="AF173" s="115"/>
      <c r="AG173" s="115"/>
      <c r="AH173" s="115"/>
      <c r="AI173" s="115"/>
      <c r="AJ173" s="115"/>
      <c r="AK173" s="115"/>
      <c r="AL173" s="115"/>
      <c r="AM173" s="115"/>
      <c r="AN173" s="115"/>
      <c r="AO173" s="115"/>
      <c r="AP173" s="115"/>
      <c r="AQ173" s="115"/>
      <c r="AR173" s="115"/>
      <c r="AS173" s="115"/>
      <c r="AT173" s="115"/>
      <c r="AU173" s="115"/>
      <c r="AV173" s="115"/>
      <c r="AW173" s="115"/>
      <c r="AX173" s="115"/>
      <c r="AY173" s="115"/>
      <c r="AZ173" s="115"/>
      <c r="BA173" s="115"/>
      <c r="BB173" s="115"/>
      <c r="BC173" s="115"/>
      <c r="BD173" s="115"/>
      <c r="BE173" s="115"/>
      <c r="BF173" s="115"/>
      <c r="BG173" s="115"/>
      <c r="BH173" s="115"/>
    </row>
    <row r="174" spans="1:60" ht="15.75" customHeight="1" x14ac:dyDescent="0.25">
      <c r="A174" s="115"/>
      <c r="B174" s="115"/>
      <c r="C174" s="115"/>
      <c r="D174" s="115"/>
      <c r="E174" s="115"/>
      <c r="F174" s="115"/>
      <c r="G174" s="115"/>
      <c r="H174" s="115"/>
      <c r="I174" s="115"/>
      <c r="J174" s="115"/>
      <c r="K174" s="115"/>
      <c r="L174" s="115"/>
      <c r="M174" s="115"/>
      <c r="N174" s="115"/>
      <c r="O174" s="115"/>
      <c r="P174" s="115"/>
      <c r="Q174" s="115"/>
      <c r="R174" s="115"/>
      <c r="S174" s="115"/>
      <c r="T174" s="115"/>
      <c r="U174" s="115"/>
      <c r="V174" s="115"/>
      <c r="W174" s="115"/>
      <c r="X174" s="115"/>
      <c r="Y174" s="115"/>
      <c r="Z174" s="115"/>
      <c r="AA174" s="115"/>
      <c r="AB174" s="115"/>
      <c r="AC174" s="115"/>
      <c r="AD174" s="115"/>
      <c r="AE174" s="115"/>
      <c r="AF174" s="115"/>
      <c r="AG174" s="115"/>
      <c r="AH174" s="115"/>
      <c r="AI174" s="115"/>
      <c r="AJ174" s="115"/>
      <c r="AK174" s="115"/>
      <c r="AL174" s="115"/>
      <c r="AM174" s="115"/>
      <c r="AN174" s="115"/>
      <c r="AO174" s="115"/>
      <c r="AP174" s="115"/>
      <c r="AQ174" s="115"/>
      <c r="AR174" s="115"/>
      <c r="AS174" s="115"/>
      <c r="AT174" s="115"/>
      <c r="AU174" s="115"/>
      <c r="AV174" s="115"/>
      <c r="AW174" s="115"/>
      <c r="AX174" s="115"/>
      <c r="AY174" s="115"/>
      <c r="AZ174" s="115"/>
      <c r="BA174" s="115"/>
      <c r="BB174" s="115"/>
      <c r="BC174" s="115"/>
      <c r="BD174" s="115"/>
      <c r="BE174" s="115"/>
      <c r="BF174" s="115"/>
      <c r="BG174" s="115"/>
      <c r="BH174" s="115"/>
    </row>
    <row r="175" spans="1:60" ht="15.75" customHeight="1" x14ac:dyDescent="0.25">
      <c r="A175" s="115"/>
      <c r="B175" s="115"/>
      <c r="C175" s="115"/>
      <c r="D175" s="115"/>
      <c r="E175" s="115"/>
      <c r="F175" s="115"/>
      <c r="G175" s="115"/>
      <c r="H175" s="115"/>
      <c r="I175" s="115"/>
      <c r="J175" s="115"/>
      <c r="K175" s="115"/>
      <c r="L175" s="115"/>
      <c r="M175" s="115"/>
      <c r="N175" s="115"/>
      <c r="O175" s="115"/>
      <c r="P175" s="115"/>
      <c r="Q175" s="115"/>
      <c r="R175" s="115"/>
      <c r="S175" s="115"/>
      <c r="T175" s="115"/>
      <c r="U175" s="115"/>
      <c r="V175" s="115"/>
      <c r="W175" s="115"/>
      <c r="X175" s="115"/>
      <c r="Y175" s="115"/>
      <c r="Z175" s="115"/>
      <c r="AA175" s="115"/>
      <c r="AB175" s="115"/>
      <c r="AC175" s="115"/>
      <c r="AD175" s="115"/>
      <c r="AE175" s="115"/>
      <c r="AF175" s="115"/>
      <c r="AG175" s="115"/>
      <c r="AH175" s="115"/>
      <c r="AI175" s="115"/>
      <c r="AJ175" s="115"/>
      <c r="AK175" s="115"/>
      <c r="AL175" s="115"/>
      <c r="AM175" s="115"/>
      <c r="AN175" s="115"/>
      <c r="AO175" s="115"/>
      <c r="AP175" s="115"/>
      <c r="AQ175" s="115"/>
      <c r="AR175" s="115"/>
      <c r="AS175" s="115"/>
      <c r="AT175" s="115"/>
      <c r="AU175" s="115"/>
      <c r="AV175" s="115"/>
      <c r="AW175" s="115"/>
      <c r="AX175" s="115"/>
      <c r="AY175" s="115"/>
      <c r="AZ175" s="115"/>
      <c r="BA175" s="115"/>
      <c r="BB175" s="115"/>
      <c r="BC175" s="115"/>
      <c r="BD175" s="115"/>
      <c r="BE175" s="115"/>
      <c r="BF175" s="115"/>
      <c r="BG175" s="115"/>
      <c r="BH175" s="115"/>
    </row>
    <row r="176" spans="1:60" ht="15.75" customHeight="1" x14ac:dyDescent="0.25">
      <c r="A176" s="115"/>
      <c r="B176" s="115"/>
      <c r="C176" s="115"/>
      <c r="D176" s="115"/>
      <c r="E176" s="115"/>
      <c r="F176" s="115"/>
      <c r="G176" s="115"/>
      <c r="H176" s="115"/>
      <c r="I176" s="115"/>
      <c r="J176" s="115"/>
      <c r="K176" s="115"/>
      <c r="L176" s="115"/>
      <c r="M176" s="115"/>
      <c r="N176" s="115"/>
      <c r="O176" s="115"/>
      <c r="P176" s="115"/>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5"/>
      <c r="AM176" s="115"/>
      <c r="AN176" s="115"/>
      <c r="AO176" s="115"/>
      <c r="AP176" s="115"/>
      <c r="AQ176" s="115"/>
      <c r="AR176" s="115"/>
      <c r="AS176" s="115"/>
      <c r="AT176" s="115"/>
      <c r="AU176" s="115"/>
      <c r="AV176" s="115"/>
      <c r="AW176" s="115"/>
      <c r="AX176" s="115"/>
      <c r="AY176" s="115"/>
      <c r="AZ176" s="115"/>
      <c r="BA176" s="115"/>
      <c r="BB176" s="115"/>
      <c r="BC176" s="115"/>
      <c r="BD176" s="115"/>
      <c r="BE176" s="115"/>
      <c r="BF176" s="115"/>
      <c r="BG176" s="115"/>
      <c r="BH176" s="115"/>
    </row>
    <row r="177" spans="1:60" ht="15.75" customHeight="1" x14ac:dyDescent="0.25">
      <c r="A177" s="115"/>
      <c r="B177" s="115"/>
      <c r="C177" s="115"/>
      <c r="D177" s="115"/>
      <c r="E177" s="115"/>
      <c r="F177" s="115"/>
      <c r="G177" s="115"/>
      <c r="H177" s="115"/>
      <c r="I177" s="115"/>
      <c r="J177" s="115"/>
      <c r="K177" s="115"/>
      <c r="L177" s="115"/>
      <c r="M177" s="115"/>
      <c r="N177" s="115"/>
      <c r="O177" s="115"/>
      <c r="P177" s="115"/>
      <c r="Q177" s="115"/>
      <c r="R177" s="115"/>
      <c r="S177" s="115"/>
      <c r="T177" s="115"/>
      <c r="U177" s="115"/>
      <c r="V177" s="115"/>
      <c r="W177" s="115"/>
      <c r="X177" s="115"/>
      <c r="Y177" s="115"/>
      <c r="Z177" s="115"/>
      <c r="AA177" s="115"/>
      <c r="AB177" s="115"/>
      <c r="AC177" s="115"/>
      <c r="AD177" s="115"/>
      <c r="AE177" s="115"/>
      <c r="AF177" s="115"/>
      <c r="AG177" s="115"/>
      <c r="AH177" s="115"/>
      <c r="AI177" s="115"/>
      <c r="AJ177" s="115"/>
      <c r="AK177" s="115"/>
      <c r="AL177" s="115"/>
      <c r="AM177" s="115"/>
      <c r="AN177" s="115"/>
      <c r="AO177" s="115"/>
      <c r="AP177" s="115"/>
      <c r="AQ177" s="115"/>
      <c r="AR177" s="115"/>
      <c r="AS177" s="115"/>
      <c r="AT177" s="115"/>
      <c r="AU177" s="115"/>
      <c r="AV177" s="115"/>
      <c r="AW177" s="115"/>
      <c r="AX177" s="115"/>
      <c r="AY177" s="115"/>
      <c r="AZ177" s="115"/>
      <c r="BA177" s="115"/>
      <c r="BB177" s="115"/>
      <c r="BC177" s="115"/>
      <c r="BD177" s="115"/>
      <c r="BE177" s="115"/>
      <c r="BF177" s="115"/>
      <c r="BG177" s="115"/>
      <c r="BH177" s="115"/>
    </row>
    <row r="178" spans="1:60" ht="15.75" customHeight="1" x14ac:dyDescent="0.25">
      <c r="A178" s="115"/>
      <c r="B178" s="115"/>
      <c r="C178" s="115"/>
      <c r="D178" s="115"/>
      <c r="E178" s="115"/>
      <c r="F178" s="115"/>
      <c r="G178" s="115"/>
      <c r="H178" s="115"/>
      <c r="I178" s="115"/>
      <c r="J178" s="115"/>
      <c r="K178" s="115"/>
      <c r="L178" s="115"/>
      <c r="M178" s="115"/>
      <c r="N178" s="115"/>
      <c r="O178" s="115"/>
      <c r="P178" s="115"/>
      <c r="Q178" s="115"/>
      <c r="R178" s="115"/>
      <c r="S178" s="115"/>
      <c r="T178" s="115"/>
      <c r="U178" s="115"/>
      <c r="V178" s="115"/>
      <c r="W178" s="115"/>
      <c r="X178" s="115"/>
      <c r="Y178" s="115"/>
      <c r="Z178" s="115"/>
      <c r="AA178" s="115"/>
      <c r="AB178" s="115"/>
      <c r="AC178" s="115"/>
      <c r="AD178" s="115"/>
      <c r="AE178" s="115"/>
      <c r="AF178" s="115"/>
      <c r="AG178" s="115"/>
      <c r="AH178" s="115"/>
      <c r="AI178" s="115"/>
      <c r="AJ178" s="115"/>
      <c r="AK178" s="115"/>
      <c r="AL178" s="115"/>
      <c r="AM178" s="115"/>
      <c r="AN178" s="115"/>
      <c r="AO178" s="115"/>
      <c r="AP178" s="115"/>
      <c r="AQ178" s="115"/>
      <c r="AR178" s="115"/>
      <c r="AS178" s="115"/>
      <c r="AT178" s="115"/>
      <c r="AU178" s="115"/>
      <c r="AV178" s="115"/>
      <c r="AW178" s="115"/>
      <c r="AX178" s="115"/>
      <c r="AY178" s="115"/>
      <c r="AZ178" s="115"/>
      <c r="BA178" s="115"/>
      <c r="BB178" s="115"/>
      <c r="BC178" s="115"/>
      <c r="BD178" s="115"/>
      <c r="BE178" s="115"/>
      <c r="BF178" s="115"/>
      <c r="BG178" s="115"/>
      <c r="BH178" s="115"/>
    </row>
    <row r="179" spans="1:60" ht="15.75" customHeight="1" x14ac:dyDescent="0.25">
      <c r="A179" s="115"/>
      <c r="B179" s="115"/>
      <c r="C179" s="115"/>
      <c r="D179" s="115"/>
      <c r="E179" s="115"/>
      <c r="F179" s="115"/>
      <c r="G179" s="115"/>
      <c r="H179" s="115"/>
      <c r="I179" s="115"/>
      <c r="J179" s="115"/>
      <c r="K179" s="115"/>
      <c r="L179" s="115"/>
      <c r="M179" s="115"/>
      <c r="N179" s="115"/>
      <c r="O179" s="115"/>
      <c r="P179" s="115"/>
      <c r="Q179" s="115"/>
      <c r="R179" s="115"/>
      <c r="S179" s="115"/>
      <c r="T179" s="115"/>
      <c r="U179" s="115"/>
      <c r="V179" s="115"/>
      <c r="W179" s="115"/>
      <c r="X179" s="115"/>
      <c r="Y179" s="115"/>
      <c r="Z179" s="115"/>
      <c r="AA179" s="115"/>
      <c r="AB179" s="115"/>
      <c r="AC179" s="115"/>
      <c r="AD179" s="115"/>
      <c r="AE179" s="115"/>
      <c r="AF179" s="115"/>
      <c r="AG179" s="115"/>
      <c r="AH179" s="115"/>
      <c r="AI179" s="115"/>
      <c r="AJ179" s="115"/>
      <c r="AK179" s="115"/>
      <c r="AL179" s="115"/>
      <c r="AM179" s="115"/>
      <c r="AN179" s="115"/>
      <c r="AO179" s="115"/>
      <c r="AP179" s="115"/>
      <c r="AQ179" s="115"/>
      <c r="AR179" s="115"/>
      <c r="AS179" s="115"/>
      <c r="AT179" s="115"/>
      <c r="AU179" s="115"/>
      <c r="AV179" s="115"/>
      <c r="AW179" s="115"/>
      <c r="AX179" s="115"/>
      <c r="AY179" s="115"/>
      <c r="AZ179" s="115"/>
      <c r="BA179" s="115"/>
      <c r="BB179" s="115"/>
      <c r="BC179" s="115"/>
      <c r="BD179" s="115"/>
      <c r="BE179" s="115"/>
      <c r="BF179" s="115"/>
      <c r="BG179" s="115"/>
      <c r="BH179" s="115"/>
    </row>
    <row r="180" spans="1:60" ht="15.75" customHeight="1" x14ac:dyDescent="0.25">
      <c r="A180" s="115"/>
      <c r="B180" s="115"/>
      <c r="C180" s="115"/>
      <c r="D180" s="115"/>
      <c r="E180" s="115"/>
      <c r="F180" s="115"/>
      <c r="G180" s="115"/>
      <c r="H180" s="115"/>
      <c r="I180" s="115"/>
      <c r="J180" s="115"/>
      <c r="K180" s="115"/>
      <c r="L180" s="115"/>
      <c r="M180" s="115"/>
      <c r="N180" s="115"/>
      <c r="O180" s="115"/>
      <c r="P180" s="115"/>
      <c r="Q180" s="115"/>
      <c r="R180" s="115"/>
      <c r="S180" s="115"/>
      <c r="T180" s="115"/>
      <c r="U180" s="115"/>
      <c r="V180" s="115"/>
      <c r="W180" s="115"/>
      <c r="X180" s="115"/>
      <c r="Y180" s="115"/>
      <c r="Z180" s="115"/>
      <c r="AA180" s="115"/>
      <c r="AB180" s="115"/>
      <c r="AC180" s="115"/>
      <c r="AD180" s="115"/>
      <c r="AE180" s="115"/>
      <c r="AF180" s="115"/>
      <c r="AG180" s="115"/>
      <c r="AH180" s="115"/>
      <c r="AI180" s="115"/>
      <c r="AJ180" s="115"/>
      <c r="AK180" s="115"/>
      <c r="AL180" s="115"/>
      <c r="AM180" s="115"/>
      <c r="AN180" s="115"/>
      <c r="AO180" s="115"/>
      <c r="AP180" s="115"/>
      <c r="AQ180" s="115"/>
      <c r="AR180" s="115"/>
      <c r="AS180" s="115"/>
      <c r="AT180" s="115"/>
      <c r="AU180" s="115"/>
      <c r="AV180" s="115"/>
      <c r="AW180" s="115"/>
      <c r="AX180" s="115"/>
      <c r="AY180" s="115"/>
      <c r="AZ180" s="115"/>
      <c r="BA180" s="115"/>
      <c r="BB180" s="115"/>
      <c r="BC180" s="115"/>
      <c r="BD180" s="115"/>
      <c r="BE180" s="115"/>
      <c r="BF180" s="115"/>
      <c r="BG180" s="115"/>
      <c r="BH180" s="115"/>
    </row>
    <row r="181" spans="1:60" ht="15.75" customHeight="1" x14ac:dyDescent="0.25">
      <c r="A181" s="115"/>
      <c r="B181" s="115"/>
      <c r="C181" s="115"/>
      <c r="D181" s="115"/>
      <c r="E181" s="115"/>
      <c r="F181" s="115"/>
      <c r="G181" s="115"/>
      <c r="H181" s="115"/>
      <c r="I181" s="115"/>
      <c r="J181" s="115"/>
      <c r="K181" s="115"/>
      <c r="L181" s="115"/>
      <c r="M181" s="115"/>
      <c r="N181" s="115"/>
      <c r="O181" s="115"/>
      <c r="P181" s="115"/>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c r="AN181" s="115"/>
      <c r="AO181" s="115"/>
      <c r="AP181" s="115"/>
      <c r="AQ181" s="115"/>
      <c r="AR181" s="115"/>
      <c r="AS181" s="115"/>
      <c r="AT181" s="115"/>
      <c r="AU181" s="115"/>
      <c r="AV181" s="115"/>
      <c r="AW181" s="115"/>
      <c r="AX181" s="115"/>
      <c r="AY181" s="115"/>
      <c r="AZ181" s="115"/>
      <c r="BA181" s="115"/>
      <c r="BB181" s="115"/>
      <c r="BC181" s="115"/>
      <c r="BD181" s="115"/>
      <c r="BE181" s="115"/>
      <c r="BF181" s="115"/>
      <c r="BG181" s="115"/>
      <c r="BH181" s="115"/>
    </row>
    <row r="182" spans="1:60" ht="15.75" customHeight="1" x14ac:dyDescent="0.25">
      <c r="A182" s="115"/>
      <c r="B182" s="115"/>
      <c r="C182" s="115"/>
      <c r="D182" s="115"/>
      <c r="E182" s="115"/>
      <c r="F182" s="115"/>
      <c r="G182" s="115"/>
      <c r="H182" s="115"/>
      <c r="I182" s="115"/>
      <c r="J182" s="115"/>
      <c r="K182" s="115"/>
      <c r="L182" s="115"/>
      <c r="M182" s="115"/>
      <c r="N182" s="115"/>
      <c r="O182" s="115"/>
      <c r="P182" s="115"/>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5"/>
      <c r="AM182" s="115"/>
      <c r="AN182" s="115"/>
      <c r="AO182" s="115"/>
      <c r="AP182" s="115"/>
      <c r="AQ182" s="115"/>
      <c r="AR182" s="115"/>
      <c r="AS182" s="115"/>
      <c r="AT182" s="115"/>
      <c r="AU182" s="115"/>
      <c r="AV182" s="115"/>
      <c r="AW182" s="115"/>
      <c r="AX182" s="115"/>
      <c r="AY182" s="115"/>
      <c r="AZ182" s="115"/>
      <c r="BA182" s="115"/>
      <c r="BB182" s="115"/>
      <c r="BC182" s="115"/>
      <c r="BD182" s="115"/>
      <c r="BE182" s="115"/>
      <c r="BF182" s="115"/>
      <c r="BG182" s="115"/>
      <c r="BH182" s="115"/>
    </row>
    <row r="183" spans="1:60" ht="15.75" customHeight="1" x14ac:dyDescent="0.25">
      <c r="A183" s="115"/>
      <c r="B183" s="115"/>
      <c r="C183" s="115"/>
      <c r="D183" s="115"/>
      <c r="E183" s="115"/>
      <c r="F183" s="115"/>
      <c r="G183" s="115"/>
      <c r="H183" s="115"/>
      <c r="I183" s="115"/>
      <c r="J183" s="115"/>
      <c r="K183" s="115"/>
      <c r="L183" s="115"/>
      <c r="M183" s="115"/>
      <c r="N183" s="115"/>
      <c r="O183" s="115"/>
      <c r="P183" s="115"/>
      <c r="Q183" s="115"/>
      <c r="R183" s="115"/>
      <c r="S183" s="115"/>
      <c r="T183" s="115"/>
      <c r="U183" s="115"/>
      <c r="V183" s="115"/>
      <c r="W183" s="115"/>
      <c r="X183" s="115"/>
      <c r="Y183" s="115"/>
      <c r="Z183" s="115"/>
      <c r="AA183" s="115"/>
      <c r="AB183" s="115"/>
      <c r="AC183" s="115"/>
      <c r="AD183" s="115"/>
      <c r="AE183" s="115"/>
      <c r="AF183" s="115"/>
      <c r="AG183" s="115"/>
      <c r="AH183" s="115"/>
      <c r="AI183" s="115"/>
      <c r="AJ183" s="115"/>
      <c r="AK183" s="115"/>
      <c r="AL183" s="115"/>
      <c r="AM183" s="115"/>
      <c r="AN183" s="115"/>
      <c r="AO183" s="115"/>
      <c r="AP183" s="115"/>
      <c r="AQ183" s="115"/>
      <c r="AR183" s="115"/>
      <c r="AS183" s="115"/>
      <c r="AT183" s="115"/>
      <c r="AU183" s="115"/>
      <c r="AV183" s="115"/>
      <c r="AW183" s="115"/>
      <c r="AX183" s="115"/>
      <c r="AY183" s="115"/>
      <c r="AZ183" s="115"/>
      <c r="BA183" s="115"/>
      <c r="BB183" s="115"/>
      <c r="BC183" s="115"/>
      <c r="BD183" s="115"/>
      <c r="BE183" s="115"/>
      <c r="BF183" s="115"/>
      <c r="BG183" s="115"/>
      <c r="BH183" s="115"/>
    </row>
    <row r="184" spans="1:60" ht="15.75" customHeight="1" x14ac:dyDescent="0.25">
      <c r="A184" s="115"/>
      <c r="B184" s="115"/>
      <c r="C184" s="115"/>
      <c r="D184" s="115"/>
      <c r="E184" s="115"/>
      <c r="F184" s="115"/>
      <c r="G184" s="115"/>
      <c r="H184" s="115"/>
      <c r="I184" s="115"/>
      <c r="J184" s="115"/>
      <c r="K184" s="115"/>
      <c r="L184" s="115"/>
      <c r="M184" s="115"/>
      <c r="N184" s="115"/>
      <c r="O184" s="115"/>
      <c r="P184" s="115"/>
      <c r="Q184" s="115"/>
      <c r="R184" s="115"/>
      <c r="S184" s="115"/>
      <c r="T184" s="115"/>
      <c r="U184" s="115"/>
      <c r="V184" s="115"/>
      <c r="W184" s="115"/>
      <c r="X184" s="115"/>
      <c r="Y184" s="115"/>
      <c r="Z184" s="115"/>
      <c r="AA184" s="115"/>
      <c r="AB184" s="115"/>
      <c r="AC184" s="115"/>
      <c r="AD184" s="115"/>
      <c r="AE184" s="115"/>
      <c r="AF184" s="115"/>
      <c r="AG184" s="115"/>
      <c r="AH184" s="115"/>
      <c r="AI184" s="115"/>
      <c r="AJ184" s="115"/>
      <c r="AK184" s="115"/>
      <c r="AL184" s="115"/>
      <c r="AM184" s="115"/>
      <c r="AN184" s="115"/>
      <c r="AO184" s="115"/>
      <c r="AP184" s="115"/>
      <c r="AQ184" s="115"/>
      <c r="AR184" s="115"/>
      <c r="AS184" s="115"/>
      <c r="AT184" s="115"/>
      <c r="AU184" s="115"/>
      <c r="AV184" s="115"/>
      <c r="AW184" s="115"/>
      <c r="AX184" s="115"/>
      <c r="AY184" s="115"/>
      <c r="AZ184" s="115"/>
      <c r="BA184" s="115"/>
      <c r="BB184" s="115"/>
      <c r="BC184" s="115"/>
      <c r="BD184" s="115"/>
      <c r="BE184" s="115"/>
      <c r="BF184" s="115"/>
      <c r="BG184" s="115"/>
      <c r="BH184" s="115"/>
    </row>
    <row r="185" spans="1:60" ht="15.75" customHeight="1" x14ac:dyDescent="0.25">
      <c r="A185" s="115"/>
      <c r="B185" s="115"/>
      <c r="C185" s="115"/>
      <c r="D185" s="115"/>
      <c r="E185" s="115"/>
      <c r="F185" s="115"/>
      <c r="G185" s="115"/>
      <c r="H185" s="115"/>
      <c r="I185" s="115"/>
      <c r="J185" s="115"/>
      <c r="K185" s="115"/>
      <c r="L185" s="115"/>
      <c r="M185" s="115"/>
      <c r="N185" s="115"/>
      <c r="O185" s="115"/>
      <c r="P185" s="115"/>
      <c r="Q185" s="115"/>
      <c r="R185" s="115"/>
      <c r="S185" s="115"/>
      <c r="T185" s="115"/>
      <c r="U185" s="115"/>
      <c r="V185" s="115"/>
      <c r="W185" s="115"/>
      <c r="X185" s="115"/>
      <c r="Y185" s="115"/>
      <c r="Z185" s="115"/>
      <c r="AA185" s="115"/>
      <c r="AB185" s="115"/>
      <c r="AC185" s="115"/>
      <c r="AD185" s="115"/>
      <c r="AE185" s="115"/>
      <c r="AF185" s="115"/>
      <c r="AG185" s="115"/>
      <c r="AH185" s="115"/>
      <c r="AI185" s="115"/>
      <c r="AJ185" s="115"/>
      <c r="AK185" s="115"/>
      <c r="AL185" s="115"/>
      <c r="AM185" s="115"/>
      <c r="AN185" s="115"/>
      <c r="AO185" s="115"/>
      <c r="AP185" s="115"/>
      <c r="AQ185" s="115"/>
      <c r="AR185" s="115"/>
      <c r="AS185" s="115"/>
      <c r="AT185" s="115"/>
      <c r="AU185" s="115"/>
      <c r="AV185" s="115"/>
      <c r="AW185" s="115"/>
      <c r="AX185" s="115"/>
      <c r="AY185" s="115"/>
      <c r="AZ185" s="115"/>
      <c r="BA185" s="115"/>
      <c r="BB185" s="115"/>
      <c r="BC185" s="115"/>
      <c r="BD185" s="115"/>
      <c r="BE185" s="115"/>
      <c r="BF185" s="115"/>
      <c r="BG185" s="115"/>
      <c r="BH185" s="115"/>
    </row>
    <row r="186" spans="1:60" ht="15.75" customHeight="1" x14ac:dyDescent="0.25">
      <c r="A186" s="115"/>
      <c r="B186" s="115"/>
      <c r="C186" s="115"/>
      <c r="D186" s="115"/>
      <c r="E186" s="115"/>
      <c r="F186" s="115"/>
      <c r="G186" s="115"/>
      <c r="H186" s="115"/>
      <c r="I186" s="115"/>
      <c r="J186" s="115"/>
      <c r="K186" s="115"/>
      <c r="L186" s="115"/>
      <c r="M186" s="115"/>
      <c r="N186" s="115"/>
      <c r="O186" s="115"/>
      <c r="P186" s="115"/>
      <c r="Q186" s="115"/>
      <c r="R186" s="115"/>
      <c r="S186" s="115"/>
      <c r="T186" s="115"/>
      <c r="U186" s="115"/>
      <c r="V186" s="115"/>
      <c r="W186" s="115"/>
      <c r="X186" s="115"/>
      <c r="Y186" s="115"/>
      <c r="Z186" s="115"/>
      <c r="AA186" s="115"/>
      <c r="AB186" s="115"/>
      <c r="AC186" s="115"/>
      <c r="AD186" s="115"/>
      <c r="AE186" s="115"/>
      <c r="AF186" s="115"/>
      <c r="AG186" s="115"/>
      <c r="AH186" s="115"/>
      <c r="AI186" s="115"/>
      <c r="AJ186" s="115"/>
      <c r="AK186" s="115"/>
      <c r="AL186" s="115"/>
      <c r="AM186" s="115"/>
      <c r="AN186" s="115"/>
      <c r="AO186" s="115"/>
      <c r="AP186" s="115"/>
      <c r="AQ186" s="115"/>
      <c r="AR186" s="115"/>
      <c r="AS186" s="115"/>
      <c r="AT186" s="115"/>
      <c r="AU186" s="115"/>
      <c r="AV186" s="115"/>
      <c r="AW186" s="115"/>
      <c r="AX186" s="115"/>
      <c r="AY186" s="115"/>
      <c r="AZ186" s="115"/>
      <c r="BA186" s="115"/>
      <c r="BB186" s="115"/>
      <c r="BC186" s="115"/>
      <c r="BD186" s="115"/>
      <c r="BE186" s="115"/>
      <c r="BF186" s="115"/>
      <c r="BG186" s="115"/>
      <c r="BH186" s="115"/>
    </row>
    <row r="187" spans="1:60" ht="15.75" customHeight="1" x14ac:dyDescent="0.25">
      <c r="A187" s="115"/>
      <c r="B187" s="115"/>
      <c r="C187" s="115"/>
      <c r="D187" s="115"/>
      <c r="E187" s="115"/>
      <c r="F187" s="115"/>
      <c r="G187" s="115"/>
      <c r="H187" s="115"/>
      <c r="I187" s="115"/>
      <c r="J187" s="115"/>
      <c r="K187" s="115"/>
      <c r="L187" s="115"/>
      <c r="M187" s="115"/>
      <c r="N187" s="115"/>
      <c r="O187" s="115"/>
      <c r="P187" s="115"/>
      <c r="Q187" s="115"/>
      <c r="R187" s="115"/>
      <c r="S187" s="115"/>
      <c r="T187" s="115"/>
      <c r="U187" s="115"/>
      <c r="V187" s="115"/>
      <c r="W187" s="115"/>
      <c r="X187" s="115"/>
      <c r="Y187" s="115"/>
      <c r="Z187" s="115"/>
      <c r="AA187" s="115"/>
      <c r="AB187" s="115"/>
      <c r="AC187" s="115"/>
      <c r="AD187" s="115"/>
      <c r="AE187" s="115"/>
      <c r="AF187" s="115"/>
      <c r="AG187" s="115"/>
      <c r="AH187" s="115"/>
      <c r="AI187" s="115"/>
      <c r="AJ187" s="115"/>
      <c r="AK187" s="115"/>
      <c r="AL187" s="115"/>
      <c r="AM187" s="115"/>
      <c r="AN187" s="115"/>
      <c r="AO187" s="115"/>
      <c r="AP187" s="115"/>
      <c r="AQ187" s="115"/>
      <c r="AR187" s="115"/>
      <c r="AS187" s="115"/>
      <c r="AT187" s="115"/>
      <c r="AU187" s="115"/>
      <c r="AV187" s="115"/>
      <c r="AW187" s="115"/>
      <c r="AX187" s="115"/>
      <c r="AY187" s="115"/>
      <c r="AZ187" s="115"/>
      <c r="BA187" s="115"/>
      <c r="BB187" s="115"/>
      <c r="BC187" s="115"/>
      <c r="BD187" s="115"/>
      <c r="BE187" s="115"/>
      <c r="BF187" s="115"/>
      <c r="BG187" s="115"/>
      <c r="BH187" s="115"/>
    </row>
    <row r="188" spans="1:60" ht="15.75" customHeight="1" x14ac:dyDescent="0.25">
      <c r="A188" s="115"/>
      <c r="B188" s="115"/>
      <c r="C188" s="115"/>
      <c r="D188" s="115"/>
      <c r="E188" s="115"/>
      <c r="F188" s="115"/>
      <c r="G188" s="115"/>
      <c r="H188" s="115"/>
      <c r="I188" s="115"/>
      <c r="J188" s="115"/>
      <c r="K188" s="115"/>
      <c r="L188" s="115"/>
      <c r="M188" s="115"/>
      <c r="N188" s="115"/>
      <c r="O188" s="115"/>
      <c r="P188" s="115"/>
      <c r="Q188" s="115"/>
      <c r="R188" s="115"/>
      <c r="S188" s="115"/>
      <c r="T188" s="115"/>
      <c r="U188" s="115"/>
      <c r="V188" s="115"/>
      <c r="W188" s="115"/>
      <c r="X188" s="115"/>
      <c r="Y188" s="115"/>
      <c r="Z188" s="115"/>
      <c r="AA188" s="115"/>
      <c r="AB188" s="115"/>
      <c r="AC188" s="115"/>
      <c r="AD188" s="115"/>
      <c r="AE188" s="115"/>
      <c r="AF188" s="115"/>
      <c r="AG188" s="115"/>
      <c r="AH188" s="115"/>
      <c r="AI188" s="115"/>
      <c r="AJ188" s="115"/>
      <c r="AK188" s="115"/>
      <c r="AL188" s="115"/>
      <c r="AM188" s="115"/>
      <c r="AN188" s="115"/>
      <c r="AO188" s="115"/>
      <c r="AP188" s="115"/>
      <c r="AQ188" s="115"/>
      <c r="AR188" s="115"/>
      <c r="AS188" s="115"/>
      <c r="AT188" s="115"/>
      <c r="AU188" s="115"/>
      <c r="AV188" s="115"/>
      <c r="AW188" s="115"/>
      <c r="AX188" s="115"/>
      <c r="AY188" s="115"/>
      <c r="AZ188" s="115"/>
      <c r="BA188" s="115"/>
      <c r="BB188" s="115"/>
      <c r="BC188" s="115"/>
      <c r="BD188" s="115"/>
      <c r="BE188" s="115"/>
      <c r="BF188" s="115"/>
      <c r="BG188" s="115"/>
      <c r="BH188" s="115"/>
    </row>
    <row r="189" spans="1:60" ht="15.75" customHeight="1" x14ac:dyDescent="0.25">
      <c r="A189" s="115"/>
      <c r="B189" s="115"/>
      <c r="C189" s="115"/>
      <c r="D189" s="115"/>
      <c r="E189" s="115"/>
      <c r="F189" s="115"/>
      <c r="G189" s="115"/>
      <c r="H189" s="115"/>
      <c r="I189" s="115"/>
      <c r="J189" s="115"/>
      <c r="K189" s="115"/>
      <c r="L189" s="115"/>
      <c r="M189" s="115"/>
      <c r="N189" s="115"/>
      <c r="O189" s="115"/>
      <c r="P189" s="115"/>
      <c r="Q189" s="115"/>
      <c r="R189" s="115"/>
      <c r="S189" s="115"/>
      <c r="T189" s="115"/>
      <c r="U189" s="115"/>
      <c r="V189" s="115"/>
      <c r="W189" s="115"/>
      <c r="X189" s="115"/>
      <c r="Y189" s="115"/>
      <c r="Z189" s="115"/>
      <c r="AA189" s="115"/>
      <c r="AB189" s="115"/>
      <c r="AC189" s="115"/>
      <c r="AD189" s="115"/>
      <c r="AE189" s="115"/>
      <c r="AF189" s="115"/>
      <c r="AG189" s="115"/>
      <c r="AH189" s="115"/>
      <c r="AI189" s="115"/>
      <c r="AJ189" s="115"/>
      <c r="AK189" s="115"/>
      <c r="AL189" s="115"/>
      <c r="AM189" s="115"/>
      <c r="AN189" s="115"/>
      <c r="AO189" s="115"/>
      <c r="AP189" s="115"/>
      <c r="AQ189" s="115"/>
      <c r="AR189" s="115"/>
      <c r="AS189" s="115"/>
      <c r="AT189" s="115"/>
      <c r="AU189" s="115"/>
      <c r="AV189" s="115"/>
      <c r="AW189" s="115"/>
      <c r="AX189" s="115"/>
      <c r="AY189" s="115"/>
      <c r="AZ189" s="115"/>
      <c r="BA189" s="115"/>
      <c r="BB189" s="115"/>
      <c r="BC189" s="115"/>
      <c r="BD189" s="115"/>
      <c r="BE189" s="115"/>
      <c r="BF189" s="115"/>
      <c r="BG189" s="115"/>
      <c r="BH189" s="115"/>
    </row>
    <row r="190" spans="1:60" ht="15.75" customHeight="1" x14ac:dyDescent="0.25">
      <c r="A190" s="115"/>
      <c r="B190" s="115"/>
      <c r="C190" s="115"/>
      <c r="D190" s="115"/>
      <c r="E190" s="115"/>
      <c r="F190" s="115"/>
      <c r="G190" s="115"/>
      <c r="H190" s="115"/>
      <c r="I190" s="115"/>
      <c r="J190" s="115"/>
      <c r="K190" s="115"/>
      <c r="L190" s="115"/>
      <c r="M190" s="115"/>
      <c r="N190" s="115"/>
      <c r="O190" s="115"/>
      <c r="P190" s="115"/>
      <c r="Q190" s="115"/>
      <c r="R190" s="115"/>
      <c r="S190" s="115"/>
      <c r="T190" s="115"/>
      <c r="U190" s="115"/>
      <c r="V190" s="115"/>
      <c r="W190" s="115"/>
      <c r="X190" s="115"/>
      <c r="Y190" s="115"/>
      <c r="Z190" s="115"/>
      <c r="AA190" s="115"/>
      <c r="AB190" s="115"/>
      <c r="AC190" s="115"/>
      <c r="AD190" s="115"/>
      <c r="AE190" s="115"/>
      <c r="AF190" s="115"/>
      <c r="AG190" s="115"/>
      <c r="AH190" s="115"/>
      <c r="AI190" s="115"/>
      <c r="AJ190" s="115"/>
      <c r="AK190" s="115"/>
      <c r="AL190" s="115"/>
      <c r="AM190" s="115"/>
      <c r="AN190" s="115"/>
      <c r="AO190" s="115"/>
      <c r="AP190" s="115"/>
      <c r="AQ190" s="115"/>
      <c r="AR190" s="115"/>
      <c r="AS190" s="115"/>
      <c r="AT190" s="115"/>
      <c r="AU190" s="115"/>
      <c r="AV190" s="115"/>
      <c r="AW190" s="115"/>
      <c r="AX190" s="115"/>
      <c r="AY190" s="115"/>
      <c r="AZ190" s="115"/>
      <c r="BA190" s="115"/>
      <c r="BB190" s="115"/>
      <c r="BC190" s="115"/>
      <c r="BD190" s="115"/>
      <c r="BE190" s="115"/>
      <c r="BF190" s="115"/>
      <c r="BG190" s="115"/>
      <c r="BH190" s="115"/>
    </row>
    <row r="191" spans="1:60" ht="15.75" customHeight="1" x14ac:dyDescent="0.25">
      <c r="A191" s="115"/>
      <c r="J191" s="115"/>
      <c r="K191" s="115"/>
      <c r="L191" s="115"/>
      <c r="M191" s="115"/>
      <c r="N191" s="115"/>
      <c r="O191" s="115"/>
      <c r="P191" s="115"/>
      <c r="Q191" s="115"/>
      <c r="R191" s="115"/>
      <c r="S191" s="115"/>
      <c r="T191" s="115"/>
      <c r="U191" s="115"/>
      <c r="V191" s="115"/>
      <c r="W191" s="115"/>
      <c r="X191" s="115"/>
      <c r="Y191" s="115"/>
      <c r="Z191" s="115"/>
      <c r="AA191" s="115"/>
      <c r="AB191" s="115"/>
      <c r="AC191" s="115"/>
      <c r="AD191" s="115"/>
      <c r="AE191" s="115"/>
      <c r="AF191" s="115"/>
      <c r="AG191" s="115"/>
      <c r="AH191" s="115"/>
      <c r="AI191" s="115"/>
      <c r="AJ191" s="115"/>
      <c r="AK191" s="115"/>
      <c r="AL191" s="115"/>
      <c r="AM191" s="115"/>
      <c r="AN191" s="115"/>
      <c r="AO191" s="115"/>
      <c r="AP191" s="115"/>
      <c r="AQ191" s="115"/>
      <c r="AR191" s="115"/>
      <c r="AS191" s="115"/>
      <c r="AT191" s="115"/>
      <c r="AU191" s="115"/>
      <c r="AV191" s="115"/>
      <c r="AW191" s="115"/>
      <c r="AX191" s="115"/>
      <c r="AY191" s="115"/>
      <c r="AZ191" s="115"/>
      <c r="BA191" s="115"/>
      <c r="BB191" s="115"/>
      <c r="BC191" s="115"/>
      <c r="BD191" s="115"/>
      <c r="BE191" s="115"/>
      <c r="BF191" s="115"/>
      <c r="BG191" s="115"/>
      <c r="BH191" s="115"/>
    </row>
    <row r="192" spans="1:60" ht="15.75" customHeight="1" x14ac:dyDescent="0.25">
      <c r="A192" s="115"/>
      <c r="J192" s="115"/>
      <c r="K192" s="115"/>
      <c r="L192" s="115"/>
      <c r="M192" s="115"/>
      <c r="N192" s="115"/>
      <c r="O192" s="115"/>
      <c r="P192" s="115"/>
      <c r="Q192" s="115"/>
      <c r="R192" s="115"/>
      <c r="S192" s="115"/>
      <c r="T192" s="115"/>
      <c r="U192" s="115"/>
      <c r="V192" s="115"/>
      <c r="W192" s="115"/>
      <c r="X192" s="115"/>
      <c r="Y192" s="115"/>
      <c r="Z192" s="115"/>
      <c r="AA192" s="115"/>
      <c r="AB192" s="115"/>
      <c r="AC192" s="115"/>
      <c r="AD192" s="115"/>
      <c r="AE192" s="115"/>
      <c r="AF192" s="115"/>
      <c r="AG192" s="115"/>
      <c r="AH192" s="115"/>
      <c r="AI192" s="115"/>
      <c r="AJ192" s="115"/>
      <c r="AK192" s="115"/>
      <c r="AL192" s="115"/>
      <c r="AM192" s="115"/>
      <c r="AN192" s="115"/>
      <c r="AO192" s="115"/>
      <c r="AP192" s="115"/>
      <c r="AQ192" s="115"/>
      <c r="AR192" s="115"/>
      <c r="AS192" s="115"/>
      <c r="AT192" s="115"/>
      <c r="AU192" s="115"/>
      <c r="AV192" s="115"/>
      <c r="AW192" s="115"/>
      <c r="AX192" s="115"/>
      <c r="AY192" s="115"/>
      <c r="AZ192" s="115"/>
      <c r="BA192" s="115"/>
      <c r="BB192" s="115"/>
      <c r="BC192" s="115"/>
      <c r="BD192" s="115"/>
      <c r="BE192" s="115"/>
      <c r="BF192" s="115"/>
      <c r="BG192" s="115"/>
      <c r="BH192" s="115"/>
    </row>
    <row r="193" spans="1:60" ht="15.75" customHeight="1" x14ac:dyDescent="0.25">
      <c r="A193" s="115"/>
      <c r="J193" s="115"/>
      <c r="K193" s="115"/>
      <c r="L193" s="115"/>
      <c r="M193" s="115"/>
      <c r="N193" s="115"/>
      <c r="O193" s="115"/>
      <c r="P193" s="115"/>
      <c r="Q193" s="115"/>
      <c r="R193" s="115"/>
      <c r="S193" s="115"/>
      <c r="T193" s="115"/>
      <c r="U193" s="115"/>
      <c r="V193" s="115"/>
      <c r="W193" s="115"/>
      <c r="X193" s="115"/>
      <c r="Y193" s="115"/>
      <c r="Z193" s="115"/>
      <c r="AA193" s="115"/>
      <c r="AB193" s="115"/>
      <c r="AC193" s="115"/>
      <c r="AD193" s="115"/>
      <c r="AE193" s="115"/>
      <c r="AF193" s="115"/>
      <c r="AG193" s="115"/>
      <c r="AH193" s="115"/>
      <c r="AI193" s="115"/>
      <c r="AJ193" s="115"/>
      <c r="AK193" s="115"/>
      <c r="AL193" s="115"/>
      <c r="AM193" s="115"/>
      <c r="AN193" s="115"/>
      <c r="AO193" s="115"/>
      <c r="AP193" s="115"/>
      <c r="AQ193" s="115"/>
      <c r="AR193" s="115"/>
      <c r="AS193" s="115"/>
      <c r="AT193" s="115"/>
      <c r="AU193" s="115"/>
      <c r="AV193" s="115"/>
      <c r="AW193" s="115"/>
      <c r="AX193" s="115"/>
      <c r="AY193" s="115"/>
      <c r="AZ193" s="115"/>
      <c r="BA193" s="115"/>
      <c r="BB193" s="115"/>
      <c r="BC193" s="115"/>
      <c r="BD193" s="115"/>
      <c r="BE193" s="115"/>
      <c r="BF193" s="115"/>
      <c r="BG193" s="115"/>
      <c r="BH193" s="115"/>
    </row>
    <row r="194" spans="1:60" ht="15.75" customHeight="1" x14ac:dyDescent="0.25">
      <c r="A194" s="115"/>
      <c r="J194" s="115"/>
      <c r="K194" s="115"/>
      <c r="L194" s="115"/>
      <c r="M194" s="115"/>
      <c r="N194" s="115"/>
      <c r="O194" s="115"/>
      <c r="P194" s="115"/>
      <c r="Q194" s="115"/>
      <c r="R194" s="115"/>
      <c r="S194" s="115"/>
      <c r="T194" s="115"/>
      <c r="U194" s="115"/>
      <c r="V194" s="115"/>
      <c r="W194" s="115"/>
      <c r="X194" s="115"/>
      <c r="Y194" s="115"/>
      <c r="Z194" s="115"/>
      <c r="AA194" s="115"/>
      <c r="AB194" s="115"/>
      <c r="AC194" s="115"/>
      <c r="AD194" s="115"/>
      <c r="AE194" s="115"/>
      <c r="AF194" s="115"/>
      <c r="AG194" s="115"/>
      <c r="AH194" s="115"/>
      <c r="AI194" s="115"/>
      <c r="AJ194" s="115"/>
      <c r="AK194" s="115"/>
      <c r="AL194" s="115"/>
      <c r="AM194" s="115"/>
      <c r="AN194" s="115"/>
      <c r="AO194" s="115"/>
      <c r="AP194" s="115"/>
      <c r="AQ194" s="115"/>
      <c r="AR194" s="115"/>
      <c r="AS194" s="115"/>
      <c r="AT194" s="115"/>
      <c r="AU194" s="115"/>
      <c r="AV194" s="115"/>
      <c r="AW194" s="115"/>
      <c r="AX194" s="115"/>
      <c r="AY194" s="115"/>
      <c r="AZ194" s="115"/>
      <c r="BA194" s="115"/>
      <c r="BB194" s="115"/>
      <c r="BC194" s="115"/>
      <c r="BD194" s="115"/>
      <c r="BE194" s="115"/>
      <c r="BF194" s="115"/>
      <c r="BG194" s="115"/>
      <c r="BH194" s="115"/>
    </row>
    <row r="195" spans="1:60" ht="15.75" customHeight="1" x14ac:dyDescent="0.25">
      <c r="A195" s="115"/>
      <c r="J195" s="115"/>
      <c r="K195" s="115"/>
      <c r="L195" s="115"/>
      <c r="M195" s="115"/>
      <c r="N195" s="115"/>
      <c r="O195" s="115"/>
      <c r="P195" s="115"/>
      <c r="Q195" s="115"/>
      <c r="R195" s="115"/>
      <c r="S195" s="115"/>
      <c r="T195" s="115"/>
      <c r="U195" s="115"/>
      <c r="V195" s="115"/>
      <c r="W195" s="115"/>
      <c r="X195" s="115"/>
      <c r="Y195" s="115"/>
      <c r="Z195" s="115"/>
      <c r="AA195" s="115"/>
      <c r="AB195" s="115"/>
      <c r="AC195" s="115"/>
      <c r="AD195" s="115"/>
      <c r="AE195" s="115"/>
      <c r="AF195" s="115"/>
      <c r="AG195" s="115"/>
      <c r="AH195" s="115"/>
      <c r="AI195" s="115"/>
      <c r="AJ195" s="115"/>
      <c r="AK195" s="115"/>
      <c r="AL195" s="115"/>
      <c r="AM195" s="115"/>
      <c r="AN195" s="115"/>
      <c r="AO195" s="115"/>
      <c r="AP195" s="115"/>
      <c r="AQ195" s="115"/>
      <c r="AR195" s="115"/>
      <c r="AS195" s="115"/>
      <c r="AT195" s="115"/>
      <c r="AU195" s="115"/>
      <c r="AV195" s="115"/>
      <c r="AW195" s="115"/>
      <c r="AX195" s="115"/>
      <c r="AY195" s="115"/>
      <c r="AZ195" s="115"/>
      <c r="BA195" s="115"/>
      <c r="BB195" s="115"/>
      <c r="BC195" s="115"/>
      <c r="BD195" s="115"/>
      <c r="BE195" s="115"/>
      <c r="BF195" s="115"/>
      <c r="BG195" s="115"/>
      <c r="BH195" s="115"/>
    </row>
    <row r="196" spans="1:60" ht="15.75" customHeight="1" x14ac:dyDescent="0.25">
      <c r="A196" s="115"/>
      <c r="J196" s="115"/>
      <c r="K196" s="115"/>
      <c r="L196" s="115"/>
      <c r="M196" s="115"/>
      <c r="N196" s="115"/>
      <c r="O196" s="115"/>
      <c r="P196" s="115"/>
      <c r="Q196" s="115"/>
      <c r="R196" s="115"/>
      <c r="S196" s="115"/>
      <c r="T196" s="115"/>
      <c r="U196" s="115"/>
      <c r="V196" s="115"/>
      <c r="W196" s="115"/>
      <c r="X196" s="115"/>
      <c r="Y196" s="115"/>
      <c r="Z196" s="115"/>
      <c r="AA196" s="115"/>
      <c r="AB196" s="115"/>
      <c r="AC196" s="115"/>
      <c r="AD196" s="115"/>
      <c r="AE196" s="115"/>
      <c r="AF196" s="115"/>
      <c r="AG196" s="115"/>
      <c r="AH196" s="115"/>
      <c r="AI196" s="115"/>
      <c r="AJ196" s="115"/>
      <c r="AK196" s="115"/>
      <c r="AL196" s="115"/>
      <c r="AM196" s="115"/>
      <c r="AN196" s="115"/>
      <c r="AO196" s="115"/>
      <c r="AP196" s="115"/>
      <c r="AQ196" s="115"/>
      <c r="AR196" s="115"/>
      <c r="AS196" s="115"/>
      <c r="AT196" s="115"/>
      <c r="AU196" s="115"/>
      <c r="AV196" s="115"/>
      <c r="AW196" s="115"/>
      <c r="AX196" s="115"/>
      <c r="AY196" s="115"/>
      <c r="AZ196" s="115"/>
      <c r="BA196" s="115"/>
      <c r="BB196" s="115"/>
      <c r="BC196" s="115"/>
      <c r="BD196" s="115"/>
      <c r="BE196" s="115"/>
      <c r="BF196" s="115"/>
      <c r="BG196" s="115"/>
      <c r="BH196" s="115"/>
    </row>
    <row r="197" spans="1:60" ht="15.75" customHeight="1" x14ac:dyDescent="0.25">
      <c r="A197" s="115"/>
      <c r="J197" s="115"/>
      <c r="K197" s="115"/>
      <c r="L197" s="115"/>
      <c r="M197" s="115"/>
      <c r="N197" s="115"/>
      <c r="O197" s="115"/>
      <c r="P197" s="115"/>
      <c r="Q197" s="115"/>
      <c r="R197" s="115"/>
      <c r="S197" s="115"/>
      <c r="T197" s="115"/>
      <c r="U197" s="115"/>
      <c r="V197" s="115"/>
      <c r="W197" s="115"/>
      <c r="X197" s="115"/>
      <c r="Y197" s="115"/>
      <c r="Z197" s="115"/>
      <c r="AA197" s="115"/>
      <c r="AB197" s="115"/>
      <c r="AC197" s="115"/>
      <c r="AD197" s="115"/>
      <c r="AE197" s="115"/>
      <c r="AF197" s="115"/>
      <c r="AG197" s="115"/>
      <c r="AH197" s="115"/>
      <c r="AI197" s="115"/>
      <c r="AJ197" s="115"/>
      <c r="AK197" s="115"/>
      <c r="AL197" s="115"/>
      <c r="AM197" s="115"/>
      <c r="AN197" s="115"/>
      <c r="AO197" s="115"/>
      <c r="AP197" s="115"/>
      <c r="AQ197" s="115"/>
      <c r="AR197" s="115"/>
      <c r="AS197" s="115"/>
      <c r="AT197" s="115"/>
      <c r="AU197" s="115"/>
      <c r="AV197" s="115"/>
      <c r="AW197" s="115"/>
      <c r="AX197" s="115"/>
      <c r="AY197" s="115"/>
      <c r="AZ197" s="115"/>
      <c r="BA197" s="115"/>
      <c r="BB197" s="115"/>
      <c r="BC197" s="115"/>
      <c r="BD197" s="115"/>
      <c r="BE197" s="115"/>
      <c r="BF197" s="115"/>
      <c r="BG197" s="115"/>
      <c r="BH197" s="115"/>
    </row>
    <row r="198" spans="1:60" ht="15.75" customHeight="1" x14ac:dyDescent="0.25">
      <c r="A198" s="115"/>
      <c r="J198" s="115"/>
      <c r="K198" s="115"/>
      <c r="L198" s="115"/>
      <c r="M198" s="115"/>
      <c r="N198" s="115"/>
      <c r="O198" s="115"/>
      <c r="P198" s="115"/>
      <c r="Q198" s="115"/>
      <c r="R198" s="115"/>
      <c r="S198" s="115"/>
      <c r="T198" s="115"/>
      <c r="U198" s="115"/>
      <c r="V198" s="115"/>
      <c r="W198" s="115"/>
      <c r="X198" s="115"/>
      <c r="Y198" s="115"/>
      <c r="Z198" s="115"/>
      <c r="AA198" s="115"/>
      <c r="AB198" s="115"/>
      <c r="AC198" s="115"/>
      <c r="AD198" s="115"/>
      <c r="AE198" s="115"/>
      <c r="AF198" s="115"/>
      <c r="AG198" s="115"/>
      <c r="AH198" s="115"/>
      <c r="AI198" s="115"/>
      <c r="AJ198" s="115"/>
      <c r="AK198" s="115"/>
      <c r="AL198" s="115"/>
      <c r="AM198" s="115"/>
      <c r="AN198" s="115"/>
      <c r="AO198" s="115"/>
      <c r="AP198" s="115"/>
      <c r="AQ198" s="115"/>
      <c r="AR198" s="115"/>
      <c r="AS198" s="115"/>
      <c r="AT198" s="115"/>
      <c r="AU198" s="115"/>
      <c r="AV198" s="115"/>
      <c r="AW198" s="115"/>
      <c r="AX198" s="115"/>
      <c r="AY198" s="115"/>
      <c r="AZ198" s="115"/>
      <c r="BA198" s="115"/>
      <c r="BB198" s="115"/>
      <c r="BC198" s="115"/>
      <c r="BD198" s="115"/>
      <c r="BE198" s="115"/>
      <c r="BF198" s="115"/>
      <c r="BG198" s="115"/>
      <c r="BH198" s="115"/>
    </row>
    <row r="199" spans="1:60" ht="15.75" customHeight="1" x14ac:dyDescent="0.25">
      <c r="A199" s="115"/>
      <c r="J199" s="115"/>
      <c r="K199" s="115"/>
      <c r="L199" s="115"/>
      <c r="M199" s="115"/>
      <c r="N199" s="115"/>
      <c r="O199" s="115"/>
      <c r="P199" s="115"/>
      <c r="Q199" s="115"/>
      <c r="R199" s="115"/>
      <c r="S199" s="115"/>
      <c r="T199" s="115"/>
      <c r="U199" s="115"/>
      <c r="V199" s="115"/>
      <c r="W199" s="115"/>
      <c r="X199" s="115"/>
      <c r="Y199" s="115"/>
      <c r="Z199" s="115"/>
      <c r="AA199" s="115"/>
      <c r="AB199" s="115"/>
      <c r="AC199" s="115"/>
      <c r="AD199" s="115"/>
      <c r="AE199" s="115"/>
      <c r="AF199" s="115"/>
      <c r="AG199" s="115"/>
      <c r="AH199" s="115"/>
      <c r="AI199" s="115"/>
      <c r="AJ199" s="115"/>
      <c r="AK199" s="115"/>
      <c r="AL199" s="115"/>
      <c r="AM199" s="115"/>
      <c r="AN199" s="115"/>
      <c r="AO199" s="115"/>
      <c r="AP199" s="115"/>
      <c r="AQ199" s="115"/>
      <c r="AR199" s="115"/>
      <c r="AS199" s="115"/>
      <c r="AT199" s="115"/>
      <c r="AU199" s="115"/>
      <c r="AV199" s="115"/>
      <c r="AW199" s="115"/>
      <c r="AX199" s="115"/>
      <c r="AY199" s="115"/>
      <c r="AZ199" s="115"/>
      <c r="BA199" s="115"/>
      <c r="BB199" s="115"/>
      <c r="BC199" s="115"/>
      <c r="BD199" s="115"/>
      <c r="BE199" s="115"/>
      <c r="BF199" s="115"/>
      <c r="BG199" s="115"/>
      <c r="BH199" s="115"/>
    </row>
    <row r="200" spans="1:60" ht="15.75" customHeight="1" x14ac:dyDescent="0.25">
      <c r="A200" s="115"/>
      <c r="J200" s="115"/>
      <c r="K200" s="115"/>
      <c r="L200" s="115"/>
      <c r="M200" s="115"/>
      <c r="N200" s="115"/>
      <c r="O200" s="115"/>
      <c r="P200" s="115"/>
      <c r="Q200" s="115"/>
      <c r="R200" s="115"/>
      <c r="S200" s="115"/>
      <c r="T200" s="115"/>
      <c r="U200" s="115"/>
      <c r="V200" s="115"/>
      <c r="W200" s="115"/>
      <c r="X200" s="115"/>
      <c r="Y200" s="115"/>
      <c r="Z200" s="115"/>
      <c r="AA200" s="115"/>
      <c r="AB200" s="115"/>
      <c r="AC200" s="115"/>
      <c r="AD200" s="115"/>
      <c r="AE200" s="115"/>
      <c r="AF200" s="115"/>
      <c r="AG200" s="115"/>
      <c r="AH200" s="115"/>
      <c r="AI200" s="115"/>
      <c r="AJ200" s="115"/>
      <c r="AK200" s="115"/>
      <c r="AL200" s="115"/>
      <c r="AM200" s="115"/>
      <c r="AN200" s="115"/>
      <c r="AO200" s="115"/>
      <c r="AP200" s="115"/>
      <c r="AQ200" s="115"/>
      <c r="AR200" s="115"/>
      <c r="AS200" s="115"/>
      <c r="AT200" s="115"/>
      <c r="AU200" s="115"/>
      <c r="AV200" s="115"/>
      <c r="AW200" s="115"/>
      <c r="AX200" s="115"/>
      <c r="AY200" s="115"/>
      <c r="AZ200" s="115"/>
      <c r="BA200" s="115"/>
      <c r="BB200" s="115"/>
      <c r="BC200" s="115"/>
      <c r="BD200" s="115"/>
      <c r="BE200" s="115"/>
      <c r="BF200" s="115"/>
      <c r="BG200" s="115"/>
      <c r="BH200" s="115"/>
    </row>
    <row r="201" spans="1:60" ht="15.75" customHeight="1" x14ac:dyDescent="0.25">
      <c r="A201" s="115"/>
      <c r="J201" s="115"/>
      <c r="K201" s="115"/>
      <c r="L201" s="115"/>
      <c r="M201" s="115"/>
      <c r="N201" s="115"/>
      <c r="O201" s="115"/>
      <c r="P201" s="115"/>
      <c r="Q201" s="115"/>
      <c r="R201" s="115"/>
      <c r="S201" s="115"/>
      <c r="T201" s="115"/>
      <c r="U201" s="115"/>
      <c r="V201" s="115"/>
      <c r="W201" s="115"/>
      <c r="X201" s="115"/>
      <c r="Y201" s="115"/>
      <c r="Z201" s="115"/>
      <c r="AA201" s="115"/>
      <c r="AB201" s="115"/>
      <c r="AC201" s="115"/>
      <c r="AD201" s="115"/>
      <c r="AE201" s="115"/>
      <c r="AF201" s="115"/>
      <c r="AG201" s="115"/>
      <c r="AH201" s="115"/>
      <c r="AI201" s="115"/>
      <c r="AJ201" s="115"/>
      <c r="AK201" s="115"/>
      <c r="AL201" s="115"/>
      <c r="AM201" s="115"/>
      <c r="AN201" s="115"/>
      <c r="AO201" s="115"/>
      <c r="AP201" s="115"/>
      <c r="AQ201" s="115"/>
      <c r="AR201" s="115"/>
      <c r="AS201" s="115"/>
      <c r="AT201" s="115"/>
      <c r="AU201" s="115"/>
      <c r="AV201" s="115"/>
      <c r="AW201" s="115"/>
      <c r="AX201" s="115"/>
      <c r="AY201" s="115"/>
      <c r="AZ201" s="115"/>
      <c r="BA201" s="115"/>
      <c r="BB201" s="115"/>
      <c r="BC201" s="115"/>
      <c r="BD201" s="115"/>
      <c r="BE201" s="115"/>
      <c r="BF201" s="115"/>
      <c r="BG201" s="115"/>
      <c r="BH201" s="115"/>
    </row>
    <row r="202" spans="1:60" ht="15.75" customHeight="1" x14ac:dyDescent="0.25">
      <c r="A202" s="115"/>
      <c r="J202" s="115"/>
      <c r="K202" s="115"/>
      <c r="L202" s="115"/>
      <c r="M202" s="115"/>
      <c r="N202" s="115"/>
      <c r="O202" s="115"/>
      <c r="P202" s="115"/>
      <c r="Q202" s="115"/>
      <c r="R202" s="115"/>
      <c r="S202" s="115"/>
      <c r="T202" s="115"/>
      <c r="U202" s="115"/>
      <c r="V202" s="115"/>
      <c r="W202" s="115"/>
      <c r="X202" s="115"/>
      <c r="Y202" s="115"/>
      <c r="Z202" s="115"/>
      <c r="AA202" s="115"/>
      <c r="AB202" s="115"/>
      <c r="AC202" s="115"/>
      <c r="AD202" s="115"/>
      <c r="AE202" s="115"/>
      <c r="AF202" s="115"/>
      <c r="AG202" s="115"/>
      <c r="AH202" s="115"/>
      <c r="AI202" s="115"/>
      <c r="AJ202" s="115"/>
      <c r="AK202" s="115"/>
      <c r="AL202" s="115"/>
      <c r="AM202" s="115"/>
      <c r="AN202" s="115"/>
      <c r="AO202" s="115"/>
      <c r="AP202" s="115"/>
      <c r="AQ202" s="115"/>
      <c r="AR202" s="115"/>
      <c r="AS202" s="115"/>
      <c r="AT202" s="115"/>
      <c r="AU202" s="115"/>
      <c r="AV202" s="115"/>
      <c r="AW202" s="115"/>
      <c r="AX202" s="115"/>
      <c r="AY202" s="115"/>
      <c r="AZ202" s="115"/>
      <c r="BA202" s="115"/>
      <c r="BB202" s="115"/>
      <c r="BC202" s="115"/>
      <c r="BD202" s="115"/>
      <c r="BE202" s="115"/>
      <c r="BF202" s="115"/>
      <c r="BG202" s="115"/>
      <c r="BH202" s="115"/>
    </row>
    <row r="203" spans="1:60" ht="15.75" customHeight="1" x14ac:dyDescent="0.25">
      <c r="A203" s="115"/>
      <c r="J203" s="115"/>
      <c r="K203" s="115"/>
      <c r="L203" s="115"/>
      <c r="M203" s="115"/>
      <c r="N203" s="115"/>
      <c r="O203" s="115"/>
      <c r="P203" s="115"/>
      <c r="Q203" s="115"/>
      <c r="R203" s="115"/>
      <c r="S203" s="115"/>
      <c r="T203" s="115"/>
      <c r="U203" s="115"/>
      <c r="V203" s="115"/>
      <c r="W203" s="115"/>
      <c r="X203" s="115"/>
      <c r="Y203" s="115"/>
      <c r="Z203" s="115"/>
      <c r="AA203" s="115"/>
      <c r="AB203" s="115"/>
      <c r="AC203" s="115"/>
      <c r="AD203" s="115"/>
      <c r="AE203" s="115"/>
      <c r="AF203" s="115"/>
      <c r="AG203" s="115"/>
      <c r="AH203" s="115"/>
      <c r="AI203" s="115"/>
      <c r="AJ203" s="115"/>
      <c r="AK203" s="115"/>
      <c r="AL203" s="115"/>
      <c r="AM203" s="115"/>
      <c r="AN203" s="115"/>
      <c r="AO203" s="115"/>
      <c r="AP203" s="115"/>
      <c r="AQ203" s="115"/>
      <c r="AR203" s="115"/>
      <c r="AS203" s="115"/>
      <c r="AT203" s="115"/>
      <c r="AU203" s="115"/>
      <c r="AV203" s="115"/>
      <c r="AW203" s="115"/>
      <c r="AX203" s="115"/>
      <c r="AY203" s="115"/>
      <c r="AZ203" s="115"/>
      <c r="BA203" s="115"/>
      <c r="BB203" s="115"/>
      <c r="BC203" s="115"/>
      <c r="BD203" s="115"/>
      <c r="BE203" s="115"/>
      <c r="BF203" s="115"/>
      <c r="BG203" s="115"/>
      <c r="BH203" s="115"/>
    </row>
    <row r="204" spans="1:60" ht="15.75" customHeight="1" x14ac:dyDescent="0.25">
      <c r="A204" s="115"/>
      <c r="J204" s="115"/>
      <c r="K204" s="115"/>
      <c r="L204" s="115"/>
      <c r="M204" s="115"/>
      <c r="N204" s="115"/>
      <c r="O204" s="115"/>
      <c r="P204" s="115"/>
      <c r="Q204" s="115"/>
      <c r="R204" s="115"/>
      <c r="S204" s="115"/>
      <c r="T204" s="115"/>
      <c r="U204" s="115"/>
      <c r="V204" s="115"/>
      <c r="W204" s="115"/>
      <c r="X204" s="115"/>
      <c r="Y204" s="115"/>
      <c r="Z204" s="115"/>
      <c r="AA204" s="115"/>
      <c r="AB204" s="115"/>
      <c r="AC204" s="115"/>
      <c r="AD204" s="115"/>
      <c r="AE204" s="115"/>
      <c r="AF204" s="115"/>
      <c r="AG204" s="115"/>
      <c r="AH204" s="115"/>
      <c r="AI204" s="115"/>
      <c r="AJ204" s="115"/>
      <c r="AK204" s="115"/>
      <c r="AL204" s="115"/>
      <c r="AM204" s="115"/>
      <c r="AN204" s="115"/>
      <c r="AO204" s="115"/>
      <c r="AP204" s="115"/>
      <c r="AQ204" s="115"/>
      <c r="AR204" s="115"/>
      <c r="AS204" s="115"/>
      <c r="AT204" s="115"/>
      <c r="AU204" s="115"/>
      <c r="AV204" s="115"/>
      <c r="AW204" s="115"/>
      <c r="AX204" s="115"/>
      <c r="AY204" s="115"/>
      <c r="AZ204" s="115"/>
      <c r="BA204" s="115"/>
      <c r="BB204" s="115"/>
      <c r="BC204" s="115"/>
      <c r="BD204" s="115"/>
      <c r="BE204" s="115"/>
      <c r="BF204" s="115"/>
      <c r="BG204" s="115"/>
      <c r="BH204" s="115"/>
    </row>
    <row r="205" spans="1:60" ht="15.75" customHeight="1" x14ac:dyDescent="0.25">
      <c r="A205" s="115"/>
      <c r="J205" s="115"/>
      <c r="K205" s="115"/>
      <c r="L205" s="115"/>
      <c r="M205" s="115"/>
      <c r="N205" s="115"/>
      <c r="O205" s="115"/>
      <c r="P205" s="115"/>
      <c r="Q205" s="115"/>
      <c r="R205" s="115"/>
      <c r="S205" s="115"/>
      <c r="T205" s="115"/>
      <c r="U205" s="115"/>
      <c r="V205" s="115"/>
      <c r="W205" s="115"/>
      <c r="X205" s="115"/>
      <c r="Y205" s="115"/>
      <c r="Z205" s="115"/>
      <c r="AA205" s="115"/>
      <c r="AB205" s="115"/>
      <c r="AC205" s="115"/>
      <c r="AD205" s="115"/>
      <c r="AE205" s="115"/>
      <c r="AF205" s="115"/>
      <c r="AG205" s="115"/>
      <c r="AH205" s="115"/>
      <c r="AI205" s="115"/>
      <c r="AJ205" s="115"/>
      <c r="AK205" s="115"/>
      <c r="AL205" s="115"/>
      <c r="AM205" s="115"/>
      <c r="AN205" s="115"/>
      <c r="AO205" s="115"/>
      <c r="AP205" s="115"/>
      <c r="AQ205" s="115"/>
      <c r="AR205" s="115"/>
      <c r="AS205" s="115"/>
      <c r="AT205" s="115"/>
      <c r="AU205" s="115"/>
      <c r="AV205" s="115"/>
      <c r="AW205" s="115"/>
      <c r="AX205" s="115"/>
      <c r="AY205" s="115"/>
      <c r="AZ205" s="115"/>
      <c r="BA205" s="115"/>
      <c r="BB205" s="115"/>
      <c r="BC205" s="115"/>
      <c r="BD205" s="115"/>
      <c r="BE205" s="115"/>
      <c r="BF205" s="115"/>
      <c r="BG205" s="115"/>
      <c r="BH205" s="115"/>
    </row>
    <row r="206" spans="1:60" ht="15.75" customHeight="1" x14ac:dyDescent="0.25">
      <c r="A206" s="115"/>
      <c r="J206" s="115"/>
      <c r="K206" s="115"/>
      <c r="L206" s="115"/>
      <c r="M206" s="115"/>
      <c r="N206" s="115"/>
      <c r="O206" s="115"/>
      <c r="P206" s="115"/>
      <c r="Q206" s="115"/>
      <c r="R206" s="115"/>
      <c r="S206" s="115"/>
      <c r="T206" s="115"/>
      <c r="U206" s="115"/>
      <c r="V206" s="115"/>
      <c r="W206" s="115"/>
      <c r="X206" s="115"/>
      <c r="Y206" s="115"/>
      <c r="Z206" s="115"/>
      <c r="AA206" s="115"/>
      <c r="AB206" s="115"/>
      <c r="AC206" s="115"/>
      <c r="AD206" s="115"/>
      <c r="AE206" s="115"/>
      <c r="AF206" s="115"/>
      <c r="AG206" s="115"/>
      <c r="AH206" s="115"/>
      <c r="AI206" s="115"/>
      <c r="AJ206" s="115"/>
      <c r="AK206" s="115"/>
      <c r="AL206" s="115"/>
      <c r="AM206" s="115"/>
      <c r="AN206" s="115"/>
      <c r="AO206" s="115"/>
      <c r="AP206" s="115"/>
      <c r="AQ206" s="115"/>
      <c r="AR206" s="115"/>
      <c r="AS206" s="115"/>
      <c r="AT206" s="115"/>
      <c r="AU206" s="115"/>
      <c r="AV206" s="115"/>
      <c r="AW206" s="115"/>
      <c r="AX206" s="115"/>
      <c r="AY206" s="115"/>
      <c r="AZ206" s="115"/>
      <c r="BA206" s="115"/>
      <c r="BB206" s="115"/>
      <c r="BC206" s="115"/>
      <c r="BD206" s="115"/>
      <c r="BE206" s="115"/>
      <c r="BF206" s="115"/>
      <c r="BG206" s="115"/>
      <c r="BH206" s="115"/>
    </row>
    <row r="207" spans="1:60" ht="15.75" customHeight="1" x14ac:dyDescent="0.25">
      <c r="A207" s="115"/>
      <c r="J207" s="115"/>
      <c r="K207" s="115"/>
      <c r="L207" s="115"/>
      <c r="M207" s="115"/>
      <c r="N207" s="115"/>
      <c r="O207" s="115"/>
      <c r="P207" s="115"/>
      <c r="Q207" s="115"/>
      <c r="R207" s="115"/>
      <c r="S207" s="115"/>
      <c r="T207" s="115"/>
      <c r="U207" s="115"/>
      <c r="V207" s="115"/>
      <c r="W207" s="115"/>
      <c r="X207" s="115"/>
      <c r="Y207" s="115"/>
      <c r="Z207" s="115"/>
      <c r="AA207" s="115"/>
      <c r="AB207" s="115"/>
      <c r="AC207" s="115"/>
      <c r="AD207" s="115"/>
      <c r="AE207" s="115"/>
      <c r="AF207" s="115"/>
      <c r="AG207" s="115"/>
      <c r="AH207" s="115"/>
      <c r="AI207" s="115"/>
      <c r="AJ207" s="115"/>
      <c r="AK207" s="115"/>
      <c r="AL207" s="115"/>
      <c r="AM207" s="115"/>
      <c r="AN207" s="115"/>
      <c r="AO207" s="115"/>
      <c r="AP207" s="115"/>
      <c r="AQ207" s="115"/>
      <c r="AR207" s="115"/>
      <c r="AS207" s="115"/>
      <c r="AT207" s="115"/>
      <c r="AU207" s="115"/>
      <c r="AV207" s="115"/>
      <c r="AW207" s="115"/>
      <c r="AX207" s="115"/>
      <c r="AY207" s="115"/>
      <c r="AZ207" s="115"/>
      <c r="BA207" s="115"/>
      <c r="BB207" s="115"/>
      <c r="BC207" s="115"/>
      <c r="BD207" s="115"/>
      <c r="BE207" s="115"/>
      <c r="BF207" s="115"/>
      <c r="BG207" s="115"/>
      <c r="BH207" s="115"/>
    </row>
    <row r="208" spans="1:60" ht="15.75" customHeight="1" x14ac:dyDescent="0.25">
      <c r="A208" s="115"/>
      <c r="J208" s="115"/>
      <c r="K208" s="115"/>
      <c r="L208" s="115"/>
      <c r="M208" s="115"/>
      <c r="N208" s="115"/>
      <c r="O208" s="115"/>
      <c r="P208" s="115"/>
      <c r="Q208" s="115"/>
      <c r="R208" s="115"/>
      <c r="S208" s="115"/>
      <c r="T208" s="115"/>
      <c r="U208" s="115"/>
      <c r="V208" s="115"/>
      <c r="W208" s="115"/>
      <c r="X208" s="115"/>
      <c r="Y208" s="115"/>
      <c r="Z208" s="115"/>
      <c r="AA208" s="115"/>
      <c r="AB208" s="115"/>
      <c r="AC208" s="115"/>
      <c r="AD208" s="115"/>
      <c r="AE208" s="115"/>
      <c r="AF208" s="115"/>
      <c r="AG208" s="115"/>
      <c r="AH208" s="115"/>
      <c r="AI208" s="115"/>
      <c r="AJ208" s="115"/>
      <c r="AK208" s="115"/>
      <c r="AL208" s="115"/>
      <c r="AM208" s="115"/>
      <c r="AN208" s="115"/>
      <c r="AO208" s="115"/>
      <c r="AP208" s="115"/>
      <c r="AQ208" s="115"/>
      <c r="AR208" s="115"/>
      <c r="AS208" s="115"/>
      <c r="AT208" s="115"/>
      <c r="AU208" s="115"/>
      <c r="AV208" s="115"/>
      <c r="AW208" s="115"/>
      <c r="AX208" s="115"/>
      <c r="AY208" s="115"/>
      <c r="AZ208" s="115"/>
      <c r="BA208" s="115"/>
      <c r="BB208" s="115"/>
      <c r="BC208" s="115"/>
      <c r="BD208" s="115"/>
      <c r="BE208" s="115"/>
      <c r="BF208" s="115"/>
      <c r="BG208" s="115"/>
      <c r="BH208" s="115"/>
    </row>
    <row r="209" spans="1:60" ht="15.75" customHeight="1" x14ac:dyDescent="0.25">
      <c r="A209" s="115"/>
      <c r="J209" s="115"/>
      <c r="K209" s="115"/>
      <c r="L209" s="115"/>
      <c r="M209" s="115"/>
      <c r="N209" s="115"/>
      <c r="O209" s="115"/>
      <c r="P209" s="115"/>
      <c r="Q209" s="115"/>
      <c r="R209" s="115"/>
      <c r="S209" s="115"/>
      <c r="T209" s="115"/>
      <c r="U209" s="115"/>
      <c r="V209" s="115"/>
      <c r="W209" s="115"/>
      <c r="X209" s="115"/>
      <c r="Y209" s="115"/>
      <c r="Z209" s="115"/>
      <c r="AA209" s="115"/>
      <c r="AB209" s="115"/>
      <c r="AC209" s="115"/>
      <c r="AD209" s="115"/>
      <c r="AE209" s="115"/>
      <c r="AF209" s="115"/>
      <c r="AG209" s="115"/>
      <c r="AH209" s="115"/>
      <c r="AI209" s="115"/>
      <c r="AJ209" s="115"/>
      <c r="AK209" s="115"/>
      <c r="AL209" s="115"/>
      <c r="AM209" s="115"/>
      <c r="AN209" s="115"/>
      <c r="AO209" s="115"/>
      <c r="AP209" s="115"/>
      <c r="AQ209" s="115"/>
      <c r="AR209" s="115"/>
      <c r="AS209" s="115"/>
      <c r="AT209" s="115"/>
      <c r="AU209" s="115"/>
      <c r="AV209" s="115"/>
      <c r="AW209" s="115"/>
      <c r="AX209" s="115"/>
      <c r="AY209" s="115"/>
      <c r="AZ209" s="115"/>
      <c r="BA209" s="115"/>
      <c r="BB209" s="115"/>
      <c r="BC209" s="115"/>
      <c r="BD209" s="115"/>
      <c r="BE209" s="115"/>
      <c r="BF209" s="115"/>
      <c r="BG209" s="115"/>
      <c r="BH209" s="115"/>
    </row>
    <row r="210" spans="1:60" ht="15.75" customHeight="1" x14ac:dyDescent="0.25">
      <c r="A210" s="115"/>
      <c r="J210" s="115"/>
      <c r="K210" s="115"/>
      <c r="L210" s="115"/>
      <c r="M210" s="115"/>
      <c r="N210" s="115"/>
      <c r="O210" s="115"/>
      <c r="P210" s="115"/>
      <c r="Q210" s="115"/>
      <c r="R210" s="115"/>
      <c r="S210" s="115"/>
      <c r="T210" s="115"/>
      <c r="U210" s="115"/>
      <c r="V210" s="115"/>
      <c r="W210" s="115"/>
      <c r="X210" s="115"/>
      <c r="Y210" s="115"/>
      <c r="Z210" s="115"/>
      <c r="AA210" s="115"/>
      <c r="AB210" s="115"/>
      <c r="AC210" s="115"/>
      <c r="AD210" s="115"/>
      <c r="AE210" s="115"/>
      <c r="AF210" s="115"/>
      <c r="AG210" s="115"/>
      <c r="AH210" s="115"/>
      <c r="AI210" s="115"/>
      <c r="AJ210" s="115"/>
      <c r="AK210" s="115"/>
      <c r="AL210" s="115"/>
      <c r="AM210" s="115"/>
      <c r="AN210" s="115"/>
      <c r="AO210" s="115"/>
      <c r="AP210" s="115"/>
      <c r="AQ210" s="115"/>
      <c r="AR210" s="115"/>
      <c r="AS210" s="115"/>
      <c r="AT210" s="115"/>
      <c r="AU210" s="115"/>
      <c r="AV210" s="115"/>
      <c r="AW210" s="115"/>
      <c r="AX210" s="115"/>
      <c r="AY210" s="115"/>
      <c r="AZ210" s="115"/>
      <c r="BA210" s="115"/>
      <c r="BB210" s="115"/>
      <c r="BC210" s="115"/>
      <c r="BD210" s="115"/>
      <c r="BE210" s="115"/>
      <c r="BF210" s="115"/>
      <c r="BG210" s="115"/>
      <c r="BH210" s="115"/>
    </row>
    <row r="211" spans="1:60" ht="15.75" customHeight="1" x14ac:dyDescent="0.25">
      <c r="A211" s="115"/>
      <c r="J211" s="115"/>
      <c r="K211" s="115"/>
      <c r="L211" s="115"/>
      <c r="M211" s="115"/>
      <c r="N211" s="115"/>
      <c r="O211" s="115"/>
      <c r="P211" s="115"/>
      <c r="Q211" s="115"/>
      <c r="R211" s="115"/>
      <c r="S211" s="115"/>
      <c r="T211" s="115"/>
      <c r="U211" s="115"/>
      <c r="V211" s="115"/>
      <c r="W211" s="115"/>
      <c r="X211" s="115"/>
      <c r="Y211" s="115"/>
      <c r="Z211" s="115"/>
      <c r="AA211" s="115"/>
      <c r="AB211" s="115"/>
      <c r="AC211" s="115"/>
      <c r="AD211" s="115"/>
      <c r="AE211" s="115"/>
      <c r="AF211" s="115"/>
      <c r="AG211" s="115"/>
      <c r="AH211" s="115"/>
      <c r="AI211" s="115"/>
      <c r="AJ211" s="115"/>
      <c r="AK211" s="115"/>
      <c r="AL211" s="115"/>
      <c r="AM211" s="115"/>
      <c r="AN211" s="115"/>
      <c r="AO211" s="115"/>
      <c r="AP211" s="115"/>
      <c r="AQ211" s="115"/>
      <c r="AR211" s="115"/>
      <c r="AS211" s="115"/>
      <c r="AT211" s="115"/>
      <c r="AU211" s="115"/>
      <c r="AV211" s="115"/>
      <c r="AW211" s="115"/>
      <c r="AX211" s="115"/>
      <c r="AY211" s="115"/>
      <c r="AZ211" s="115"/>
      <c r="BA211" s="115"/>
      <c r="BB211" s="115"/>
      <c r="BC211" s="115"/>
      <c r="BD211" s="115"/>
      <c r="BE211" s="115"/>
      <c r="BF211" s="115"/>
      <c r="BG211" s="115"/>
      <c r="BH211" s="115"/>
    </row>
    <row r="212" spans="1:60" ht="15.75" customHeight="1" x14ac:dyDescent="0.25">
      <c r="A212" s="115"/>
      <c r="J212" s="115"/>
      <c r="K212" s="115"/>
      <c r="L212" s="115"/>
      <c r="M212" s="115"/>
      <c r="N212" s="115"/>
      <c r="O212" s="115"/>
      <c r="P212" s="115"/>
      <c r="Q212" s="115"/>
      <c r="R212" s="115"/>
      <c r="S212" s="115"/>
      <c r="T212" s="115"/>
      <c r="U212" s="115"/>
      <c r="V212" s="115"/>
      <c r="W212" s="115"/>
      <c r="X212" s="115"/>
      <c r="Y212" s="115"/>
      <c r="Z212" s="115"/>
      <c r="AA212" s="115"/>
      <c r="AB212" s="115"/>
      <c r="AC212" s="115"/>
      <c r="AD212" s="115"/>
      <c r="AE212" s="115"/>
      <c r="AF212" s="115"/>
      <c r="AG212" s="115"/>
      <c r="AH212" s="115"/>
      <c r="AI212" s="115"/>
      <c r="AJ212" s="115"/>
      <c r="AK212" s="115"/>
      <c r="AL212" s="115"/>
      <c r="AM212" s="115"/>
      <c r="AN212" s="115"/>
      <c r="AO212" s="115"/>
      <c r="AP212" s="115"/>
      <c r="AQ212" s="115"/>
      <c r="AR212" s="115"/>
      <c r="AS212" s="115"/>
      <c r="AT212" s="115"/>
      <c r="AU212" s="115"/>
      <c r="AV212" s="115"/>
      <c r="AW212" s="115"/>
      <c r="AX212" s="115"/>
      <c r="AY212" s="115"/>
      <c r="AZ212" s="115"/>
      <c r="BA212" s="115"/>
      <c r="BB212" s="115"/>
      <c r="BC212" s="115"/>
      <c r="BD212" s="115"/>
      <c r="BE212" s="115"/>
      <c r="BF212" s="115"/>
      <c r="BG212" s="115"/>
      <c r="BH212" s="115"/>
    </row>
    <row r="213" spans="1:60" ht="15.75" customHeight="1" x14ac:dyDescent="0.25">
      <c r="A213" s="115"/>
      <c r="J213" s="115"/>
      <c r="K213" s="115"/>
      <c r="L213" s="115"/>
      <c r="M213" s="115"/>
      <c r="N213" s="115"/>
      <c r="O213" s="115"/>
      <c r="P213" s="115"/>
      <c r="Q213" s="115"/>
      <c r="R213" s="115"/>
      <c r="S213" s="115"/>
      <c r="T213" s="115"/>
      <c r="U213" s="115"/>
      <c r="V213" s="115"/>
      <c r="W213" s="115"/>
      <c r="X213" s="115"/>
      <c r="Y213" s="115"/>
      <c r="Z213" s="115"/>
      <c r="AA213" s="115"/>
      <c r="AB213" s="115"/>
      <c r="AC213" s="115"/>
      <c r="AD213" s="115"/>
      <c r="AE213" s="115"/>
      <c r="AF213" s="115"/>
      <c r="AG213" s="115"/>
      <c r="AH213" s="115"/>
      <c r="AI213" s="115"/>
      <c r="AJ213" s="115"/>
      <c r="AK213" s="115"/>
      <c r="AL213" s="115"/>
      <c r="AM213" s="115"/>
      <c r="AN213" s="115"/>
      <c r="AO213" s="115"/>
      <c r="AP213" s="115"/>
      <c r="AQ213" s="115"/>
      <c r="AR213" s="115"/>
      <c r="AS213" s="115"/>
      <c r="AT213" s="115"/>
      <c r="AU213" s="115"/>
      <c r="AV213" s="115"/>
      <c r="AW213" s="115"/>
      <c r="AX213" s="115"/>
      <c r="AY213" s="115"/>
      <c r="AZ213" s="115"/>
      <c r="BA213" s="115"/>
      <c r="BB213" s="115"/>
      <c r="BC213" s="115"/>
      <c r="BD213" s="115"/>
      <c r="BE213" s="115"/>
      <c r="BF213" s="115"/>
      <c r="BG213" s="115"/>
      <c r="BH213" s="115"/>
    </row>
    <row r="214" spans="1:60" ht="15.75" customHeight="1" x14ac:dyDescent="0.25">
      <c r="A214" s="115"/>
      <c r="J214" s="115"/>
      <c r="K214" s="115"/>
      <c r="L214" s="115"/>
      <c r="M214" s="115"/>
      <c r="N214" s="115"/>
      <c r="O214" s="115"/>
      <c r="P214" s="115"/>
      <c r="Q214" s="115"/>
      <c r="R214" s="115"/>
      <c r="S214" s="115"/>
      <c r="T214" s="115"/>
      <c r="U214" s="115"/>
      <c r="V214" s="115"/>
      <c r="W214" s="115"/>
      <c r="X214" s="115"/>
      <c r="Y214" s="115"/>
      <c r="Z214" s="115"/>
      <c r="AA214" s="115"/>
      <c r="AB214" s="115"/>
      <c r="AC214" s="115"/>
      <c r="AD214" s="115"/>
      <c r="AE214" s="115"/>
      <c r="AF214" s="115"/>
      <c r="AG214" s="115"/>
      <c r="AH214" s="115"/>
      <c r="AI214" s="115"/>
      <c r="AJ214" s="115"/>
      <c r="AK214" s="115"/>
      <c r="AL214" s="115"/>
      <c r="AM214" s="115"/>
      <c r="AN214" s="115"/>
      <c r="AO214" s="115"/>
      <c r="AP214" s="115"/>
      <c r="AQ214" s="115"/>
      <c r="AR214" s="115"/>
      <c r="AS214" s="115"/>
      <c r="AT214" s="115"/>
      <c r="AU214" s="115"/>
      <c r="AV214" s="115"/>
      <c r="AW214" s="115"/>
      <c r="AX214" s="115"/>
      <c r="AY214" s="115"/>
      <c r="AZ214" s="115"/>
      <c r="BA214" s="115"/>
      <c r="BB214" s="115"/>
      <c r="BC214" s="115"/>
      <c r="BD214" s="115"/>
      <c r="BE214" s="115"/>
      <c r="BF214" s="115"/>
      <c r="BG214" s="115"/>
      <c r="BH214" s="115"/>
    </row>
    <row r="215" spans="1:60" ht="15.75" customHeight="1" x14ac:dyDescent="0.25">
      <c r="A215" s="115"/>
      <c r="J215" s="115"/>
      <c r="K215" s="115"/>
      <c r="L215" s="115"/>
      <c r="M215" s="115"/>
      <c r="N215" s="115"/>
      <c r="O215" s="115"/>
      <c r="P215" s="115"/>
      <c r="Q215" s="115"/>
      <c r="R215" s="115"/>
      <c r="S215" s="115"/>
      <c r="T215" s="115"/>
      <c r="U215" s="115"/>
      <c r="V215" s="115"/>
      <c r="W215" s="115"/>
      <c r="X215" s="115"/>
      <c r="Y215" s="115"/>
      <c r="Z215" s="115"/>
      <c r="AA215" s="115"/>
      <c r="AB215" s="115"/>
      <c r="AC215" s="115"/>
      <c r="AD215" s="115"/>
      <c r="AE215" s="115"/>
      <c r="AF215" s="115"/>
      <c r="AG215" s="115"/>
      <c r="AH215" s="115"/>
      <c r="AI215" s="115"/>
      <c r="AJ215" s="115"/>
      <c r="AK215" s="115"/>
      <c r="AL215" s="115"/>
      <c r="AM215" s="115"/>
      <c r="AN215" s="115"/>
      <c r="AO215" s="115"/>
      <c r="AP215" s="115"/>
      <c r="AQ215" s="115"/>
      <c r="AR215" s="115"/>
      <c r="AS215" s="115"/>
      <c r="AT215" s="115"/>
      <c r="AU215" s="115"/>
      <c r="AV215" s="115"/>
      <c r="AW215" s="115"/>
      <c r="AX215" s="115"/>
      <c r="AY215" s="115"/>
      <c r="AZ215" s="115"/>
      <c r="BA215" s="115"/>
      <c r="BB215" s="115"/>
      <c r="BC215" s="115"/>
      <c r="BD215" s="115"/>
      <c r="BE215" s="115"/>
      <c r="BF215" s="115"/>
      <c r="BG215" s="115"/>
      <c r="BH215" s="115"/>
    </row>
    <row r="216" spans="1:60" ht="15.75" customHeight="1" x14ac:dyDescent="0.25">
      <c r="A216" s="115"/>
      <c r="J216" s="115"/>
      <c r="K216" s="115"/>
      <c r="L216" s="115"/>
      <c r="M216" s="115"/>
      <c r="N216" s="115"/>
      <c r="O216" s="115"/>
      <c r="P216" s="115"/>
      <c r="Q216" s="115"/>
      <c r="R216" s="115"/>
      <c r="S216" s="115"/>
      <c r="T216" s="115"/>
      <c r="U216" s="115"/>
      <c r="V216" s="115"/>
      <c r="W216" s="115"/>
      <c r="X216" s="115"/>
      <c r="Y216" s="115"/>
      <c r="Z216" s="115"/>
      <c r="AA216" s="115"/>
      <c r="AB216" s="115"/>
      <c r="AC216" s="115"/>
      <c r="AD216" s="115"/>
      <c r="AE216" s="115"/>
      <c r="AF216" s="115"/>
      <c r="AG216" s="115"/>
      <c r="AH216" s="115"/>
      <c r="AI216" s="115"/>
      <c r="AJ216" s="115"/>
      <c r="AK216" s="115"/>
      <c r="AL216" s="115"/>
      <c r="AM216" s="115"/>
      <c r="AN216" s="115"/>
      <c r="AO216" s="115"/>
      <c r="AP216" s="115"/>
      <c r="AQ216" s="115"/>
      <c r="AR216" s="115"/>
      <c r="AS216" s="115"/>
      <c r="AT216" s="115"/>
      <c r="AU216" s="115"/>
      <c r="AV216" s="115"/>
      <c r="AW216" s="115"/>
      <c r="AX216" s="115"/>
      <c r="AY216" s="115"/>
      <c r="AZ216" s="115"/>
      <c r="BA216" s="115"/>
      <c r="BB216" s="115"/>
      <c r="BC216" s="115"/>
      <c r="BD216" s="115"/>
      <c r="BE216" s="115"/>
      <c r="BF216" s="115"/>
      <c r="BG216" s="115"/>
      <c r="BH216" s="115"/>
    </row>
    <row r="217" spans="1:60" ht="15.75" customHeight="1" x14ac:dyDescent="0.25">
      <c r="A217" s="115"/>
      <c r="J217" s="115"/>
      <c r="K217" s="115"/>
      <c r="L217" s="115"/>
      <c r="M217" s="115"/>
      <c r="N217" s="115"/>
      <c r="O217" s="115"/>
      <c r="P217" s="115"/>
      <c r="Q217" s="115"/>
      <c r="R217" s="115"/>
      <c r="S217" s="115"/>
      <c r="T217" s="115"/>
      <c r="U217" s="115"/>
      <c r="V217" s="115"/>
      <c r="W217" s="115"/>
      <c r="X217" s="115"/>
      <c r="Y217" s="115"/>
      <c r="Z217" s="115"/>
      <c r="AA217" s="115"/>
      <c r="AB217" s="115"/>
      <c r="AC217" s="115"/>
      <c r="AD217" s="115"/>
      <c r="AE217" s="115"/>
      <c r="AF217" s="115"/>
      <c r="AG217" s="115"/>
      <c r="AH217" s="115"/>
      <c r="AI217" s="115"/>
      <c r="AJ217" s="115"/>
      <c r="AK217" s="115"/>
      <c r="AL217" s="115"/>
      <c r="AM217" s="115"/>
      <c r="AN217" s="115"/>
      <c r="AO217" s="115"/>
      <c r="AP217" s="115"/>
      <c r="AQ217" s="115"/>
      <c r="AR217" s="115"/>
      <c r="AS217" s="115"/>
      <c r="AT217" s="115"/>
      <c r="AU217" s="115"/>
      <c r="AV217" s="115"/>
      <c r="AW217" s="115"/>
      <c r="AX217" s="115"/>
      <c r="AY217" s="115"/>
      <c r="AZ217" s="115"/>
      <c r="BA217" s="115"/>
      <c r="BB217" s="115"/>
      <c r="BC217" s="115"/>
      <c r="BD217" s="115"/>
      <c r="BE217" s="115"/>
      <c r="BF217" s="115"/>
      <c r="BG217" s="115"/>
      <c r="BH217" s="115"/>
    </row>
    <row r="218" spans="1:60" ht="15.75" customHeight="1" x14ac:dyDescent="0.25">
      <c r="A218" s="115"/>
      <c r="J218" s="115"/>
      <c r="K218" s="115"/>
      <c r="L218" s="115"/>
      <c r="M218" s="115"/>
      <c r="N218" s="115"/>
      <c r="O218" s="115"/>
      <c r="P218" s="115"/>
      <c r="Q218" s="115"/>
      <c r="R218" s="115"/>
      <c r="S218" s="115"/>
      <c r="T218" s="115"/>
      <c r="U218" s="115"/>
      <c r="V218" s="115"/>
      <c r="W218" s="115"/>
      <c r="X218" s="115"/>
      <c r="Y218" s="115"/>
      <c r="Z218" s="115"/>
      <c r="AA218" s="115"/>
      <c r="AB218" s="115"/>
      <c r="AC218" s="115"/>
      <c r="AD218" s="115"/>
      <c r="AE218" s="115"/>
      <c r="AF218" s="115"/>
      <c r="AG218" s="115"/>
      <c r="AH218" s="115"/>
      <c r="AI218" s="115"/>
      <c r="AJ218" s="115"/>
      <c r="AK218" s="115"/>
      <c r="AL218" s="115"/>
      <c r="AM218" s="115"/>
      <c r="AN218" s="115"/>
      <c r="AO218" s="115"/>
      <c r="AP218" s="115"/>
      <c r="AQ218" s="115"/>
      <c r="AR218" s="115"/>
      <c r="AS218" s="115"/>
      <c r="AT218" s="115"/>
      <c r="AU218" s="115"/>
      <c r="AV218" s="115"/>
      <c r="AW218" s="115"/>
      <c r="AX218" s="115"/>
      <c r="AY218" s="115"/>
      <c r="AZ218" s="115"/>
      <c r="BA218" s="115"/>
      <c r="BB218" s="115"/>
      <c r="BC218" s="115"/>
      <c r="BD218" s="115"/>
      <c r="BE218" s="115"/>
      <c r="BF218" s="115"/>
      <c r="BG218" s="115"/>
      <c r="BH218" s="115"/>
    </row>
    <row r="219" spans="1:60" ht="15.75" customHeight="1" x14ac:dyDescent="0.25">
      <c r="A219" s="115"/>
      <c r="J219" s="115"/>
      <c r="K219" s="115"/>
      <c r="L219" s="115"/>
      <c r="M219" s="115"/>
      <c r="N219" s="115"/>
      <c r="O219" s="115"/>
      <c r="P219" s="115"/>
      <c r="Q219" s="115"/>
      <c r="R219" s="115"/>
      <c r="S219" s="115"/>
      <c r="T219" s="115"/>
      <c r="U219" s="115"/>
      <c r="V219" s="115"/>
      <c r="W219" s="115"/>
      <c r="X219" s="115"/>
      <c r="Y219" s="115"/>
      <c r="Z219" s="115"/>
      <c r="AA219" s="115"/>
      <c r="AB219" s="115"/>
      <c r="AC219" s="115"/>
      <c r="AD219" s="115"/>
      <c r="AE219" s="115"/>
      <c r="AF219" s="115"/>
      <c r="AG219" s="115"/>
      <c r="AH219" s="115"/>
      <c r="AI219" s="115"/>
      <c r="AJ219" s="115"/>
      <c r="AK219" s="115"/>
      <c r="AL219" s="115"/>
      <c r="AM219" s="115"/>
      <c r="AN219" s="115"/>
      <c r="AO219" s="115"/>
      <c r="AP219" s="115"/>
      <c r="AQ219" s="115"/>
      <c r="AR219" s="115"/>
      <c r="AS219" s="115"/>
      <c r="AT219" s="115"/>
      <c r="AU219" s="115"/>
      <c r="AV219" s="115"/>
      <c r="AW219" s="115"/>
      <c r="AX219" s="115"/>
      <c r="AY219" s="115"/>
      <c r="AZ219" s="115"/>
      <c r="BA219" s="115"/>
      <c r="BB219" s="115"/>
      <c r="BC219" s="115"/>
      <c r="BD219" s="115"/>
      <c r="BE219" s="115"/>
      <c r="BF219" s="115"/>
      <c r="BG219" s="115"/>
      <c r="BH219" s="115"/>
    </row>
    <row r="220" spans="1:60" ht="15.75" customHeight="1" x14ac:dyDescent="0.25">
      <c r="A220" s="115"/>
      <c r="J220" s="115"/>
      <c r="K220" s="115"/>
      <c r="L220" s="115"/>
      <c r="M220" s="115"/>
      <c r="N220" s="115"/>
      <c r="O220" s="115"/>
      <c r="P220" s="115"/>
      <c r="Q220" s="115"/>
      <c r="R220" s="115"/>
      <c r="S220" s="115"/>
      <c r="T220" s="115"/>
      <c r="U220" s="115"/>
      <c r="V220" s="115"/>
      <c r="W220" s="115"/>
      <c r="X220" s="115"/>
      <c r="Y220" s="115"/>
      <c r="Z220" s="115"/>
      <c r="AA220" s="115"/>
      <c r="AB220" s="115"/>
      <c r="AC220" s="115"/>
      <c r="AD220" s="115"/>
      <c r="AE220" s="115"/>
      <c r="AF220" s="115"/>
      <c r="AG220" s="115"/>
      <c r="AH220" s="115"/>
      <c r="AI220" s="115"/>
      <c r="AJ220" s="115"/>
      <c r="AK220" s="115"/>
      <c r="AL220" s="115"/>
      <c r="AM220" s="115"/>
      <c r="AN220" s="115"/>
      <c r="AO220" s="115"/>
      <c r="AP220" s="115"/>
      <c r="AQ220" s="115"/>
      <c r="AR220" s="115"/>
      <c r="AS220" s="115"/>
      <c r="AT220" s="115"/>
      <c r="AU220" s="115"/>
      <c r="AV220" s="115"/>
      <c r="AW220" s="115"/>
      <c r="AX220" s="115"/>
      <c r="AY220" s="115"/>
      <c r="AZ220" s="115"/>
      <c r="BA220" s="115"/>
      <c r="BB220" s="115"/>
      <c r="BC220" s="115"/>
      <c r="BD220" s="115"/>
      <c r="BE220" s="115"/>
      <c r="BF220" s="115"/>
      <c r="BG220" s="115"/>
      <c r="BH220" s="115"/>
    </row>
    <row r="221" spans="1:60" ht="15.75" customHeight="1" x14ac:dyDescent="0.25">
      <c r="A221" s="115"/>
      <c r="J221" s="115"/>
      <c r="K221" s="115"/>
      <c r="L221" s="115"/>
      <c r="M221" s="115"/>
      <c r="N221" s="115"/>
      <c r="O221" s="115"/>
      <c r="P221" s="115"/>
      <c r="Q221" s="115"/>
      <c r="R221" s="115"/>
      <c r="S221" s="115"/>
      <c r="T221" s="115"/>
      <c r="U221" s="115"/>
      <c r="V221" s="115"/>
      <c r="W221" s="115"/>
      <c r="X221" s="115"/>
      <c r="Y221" s="115"/>
      <c r="Z221" s="115"/>
      <c r="AA221" s="115"/>
      <c r="AB221" s="115"/>
      <c r="AC221" s="115"/>
      <c r="AD221" s="115"/>
      <c r="AE221" s="115"/>
      <c r="AF221" s="115"/>
      <c r="AG221" s="115"/>
      <c r="AH221" s="115"/>
      <c r="AI221" s="115"/>
      <c r="AJ221" s="115"/>
      <c r="AK221" s="115"/>
      <c r="AL221" s="115"/>
      <c r="AM221" s="115"/>
      <c r="AN221" s="115"/>
      <c r="AO221" s="115"/>
      <c r="AP221" s="115"/>
      <c r="AQ221" s="115"/>
      <c r="AR221" s="115"/>
      <c r="AS221" s="115"/>
      <c r="AT221" s="115"/>
      <c r="AU221" s="115"/>
      <c r="AV221" s="115"/>
      <c r="AW221" s="115"/>
      <c r="AX221" s="115"/>
      <c r="AY221" s="115"/>
      <c r="AZ221" s="115"/>
      <c r="BA221" s="115"/>
      <c r="BB221" s="115"/>
      <c r="BC221" s="115"/>
      <c r="BD221" s="115"/>
      <c r="BE221" s="115"/>
      <c r="BF221" s="115"/>
      <c r="BG221" s="115"/>
      <c r="BH221" s="115"/>
    </row>
    <row r="222" spans="1:60" ht="15.75" customHeight="1" x14ac:dyDescent="0.25">
      <c r="A222" s="115"/>
      <c r="J222" s="115"/>
      <c r="K222" s="115"/>
      <c r="L222" s="115"/>
      <c r="M222" s="115"/>
      <c r="N222" s="115"/>
      <c r="O222" s="115"/>
      <c r="P222" s="115"/>
      <c r="Q222" s="115"/>
      <c r="R222" s="115"/>
      <c r="S222" s="115"/>
      <c r="T222" s="115"/>
      <c r="U222" s="115"/>
      <c r="V222" s="115"/>
      <c r="W222" s="115"/>
      <c r="X222" s="115"/>
      <c r="Y222" s="115"/>
      <c r="Z222" s="115"/>
      <c r="AA222" s="115"/>
      <c r="AB222" s="115"/>
      <c r="AC222" s="115"/>
      <c r="AD222" s="115"/>
      <c r="AE222" s="115"/>
      <c r="AF222" s="115"/>
      <c r="AG222" s="115"/>
      <c r="AH222" s="115"/>
      <c r="AI222" s="115"/>
      <c r="AJ222" s="115"/>
      <c r="AK222" s="115"/>
      <c r="AL222" s="115"/>
      <c r="AM222" s="115"/>
      <c r="AN222" s="115"/>
      <c r="AO222" s="115"/>
      <c r="AP222" s="115"/>
      <c r="AQ222" s="115"/>
      <c r="AR222" s="115"/>
      <c r="AS222" s="115"/>
      <c r="AT222" s="115"/>
      <c r="AU222" s="115"/>
      <c r="AV222" s="115"/>
      <c r="AW222" s="115"/>
      <c r="AX222" s="115"/>
      <c r="AY222" s="115"/>
      <c r="AZ222" s="115"/>
      <c r="BA222" s="115"/>
      <c r="BB222" s="115"/>
      <c r="BC222" s="115"/>
      <c r="BD222" s="115"/>
      <c r="BE222" s="115"/>
      <c r="BF222" s="115"/>
      <c r="BG222" s="115"/>
      <c r="BH222" s="115"/>
    </row>
    <row r="223" spans="1:60" ht="15.75" customHeight="1" x14ac:dyDescent="0.25">
      <c r="A223" s="115"/>
      <c r="J223" s="115"/>
      <c r="K223" s="115"/>
      <c r="L223" s="115"/>
      <c r="M223" s="115"/>
      <c r="N223" s="115"/>
      <c r="O223" s="115"/>
      <c r="P223" s="115"/>
      <c r="Q223" s="115"/>
      <c r="R223" s="115"/>
      <c r="S223" s="115"/>
      <c r="T223" s="115"/>
      <c r="U223" s="115"/>
      <c r="V223" s="115"/>
      <c r="W223" s="115"/>
      <c r="X223" s="115"/>
      <c r="Y223" s="115"/>
      <c r="Z223" s="115"/>
      <c r="AA223" s="115"/>
      <c r="AB223" s="115"/>
      <c r="AC223" s="115"/>
      <c r="AD223" s="115"/>
      <c r="AE223" s="115"/>
      <c r="AF223" s="115"/>
      <c r="AG223" s="115"/>
      <c r="AH223" s="115"/>
      <c r="AI223" s="115"/>
      <c r="AJ223" s="115"/>
      <c r="AK223" s="115"/>
      <c r="AL223" s="115"/>
      <c r="AM223" s="115"/>
      <c r="AN223" s="115"/>
      <c r="AO223" s="115"/>
      <c r="AP223" s="115"/>
      <c r="AQ223" s="115"/>
      <c r="AR223" s="115"/>
      <c r="AS223" s="115"/>
      <c r="AT223" s="115"/>
      <c r="AU223" s="115"/>
      <c r="AV223" s="115"/>
      <c r="AW223" s="115"/>
      <c r="AX223" s="115"/>
      <c r="AY223" s="115"/>
      <c r="AZ223" s="115"/>
      <c r="BA223" s="115"/>
      <c r="BB223" s="115"/>
      <c r="BC223" s="115"/>
      <c r="BD223" s="115"/>
      <c r="BE223" s="115"/>
      <c r="BF223" s="115"/>
      <c r="BG223" s="115"/>
      <c r="BH223" s="115"/>
    </row>
    <row r="224" spans="1:60" ht="15.75" customHeight="1" x14ac:dyDescent="0.25">
      <c r="A224" s="115"/>
      <c r="J224" s="115"/>
      <c r="K224" s="115"/>
      <c r="L224" s="115"/>
      <c r="M224" s="115"/>
      <c r="N224" s="115"/>
      <c r="O224" s="115"/>
      <c r="P224" s="115"/>
      <c r="Q224" s="115"/>
      <c r="R224" s="115"/>
      <c r="S224" s="115"/>
      <c r="T224" s="115"/>
      <c r="U224" s="115"/>
      <c r="V224" s="115"/>
      <c r="W224" s="115"/>
      <c r="X224" s="115"/>
      <c r="Y224" s="115"/>
      <c r="Z224" s="115"/>
      <c r="AA224" s="115"/>
      <c r="AB224" s="115"/>
      <c r="AC224" s="115"/>
      <c r="AD224" s="115"/>
      <c r="AE224" s="115"/>
      <c r="AF224" s="115"/>
      <c r="AG224" s="115"/>
      <c r="AH224" s="115"/>
      <c r="AI224" s="115"/>
      <c r="AJ224" s="115"/>
      <c r="AK224" s="115"/>
      <c r="AL224" s="115"/>
      <c r="AM224" s="115"/>
      <c r="AN224" s="115"/>
      <c r="AO224" s="115"/>
      <c r="AP224" s="115"/>
      <c r="AQ224" s="115"/>
      <c r="AR224" s="115"/>
      <c r="AS224" s="115"/>
      <c r="AT224" s="115"/>
      <c r="AU224" s="115"/>
      <c r="AV224" s="115"/>
      <c r="AW224" s="115"/>
      <c r="AX224" s="115"/>
      <c r="AY224" s="115"/>
      <c r="AZ224" s="115"/>
      <c r="BA224" s="115"/>
      <c r="BB224" s="115"/>
      <c r="BC224" s="115"/>
      <c r="BD224" s="115"/>
      <c r="BE224" s="115"/>
      <c r="BF224" s="115"/>
      <c r="BG224" s="115"/>
      <c r="BH224" s="115"/>
    </row>
    <row r="225" spans="1:60" ht="15.75" customHeight="1" x14ac:dyDescent="0.25">
      <c r="A225" s="115"/>
      <c r="J225" s="115"/>
      <c r="K225" s="115"/>
      <c r="L225" s="115"/>
      <c r="M225" s="115"/>
      <c r="N225" s="115"/>
      <c r="O225" s="115"/>
      <c r="P225" s="115"/>
      <c r="Q225" s="115"/>
      <c r="R225" s="115"/>
      <c r="S225" s="115"/>
      <c r="T225" s="115"/>
      <c r="U225" s="115"/>
      <c r="V225" s="115"/>
      <c r="W225" s="115"/>
      <c r="X225" s="115"/>
      <c r="Y225" s="115"/>
      <c r="Z225" s="115"/>
      <c r="AA225" s="115"/>
      <c r="AB225" s="115"/>
      <c r="AC225" s="115"/>
      <c r="AD225" s="115"/>
      <c r="AE225" s="115"/>
      <c r="AF225" s="115"/>
      <c r="AG225" s="115"/>
      <c r="AH225" s="115"/>
      <c r="AI225" s="115"/>
      <c r="AJ225" s="115"/>
      <c r="AK225" s="115"/>
      <c r="AL225" s="115"/>
      <c r="AM225" s="115"/>
      <c r="AN225" s="115"/>
      <c r="AO225" s="115"/>
      <c r="AP225" s="115"/>
      <c r="AQ225" s="115"/>
      <c r="AR225" s="115"/>
      <c r="AS225" s="115"/>
      <c r="AT225" s="115"/>
      <c r="AU225" s="115"/>
      <c r="AV225" s="115"/>
      <c r="AW225" s="115"/>
      <c r="AX225" s="115"/>
      <c r="AY225" s="115"/>
      <c r="AZ225" s="115"/>
      <c r="BA225" s="115"/>
      <c r="BB225" s="115"/>
      <c r="BC225" s="115"/>
      <c r="BD225" s="115"/>
      <c r="BE225" s="115"/>
      <c r="BF225" s="115"/>
      <c r="BG225" s="115"/>
      <c r="BH225" s="115"/>
    </row>
    <row r="226" spans="1:60" ht="15.75" customHeight="1" x14ac:dyDescent="0.25">
      <c r="A226" s="115"/>
      <c r="J226" s="115"/>
      <c r="K226" s="115"/>
      <c r="L226" s="115"/>
      <c r="M226" s="115"/>
      <c r="N226" s="115"/>
      <c r="O226" s="115"/>
      <c r="P226" s="115"/>
      <c r="Q226" s="115"/>
      <c r="R226" s="115"/>
      <c r="S226" s="115"/>
      <c r="T226" s="115"/>
      <c r="U226" s="115"/>
      <c r="V226" s="115"/>
      <c r="W226" s="115"/>
      <c r="X226" s="115"/>
      <c r="Y226" s="115"/>
      <c r="Z226" s="115"/>
      <c r="AA226" s="115"/>
      <c r="AB226" s="115"/>
      <c r="AC226" s="115"/>
      <c r="AD226" s="115"/>
      <c r="AE226" s="115"/>
      <c r="AF226" s="115"/>
      <c r="AG226" s="115"/>
      <c r="AH226" s="115"/>
      <c r="AI226" s="115"/>
      <c r="AJ226" s="115"/>
      <c r="AK226" s="115"/>
      <c r="AL226" s="115"/>
      <c r="AM226" s="115"/>
      <c r="AN226" s="115"/>
      <c r="AO226" s="115"/>
      <c r="AP226" s="115"/>
      <c r="AQ226" s="115"/>
      <c r="AR226" s="115"/>
      <c r="AS226" s="115"/>
      <c r="AT226" s="115"/>
      <c r="AU226" s="115"/>
      <c r="AV226" s="115"/>
      <c r="AW226" s="115"/>
      <c r="AX226" s="115"/>
      <c r="AY226" s="115"/>
      <c r="AZ226" s="115"/>
      <c r="BA226" s="115"/>
      <c r="BB226" s="115"/>
      <c r="BC226" s="115"/>
      <c r="BD226" s="115"/>
      <c r="BE226" s="115"/>
      <c r="BF226" s="115"/>
      <c r="BG226" s="115"/>
      <c r="BH226" s="115"/>
    </row>
    <row r="227" spans="1:60" ht="15.75" customHeight="1" x14ac:dyDescent="0.25">
      <c r="A227" s="115"/>
      <c r="J227" s="115"/>
      <c r="K227" s="115"/>
      <c r="L227" s="115"/>
      <c r="M227" s="115"/>
      <c r="N227" s="115"/>
      <c r="O227" s="115"/>
      <c r="P227" s="115"/>
      <c r="Q227" s="115"/>
      <c r="R227" s="115"/>
      <c r="S227" s="115"/>
      <c r="T227" s="115"/>
      <c r="U227" s="115"/>
      <c r="V227" s="115"/>
      <c r="W227" s="115"/>
      <c r="X227" s="115"/>
      <c r="Y227" s="115"/>
      <c r="Z227" s="115"/>
      <c r="AA227" s="115"/>
      <c r="AB227" s="115"/>
      <c r="AC227" s="115"/>
      <c r="AD227" s="115"/>
      <c r="AE227" s="115"/>
      <c r="AF227" s="115"/>
      <c r="AG227" s="115"/>
      <c r="AH227" s="115"/>
      <c r="AI227" s="115"/>
      <c r="AJ227" s="115"/>
      <c r="AK227" s="115"/>
      <c r="AL227" s="115"/>
      <c r="AM227" s="115"/>
      <c r="AN227" s="115"/>
      <c r="AO227" s="115"/>
      <c r="AP227" s="115"/>
      <c r="AQ227" s="115"/>
      <c r="AR227" s="115"/>
      <c r="AS227" s="115"/>
      <c r="AT227" s="115"/>
      <c r="AU227" s="115"/>
      <c r="AV227" s="115"/>
      <c r="AW227" s="115"/>
      <c r="AX227" s="115"/>
      <c r="AY227" s="115"/>
      <c r="AZ227" s="115"/>
      <c r="BA227" s="115"/>
      <c r="BB227" s="115"/>
      <c r="BC227" s="115"/>
      <c r="BD227" s="115"/>
      <c r="BE227" s="115"/>
      <c r="BF227" s="115"/>
      <c r="BG227" s="115"/>
      <c r="BH227" s="115"/>
    </row>
    <row r="228" spans="1:60" ht="15.75" customHeight="1" x14ac:dyDescent="0.25">
      <c r="A228" s="115"/>
      <c r="J228" s="115"/>
      <c r="K228" s="115"/>
      <c r="L228" s="115"/>
      <c r="M228" s="115"/>
      <c r="N228" s="115"/>
      <c r="O228" s="115"/>
      <c r="P228" s="115"/>
      <c r="Q228" s="115"/>
      <c r="R228" s="115"/>
      <c r="S228" s="115"/>
      <c r="T228" s="115"/>
      <c r="U228" s="115"/>
      <c r="V228" s="115"/>
      <c r="W228" s="115"/>
      <c r="X228" s="115"/>
      <c r="Y228" s="115"/>
      <c r="Z228" s="115"/>
      <c r="AA228" s="115"/>
      <c r="AB228" s="115"/>
      <c r="AC228" s="115"/>
      <c r="AD228" s="115"/>
      <c r="AE228" s="115"/>
      <c r="AF228" s="115"/>
      <c r="AG228" s="115"/>
      <c r="AH228" s="115"/>
      <c r="AI228" s="115"/>
      <c r="AJ228" s="115"/>
      <c r="AK228" s="115"/>
      <c r="AL228" s="115"/>
      <c r="AM228" s="115"/>
      <c r="AN228" s="115"/>
      <c r="AO228" s="115"/>
      <c r="AP228" s="115"/>
      <c r="AQ228" s="115"/>
      <c r="AR228" s="115"/>
      <c r="AS228" s="115"/>
      <c r="AT228" s="115"/>
      <c r="AU228" s="115"/>
      <c r="AV228" s="115"/>
      <c r="AW228" s="115"/>
      <c r="AX228" s="115"/>
      <c r="AY228" s="115"/>
      <c r="AZ228" s="115"/>
      <c r="BA228" s="115"/>
      <c r="BB228" s="115"/>
      <c r="BC228" s="115"/>
      <c r="BD228" s="115"/>
      <c r="BE228" s="115"/>
      <c r="BF228" s="115"/>
      <c r="BG228" s="115"/>
      <c r="BH228" s="115"/>
    </row>
    <row r="229" spans="1:60" ht="15.75" customHeight="1" x14ac:dyDescent="0.25">
      <c r="A229" s="115"/>
      <c r="J229" s="115"/>
      <c r="K229" s="115"/>
      <c r="L229" s="115"/>
      <c r="M229" s="115"/>
      <c r="N229" s="115"/>
      <c r="O229" s="115"/>
      <c r="P229" s="115"/>
      <c r="Q229" s="115"/>
      <c r="R229" s="115"/>
      <c r="S229" s="115"/>
      <c r="T229" s="115"/>
      <c r="U229" s="115"/>
      <c r="V229" s="115"/>
      <c r="W229" s="115"/>
      <c r="X229" s="115"/>
      <c r="Y229" s="115"/>
      <c r="Z229" s="115"/>
      <c r="AA229" s="115"/>
      <c r="AB229" s="115"/>
      <c r="AC229" s="115"/>
      <c r="AD229" s="115"/>
      <c r="AE229" s="115"/>
      <c r="AF229" s="115"/>
      <c r="AG229" s="115"/>
      <c r="AH229" s="115"/>
      <c r="AI229" s="115"/>
      <c r="AJ229" s="115"/>
      <c r="AK229" s="115"/>
      <c r="AL229" s="115"/>
      <c r="AM229" s="115"/>
      <c r="AN229" s="115"/>
      <c r="AO229" s="115"/>
      <c r="AP229" s="115"/>
      <c r="AQ229" s="115"/>
      <c r="AR229" s="115"/>
      <c r="AS229" s="115"/>
      <c r="AT229" s="115"/>
      <c r="AU229" s="115"/>
      <c r="AV229" s="115"/>
      <c r="AW229" s="115"/>
      <c r="AX229" s="115"/>
      <c r="AY229" s="115"/>
      <c r="AZ229" s="115"/>
      <c r="BA229" s="115"/>
      <c r="BB229" s="115"/>
      <c r="BC229" s="115"/>
      <c r="BD229" s="115"/>
      <c r="BE229" s="115"/>
      <c r="BF229" s="115"/>
      <c r="BG229" s="115"/>
      <c r="BH229" s="115"/>
    </row>
    <row r="230" spans="1:60" ht="15.75" customHeight="1" x14ac:dyDescent="0.25">
      <c r="A230" s="115"/>
      <c r="J230" s="115"/>
      <c r="K230" s="115"/>
      <c r="L230" s="115"/>
      <c r="M230" s="115"/>
      <c r="N230" s="115"/>
      <c r="O230" s="115"/>
      <c r="P230" s="115"/>
      <c r="Q230" s="115"/>
      <c r="R230" s="115"/>
      <c r="S230" s="115"/>
      <c r="T230" s="115"/>
      <c r="U230" s="115"/>
      <c r="V230" s="115"/>
      <c r="W230" s="115"/>
      <c r="X230" s="115"/>
      <c r="Y230" s="115"/>
      <c r="Z230" s="115"/>
      <c r="AA230" s="115"/>
      <c r="AB230" s="115"/>
      <c r="AC230" s="115"/>
      <c r="AD230" s="115"/>
      <c r="AE230" s="115"/>
      <c r="AF230" s="115"/>
      <c r="AG230" s="115"/>
      <c r="AH230" s="115"/>
      <c r="AI230" s="115"/>
      <c r="AJ230" s="115"/>
      <c r="AK230" s="115"/>
      <c r="AL230" s="115"/>
      <c r="AM230" s="115"/>
      <c r="AN230" s="115"/>
      <c r="AO230" s="115"/>
      <c r="AP230" s="115"/>
      <c r="AQ230" s="115"/>
      <c r="AR230" s="115"/>
      <c r="AS230" s="115"/>
      <c r="AT230" s="115"/>
      <c r="AU230" s="115"/>
      <c r="AV230" s="115"/>
      <c r="AW230" s="115"/>
      <c r="AX230" s="115"/>
      <c r="AY230" s="115"/>
      <c r="AZ230" s="115"/>
      <c r="BA230" s="115"/>
      <c r="BB230" s="115"/>
      <c r="BC230" s="115"/>
      <c r="BD230" s="115"/>
      <c r="BE230" s="115"/>
      <c r="BF230" s="115"/>
      <c r="BG230" s="115"/>
      <c r="BH230" s="115"/>
    </row>
    <row r="231" spans="1:60" ht="15.75" customHeight="1" x14ac:dyDescent="0.25">
      <c r="A231" s="115"/>
      <c r="J231" s="115"/>
      <c r="K231" s="115"/>
      <c r="L231" s="115"/>
      <c r="M231" s="115"/>
      <c r="N231" s="115"/>
      <c r="O231" s="115"/>
      <c r="P231" s="115"/>
      <c r="Q231" s="115"/>
      <c r="R231" s="115"/>
      <c r="S231" s="115"/>
      <c r="T231" s="115"/>
      <c r="U231" s="115"/>
      <c r="V231" s="115"/>
      <c r="W231" s="115"/>
      <c r="X231" s="115"/>
      <c r="Y231" s="115"/>
      <c r="Z231" s="115"/>
      <c r="AA231" s="115"/>
      <c r="AB231" s="115"/>
      <c r="AC231" s="115"/>
      <c r="AD231" s="115"/>
      <c r="AE231" s="115"/>
      <c r="AF231" s="115"/>
      <c r="AG231" s="115"/>
      <c r="AH231" s="115"/>
      <c r="AI231" s="115"/>
      <c r="AJ231" s="115"/>
      <c r="AK231" s="115"/>
      <c r="AL231" s="115"/>
      <c r="AM231" s="115"/>
      <c r="AN231" s="115"/>
      <c r="AO231" s="115"/>
      <c r="AP231" s="115"/>
      <c r="AQ231" s="115"/>
      <c r="AR231" s="115"/>
      <c r="AS231" s="115"/>
      <c r="AT231" s="115"/>
      <c r="AU231" s="115"/>
      <c r="AV231" s="115"/>
      <c r="AW231" s="115"/>
      <c r="AX231" s="115"/>
      <c r="AY231" s="115"/>
      <c r="AZ231" s="115"/>
      <c r="BA231" s="115"/>
      <c r="BB231" s="115"/>
      <c r="BC231" s="115"/>
      <c r="BD231" s="115"/>
      <c r="BE231" s="115"/>
      <c r="BF231" s="115"/>
      <c r="BG231" s="115"/>
      <c r="BH231" s="115"/>
    </row>
    <row r="232" spans="1:60" ht="15.75" customHeight="1" x14ac:dyDescent="0.25">
      <c r="A232" s="115"/>
      <c r="J232" s="115"/>
      <c r="K232" s="115"/>
      <c r="L232" s="115"/>
      <c r="M232" s="115"/>
      <c r="N232" s="115"/>
      <c r="O232" s="115"/>
      <c r="P232" s="115"/>
      <c r="Q232" s="115"/>
      <c r="R232" s="115"/>
      <c r="S232" s="115"/>
      <c r="T232" s="115"/>
      <c r="U232" s="115"/>
      <c r="V232" s="115"/>
      <c r="W232" s="115"/>
      <c r="X232" s="115"/>
      <c r="Y232" s="115"/>
      <c r="Z232" s="115"/>
      <c r="AA232" s="115"/>
      <c r="AB232" s="115"/>
      <c r="AC232" s="115"/>
      <c r="AD232" s="115"/>
      <c r="AE232" s="115"/>
      <c r="AF232" s="115"/>
      <c r="AG232" s="115"/>
      <c r="AH232" s="115"/>
      <c r="AI232" s="115"/>
      <c r="AJ232" s="115"/>
      <c r="AK232" s="115"/>
      <c r="AL232" s="115"/>
      <c r="AM232" s="115"/>
      <c r="AN232" s="115"/>
      <c r="AO232" s="115"/>
      <c r="AP232" s="115"/>
      <c r="AQ232" s="115"/>
      <c r="AR232" s="115"/>
      <c r="AS232" s="115"/>
      <c r="AT232" s="115"/>
      <c r="AU232" s="115"/>
      <c r="AV232" s="115"/>
      <c r="AW232" s="115"/>
      <c r="AX232" s="115"/>
      <c r="AY232" s="115"/>
      <c r="AZ232" s="115"/>
      <c r="BA232" s="115"/>
      <c r="BB232" s="115"/>
      <c r="BC232" s="115"/>
      <c r="BD232" s="115"/>
      <c r="BE232" s="115"/>
      <c r="BF232" s="115"/>
      <c r="BG232" s="115"/>
      <c r="BH232" s="115"/>
    </row>
    <row r="233" spans="1:60" ht="15.75" customHeight="1" x14ac:dyDescent="0.25">
      <c r="A233" s="115"/>
      <c r="J233" s="115"/>
      <c r="K233" s="115"/>
      <c r="L233" s="115"/>
      <c r="M233" s="115"/>
      <c r="N233" s="115"/>
      <c r="O233" s="115"/>
      <c r="P233" s="115"/>
      <c r="Q233" s="115"/>
      <c r="R233" s="115"/>
      <c r="S233" s="115"/>
      <c r="T233" s="115"/>
      <c r="U233" s="115"/>
      <c r="V233" s="115"/>
      <c r="W233" s="115"/>
      <c r="X233" s="115"/>
      <c r="Y233" s="115"/>
      <c r="Z233" s="115"/>
      <c r="AA233" s="115"/>
      <c r="AB233" s="115"/>
      <c r="AC233" s="115"/>
      <c r="AD233" s="115"/>
      <c r="AE233" s="115"/>
      <c r="AF233" s="115"/>
      <c r="AG233" s="115"/>
      <c r="AH233" s="115"/>
      <c r="AI233" s="115"/>
      <c r="AJ233" s="115"/>
      <c r="AK233" s="115"/>
      <c r="AL233" s="115"/>
      <c r="AM233" s="115"/>
      <c r="AN233" s="115"/>
      <c r="AO233" s="115"/>
      <c r="AP233" s="115"/>
      <c r="AQ233" s="115"/>
      <c r="AR233" s="115"/>
      <c r="AS233" s="115"/>
      <c r="AT233" s="115"/>
      <c r="AU233" s="115"/>
      <c r="AV233" s="115"/>
      <c r="AW233" s="115"/>
      <c r="AX233" s="115"/>
      <c r="AY233" s="115"/>
      <c r="AZ233" s="115"/>
      <c r="BA233" s="115"/>
      <c r="BB233" s="115"/>
      <c r="BC233" s="115"/>
      <c r="BD233" s="115"/>
      <c r="BE233" s="115"/>
      <c r="BF233" s="115"/>
      <c r="BG233" s="115"/>
      <c r="BH233" s="115"/>
    </row>
    <row r="234" spans="1:60" ht="15.75" customHeight="1" x14ac:dyDescent="0.25">
      <c r="A234" s="115"/>
      <c r="J234" s="115"/>
      <c r="K234" s="115"/>
      <c r="L234" s="115"/>
      <c r="M234" s="115"/>
      <c r="N234" s="115"/>
      <c r="O234" s="115"/>
      <c r="P234" s="115"/>
      <c r="Q234" s="115"/>
      <c r="R234" s="115"/>
      <c r="S234" s="115"/>
      <c r="T234" s="115"/>
      <c r="U234" s="115"/>
      <c r="V234" s="115"/>
      <c r="W234" s="115"/>
      <c r="X234" s="115"/>
      <c r="Y234" s="115"/>
      <c r="Z234" s="115"/>
      <c r="AA234" s="115"/>
      <c r="AB234" s="115"/>
      <c r="AC234" s="115"/>
      <c r="AD234" s="115"/>
      <c r="AE234" s="115"/>
      <c r="AF234" s="115"/>
      <c r="AG234" s="115"/>
      <c r="AH234" s="115"/>
      <c r="AI234" s="115"/>
      <c r="AJ234" s="115"/>
      <c r="AK234" s="115"/>
      <c r="AL234" s="115"/>
      <c r="AM234" s="115"/>
      <c r="AN234" s="115"/>
      <c r="AO234" s="115"/>
      <c r="AP234" s="115"/>
      <c r="AQ234" s="115"/>
      <c r="AR234" s="115"/>
      <c r="AS234" s="115"/>
      <c r="AT234" s="115"/>
      <c r="AU234" s="115"/>
      <c r="AV234" s="115"/>
      <c r="AW234" s="115"/>
      <c r="AX234" s="115"/>
      <c r="AY234" s="115"/>
      <c r="AZ234" s="115"/>
      <c r="BA234" s="115"/>
      <c r="BB234" s="115"/>
      <c r="BC234" s="115"/>
      <c r="BD234" s="115"/>
      <c r="BE234" s="115"/>
      <c r="BF234" s="115"/>
      <c r="BG234" s="115"/>
      <c r="BH234" s="115"/>
    </row>
    <row r="235" spans="1:60" ht="15.75" customHeight="1" x14ac:dyDescent="0.25">
      <c r="A235" s="115"/>
      <c r="J235" s="115"/>
      <c r="K235" s="115"/>
      <c r="L235" s="115"/>
      <c r="M235" s="115"/>
      <c r="N235" s="115"/>
      <c r="O235" s="115"/>
      <c r="P235" s="115"/>
      <c r="Q235" s="115"/>
      <c r="R235" s="115"/>
      <c r="S235" s="115"/>
      <c r="T235" s="115"/>
      <c r="U235" s="115"/>
      <c r="V235" s="115"/>
      <c r="W235" s="115"/>
      <c r="X235" s="115"/>
      <c r="Y235" s="115"/>
      <c r="Z235" s="115"/>
      <c r="AA235" s="115"/>
      <c r="AB235" s="115"/>
      <c r="AC235" s="115"/>
      <c r="AD235" s="115"/>
      <c r="AE235" s="115"/>
      <c r="AF235" s="115"/>
      <c r="AG235" s="115"/>
      <c r="AH235" s="115"/>
      <c r="AI235" s="115"/>
      <c r="AJ235" s="115"/>
      <c r="AK235" s="115"/>
      <c r="AL235" s="115"/>
      <c r="AM235" s="115"/>
      <c r="AN235" s="115"/>
      <c r="AO235" s="115"/>
      <c r="AP235" s="115"/>
      <c r="AQ235" s="115"/>
      <c r="AR235" s="115"/>
      <c r="AS235" s="115"/>
      <c r="AT235" s="115"/>
      <c r="AU235" s="115"/>
      <c r="AV235" s="115"/>
      <c r="AW235" s="115"/>
      <c r="AX235" s="115"/>
      <c r="AY235" s="115"/>
      <c r="AZ235" s="115"/>
      <c r="BA235" s="115"/>
      <c r="BB235" s="115"/>
      <c r="BC235" s="115"/>
      <c r="BD235" s="115"/>
      <c r="BE235" s="115"/>
      <c r="BF235" s="115"/>
      <c r="BG235" s="115"/>
      <c r="BH235" s="115"/>
    </row>
    <row r="236" spans="1:60" ht="15.75" customHeight="1" x14ac:dyDescent="0.25">
      <c r="A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5"/>
      <c r="AY236" s="115"/>
      <c r="AZ236" s="115"/>
      <c r="BA236" s="115"/>
      <c r="BB236" s="115"/>
      <c r="BC236" s="115"/>
      <c r="BD236" s="115"/>
      <c r="BE236" s="115"/>
      <c r="BF236" s="115"/>
      <c r="BG236" s="115"/>
      <c r="BH236" s="115"/>
    </row>
    <row r="237" spans="1:60" ht="15.75" customHeight="1" x14ac:dyDescent="0.25">
      <c r="A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5"/>
      <c r="AY237" s="115"/>
      <c r="AZ237" s="115"/>
      <c r="BA237" s="115"/>
      <c r="BB237" s="115"/>
      <c r="BC237" s="115"/>
      <c r="BD237" s="115"/>
      <c r="BE237" s="115"/>
      <c r="BF237" s="115"/>
      <c r="BG237" s="115"/>
      <c r="BH237" s="115"/>
    </row>
    <row r="238" spans="1:60" ht="15.75" customHeight="1" x14ac:dyDescent="0.25">
      <c r="A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5"/>
      <c r="AY238" s="115"/>
      <c r="AZ238" s="115"/>
      <c r="BA238" s="115"/>
      <c r="BB238" s="115"/>
      <c r="BC238" s="115"/>
      <c r="BD238" s="115"/>
      <c r="BE238" s="115"/>
      <c r="BF238" s="115"/>
      <c r="BG238" s="115"/>
      <c r="BH238" s="115"/>
    </row>
    <row r="239" spans="1:60" ht="15.75" customHeight="1" x14ac:dyDescent="0.25">
      <c r="A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5"/>
      <c r="AY239" s="115"/>
      <c r="AZ239" s="115"/>
      <c r="BA239" s="115"/>
      <c r="BB239" s="115"/>
      <c r="BC239" s="115"/>
      <c r="BD239" s="115"/>
      <c r="BE239" s="115"/>
      <c r="BF239" s="115"/>
      <c r="BG239" s="115"/>
      <c r="BH239" s="115"/>
    </row>
    <row r="240" spans="1:60" ht="15.75" customHeight="1" x14ac:dyDescent="0.25">
      <c r="A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5"/>
      <c r="AY240" s="115"/>
      <c r="AZ240" s="115"/>
      <c r="BA240" s="115"/>
      <c r="BB240" s="115"/>
      <c r="BC240" s="115"/>
      <c r="BD240" s="115"/>
      <c r="BE240" s="115"/>
      <c r="BF240" s="115"/>
      <c r="BG240" s="115"/>
      <c r="BH240" s="115"/>
    </row>
    <row r="241" spans="1:60" ht="15.75" customHeight="1" x14ac:dyDescent="0.25">
      <c r="A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5"/>
      <c r="AY241" s="115"/>
      <c r="AZ241" s="115"/>
      <c r="BA241" s="115"/>
      <c r="BB241" s="115"/>
      <c r="BC241" s="115"/>
      <c r="BD241" s="115"/>
      <c r="BE241" s="115"/>
      <c r="BF241" s="115"/>
      <c r="BG241" s="115"/>
      <c r="BH241" s="115"/>
    </row>
    <row r="242" spans="1:60" ht="15.75" customHeight="1" x14ac:dyDescent="0.25">
      <c r="A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5"/>
      <c r="AY242" s="115"/>
      <c r="AZ242" s="115"/>
      <c r="BA242" s="115"/>
      <c r="BB242" s="115"/>
      <c r="BC242" s="115"/>
      <c r="BD242" s="115"/>
      <c r="BE242" s="115"/>
      <c r="BF242" s="115"/>
      <c r="BG242" s="115"/>
      <c r="BH242" s="115"/>
    </row>
    <row r="243" spans="1:60" ht="15.75" customHeight="1" x14ac:dyDescent="0.25">
      <c r="A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5"/>
      <c r="AY243" s="115"/>
      <c r="AZ243" s="115"/>
      <c r="BA243" s="115"/>
      <c r="BB243" s="115"/>
      <c r="BC243" s="115"/>
      <c r="BD243" s="115"/>
      <c r="BE243" s="115"/>
      <c r="BF243" s="115"/>
      <c r="BG243" s="115"/>
      <c r="BH243" s="115"/>
    </row>
    <row r="244" spans="1:60" ht="15.75" customHeight="1" x14ac:dyDescent="0.25">
      <c r="A244" s="115"/>
      <c r="J244" s="115"/>
      <c r="K244" s="115"/>
      <c r="L244" s="115"/>
      <c r="M244" s="115"/>
      <c r="N244" s="115"/>
      <c r="O244" s="115"/>
      <c r="P244" s="115"/>
      <c r="Q244" s="115"/>
      <c r="R244" s="115"/>
      <c r="S244" s="115"/>
      <c r="T244" s="115"/>
      <c r="U244" s="115"/>
      <c r="V244" s="115"/>
      <c r="W244" s="115"/>
      <c r="X244" s="115"/>
      <c r="Y244" s="115"/>
      <c r="Z244" s="115"/>
      <c r="AA244" s="115"/>
      <c r="AB244" s="115"/>
      <c r="AC244" s="115"/>
      <c r="AD244" s="115"/>
      <c r="AE244" s="115"/>
      <c r="AF244" s="115"/>
      <c r="AG244" s="115"/>
      <c r="AH244" s="115"/>
      <c r="AI244" s="115"/>
      <c r="AJ244" s="115"/>
      <c r="AK244" s="115"/>
      <c r="AL244" s="115"/>
      <c r="AM244" s="115"/>
      <c r="AN244" s="115"/>
      <c r="AO244" s="115"/>
      <c r="AP244" s="115"/>
      <c r="AQ244" s="115"/>
      <c r="AR244" s="115"/>
      <c r="AS244" s="115"/>
      <c r="AT244" s="115"/>
      <c r="AU244" s="115"/>
      <c r="AV244" s="115"/>
      <c r="AW244" s="115"/>
      <c r="AX244" s="115"/>
      <c r="AY244" s="115"/>
      <c r="AZ244" s="115"/>
      <c r="BA244" s="115"/>
      <c r="BB244" s="115"/>
      <c r="BC244" s="115"/>
      <c r="BD244" s="115"/>
      <c r="BE244" s="115"/>
      <c r="BF244" s="115"/>
      <c r="BG244" s="115"/>
      <c r="BH244" s="115"/>
    </row>
    <row r="245" spans="1:60" ht="15.75" customHeight="1" x14ac:dyDescent="0.25">
      <c r="A245" s="115"/>
    </row>
    <row r="246" spans="1:60" ht="15.75" customHeight="1" x14ac:dyDescent="0.25">
      <c r="A246" s="115"/>
    </row>
    <row r="247" spans="1:60" ht="15.75" customHeight="1" x14ac:dyDescent="0.25">
      <c r="A247" s="115"/>
    </row>
    <row r="248" spans="1:60" ht="15.75" customHeight="1" x14ac:dyDescent="0.25">
      <c r="A248" s="115"/>
    </row>
    <row r="249" spans="1:60" ht="15.75" customHeight="1" x14ac:dyDescent="0.2"/>
    <row r="250" spans="1:60" ht="15.75" customHeight="1" x14ac:dyDescent="0.2"/>
    <row r="251" spans="1:60" ht="15.75" customHeight="1" x14ac:dyDescent="0.2"/>
    <row r="252" spans="1:60" ht="15.75" customHeight="1" x14ac:dyDescent="0.2"/>
    <row r="253" spans="1:60" ht="15.75" customHeight="1" x14ac:dyDescent="0.2"/>
    <row r="254" spans="1:60" ht="15.75" customHeight="1" x14ac:dyDescent="0.2"/>
    <row r="255" spans="1:60" ht="15.75" customHeight="1" x14ac:dyDescent="0.2"/>
    <row r="256" spans="1:60"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B2:I4"/>
    <mergeCell ref="J2:AM4"/>
    <mergeCell ref="B6:D55"/>
    <mergeCell ref="E6:I15"/>
    <mergeCell ref="AO6:AT15"/>
    <mergeCell ref="E16:I25"/>
    <mergeCell ref="AO16:AT25"/>
    <mergeCell ref="E26:I35"/>
    <mergeCell ref="AO26:AT35"/>
    <mergeCell ref="E36:I45"/>
    <mergeCell ref="AO36:AT45"/>
    <mergeCell ref="E46:I55"/>
    <mergeCell ref="J56:O61"/>
    <mergeCell ref="P56:U61"/>
    <mergeCell ref="V56:AA61"/>
    <mergeCell ref="AB56:AG61"/>
    <mergeCell ref="AH56:AM61"/>
  </mergeCells>
  <pageMargins left="0.70866141732283472" right="0.70866141732283472" top="0.74803149606299213" bottom="0.74803149606299213" header="0" footer="0"/>
  <pageSetup scale="39" orientation="portrait" r:id="rId1"/>
  <headerFooter>
    <oddHeader>&amp;L&amp;G&amp;C
MATRIZ DE RIESGOS&amp;RCódigo:E-02-F-014
Versión: 4
Fecha: Ver Isolución</oddHeader>
  </headerFooter>
  <colBreaks count="1" manualBreakCount="1">
    <brk id="39" max="1048575" man="1"/>
  </colBreaks>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X1001"/>
  <sheetViews>
    <sheetView tabSelected="1" zoomScaleNormal="100" workbookViewId="0">
      <selection activeCell="F13" sqref="F13"/>
    </sheetView>
  </sheetViews>
  <sheetFormatPr baseColWidth="10" defaultColWidth="12.625" defaultRowHeight="15" customHeight="1" x14ac:dyDescent="0.2"/>
  <cols>
    <col min="1" max="1" width="9.375" customWidth="1"/>
    <col min="2" max="2" width="21.125" customWidth="1"/>
    <col min="3" max="3" width="61.375" customWidth="1"/>
    <col min="4" max="4" width="26.125" customWidth="1"/>
    <col min="5" max="26" width="9.375" customWidth="1"/>
  </cols>
  <sheetData>
    <row r="2" spans="1:24" ht="23.25" x14ac:dyDescent="0.25">
      <c r="A2" s="115"/>
      <c r="B2" s="1040" t="s">
        <v>3001</v>
      </c>
      <c r="C2" s="804"/>
      <c r="D2" s="804"/>
      <c r="E2" s="115"/>
      <c r="F2" s="115"/>
      <c r="G2" s="115"/>
      <c r="H2" s="115"/>
      <c r="I2" s="115"/>
      <c r="J2" s="115"/>
      <c r="K2" s="115"/>
      <c r="L2" s="115"/>
      <c r="M2" s="115"/>
      <c r="N2" s="115"/>
      <c r="O2" s="115"/>
      <c r="P2" s="115"/>
      <c r="Q2" s="115"/>
      <c r="R2" s="115"/>
      <c r="S2" s="115"/>
      <c r="T2" s="115"/>
      <c r="U2" s="115"/>
      <c r="V2" s="115"/>
      <c r="W2" s="115"/>
      <c r="X2" s="115"/>
    </row>
    <row r="3" spans="1:24" x14ac:dyDescent="0.25">
      <c r="A3" s="115"/>
      <c r="B3" s="115"/>
      <c r="C3" s="115"/>
      <c r="D3" s="115"/>
      <c r="E3" s="115"/>
      <c r="F3" s="115"/>
      <c r="G3" s="115"/>
      <c r="H3" s="115"/>
      <c r="I3" s="115"/>
      <c r="J3" s="115"/>
      <c r="K3" s="115"/>
      <c r="L3" s="115"/>
      <c r="M3" s="115"/>
      <c r="N3" s="115"/>
      <c r="O3" s="115"/>
      <c r="P3" s="115"/>
      <c r="Q3" s="115"/>
      <c r="R3" s="115"/>
      <c r="S3" s="115"/>
      <c r="T3" s="115"/>
      <c r="U3" s="115"/>
      <c r="V3" s="115"/>
      <c r="W3" s="115"/>
      <c r="X3" s="115"/>
    </row>
    <row r="4" spans="1:24" ht="25.5" x14ac:dyDescent="0.25">
      <c r="A4" s="115"/>
      <c r="B4" s="32"/>
      <c r="C4" s="158" t="s">
        <v>3002</v>
      </c>
      <c r="D4" s="158" t="s">
        <v>2</v>
      </c>
      <c r="E4" s="115"/>
      <c r="F4" s="115"/>
      <c r="G4" s="115"/>
      <c r="H4" s="115"/>
      <c r="I4" s="115"/>
      <c r="J4" s="115"/>
      <c r="K4" s="115"/>
      <c r="L4" s="115"/>
      <c r="M4" s="115"/>
      <c r="N4" s="115"/>
      <c r="O4" s="115"/>
      <c r="P4" s="115"/>
      <c r="Q4" s="115"/>
      <c r="R4" s="115"/>
      <c r="S4" s="115"/>
      <c r="T4" s="115"/>
      <c r="U4" s="115"/>
      <c r="V4" s="115"/>
      <c r="W4" s="115"/>
      <c r="X4" s="115"/>
    </row>
    <row r="5" spans="1:24" ht="51" x14ac:dyDescent="0.25">
      <c r="A5" s="115"/>
      <c r="B5" s="159" t="s">
        <v>3003</v>
      </c>
      <c r="C5" s="33" t="s">
        <v>3004</v>
      </c>
      <c r="D5" s="34">
        <v>0.2</v>
      </c>
      <c r="E5" s="115"/>
      <c r="F5" s="115"/>
      <c r="G5" s="115"/>
      <c r="H5" s="115"/>
      <c r="I5" s="115"/>
      <c r="J5" s="115"/>
      <c r="K5" s="115"/>
      <c r="L5" s="115"/>
      <c r="M5" s="115"/>
      <c r="N5" s="115"/>
      <c r="O5" s="115"/>
      <c r="P5" s="115"/>
      <c r="Q5" s="115"/>
      <c r="R5" s="115"/>
      <c r="S5" s="115"/>
      <c r="T5" s="115"/>
      <c r="U5" s="115"/>
      <c r="V5" s="115"/>
      <c r="W5" s="115"/>
      <c r="X5" s="115"/>
    </row>
    <row r="6" spans="1:24" ht="51" x14ac:dyDescent="0.25">
      <c r="A6" s="115"/>
      <c r="B6" s="35" t="s">
        <v>3005</v>
      </c>
      <c r="C6" s="36" t="s">
        <v>3006</v>
      </c>
      <c r="D6" s="37">
        <v>0.4</v>
      </c>
      <c r="E6" s="115"/>
      <c r="F6" s="115"/>
      <c r="G6" s="115"/>
      <c r="H6" s="115"/>
      <c r="I6" s="115"/>
      <c r="J6" s="115"/>
      <c r="K6" s="115"/>
      <c r="L6" s="115"/>
      <c r="M6" s="115"/>
      <c r="N6" s="115"/>
      <c r="O6" s="115"/>
      <c r="P6" s="115"/>
      <c r="Q6" s="115"/>
      <c r="R6" s="115"/>
      <c r="S6" s="115"/>
      <c r="T6" s="115"/>
      <c r="U6" s="115"/>
      <c r="V6" s="115"/>
      <c r="W6" s="115"/>
      <c r="X6" s="115"/>
    </row>
    <row r="7" spans="1:24" ht="51" x14ac:dyDescent="0.25">
      <c r="A7" s="115"/>
      <c r="B7" s="38" t="s">
        <v>3007</v>
      </c>
      <c r="C7" s="36" t="s">
        <v>3008</v>
      </c>
      <c r="D7" s="37">
        <v>0.6</v>
      </c>
      <c r="E7" s="115"/>
      <c r="F7" s="115"/>
      <c r="G7" s="115"/>
      <c r="H7" s="115"/>
      <c r="I7" s="115"/>
      <c r="J7" s="115"/>
      <c r="K7" s="115"/>
      <c r="L7" s="115"/>
      <c r="M7" s="115"/>
      <c r="N7" s="115"/>
      <c r="O7" s="115"/>
      <c r="P7" s="115"/>
      <c r="Q7" s="115"/>
      <c r="R7" s="115"/>
      <c r="S7" s="115"/>
      <c r="T7" s="115"/>
      <c r="U7" s="115"/>
      <c r="V7" s="115"/>
      <c r="W7" s="115"/>
      <c r="X7" s="115"/>
    </row>
    <row r="8" spans="1:24" ht="76.5" x14ac:dyDescent="0.25">
      <c r="A8" s="115"/>
      <c r="B8" s="39" t="s">
        <v>3009</v>
      </c>
      <c r="C8" s="36" t="s">
        <v>3010</v>
      </c>
      <c r="D8" s="37">
        <v>0.8</v>
      </c>
      <c r="E8" s="115"/>
      <c r="F8" s="115"/>
      <c r="G8" s="115"/>
      <c r="H8" s="115"/>
      <c r="I8" s="115"/>
      <c r="J8" s="115"/>
      <c r="K8" s="115"/>
      <c r="L8" s="115"/>
      <c r="M8" s="115"/>
      <c r="N8" s="115"/>
      <c r="O8" s="115"/>
      <c r="P8" s="115"/>
      <c r="Q8" s="115"/>
      <c r="R8" s="115"/>
      <c r="S8" s="115"/>
      <c r="T8" s="115"/>
      <c r="U8" s="115"/>
      <c r="V8" s="115"/>
      <c r="W8" s="115"/>
      <c r="X8" s="115"/>
    </row>
    <row r="9" spans="1:24" ht="51" x14ac:dyDescent="0.25">
      <c r="A9" s="115"/>
      <c r="B9" s="40" t="s">
        <v>3011</v>
      </c>
      <c r="C9" s="36" t="s">
        <v>3012</v>
      </c>
      <c r="D9" s="37">
        <v>1</v>
      </c>
      <c r="E9" s="115"/>
      <c r="F9" s="115"/>
      <c r="G9" s="115"/>
      <c r="H9" s="115"/>
      <c r="I9" s="115"/>
      <c r="J9" s="115"/>
      <c r="K9" s="115"/>
      <c r="L9" s="115"/>
      <c r="M9" s="115"/>
      <c r="N9" s="115"/>
      <c r="O9" s="115"/>
      <c r="P9" s="115"/>
      <c r="Q9" s="115"/>
      <c r="R9" s="115"/>
      <c r="S9" s="115"/>
      <c r="T9" s="115"/>
      <c r="U9" s="115"/>
      <c r="V9" s="115"/>
      <c r="W9" s="115"/>
      <c r="X9" s="115"/>
    </row>
    <row r="10" spans="1:24" x14ac:dyDescent="0.25">
      <c r="A10" s="115"/>
      <c r="B10" s="115"/>
      <c r="C10" s="115"/>
      <c r="D10" s="115"/>
      <c r="E10" s="115"/>
      <c r="F10" s="115"/>
      <c r="G10" s="115"/>
      <c r="H10" s="115"/>
      <c r="I10" s="115"/>
      <c r="J10" s="115"/>
      <c r="K10" s="115"/>
      <c r="L10" s="115"/>
      <c r="M10" s="115"/>
      <c r="N10" s="115"/>
      <c r="O10" s="115"/>
      <c r="P10" s="115"/>
      <c r="Q10" s="115"/>
      <c r="R10" s="115"/>
      <c r="S10" s="115"/>
      <c r="T10" s="115"/>
      <c r="U10" s="115"/>
      <c r="V10" s="115"/>
      <c r="W10" s="115"/>
      <c r="X10" s="115"/>
    </row>
    <row r="11" spans="1:24" ht="16.5" x14ac:dyDescent="0.25">
      <c r="A11" s="115"/>
      <c r="B11" s="160"/>
      <c r="C11" s="115"/>
      <c r="D11" s="115"/>
      <c r="E11" s="115"/>
      <c r="F11" s="115"/>
      <c r="G11" s="115"/>
      <c r="H11" s="115"/>
      <c r="I11" s="115"/>
      <c r="J11" s="115"/>
      <c r="K11" s="115"/>
      <c r="L11" s="115"/>
      <c r="M11" s="115"/>
      <c r="N11" s="115"/>
      <c r="O11" s="115"/>
      <c r="P11" s="115"/>
      <c r="Q11" s="115"/>
      <c r="R11" s="115"/>
      <c r="S11" s="115"/>
      <c r="T11" s="115"/>
      <c r="U11" s="115"/>
      <c r="V11" s="115"/>
      <c r="W11" s="115"/>
      <c r="X11" s="115"/>
    </row>
    <row r="12" spans="1:24" x14ac:dyDescent="0.25">
      <c r="A12" s="115"/>
      <c r="B12" s="115"/>
      <c r="C12" s="115"/>
      <c r="D12" s="115"/>
      <c r="E12" s="115"/>
      <c r="F12" s="115"/>
      <c r="G12" s="115"/>
      <c r="H12" s="115"/>
      <c r="I12" s="115"/>
      <c r="J12" s="115"/>
      <c r="K12" s="115"/>
      <c r="L12" s="115"/>
      <c r="M12" s="115"/>
      <c r="N12" s="115"/>
      <c r="O12" s="115"/>
      <c r="P12" s="115"/>
      <c r="Q12" s="115"/>
      <c r="R12" s="115"/>
      <c r="S12" s="115"/>
      <c r="T12" s="115"/>
      <c r="U12" s="115"/>
      <c r="V12" s="115"/>
      <c r="W12" s="115"/>
      <c r="X12" s="115"/>
    </row>
    <row r="13" spans="1:24" x14ac:dyDescent="0.25">
      <c r="A13" s="115"/>
      <c r="B13" s="115"/>
      <c r="C13" s="115"/>
      <c r="D13" s="115"/>
      <c r="E13" s="115"/>
      <c r="F13" s="115"/>
      <c r="G13" s="115"/>
      <c r="H13" s="115"/>
      <c r="I13" s="115"/>
      <c r="J13" s="115"/>
      <c r="K13" s="115"/>
      <c r="L13" s="115"/>
      <c r="M13" s="115"/>
      <c r="N13" s="115"/>
      <c r="O13" s="115"/>
      <c r="P13" s="115"/>
      <c r="Q13" s="115"/>
      <c r="R13" s="115"/>
      <c r="S13" s="115"/>
      <c r="T13" s="115"/>
      <c r="U13" s="115"/>
      <c r="V13" s="115"/>
      <c r="W13" s="115"/>
      <c r="X13" s="115"/>
    </row>
    <row r="14" spans="1:24" x14ac:dyDescent="0.25">
      <c r="A14" s="115"/>
      <c r="B14" s="115"/>
      <c r="C14" s="115"/>
      <c r="D14" s="115"/>
      <c r="E14" s="115"/>
      <c r="F14" s="115"/>
      <c r="G14" s="115"/>
      <c r="H14" s="115"/>
      <c r="I14" s="115"/>
      <c r="J14" s="115"/>
      <c r="K14" s="115"/>
      <c r="L14" s="115"/>
      <c r="M14" s="115"/>
      <c r="N14" s="115"/>
      <c r="O14" s="115"/>
      <c r="P14" s="115"/>
      <c r="Q14" s="115"/>
      <c r="R14" s="115"/>
      <c r="S14" s="115"/>
      <c r="T14" s="115"/>
      <c r="U14" s="115"/>
      <c r="V14" s="115"/>
      <c r="W14" s="115"/>
      <c r="X14" s="115"/>
    </row>
    <row r="15" spans="1:24" x14ac:dyDescent="0.25">
      <c r="A15" s="115"/>
      <c r="B15" s="115"/>
      <c r="C15" s="115"/>
      <c r="D15" s="115"/>
      <c r="E15" s="115"/>
      <c r="F15" s="115"/>
      <c r="G15" s="115"/>
      <c r="H15" s="115"/>
      <c r="I15" s="115"/>
      <c r="J15" s="115"/>
      <c r="K15" s="115"/>
      <c r="L15" s="115"/>
      <c r="M15" s="115"/>
      <c r="N15" s="115"/>
      <c r="O15" s="115"/>
      <c r="P15" s="115"/>
      <c r="Q15" s="115"/>
      <c r="R15" s="115"/>
      <c r="S15" s="115"/>
      <c r="T15" s="115"/>
      <c r="U15" s="115"/>
      <c r="V15" s="115"/>
      <c r="W15" s="115"/>
      <c r="X15" s="115"/>
    </row>
    <row r="16" spans="1:24" x14ac:dyDescent="0.25">
      <c r="A16" s="115"/>
      <c r="B16" s="115"/>
      <c r="C16" s="115"/>
      <c r="D16" s="115"/>
      <c r="E16" s="115"/>
      <c r="F16" s="115"/>
      <c r="G16" s="115"/>
      <c r="H16" s="115"/>
      <c r="I16" s="115"/>
      <c r="J16" s="115"/>
      <c r="K16" s="115"/>
      <c r="L16" s="115"/>
      <c r="M16" s="115"/>
      <c r="N16" s="115"/>
      <c r="O16" s="115"/>
      <c r="P16" s="115"/>
      <c r="Q16" s="115"/>
      <c r="R16" s="115"/>
      <c r="S16" s="115"/>
      <c r="T16" s="115"/>
      <c r="U16" s="115"/>
      <c r="V16" s="115"/>
      <c r="W16" s="115"/>
      <c r="X16" s="115"/>
    </row>
    <row r="17" spans="1:24" x14ac:dyDescent="0.25">
      <c r="A17" s="115"/>
      <c r="B17" s="115"/>
      <c r="C17" s="115"/>
      <c r="D17" s="115"/>
      <c r="E17" s="115"/>
      <c r="F17" s="115"/>
      <c r="G17" s="115"/>
      <c r="H17" s="115"/>
      <c r="I17" s="115"/>
      <c r="J17" s="115"/>
      <c r="K17" s="115"/>
      <c r="L17" s="115"/>
      <c r="M17" s="115"/>
      <c r="N17" s="115"/>
      <c r="O17" s="115"/>
      <c r="P17" s="115"/>
      <c r="Q17" s="115"/>
      <c r="R17" s="115"/>
      <c r="S17" s="115"/>
      <c r="T17" s="115"/>
      <c r="U17" s="115"/>
      <c r="V17" s="115"/>
      <c r="W17" s="115"/>
      <c r="X17" s="115"/>
    </row>
    <row r="18" spans="1:24" x14ac:dyDescent="0.25">
      <c r="A18" s="115"/>
      <c r="B18" s="115"/>
      <c r="C18" s="115"/>
      <c r="D18" s="115"/>
      <c r="E18" s="115"/>
      <c r="F18" s="115"/>
      <c r="G18" s="115"/>
      <c r="H18" s="115"/>
      <c r="I18" s="115"/>
      <c r="J18" s="115"/>
      <c r="K18" s="115"/>
      <c r="L18" s="115"/>
      <c r="M18" s="115"/>
      <c r="N18" s="115"/>
      <c r="O18" s="115"/>
      <c r="P18" s="115"/>
      <c r="Q18" s="115"/>
      <c r="R18" s="115"/>
      <c r="S18" s="115"/>
      <c r="T18" s="115"/>
      <c r="U18" s="115"/>
      <c r="V18" s="115"/>
      <c r="W18" s="115"/>
      <c r="X18" s="115"/>
    </row>
    <row r="19" spans="1:24" x14ac:dyDescent="0.25">
      <c r="A19" s="115"/>
      <c r="B19" s="115"/>
      <c r="C19" s="115"/>
      <c r="D19" s="115"/>
      <c r="E19" s="115"/>
      <c r="F19" s="115"/>
      <c r="G19" s="115"/>
      <c r="H19" s="115"/>
      <c r="I19" s="115"/>
      <c r="J19" s="115"/>
      <c r="K19" s="115"/>
      <c r="L19" s="115"/>
      <c r="M19" s="115"/>
      <c r="N19" s="115"/>
      <c r="O19" s="115"/>
      <c r="P19" s="115"/>
      <c r="Q19" s="115"/>
      <c r="R19" s="115"/>
      <c r="S19" s="115"/>
      <c r="T19" s="115"/>
      <c r="U19" s="115"/>
      <c r="V19" s="115"/>
      <c r="W19" s="115"/>
      <c r="X19" s="115"/>
    </row>
    <row r="20" spans="1:24" x14ac:dyDescent="0.25">
      <c r="A20" s="115"/>
      <c r="B20" s="115"/>
      <c r="C20" s="115"/>
      <c r="D20" s="115"/>
      <c r="E20" s="115"/>
      <c r="F20" s="115"/>
      <c r="G20" s="115"/>
      <c r="H20" s="115"/>
      <c r="I20" s="115"/>
      <c r="J20" s="115"/>
      <c r="K20" s="115"/>
      <c r="L20" s="115"/>
      <c r="M20" s="115"/>
      <c r="N20" s="115"/>
      <c r="O20" s="115"/>
      <c r="P20" s="115"/>
      <c r="Q20" s="115"/>
      <c r="R20" s="115"/>
      <c r="S20" s="115"/>
      <c r="T20" s="115"/>
      <c r="U20" s="115"/>
      <c r="V20" s="115"/>
      <c r="W20" s="115"/>
      <c r="X20" s="115"/>
    </row>
    <row r="21" spans="1:24" x14ac:dyDescent="0.25">
      <c r="A21" s="115"/>
      <c r="B21" s="115"/>
      <c r="C21" s="115"/>
      <c r="D21" s="115"/>
      <c r="E21" s="115"/>
      <c r="F21" s="115"/>
      <c r="G21" s="115"/>
      <c r="H21" s="115"/>
      <c r="I21" s="115"/>
      <c r="J21" s="115"/>
      <c r="K21" s="115"/>
      <c r="L21" s="115"/>
      <c r="M21" s="115"/>
      <c r="N21" s="115"/>
      <c r="O21" s="115"/>
      <c r="P21" s="115"/>
      <c r="Q21" s="115"/>
      <c r="R21" s="115"/>
      <c r="S21" s="115"/>
      <c r="T21" s="115"/>
      <c r="U21" s="115"/>
      <c r="V21" s="115"/>
      <c r="W21" s="115"/>
      <c r="X21" s="115"/>
    </row>
    <row r="22" spans="1:24" ht="15.75" customHeight="1" x14ac:dyDescent="0.25">
      <c r="A22" s="115"/>
      <c r="B22" s="115"/>
      <c r="C22" s="115"/>
      <c r="D22" s="115"/>
      <c r="E22" s="115"/>
      <c r="F22" s="115"/>
      <c r="G22" s="115"/>
      <c r="H22" s="115"/>
      <c r="I22" s="115"/>
      <c r="J22" s="115"/>
      <c r="K22" s="115"/>
      <c r="L22" s="115"/>
      <c r="M22" s="115"/>
      <c r="N22" s="115"/>
      <c r="O22" s="115"/>
      <c r="P22" s="115"/>
      <c r="Q22" s="115"/>
      <c r="R22" s="115"/>
      <c r="S22" s="115"/>
      <c r="T22" s="115"/>
      <c r="U22" s="115"/>
      <c r="V22" s="115"/>
      <c r="W22" s="115"/>
      <c r="X22" s="115"/>
    </row>
    <row r="23" spans="1:24" ht="15.75" customHeight="1" x14ac:dyDescent="0.25">
      <c r="A23" s="115"/>
      <c r="B23" s="115"/>
      <c r="C23" s="115"/>
      <c r="D23" s="115"/>
      <c r="E23" s="115"/>
      <c r="F23" s="115"/>
      <c r="G23" s="115"/>
      <c r="H23" s="115"/>
      <c r="I23" s="115"/>
      <c r="J23" s="115"/>
      <c r="K23" s="115"/>
      <c r="L23" s="115"/>
      <c r="M23" s="115"/>
      <c r="N23" s="115"/>
      <c r="O23" s="115"/>
      <c r="P23" s="115"/>
      <c r="Q23" s="115"/>
      <c r="R23" s="115"/>
      <c r="S23" s="115"/>
      <c r="T23" s="115"/>
      <c r="U23" s="115"/>
      <c r="V23" s="115"/>
      <c r="W23" s="115"/>
      <c r="X23" s="115"/>
    </row>
    <row r="24" spans="1:24" ht="15.75" customHeight="1" x14ac:dyDescent="0.25">
      <c r="A24" s="115"/>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ht="15.75" customHeight="1" x14ac:dyDescent="0.25">
      <c r="A25" s="115"/>
      <c r="B25" s="115"/>
      <c r="C25" s="115"/>
      <c r="D25" s="115"/>
      <c r="E25" s="115"/>
      <c r="F25" s="115"/>
      <c r="G25" s="115"/>
      <c r="H25" s="115"/>
      <c r="I25" s="115"/>
      <c r="J25" s="115"/>
      <c r="K25" s="115"/>
      <c r="L25" s="115"/>
      <c r="M25" s="115"/>
      <c r="N25" s="115"/>
      <c r="O25" s="115"/>
      <c r="P25" s="115"/>
      <c r="Q25" s="115"/>
      <c r="R25" s="115"/>
      <c r="S25" s="115"/>
      <c r="T25" s="115"/>
      <c r="U25" s="115"/>
      <c r="V25" s="115"/>
      <c r="W25" s="115"/>
      <c r="X25" s="115"/>
    </row>
    <row r="26" spans="1:24" ht="15.75" customHeight="1" x14ac:dyDescent="0.25">
      <c r="A26" s="115"/>
      <c r="B26" s="115"/>
      <c r="C26" s="115"/>
      <c r="D26" s="115"/>
      <c r="E26" s="115"/>
      <c r="F26" s="115"/>
      <c r="G26" s="115"/>
      <c r="H26" s="115"/>
      <c r="I26" s="115"/>
      <c r="J26" s="115"/>
      <c r="K26" s="115"/>
      <c r="L26" s="115"/>
      <c r="M26" s="115"/>
      <c r="N26" s="115"/>
      <c r="O26" s="115"/>
      <c r="P26" s="115"/>
      <c r="Q26" s="115"/>
      <c r="R26" s="115"/>
      <c r="S26" s="115"/>
      <c r="T26" s="115"/>
      <c r="U26" s="115"/>
      <c r="V26" s="115"/>
      <c r="W26" s="115"/>
      <c r="X26" s="115"/>
    </row>
    <row r="27" spans="1:24" ht="15.75" customHeight="1" x14ac:dyDescent="0.25">
      <c r="A27" s="115"/>
      <c r="B27" s="115"/>
      <c r="C27" s="115"/>
      <c r="D27" s="115"/>
      <c r="E27" s="115"/>
      <c r="F27" s="115"/>
      <c r="G27" s="115"/>
      <c r="H27" s="115"/>
      <c r="I27" s="115"/>
      <c r="J27" s="115"/>
      <c r="K27" s="115"/>
      <c r="L27" s="115"/>
      <c r="M27" s="115"/>
      <c r="N27" s="115"/>
      <c r="O27" s="115"/>
      <c r="P27" s="115"/>
      <c r="Q27" s="115"/>
      <c r="R27" s="115"/>
      <c r="S27" s="115"/>
      <c r="T27" s="115"/>
      <c r="U27" s="115"/>
      <c r="V27" s="115"/>
      <c r="W27" s="115"/>
      <c r="X27" s="115"/>
    </row>
    <row r="28" spans="1:24" ht="15.75" customHeight="1" x14ac:dyDescent="0.25">
      <c r="A28" s="115"/>
      <c r="B28" s="115"/>
      <c r="C28" s="115"/>
      <c r="D28" s="115"/>
      <c r="E28" s="115"/>
      <c r="F28" s="115"/>
      <c r="G28" s="115"/>
      <c r="H28" s="115"/>
      <c r="I28" s="115"/>
      <c r="J28" s="115"/>
      <c r="K28" s="115"/>
      <c r="L28" s="115"/>
      <c r="M28" s="115"/>
      <c r="N28" s="115"/>
      <c r="O28" s="115"/>
      <c r="P28" s="115"/>
      <c r="Q28" s="115"/>
      <c r="R28" s="115"/>
      <c r="S28" s="115"/>
      <c r="T28" s="115"/>
      <c r="U28" s="115"/>
      <c r="V28" s="115"/>
      <c r="W28" s="115"/>
      <c r="X28" s="115"/>
    </row>
    <row r="29" spans="1:24" ht="15.75" customHeight="1" x14ac:dyDescent="0.25">
      <c r="A29" s="115"/>
      <c r="B29" s="115"/>
      <c r="C29" s="115"/>
      <c r="D29" s="115"/>
      <c r="E29" s="115"/>
      <c r="F29" s="115"/>
      <c r="G29" s="115"/>
      <c r="H29" s="115"/>
      <c r="I29" s="115"/>
      <c r="J29" s="115"/>
      <c r="K29" s="115"/>
      <c r="L29" s="115"/>
      <c r="M29" s="115"/>
      <c r="N29" s="115"/>
      <c r="O29" s="115"/>
      <c r="P29" s="115"/>
      <c r="Q29" s="115"/>
      <c r="R29" s="115"/>
      <c r="S29" s="115"/>
      <c r="T29" s="115"/>
      <c r="U29" s="115"/>
      <c r="V29" s="115"/>
      <c r="W29" s="115"/>
      <c r="X29" s="115"/>
    </row>
    <row r="30" spans="1:24" ht="15.75" customHeight="1" x14ac:dyDescent="0.25">
      <c r="A30" s="115"/>
      <c r="B30" s="115"/>
      <c r="C30" s="115"/>
      <c r="D30" s="115"/>
      <c r="E30" s="115"/>
      <c r="F30" s="115"/>
      <c r="G30" s="115"/>
      <c r="H30" s="115"/>
      <c r="I30" s="115"/>
      <c r="J30" s="115"/>
      <c r="K30" s="115"/>
      <c r="L30" s="115"/>
      <c r="M30" s="115"/>
      <c r="N30" s="115"/>
      <c r="O30" s="115"/>
      <c r="P30" s="115"/>
      <c r="Q30" s="115"/>
      <c r="R30" s="115"/>
      <c r="S30" s="115"/>
      <c r="T30" s="115"/>
      <c r="U30" s="115"/>
      <c r="V30" s="115"/>
      <c r="W30" s="115"/>
      <c r="X30" s="115"/>
    </row>
    <row r="31" spans="1:24" ht="15.75" customHeight="1" x14ac:dyDescent="0.25">
      <c r="A31" s="115"/>
      <c r="B31" s="115"/>
      <c r="C31" s="115"/>
      <c r="D31" s="115"/>
      <c r="E31" s="115"/>
      <c r="F31" s="115"/>
      <c r="G31" s="115"/>
      <c r="H31" s="115"/>
      <c r="I31" s="115"/>
      <c r="J31" s="115"/>
      <c r="K31" s="115"/>
      <c r="L31" s="115"/>
      <c r="M31" s="115"/>
      <c r="N31" s="115"/>
      <c r="O31" s="115"/>
      <c r="P31" s="115"/>
      <c r="Q31" s="115"/>
      <c r="R31" s="115"/>
      <c r="S31" s="115"/>
      <c r="T31" s="115"/>
      <c r="U31" s="115"/>
      <c r="V31" s="115"/>
      <c r="W31" s="115"/>
      <c r="X31" s="115"/>
    </row>
    <row r="32" spans="1:24" ht="15.75" customHeight="1" x14ac:dyDescent="0.25">
      <c r="A32" s="115"/>
      <c r="B32" s="115"/>
      <c r="C32" s="115"/>
      <c r="D32" s="115"/>
      <c r="E32" s="115"/>
      <c r="F32" s="115"/>
      <c r="G32" s="115"/>
      <c r="H32" s="115"/>
      <c r="I32" s="115"/>
      <c r="J32" s="115"/>
      <c r="K32" s="115"/>
      <c r="L32" s="115"/>
      <c r="M32" s="115"/>
      <c r="N32" s="115"/>
      <c r="O32" s="115"/>
      <c r="P32" s="115"/>
      <c r="Q32" s="115"/>
      <c r="R32" s="115"/>
      <c r="S32" s="115"/>
      <c r="T32" s="115"/>
      <c r="U32" s="115"/>
      <c r="V32" s="115"/>
      <c r="W32" s="115"/>
      <c r="X32" s="115"/>
    </row>
    <row r="33" spans="1:24" ht="15.75" customHeight="1" x14ac:dyDescent="0.25">
      <c r="A33" s="115"/>
      <c r="B33" s="115"/>
      <c r="C33" s="115"/>
      <c r="D33" s="115"/>
      <c r="E33" s="115"/>
      <c r="F33" s="115"/>
      <c r="G33" s="115"/>
      <c r="H33" s="115"/>
      <c r="I33" s="115"/>
      <c r="J33" s="115"/>
      <c r="K33" s="115"/>
      <c r="L33" s="115"/>
      <c r="M33" s="115"/>
      <c r="N33" s="115"/>
      <c r="O33" s="115"/>
      <c r="P33" s="115"/>
      <c r="Q33" s="115"/>
      <c r="R33" s="115"/>
      <c r="S33" s="115"/>
      <c r="T33" s="115"/>
      <c r="U33" s="115"/>
      <c r="V33" s="115"/>
      <c r="W33" s="115"/>
      <c r="X33" s="115"/>
    </row>
    <row r="34" spans="1:24" ht="15.75" customHeight="1" x14ac:dyDescent="0.25">
      <c r="A34" s="115"/>
      <c r="E34" s="115"/>
      <c r="F34" s="115"/>
      <c r="G34" s="115"/>
      <c r="H34" s="115"/>
      <c r="I34" s="115"/>
      <c r="J34" s="115"/>
      <c r="K34" s="115"/>
      <c r="L34" s="115"/>
      <c r="M34" s="115"/>
      <c r="N34" s="115"/>
      <c r="O34" s="115"/>
      <c r="P34" s="115"/>
      <c r="Q34" s="115"/>
      <c r="R34" s="115"/>
      <c r="S34" s="115"/>
      <c r="T34" s="115"/>
      <c r="U34" s="115"/>
      <c r="V34" s="115"/>
      <c r="W34" s="115"/>
      <c r="X34" s="115"/>
    </row>
    <row r="35" spans="1:24" ht="15.75" customHeight="1" x14ac:dyDescent="0.25">
      <c r="A35" s="115"/>
      <c r="E35" s="115"/>
      <c r="F35" s="115"/>
      <c r="G35" s="115"/>
      <c r="H35" s="115"/>
      <c r="I35" s="115"/>
      <c r="J35" s="115"/>
      <c r="K35" s="115"/>
      <c r="L35" s="115"/>
      <c r="M35" s="115"/>
      <c r="N35" s="115"/>
      <c r="O35" s="115"/>
      <c r="P35" s="115"/>
      <c r="Q35" s="115"/>
      <c r="R35" s="115"/>
      <c r="S35" s="115"/>
      <c r="T35" s="115"/>
      <c r="U35" s="115"/>
      <c r="V35" s="115"/>
      <c r="W35" s="115"/>
      <c r="X35" s="115"/>
    </row>
    <row r="36" spans="1:24" ht="15.75" customHeight="1" x14ac:dyDescent="0.25">
      <c r="A36" s="115"/>
    </row>
    <row r="37" spans="1:24" ht="15.75" customHeight="1" x14ac:dyDescent="0.25">
      <c r="A37" s="115"/>
    </row>
    <row r="38" spans="1:24" ht="15.75" customHeight="1" x14ac:dyDescent="0.25">
      <c r="A38" s="115"/>
    </row>
    <row r="39" spans="1:24" ht="15.75" customHeight="1" x14ac:dyDescent="0.25">
      <c r="A39" s="115"/>
    </row>
    <row r="40" spans="1:24" ht="15.75" customHeight="1" x14ac:dyDescent="0.25">
      <c r="A40" s="115"/>
    </row>
    <row r="41" spans="1:24" ht="15.75" customHeight="1" x14ac:dyDescent="0.25">
      <c r="A41" s="115"/>
    </row>
    <row r="42" spans="1:24" ht="15.75" customHeight="1" x14ac:dyDescent="0.25">
      <c r="A42" s="115"/>
    </row>
    <row r="43" spans="1:24" ht="15.75" customHeight="1" x14ac:dyDescent="0.25">
      <c r="A43" s="115"/>
    </row>
    <row r="44" spans="1:24" ht="15.75" customHeight="1" x14ac:dyDescent="0.25">
      <c r="A44" s="115"/>
    </row>
    <row r="45" spans="1:24" ht="15.75" customHeight="1" x14ac:dyDescent="0.25">
      <c r="A45" s="115"/>
    </row>
    <row r="46" spans="1:24" ht="15.75" customHeight="1" x14ac:dyDescent="0.25">
      <c r="A46" s="115"/>
    </row>
    <row r="47" spans="1:24" ht="15.75" customHeight="1" x14ac:dyDescent="0.25">
      <c r="A47" s="115"/>
    </row>
    <row r="48" spans="1:24" ht="15.75" customHeight="1" x14ac:dyDescent="0.25">
      <c r="A48" s="115"/>
    </row>
    <row r="49" spans="1:1" ht="15.75" customHeight="1" x14ac:dyDescent="0.25">
      <c r="A49" s="115"/>
    </row>
    <row r="50" spans="1:1" ht="15.75" customHeight="1" x14ac:dyDescent="0.25">
      <c r="A50" s="115"/>
    </row>
    <row r="51" spans="1:1" ht="15.75" customHeight="1" x14ac:dyDescent="0.25">
      <c r="A51" s="115"/>
    </row>
    <row r="52" spans="1:1" ht="15.75" customHeight="1" x14ac:dyDescent="0.25">
      <c r="A52" s="115"/>
    </row>
    <row r="53" spans="1:1" ht="15.75" customHeight="1" x14ac:dyDescent="0.25">
      <c r="A53" s="115"/>
    </row>
    <row r="54" spans="1:1" ht="15.75" customHeight="1" x14ac:dyDescent="0.25">
      <c r="A54" s="115"/>
    </row>
    <row r="55" spans="1:1" ht="15.75" customHeight="1" x14ac:dyDescent="0.25">
      <c r="A55" s="115"/>
    </row>
    <row r="56" spans="1:1" ht="15.75" customHeight="1" x14ac:dyDescent="0.25">
      <c r="A56" s="115"/>
    </row>
    <row r="57" spans="1:1" ht="15.75" customHeight="1" x14ac:dyDescent="0.2"/>
    <row r="58" spans="1:1" ht="15.75" customHeight="1" x14ac:dyDescent="0.2"/>
    <row r="59" spans="1:1" ht="15.75" customHeight="1" x14ac:dyDescent="0.2"/>
    <row r="60" spans="1:1" ht="15.75" customHeight="1" x14ac:dyDescent="0.2"/>
    <row r="61" spans="1:1" ht="15.75" customHeight="1" x14ac:dyDescent="0.2"/>
    <row r="62" spans="1:1" ht="15.75" customHeight="1" x14ac:dyDescent="0.2"/>
    <row r="63" spans="1:1" ht="15.75" customHeight="1" x14ac:dyDescent="0.2"/>
    <row r="64" spans="1:1"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mergeCells count="1">
    <mergeCell ref="B2:D2"/>
  </mergeCells>
  <pageMargins left="0.70866141732283472" right="0.70866141732283472" top="0.74803149606299213" bottom="0.74803149606299213" header="0" footer="0"/>
  <pageSetup scale="70" orientation="portrait" r:id="rId1"/>
  <headerFooter>
    <oddHeader>&amp;L&amp;G&amp;C
MATRIZ DE RIESGOS</oddHeader>
    <oddFooter>&amp;RCódigo:E-02-F-014
Versión: 5
Fecha: Ver Isolución</oddFooter>
  </headerFooter>
  <colBreaks count="1" manualBreakCount="1">
    <brk id="4" max="1048575" man="1"/>
  </colBreaks>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001"/>
  <sheetViews>
    <sheetView topLeftCell="C187" zoomScale="55" zoomScaleNormal="55" workbookViewId="0">
      <selection activeCell="C23" sqref="C23"/>
    </sheetView>
  </sheetViews>
  <sheetFormatPr baseColWidth="10" defaultColWidth="12.625" defaultRowHeight="15" customHeight="1" x14ac:dyDescent="0.2"/>
  <cols>
    <col min="1" max="1" width="9.375" customWidth="1"/>
    <col min="2" max="2" width="35.375" customWidth="1"/>
    <col min="3" max="3" width="65.5" customWidth="1"/>
    <col min="4" max="4" width="118.125" customWidth="1"/>
    <col min="5" max="5" width="126.625" customWidth="1"/>
    <col min="6" max="26" width="9.375" customWidth="1"/>
  </cols>
  <sheetData>
    <row r="1" spans="1:21" x14ac:dyDescent="0.25">
      <c r="A1" s="161"/>
      <c r="B1" s="161"/>
      <c r="C1" s="161"/>
      <c r="D1" s="161"/>
      <c r="E1" s="115"/>
      <c r="F1" s="115"/>
      <c r="G1" s="115"/>
      <c r="H1" s="115"/>
      <c r="I1" s="115"/>
      <c r="J1" s="115"/>
      <c r="K1" s="115"/>
      <c r="L1" s="115"/>
      <c r="M1" s="115"/>
      <c r="N1" s="115"/>
      <c r="O1" s="115"/>
      <c r="P1" s="115"/>
      <c r="Q1" s="115"/>
      <c r="R1" s="115"/>
      <c r="S1" s="115"/>
      <c r="T1" s="115"/>
      <c r="U1" s="115"/>
    </row>
    <row r="2" spans="1:21" ht="33.75" x14ac:dyDescent="0.25">
      <c r="A2" s="115"/>
      <c r="B2" s="1041" t="s">
        <v>3013</v>
      </c>
      <c r="C2" s="804"/>
      <c r="D2" s="804"/>
      <c r="E2" s="115"/>
      <c r="F2" s="115"/>
      <c r="G2" s="115"/>
      <c r="H2" s="115"/>
      <c r="I2" s="115"/>
      <c r="J2" s="115"/>
      <c r="K2" s="115"/>
      <c r="L2" s="115"/>
      <c r="M2" s="115"/>
      <c r="N2" s="115"/>
      <c r="O2" s="115"/>
      <c r="P2" s="115"/>
      <c r="Q2" s="115"/>
      <c r="R2" s="115"/>
      <c r="S2" s="115"/>
      <c r="T2" s="115"/>
      <c r="U2" s="115"/>
    </row>
    <row r="3" spans="1:21" x14ac:dyDescent="0.25">
      <c r="A3" s="115"/>
      <c r="B3" s="115"/>
      <c r="C3" s="115"/>
      <c r="D3" s="115"/>
      <c r="E3" s="115"/>
      <c r="F3" s="115"/>
      <c r="G3" s="115"/>
      <c r="H3" s="115"/>
      <c r="I3" s="115"/>
      <c r="J3" s="115"/>
      <c r="K3" s="115"/>
      <c r="L3" s="115"/>
      <c r="M3" s="115"/>
      <c r="N3" s="115"/>
      <c r="O3" s="115"/>
      <c r="P3" s="115"/>
      <c r="Q3" s="115"/>
      <c r="R3" s="115"/>
      <c r="S3" s="115"/>
      <c r="T3" s="115"/>
      <c r="U3" s="115"/>
    </row>
    <row r="4" spans="1:21" ht="60" x14ac:dyDescent="0.25">
      <c r="A4" s="115"/>
      <c r="B4" s="162"/>
      <c r="C4" s="163" t="s">
        <v>3014</v>
      </c>
      <c r="D4" s="163" t="s">
        <v>3015</v>
      </c>
      <c r="E4" s="115"/>
      <c r="F4" s="115"/>
      <c r="G4" s="115"/>
      <c r="H4" s="115"/>
      <c r="I4" s="115"/>
      <c r="J4" s="115"/>
      <c r="K4" s="115"/>
      <c r="L4" s="115"/>
      <c r="M4" s="115"/>
      <c r="N4" s="115"/>
      <c r="O4" s="115"/>
      <c r="P4" s="115"/>
      <c r="Q4" s="115"/>
      <c r="R4" s="115"/>
      <c r="S4" s="115"/>
      <c r="T4" s="115"/>
      <c r="U4" s="115"/>
    </row>
    <row r="5" spans="1:21" ht="33.75" x14ac:dyDescent="0.25">
      <c r="A5" s="161" t="s">
        <v>2265</v>
      </c>
      <c r="B5" s="164" t="s">
        <v>3016</v>
      </c>
      <c r="C5" s="41" t="s">
        <v>3017</v>
      </c>
      <c r="D5" s="42" t="s">
        <v>3018</v>
      </c>
      <c r="E5" s="115"/>
      <c r="F5" s="115"/>
      <c r="G5" s="115"/>
      <c r="H5" s="115"/>
      <c r="I5" s="115"/>
      <c r="J5" s="115"/>
      <c r="K5" s="115"/>
      <c r="L5" s="115"/>
      <c r="M5" s="115"/>
      <c r="N5" s="115"/>
      <c r="O5" s="115"/>
      <c r="P5" s="115"/>
      <c r="Q5" s="115"/>
      <c r="R5" s="115"/>
      <c r="S5" s="115"/>
      <c r="T5" s="115"/>
      <c r="U5" s="115"/>
    </row>
    <row r="6" spans="1:21" ht="101.25" x14ac:dyDescent="0.25">
      <c r="A6" s="161" t="s">
        <v>195</v>
      </c>
      <c r="B6" s="43" t="s">
        <v>3019</v>
      </c>
      <c r="C6" s="44" t="s">
        <v>3020</v>
      </c>
      <c r="D6" s="45" t="s">
        <v>3021</v>
      </c>
      <c r="E6" s="115"/>
      <c r="F6" s="115"/>
      <c r="G6" s="115"/>
      <c r="H6" s="115"/>
      <c r="I6" s="115"/>
      <c r="J6" s="115"/>
      <c r="K6" s="115"/>
      <c r="L6" s="115"/>
      <c r="M6" s="115"/>
      <c r="N6" s="115"/>
      <c r="O6" s="115"/>
      <c r="P6" s="115"/>
      <c r="Q6" s="115"/>
      <c r="R6" s="115"/>
      <c r="S6" s="115"/>
      <c r="T6" s="115"/>
      <c r="U6" s="115"/>
    </row>
    <row r="7" spans="1:21" ht="67.5" x14ac:dyDescent="0.25">
      <c r="A7" s="161" t="s">
        <v>8</v>
      </c>
      <c r="B7" s="46" t="s">
        <v>3022</v>
      </c>
      <c r="C7" s="44" t="s">
        <v>3023</v>
      </c>
      <c r="D7" s="45" t="s">
        <v>194</v>
      </c>
      <c r="E7" s="115"/>
      <c r="F7" s="115"/>
      <c r="G7" s="115"/>
      <c r="H7" s="115"/>
      <c r="I7" s="115"/>
      <c r="J7" s="115"/>
      <c r="K7" s="115"/>
      <c r="L7" s="115"/>
      <c r="M7" s="115"/>
      <c r="N7" s="115"/>
      <c r="O7" s="115"/>
      <c r="P7" s="115"/>
      <c r="Q7" s="115"/>
      <c r="R7" s="115"/>
      <c r="S7" s="115"/>
      <c r="T7" s="115"/>
      <c r="U7" s="115"/>
    </row>
    <row r="8" spans="1:21" ht="101.25" x14ac:dyDescent="0.25">
      <c r="A8" s="161" t="s">
        <v>2266</v>
      </c>
      <c r="B8" s="47" t="s">
        <v>3024</v>
      </c>
      <c r="C8" s="44" t="s">
        <v>3025</v>
      </c>
      <c r="D8" s="45" t="s">
        <v>3026</v>
      </c>
      <c r="E8" s="115"/>
      <c r="F8" s="115"/>
      <c r="G8" s="115"/>
      <c r="H8" s="115"/>
      <c r="I8" s="115"/>
      <c r="J8" s="115"/>
      <c r="K8" s="115"/>
      <c r="L8" s="115"/>
      <c r="M8" s="115"/>
      <c r="N8" s="115"/>
      <c r="O8" s="115"/>
      <c r="P8" s="115"/>
      <c r="Q8" s="115"/>
      <c r="R8" s="115"/>
      <c r="S8" s="115"/>
      <c r="T8" s="115"/>
      <c r="U8" s="115"/>
    </row>
    <row r="9" spans="1:21" ht="67.5" x14ac:dyDescent="0.25">
      <c r="A9" s="161" t="s">
        <v>762</v>
      </c>
      <c r="B9" s="48" t="s">
        <v>3027</v>
      </c>
      <c r="C9" s="44" t="s">
        <v>3028</v>
      </c>
      <c r="D9" s="45" t="s">
        <v>761</v>
      </c>
      <c r="E9" s="115"/>
      <c r="F9" s="115"/>
      <c r="G9" s="115"/>
      <c r="H9" s="115"/>
      <c r="I9" s="115"/>
      <c r="J9" s="115"/>
      <c r="K9" s="115"/>
      <c r="L9" s="115"/>
      <c r="M9" s="115"/>
      <c r="N9" s="115"/>
      <c r="O9" s="115"/>
      <c r="P9" s="115"/>
      <c r="Q9" s="115"/>
      <c r="R9" s="115"/>
      <c r="S9" s="115"/>
      <c r="T9" s="115"/>
      <c r="U9" s="115"/>
    </row>
    <row r="10" spans="1:21" ht="20.25" x14ac:dyDescent="0.25">
      <c r="A10" s="472"/>
      <c r="B10" s="472"/>
      <c r="C10" s="473"/>
      <c r="D10" s="473"/>
      <c r="E10" s="115"/>
      <c r="F10" s="115"/>
      <c r="G10" s="115"/>
      <c r="H10" s="115"/>
      <c r="I10" s="115"/>
      <c r="J10" s="115"/>
      <c r="K10" s="115"/>
      <c r="L10" s="115"/>
      <c r="M10" s="115"/>
      <c r="N10" s="115"/>
      <c r="O10" s="115"/>
      <c r="P10" s="115"/>
      <c r="Q10" s="115"/>
      <c r="R10" s="115"/>
      <c r="S10" s="115"/>
      <c r="T10" s="115"/>
      <c r="U10" s="115"/>
    </row>
    <row r="11" spans="1:21" ht="16.5" x14ac:dyDescent="0.25">
      <c r="A11" s="472"/>
      <c r="B11" s="474"/>
      <c r="C11" s="474"/>
      <c r="D11" s="474"/>
      <c r="E11" s="115"/>
      <c r="F11" s="115"/>
      <c r="G11" s="115"/>
      <c r="H11" s="115"/>
      <c r="I11" s="115"/>
      <c r="J11" s="115"/>
      <c r="K11" s="115"/>
      <c r="L11" s="115"/>
      <c r="M11" s="115"/>
      <c r="N11" s="115"/>
      <c r="O11" s="115"/>
      <c r="P11" s="115"/>
      <c r="Q11" s="115"/>
      <c r="R11" s="115"/>
      <c r="S11" s="115"/>
      <c r="T11" s="115"/>
      <c r="U11" s="115"/>
    </row>
    <row r="12" spans="1:21" s="475" customFormat="1" x14ac:dyDescent="0.25">
      <c r="A12" s="161"/>
      <c r="B12" s="161" t="s">
        <v>3029</v>
      </c>
      <c r="C12" s="161" t="s">
        <v>1119</v>
      </c>
      <c r="D12" s="161" t="s">
        <v>440</v>
      </c>
      <c r="E12" s="161"/>
      <c r="F12" s="161"/>
      <c r="G12" s="161"/>
      <c r="H12" s="161"/>
      <c r="I12" s="161"/>
      <c r="J12" s="161"/>
      <c r="K12" s="161"/>
      <c r="L12" s="161"/>
      <c r="M12" s="161"/>
      <c r="N12" s="161"/>
      <c r="O12" s="161"/>
      <c r="P12" s="161"/>
      <c r="Q12" s="161"/>
      <c r="R12" s="161"/>
      <c r="S12" s="161"/>
      <c r="T12" s="161"/>
      <c r="U12" s="161"/>
    </row>
    <row r="13" spans="1:21" s="475" customFormat="1" x14ac:dyDescent="0.25">
      <c r="A13" s="161"/>
      <c r="B13" s="161" t="s">
        <v>3030</v>
      </c>
      <c r="C13" s="161" t="s">
        <v>950</v>
      </c>
      <c r="D13" s="161" t="s">
        <v>2996</v>
      </c>
      <c r="E13" s="161"/>
      <c r="F13" s="161"/>
      <c r="G13" s="161"/>
      <c r="H13" s="161"/>
      <c r="I13" s="161"/>
      <c r="J13" s="161"/>
      <c r="K13" s="161"/>
      <c r="L13" s="161"/>
      <c r="M13" s="161"/>
      <c r="N13" s="161"/>
      <c r="O13" s="161"/>
      <c r="P13" s="161"/>
      <c r="Q13" s="161"/>
      <c r="R13" s="161"/>
      <c r="S13" s="161"/>
      <c r="T13" s="161"/>
      <c r="U13" s="161"/>
    </row>
    <row r="14" spans="1:21" s="475" customFormat="1" x14ac:dyDescent="0.25">
      <c r="A14" s="161"/>
      <c r="B14" s="161"/>
      <c r="C14" s="161" t="s">
        <v>979</v>
      </c>
      <c r="D14" s="161" t="s">
        <v>248</v>
      </c>
      <c r="E14" s="161"/>
      <c r="F14" s="161"/>
      <c r="G14" s="161"/>
      <c r="H14" s="161"/>
      <c r="I14" s="161"/>
      <c r="J14" s="161"/>
      <c r="K14" s="161"/>
      <c r="L14" s="161"/>
      <c r="M14" s="161"/>
      <c r="N14" s="161"/>
      <c r="O14" s="161"/>
      <c r="P14" s="161"/>
      <c r="Q14" s="161"/>
      <c r="R14" s="161"/>
      <c r="S14" s="161"/>
      <c r="T14" s="161"/>
      <c r="U14" s="161"/>
    </row>
    <row r="15" spans="1:21" s="475" customFormat="1" x14ac:dyDescent="0.25">
      <c r="A15" s="161"/>
      <c r="B15" s="161"/>
      <c r="C15" s="161" t="s">
        <v>1296</v>
      </c>
      <c r="D15" s="161" t="s">
        <v>281</v>
      </c>
      <c r="E15" s="161"/>
      <c r="F15" s="161"/>
      <c r="G15" s="161"/>
      <c r="H15" s="161"/>
      <c r="I15" s="161"/>
      <c r="J15" s="161"/>
      <c r="K15" s="161"/>
      <c r="L15" s="161"/>
      <c r="M15" s="161"/>
      <c r="N15" s="161"/>
      <c r="O15" s="161"/>
      <c r="P15" s="161"/>
      <c r="Q15" s="161"/>
      <c r="R15" s="161"/>
      <c r="S15" s="161"/>
      <c r="T15" s="161"/>
      <c r="U15" s="161"/>
    </row>
    <row r="16" spans="1:21" s="475" customFormat="1" x14ac:dyDescent="0.25">
      <c r="A16" s="161"/>
      <c r="B16" s="161"/>
      <c r="C16" s="161" t="s">
        <v>1418</v>
      </c>
      <c r="D16" s="161" t="s">
        <v>452</v>
      </c>
      <c r="E16" s="161"/>
      <c r="F16" s="161"/>
      <c r="G16" s="161"/>
      <c r="H16" s="161"/>
      <c r="I16" s="161"/>
      <c r="J16" s="161"/>
      <c r="K16" s="161"/>
      <c r="L16" s="161"/>
      <c r="M16" s="161"/>
      <c r="N16" s="161"/>
      <c r="O16" s="161"/>
      <c r="P16" s="161"/>
      <c r="Q16" s="161"/>
      <c r="R16" s="161"/>
      <c r="S16" s="161"/>
      <c r="T16" s="161"/>
      <c r="U16" s="161"/>
    </row>
    <row r="17" spans="1:15" s="475" customFormat="1" x14ac:dyDescent="0.25">
      <c r="A17" s="161"/>
      <c r="B17" s="161"/>
      <c r="C17" s="161"/>
      <c r="D17" s="161"/>
      <c r="E17" s="161"/>
      <c r="F17" s="161"/>
      <c r="G17" s="161"/>
      <c r="H17" s="161"/>
      <c r="I17" s="161"/>
      <c r="J17" s="161"/>
      <c r="K17" s="161"/>
      <c r="L17" s="161"/>
      <c r="M17" s="161"/>
      <c r="N17" s="161"/>
      <c r="O17" s="161"/>
    </row>
    <row r="18" spans="1:15" x14ac:dyDescent="0.25">
      <c r="A18" s="472"/>
      <c r="B18" s="472"/>
      <c r="C18" s="472"/>
      <c r="D18" s="472"/>
      <c r="E18" s="115"/>
      <c r="F18" s="115"/>
      <c r="G18" s="115"/>
      <c r="H18" s="115"/>
      <c r="I18" s="115"/>
      <c r="J18" s="115"/>
      <c r="K18" s="115"/>
      <c r="L18" s="115"/>
      <c r="M18" s="115"/>
      <c r="N18" s="115"/>
      <c r="O18" s="115"/>
    </row>
    <row r="19" spans="1:15" x14ac:dyDescent="0.25">
      <c r="A19" s="472"/>
      <c r="B19" s="472"/>
      <c r="C19" s="472"/>
      <c r="D19" s="472"/>
      <c r="E19" s="115"/>
      <c r="F19" s="115"/>
      <c r="G19" s="115"/>
      <c r="H19" s="115"/>
      <c r="I19" s="115"/>
      <c r="J19" s="115"/>
      <c r="K19" s="115"/>
      <c r="L19" s="115"/>
      <c r="M19" s="115"/>
      <c r="N19" s="115"/>
      <c r="O19" s="115"/>
    </row>
    <row r="20" spans="1:15" x14ac:dyDescent="0.25">
      <c r="A20" s="472"/>
      <c r="B20" s="472"/>
      <c r="C20" s="472"/>
      <c r="D20" s="472"/>
      <c r="E20" s="115"/>
      <c r="F20" s="115"/>
      <c r="G20" s="115"/>
      <c r="H20" s="115"/>
      <c r="I20" s="115"/>
      <c r="J20" s="115"/>
      <c r="K20" s="115"/>
      <c r="L20" s="115"/>
      <c r="M20" s="115"/>
      <c r="N20" s="115"/>
      <c r="O20" s="115"/>
    </row>
    <row r="21" spans="1:15" x14ac:dyDescent="0.25">
      <c r="A21" s="472"/>
      <c r="B21" s="472"/>
      <c r="C21" s="472"/>
      <c r="D21" s="472"/>
      <c r="E21" s="115"/>
      <c r="F21" s="115"/>
      <c r="G21" s="115"/>
      <c r="H21" s="115"/>
      <c r="I21" s="115"/>
      <c r="J21" s="115"/>
      <c r="K21" s="115"/>
      <c r="L21" s="115"/>
      <c r="M21" s="115"/>
      <c r="N21" s="115"/>
      <c r="O21" s="115"/>
    </row>
    <row r="22" spans="1:15" ht="15.75" customHeight="1" x14ac:dyDescent="0.25">
      <c r="A22" s="472"/>
      <c r="B22" s="472"/>
      <c r="C22" s="472"/>
      <c r="D22" s="472"/>
      <c r="E22" s="115"/>
      <c r="F22" s="115"/>
      <c r="G22" s="115"/>
      <c r="H22" s="115"/>
      <c r="I22" s="115"/>
      <c r="J22" s="115"/>
      <c r="K22" s="115"/>
      <c r="L22" s="115"/>
      <c r="M22" s="115"/>
      <c r="N22" s="115"/>
      <c r="O22" s="115"/>
    </row>
    <row r="23" spans="1:15" ht="15.75" customHeight="1" x14ac:dyDescent="0.25">
      <c r="A23" s="472"/>
      <c r="B23" s="472"/>
      <c r="C23" s="473"/>
      <c r="D23" s="473"/>
      <c r="E23" s="115"/>
      <c r="F23" s="115"/>
      <c r="G23" s="115"/>
      <c r="H23" s="115"/>
      <c r="I23" s="115"/>
      <c r="J23" s="115"/>
      <c r="K23" s="115"/>
      <c r="L23" s="115"/>
      <c r="M23" s="115"/>
      <c r="N23" s="115"/>
      <c r="O23" s="115"/>
    </row>
    <row r="24" spans="1:15" ht="15.75" customHeight="1" x14ac:dyDescent="0.25">
      <c r="A24" s="472"/>
      <c r="B24" s="472"/>
      <c r="C24" s="473"/>
      <c r="D24" s="473"/>
      <c r="E24" s="115"/>
      <c r="F24" s="115"/>
      <c r="G24" s="115"/>
      <c r="H24" s="115"/>
      <c r="I24" s="115"/>
      <c r="J24" s="115"/>
      <c r="K24" s="115"/>
      <c r="L24" s="115"/>
      <c r="M24" s="115"/>
      <c r="N24" s="115"/>
      <c r="O24" s="115"/>
    </row>
    <row r="25" spans="1:15" ht="15.75" customHeight="1" x14ac:dyDescent="0.25">
      <c r="A25" s="472"/>
      <c r="B25" s="472"/>
      <c r="C25" s="473"/>
      <c r="D25" s="473"/>
      <c r="E25" s="115"/>
      <c r="F25" s="115"/>
      <c r="G25" s="115"/>
      <c r="H25" s="115"/>
      <c r="I25" s="115"/>
      <c r="J25" s="115"/>
      <c r="K25" s="115"/>
      <c r="L25" s="115"/>
      <c r="M25" s="115"/>
      <c r="N25" s="115"/>
      <c r="O25" s="115"/>
    </row>
    <row r="26" spans="1:15" ht="15.75" customHeight="1" x14ac:dyDescent="0.25">
      <c r="A26" s="472"/>
      <c r="B26" s="472"/>
      <c r="C26" s="473"/>
      <c r="D26" s="473"/>
      <c r="E26" s="115"/>
      <c r="F26" s="115"/>
      <c r="G26" s="115"/>
      <c r="H26" s="115"/>
      <c r="I26" s="115"/>
      <c r="J26" s="115"/>
      <c r="K26" s="115"/>
      <c r="L26" s="115"/>
      <c r="M26" s="115"/>
      <c r="N26" s="115"/>
      <c r="O26" s="115"/>
    </row>
    <row r="27" spans="1:15" ht="15.75" customHeight="1" x14ac:dyDescent="0.25">
      <c r="A27" s="472"/>
      <c r="B27" s="472"/>
      <c r="C27" s="473"/>
      <c r="D27" s="473"/>
      <c r="E27" s="115"/>
      <c r="F27" s="115"/>
      <c r="G27" s="115"/>
      <c r="H27" s="115"/>
      <c r="I27" s="115"/>
      <c r="J27" s="115"/>
      <c r="K27" s="115"/>
      <c r="L27" s="115"/>
      <c r="M27" s="115"/>
      <c r="N27" s="115"/>
      <c r="O27" s="115"/>
    </row>
    <row r="28" spans="1:15" ht="15.75" customHeight="1" x14ac:dyDescent="0.25">
      <c r="A28" s="472"/>
      <c r="B28" s="472"/>
      <c r="C28" s="473"/>
      <c r="D28" s="473"/>
      <c r="E28" s="115"/>
      <c r="F28" s="115"/>
      <c r="G28" s="115"/>
      <c r="H28" s="115"/>
      <c r="I28" s="115"/>
      <c r="J28" s="115"/>
      <c r="K28" s="115"/>
      <c r="L28" s="115"/>
      <c r="M28" s="115"/>
      <c r="N28" s="115"/>
      <c r="O28" s="115"/>
    </row>
    <row r="29" spans="1:15" ht="15.75" customHeight="1" x14ac:dyDescent="0.25">
      <c r="A29" s="472"/>
      <c r="B29" s="472"/>
      <c r="C29" s="473"/>
      <c r="D29" s="473"/>
      <c r="E29" s="115"/>
      <c r="F29" s="115"/>
      <c r="G29" s="115"/>
      <c r="H29" s="115"/>
      <c r="I29" s="115"/>
      <c r="J29" s="115"/>
      <c r="K29" s="115"/>
      <c r="L29" s="115"/>
      <c r="M29" s="115"/>
      <c r="N29" s="115"/>
      <c r="O29" s="115"/>
    </row>
    <row r="30" spans="1:15" ht="15.75" customHeight="1" x14ac:dyDescent="0.25">
      <c r="A30" s="472"/>
      <c r="B30" s="472"/>
      <c r="C30" s="473"/>
      <c r="D30" s="473"/>
      <c r="E30" s="115"/>
      <c r="F30" s="115"/>
      <c r="G30" s="115"/>
      <c r="H30" s="115"/>
      <c r="I30" s="115"/>
      <c r="J30" s="115"/>
      <c r="K30" s="115"/>
      <c r="L30" s="115"/>
      <c r="M30" s="115"/>
      <c r="N30" s="115"/>
      <c r="O30" s="115"/>
    </row>
    <row r="31" spans="1:15" ht="15.75" customHeight="1" x14ac:dyDescent="0.25">
      <c r="A31" s="472"/>
      <c r="B31" s="472"/>
      <c r="C31" s="473"/>
      <c r="D31" s="473"/>
      <c r="E31" s="115"/>
      <c r="F31" s="115"/>
      <c r="G31" s="115"/>
      <c r="H31" s="115"/>
      <c r="I31" s="115"/>
      <c r="J31" s="115"/>
      <c r="K31" s="115"/>
      <c r="L31" s="115"/>
      <c r="M31" s="115"/>
      <c r="N31" s="115"/>
      <c r="O31" s="115"/>
    </row>
    <row r="32" spans="1:15" ht="15.75" customHeight="1" x14ac:dyDescent="0.25">
      <c r="A32" s="472"/>
      <c r="B32" s="472"/>
      <c r="C32" s="473"/>
      <c r="D32" s="473"/>
      <c r="E32" s="115"/>
      <c r="F32" s="115"/>
      <c r="G32" s="115"/>
      <c r="H32" s="115"/>
      <c r="I32" s="115"/>
      <c r="J32" s="115"/>
      <c r="K32" s="115"/>
      <c r="L32" s="115"/>
      <c r="M32" s="115"/>
      <c r="N32" s="115"/>
      <c r="O32" s="115"/>
    </row>
    <row r="33" spans="1:15" ht="15.75" customHeight="1" x14ac:dyDescent="0.25">
      <c r="A33" s="472"/>
      <c r="B33" s="472"/>
      <c r="C33" s="473"/>
      <c r="D33" s="473"/>
      <c r="E33" s="115"/>
      <c r="F33" s="115"/>
      <c r="G33" s="115"/>
      <c r="H33" s="115"/>
      <c r="I33" s="115"/>
      <c r="J33" s="115"/>
      <c r="K33" s="115"/>
      <c r="L33" s="115"/>
      <c r="M33" s="115"/>
      <c r="N33" s="115"/>
      <c r="O33" s="115"/>
    </row>
    <row r="34" spans="1:15" ht="15.75" customHeight="1" x14ac:dyDescent="0.25">
      <c r="A34" s="472"/>
      <c r="B34" s="472"/>
      <c r="C34" s="473"/>
      <c r="D34" s="473"/>
      <c r="E34" s="115"/>
      <c r="F34" s="115"/>
      <c r="G34" s="115"/>
      <c r="H34" s="115"/>
      <c r="I34" s="115"/>
      <c r="J34" s="115"/>
      <c r="K34" s="115"/>
      <c r="L34" s="115"/>
      <c r="M34" s="115"/>
      <c r="N34" s="115"/>
      <c r="O34" s="115"/>
    </row>
    <row r="35" spans="1:15" ht="15.75" customHeight="1" x14ac:dyDescent="0.25">
      <c r="A35" s="472"/>
      <c r="B35" s="472"/>
      <c r="C35" s="473"/>
      <c r="D35" s="473"/>
      <c r="E35" s="115"/>
      <c r="F35" s="115"/>
      <c r="G35" s="115"/>
      <c r="H35" s="115"/>
      <c r="I35" s="115"/>
      <c r="J35" s="115"/>
      <c r="K35" s="115"/>
      <c r="L35" s="115"/>
      <c r="M35" s="115"/>
      <c r="N35" s="115"/>
      <c r="O35" s="115"/>
    </row>
    <row r="36" spans="1:15" ht="15.75" customHeight="1" x14ac:dyDescent="0.25">
      <c r="A36" s="472"/>
      <c r="B36" s="472"/>
      <c r="C36" s="473"/>
      <c r="D36" s="473"/>
      <c r="E36" s="115"/>
      <c r="F36" s="115"/>
      <c r="G36" s="115"/>
      <c r="H36" s="115"/>
      <c r="I36" s="115"/>
      <c r="J36" s="115"/>
      <c r="K36" s="115"/>
      <c r="L36" s="115"/>
      <c r="M36" s="115"/>
      <c r="N36" s="115"/>
      <c r="O36" s="115"/>
    </row>
    <row r="37" spans="1:15" ht="15.75" customHeight="1" x14ac:dyDescent="0.25">
      <c r="A37" s="472"/>
      <c r="B37" s="472"/>
      <c r="C37" s="473"/>
      <c r="D37" s="473"/>
      <c r="E37" s="115"/>
      <c r="F37" s="115"/>
      <c r="G37" s="115"/>
      <c r="H37" s="115"/>
      <c r="I37" s="115"/>
      <c r="J37" s="115"/>
      <c r="K37" s="115"/>
      <c r="L37" s="115"/>
      <c r="M37" s="115"/>
      <c r="N37" s="115"/>
      <c r="O37" s="115"/>
    </row>
    <row r="38" spans="1:15" ht="15.75" customHeight="1" x14ac:dyDescent="0.25">
      <c r="A38" s="161"/>
      <c r="B38" s="161"/>
      <c r="C38" s="165"/>
      <c r="D38" s="165"/>
      <c r="E38" s="115"/>
      <c r="F38" s="115"/>
      <c r="G38" s="115"/>
      <c r="H38" s="115"/>
      <c r="I38" s="115"/>
      <c r="J38" s="115"/>
      <c r="K38" s="115"/>
      <c r="L38" s="115"/>
      <c r="M38" s="115"/>
      <c r="N38" s="115"/>
      <c r="O38" s="115"/>
    </row>
    <row r="39" spans="1:15" ht="15.75" customHeight="1" x14ac:dyDescent="0.25">
      <c r="A39" s="161"/>
      <c r="B39" s="161"/>
      <c r="C39" s="165"/>
      <c r="D39" s="165"/>
      <c r="E39" s="115"/>
      <c r="F39" s="115"/>
      <c r="G39" s="115"/>
      <c r="H39" s="115"/>
      <c r="I39" s="115"/>
      <c r="J39" s="115"/>
      <c r="K39" s="115"/>
      <c r="L39" s="115"/>
      <c r="M39" s="115"/>
      <c r="N39" s="115"/>
      <c r="O39" s="115"/>
    </row>
    <row r="40" spans="1:15" ht="15.75" customHeight="1" x14ac:dyDescent="0.25">
      <c r="A40" s="161"/>
      <c r="B40" s="161"/>
      <c r="C40" s="165"/>
      <c r="D40" s="165"/>
      <c r="E40" s="115"/>
      <c r="F40" s="115"/>
      <c r="G40" s="115"/>
      <c r="H40" s="115"/>
      <c r="I40" s="115"/>
      <c r="J40" s="115"/>
      <c r="K40" s="115"/>
      <c r="L40" s="115"/>
      <c r="M40" s="115"/>
      <c r="N40" s="115"/>
      <c r="O40" s="115"/>
    </row>
    <row r="41" spans="1:15" ht="15.75" customHeight="1" x14ac:dyDescent="0.25">
      <c r="A41" s="161"/>
      <c r="B41" s="161"/>
      <c r="C41" s="165"/>
      <c r="D41" s="165"/>
      <c r="E41" s="115"/>
      <c r="F41" s="115"/>
      <c r="G41" s="115"/>
      <c r="H41" s="115"/>
      <c r="I41" s="115"/>
      <c r="J41" s="115"/>
      <c r="K41" s="115"/>
      <c r="L41" s="115"/>
      <c r="M41" s="115"/>
      <c r="N41" s="115"/>
      <c r="O41" s="115"/>
    </row>
    <row r="42" spans="1:15" ht="15.75" customHeight="1" x14ac:dyDescent="0.25">
      <c r="A42" s="161"/>
      <c r="B42" s="161"/>
      <c r="C42" s="165"/>
      <c r="D42" s="165"/>
      <c r="E42" s="115"/>
      <c r="F42" s="115"/>
      <c r="G42" s="115"/>
      <c r="H42" s="115"/>
      <c r="I42" s="115"/>
      <c r="J42" s="115"/>
      <c r="K42" s="115"/>
      <c r="L42" s="115"/>
      <c r="M42" s="115"/>
      <c r="N42" s="115"/>
      <c r="O42" s="115"/>
    </row>
    <row r="43" spans="1:15" ht="15.75" customHeight="1" x14ac:dyDescent="0.25">
      <c r="A43" s="161"/>
      <c r="B43" s="161"/>
      <c r="C43" s="165"/>
      <c r="D43" s="165"/>
      <c r="E43" s="115"/>
      <c r="F43" s="115"/>
      <c r="G43" s="115"/>
      <c r="H43" s="115"/>
      <c r="I43" s="115"/>
      <c r="J43" s="115"/>
      <c r="K43" s="115"/>
      <c r="L43" s="115"/>
      <c r="M43" s="115"/>
      <c r="N43" s="115"/>
      <c r="O43" s="115"/>
    </row>
    <row r="44" spans="1:15" ht="15.75" customHeight="1" x14ac:dyDescent="0.25">
      <c r="A44" s="161"/>
      <c r="B44" s="161"/>
      <c r="C44" s="165"/>
      <c r="D44" s="165"/>
      <c r="E44" s="115"/>
      <c r="F44" s="115"/>
      <c r="G44" s="115"/>
      <c r="H44" s="115"/>
      <c r="I44" s="115"/>
      <c r="J44" s="115"/>
      <c r="K44" s="115"/>
      <c r="L44" s="115"/>
      <c r="M44" s="115"/>
      <c r="N44" s="115"/>
      <c r="O44" s="115"/>
    </row>
    <row r="45" spans="1:15" ht="15.75" customHeight="1" x14ac:dyDescent="0.25">
      <c r="A45" s="161"/>
      <c r="B45" s="161"/>
      <c r="C45" s="165"/>
      <c r="D45" s="165"/>
      <c r="E45" s="115"/>
      <c r="F45" s="115"/>
      <c r="G45" s="115"/>
      <c r="H45" s="115"/>
      <c r="I45" s="115"/>
      <c r="J45" s="115"/>
      <c r="K45" s="115"/>
      <c r="L45" s="115"/>
      <c r="M45" s="115"/>
      <c r="N45" s="115"/>
      <c r="O45" s="115"/>
    </row>
    <row r="46" spans="1:15" ht="15.75" customHeight="1" x14ac:dyDescent="0.25">
      <c r="A46" s="161"/>
      <c r="B46" s="161"/>
      <c r="C46" s="165"/>
      <c r="D46" s="165"/>
      <c r="E46" s="115"/>
      <c r="F46" s="115"/>
      <c r="G46" s="115"/>
      <c r="H46" s="115"/>
      <c r="I46" s="115"/>
      <c r="J46" s="115"/>
      <c r="K46" s="115"/>
      <c r="L46" s="115"/>
      <c r="M46" s="115"/>
      <c r="N46" s="115"/>
      <c r="O46" s="115"/>
    </row>
    <row r="47" spans="1:15" ht="15.75" customHeight="1" x14ac:dyDescent="0.25">
      <c r="A47" s="161"/>
      <c r="B47" s="161"/>
      <c r="C47" s="165"/>
      <c r="D47" s="165"/>
      <c r="E47" s="115"/>
      <c r="F47" s="115"/>
      <c r="G47" s="115"/>
      <c r="H47" s="115"/>
      <c r="I47" s="115"/>
      <c r="J47" s="115"/>
      <c r="K47" s="115"/>
      <c r="L47" s="115"/>
      <c r="M47" s="115"/>
      <c r="N47" s="115"/>
      <c r="O47" s="115"/>
    </row>
    <row r="48" spans="1:15" ht="15.75" customHeight="1" x14ac:dyDescent="0.25">
      <c r="A48" s="161"/>
      <c r="B48" s="161"/>
      <c r="C48" s="165"/>
      <c r="D48" s="165"/>
      <c r="E48" s="115"/>
      <c r="F48" s="115"/>
      <c r="G48" s="115"/>
      <c r="H48" s="115"/>
      <c r="I48" s="115"/>
      <c r="J48" s="115"/>
      <c r="K48" s="115"/>
      <c r="L48" s="115"/>
      <c r="M48" s="115"/>
      <c r="N48" s="115"/>
      <c r="O48" s="115"/>
    </row>
    <row r="49" spans="1:15" ht="15.75" customHeight="1" x14ac:dyDescent="0.25">
      <c r="A49" s="161"/>
      <c r="B49" s="161"/>
      <c r="C49" s="165"/>
      <c r="D49" s="165"/>
      <c r="E49" s="115"/>
      <c r="F49" s="115"/>
      <c r="G49" s="115"/>
      <c r="H49" s="115"/>
      <c r="I49" s="115"/>
      <c r="J49" s="115"/>
      <c r="K49" s="115"/>
      <c r="L49" s="115"/>
      <c r="M49" s="115"/>
      <c r="N49" s="115"/>
      <c r="O49" s="115"/>
    </row>
    <row r="50" spans="1:15" ht="15.75" customHeight="1" x14ac:dyDescent="0.25">
      <c r="A50" s="161"/>
      <c r="B50" s="161"/>
      <c r="C50" s="165"/>
      <c r="D50" s="165"/>
      <c r="E50" s="115"/>
      <c r="F50" s="115"/>
      <c r="G50" s="115"/>
      <c r="H50" s="115"/>
      <c r="I50" s="115"/>
      <c r="J50" s="115"/>
      <c r="K50" s="115"/>
      <c r="L50" s="115"/>
      <c r="M50" s="115"/>
      <c r="N50" s="115"/>
      <c r="O50" s="115"/>
    </row>
    <row r="51" spans="1:15" ht="15.75" customHeight="1" x14ac:dyDescent="0.25">
      <c r="A51" s="161"/>
      <c r="B51" s="161"/>
      <c r="C51" s="165"/>
      <c r="D51" s="165"/>
      <c r="E51" s="115"/>
      <c r="F51" s="115"/>
      <c r="G51" s="115"/>
      <c r="H51" s="115"/>
      <c r="I51" s="115"/>
      <c r="J51" s="115"/>
      <c r="K51" s="115"/>
      <c r="L51" s="115"/>
      <c r="M51" s="115"/>
      <c r="N51" s="115"/>
      <c r="O51" s="115"/>
    </row>
    <row r="52" spans="1:15" ht="15.75" customHeight="1" x14ac:dyDescent="0.25">
      <c r="A52" s="161"/>
      <c r="B52" s="161"/>
      <c r="C52" s="165"/>
      <c r="D52" s="165"/>
      <c r="E52" s="115"/>
      <c r="F52" s="115"/>
      <c r="G52" s="115"/>
      <c r="H52" s="115"/>
      <c r="I52" s="115"/>
      <c r="J52" s="115"/>
      <c r="K52" s="115"/>
      <c r="L52" s="115"/>
      <c r="M52" s="115"/>
      <c r="N52" s="115"/>
      <c r="O52" s="115"/>
    </row>
    <row r="53" spans="1:15" ht="15.75" customHeight="1" x14ac:dyDescent="0.25">
      <c r="A53" s="161"/>
      <c r="B53" s="49"/>
      <c r="C53" s="50"/>
      <c r="D53" s="50"/>
    </row>
    <row r="54" spans="1:15" ht="15.75" customHeight="1" x14ac:dyDescent="0.25">
      <c r="A54" s="161"/>
      <c r="B54" s="49"/>
      <c r="C54" s="50"/>
      <c r="D54" s="50"/>
    </row>
    <row r="55" spans="1:15" ht="15.75" customHeight="1" x14ac:dyDescent="0.25">
      <c r="A55" s="161"/>
      <c r="B55" s="49"/>
      <c r="C55" s="50"/>
      <c r="D55" s="50"/>
    </row>
    <row r="56" spans="1:15" ht="15.75" customHeight="1" x14ac:dyDescent="0.25">
      <c r="A56" s="161"/>
      <c r="B56" s="49"/>
      <c r="C56" s="50"/>
      <c r="D56" s="50"/>
    </row>
    <row r="57" spans="1:15" ht="15.75" customHeight="1" x14ac:dyDescent="0.25">
      <c r="A57" s="161"/>
      <c r="B57" s="49"/>
      <c r="C57" s="50"/>
      <c r="D57" s="50"/>
    </row>
    <row r="58" spans="1:15" ht="15.75" customHeight="1" x14ac:dyDescent="0.25">
      <c r="A58" s="161"/>
      <c r="B58" s="49"/>
      <c r="C58" s="50"/>
      <c r="D58" s="50"/>
    </row>
    <row r="59" spans="1:15" ht="15.75" customHeight="1" x14ac:dyDescent="0.25">
      <c r="A59" s="161"/>
      <c r="B59" s="49"/>
      <c r="C59" s="50"/>
      <c r="D59" s="50"/>
    </row>
    <row r="60" spans="1:15" ht="15.75" customHeight="1" x14ac:dyDescent="0.25">
      <c r="A60" s="161"/>
      <c r="B60" s="49"/>
      <c r="C60" s="50"/>
      <c r="D60" s="50"/>
    </row>
    <row r="61" spans="1:15" ht="15.75" customHeight="1" x14ac:dyDescent="0.25">
      <c r="A61" s="161"/>
      <c r="B61" s="49"/>
      <c r="C61" s="50"/>
      <c r="D61" s="50"/>
    </row>
    <row r="62" spans="1:15" ht="15.75" customHeight="1" x14ac:dyDescent="0.25">
      <c r="A62" s="161"/>
      <c r="B62" s="49"/>
      <c r="C62" s="50"/>
      <c r="D62" s="50"/>
    </row>
    <row r="63" spans="1:15" ht="15.75" customHeight="1" x14ac:dyDescent="0.25">
      <c r="A63" s="161"/>
      <c r="B63" s="49"/>
      <c r="C63" s="50"/>
      <c r="D63" s="50"/>
    </row>
    <row r="64" spans="1:15" ht="15.75" customHeight="1" x14ac:dyDescent="0.25">
      <c r="A64" s="161"/>
      <c r="B64" s="49"/>
      <c r="C64" s="50"/>
      <c r="D64" s="50"/>
    </row>
    <row r="65" spans="1:4" ht="15.75" customHeight="1" x14ac:dyDescent="0.25">
      <c r="A65" s="161"/>
      <c r="B65" s="49"/>
      <c r="C65" s="50"/>
      <c r="D65" s="50"/>
    </row>
    <row r="66" spans="1:4" ht="15.75" customHeight="1" x14ac:dyDescent="0.25">
      <c r="A66" s="161"/>
      <c r="B66" s="49"/>
      <c r="C66" s="50"/>
      <c r="D66" s="50"/>
    </row>
    <row r="67" spans="1:4" ht="15.75" customHeight="1" x14ac:dyDescent="0.25">
      <c r="A67" s="161"/>
      <c r="B67" s="49"/>
      <c r="C67" s="50"/>
      <c r="D67" s="50"/>
    </row>
    <row r="68" spans="1:4" ht="15.75" customHeight="1" x14ac:dyDescent="0.25">
      <c r="A68" s="161"/>
      <c r="B68" s="49"/>
      <c r="C68" s="50"/>
      <c r="D68" s="50"/>
    </row>
    <row r="69" spans="1:4" ht="15.75" customHeight="1" x14ac:dyDescent="0.25">
      <c r="A69" s="161"/>
      <c r="B69" s="49"/>
      <c r="C69" s="50"/>
      <c r="D69" s="50"/>
    </row>
    <row r="70" spans="1:4" ht="15.75" customHeight="1" x14ac:dyDescent="0.25">
      <c r="A70" s="161"/>
      <c r="B70" s="49"/>
      <c r="C70" s="50"/>
      <c r="D70" s="50"/>
    </row>
    <row r="71" spans="1:4" ht="15.75" customHeight="1" x14ac:dyDescent="0.25">
      <c r="A71" s="161"/>
      <c r="B71" s="49"/>
      <c r="C71" s="50"/>
      <c r="D71" s="50"/>
    </row>
    <row r="72" spans="1:4" ht="15.75" customHeight="1" x14ac:dyDescent="0.25">
      <c r="A72" s="161"/>
      <c r="B72" s="49"/>
      <c r="C72" s="50"/>
      <c r="D72" s="50"/>
    </row>
    <row r="73" spans="1:4" ht="15.75" customHeight="1" x14ac:dyDescent="0.25">
      <c r="A73" s="161"/>
      <c r="B73" s="49"/>
      <c r="C73" s="50"/>
      <c r="D73" s="50"/>
    </row>
    <row r="74" spans="1:4" ht="15.75" customHeight="1" x14ac:dyDescent="0.25">
      <c r="A74" s="161"/>
      <c r="B74" s="49"/>
      <c r="C74" s="50"/>
      <c r="D74" s="50"/>
    </row>
    <row r="75" spans="1:4" ht="15.75" customHeight="1" x14ac:dyDescent="0.25">
      <c r="A75" s="161"/>
      <c r="B75" s="49"/>
      <c r="C75" s="50"/>
      <c r="D75" s="50"/>
    </row>
    <row r="76" spans="1:4" ht="15.75" customHeight="1" x14ac:dyDescent="0.25">
      <c r="A76" s="161"/>
      <c r="B76" s="49"/>
      <c r="C76" s="50"/>
      <c r="D76" s="50"/>
    </row>
    <row r="77" spans="1:4" ht="15.75" customHeight="1" x14ac:dyDescent="0.25">
      <c r="A77" s="161"/>
      <c r="B77" s="49"/>
      <c r="C77" s="50"/>
      <c r="D77" s="50"/>
    </row>
    <row r="78" spans="1:4" ht="15.75" customHeight="1" x14ac:dyDescent="0.25">
      <c r="A78" s="161"/>
      <c r="B78" s="49"/>
      <c r="C78" s="50"/>
      <c r="D78" s="50"/>
    </row>
    <row r="79" spans="1:4" ht="15.75" customHeight="1" x14ac:dyDescent="0.25">
      <c r="A79" s="161"/>
      <c r="B79" s="49"/>
      <c r="C79" s="50"/>
      <c r="D79" s="50"/>
    </row>
    <row r="80" spans="1:4" ht="15.75" customHeight="1" x14ac:dyDescent="0.25">
      <c r="A80" s="161"/>
      <c r="B80" s="49"/>
      <c r="C80" s="50"/>
      <c r="D80" s="50"/>
    </row>
    <row r="81" spans="1:4" ht="15.75" customHeight="1" x14ac:dyDescent="0.25">
      <c r="A81" s="161"/>
      <c r="B81" s="49"/>
      <c r="C81" s="50"/>
      <c r="D81" s="50"/>
    </row>
    <row r="82" spans="1:4" ht="15.75" customHeight="1" x14ac:dyDescent="0.25">
      <c r="A82" s="161"/>
      <c r="B82" s="49"/>
      <c r="C82" s="50"/>
      <c r="D82" s="50"/>
    </row>
    <row r="83" spans="1:4" ht="15.75" customHeight="1" x14ac:dyDescent="0.25">
      <c r="A83" s="161"/>
      <c r="B83" s="49"/>
      <c r="C83" s="50"/>
      <c r="D83" s="50"/>
    </row>
    <row r="84" spans="1:4" ht="15.75" customHeight="1" x14ac:dyDescent="0.25">
      <c r="A84" s="161"/>
      <c r="B84" s="49"/>
      <c r="C84" s="50"/>
      <c r="D84" s="50"/>
    </row>
    <row r="85" spans="1:4" ht="15.75" customHeight="1" x14ac:dyDescent="0.25">
      <c r="A85" s="161"/>
      <c r="B85" s="49"/>
      <c r="C85" s="50"/>
      <c r="D85" s="50"/>
    </row>
    <row r="86" spans="1:4" ht="15.75" customHeight="1" x14ac:dyDescent="0.25">
      <c r="A86" s="161"/>
      <c r="B86" s="49"/>
      <c r="C86" s="50"/>
      <c r="D86" s="50"/>
    </row>
    <row r="87" spans="1:4" ht="15.75" customHeight="1" x14ac:dyDescent="0.25">
      <c r="A87" s="161"/>
      <c r="B87" s="49"/>
      <c r="C87" s="50"/>
      <c r="D87" s="50"/>
    </row>
    <row r="88" spans="1:4" ht="15.75" customHeight="1" x14ac:dyDescent="0.25">
      <c r="A88" s="161"/>
      <c r="B88" s="49"/>
      <c r="C88" s="50"/>
      <c r="D88" s="50"/>
    </row>
    <row r="89" spans="1:4" ht="15.75" customHeight="1" x14ac:dyDescent="0.25">
      <c r="A89" s="161"/>
      <c r="B89" s="49"/>
      <c r="C89" s="50"/>
      <c r="D89" s="50"/>
    </row>
    <row r="90" spans="1:4" ht="15.75" customHeight="1" x14ac:dyDescent="0.25">
      <c r="A90" s="161"/>
      <c r="B90" s="49"/>
      <c r="C90" s="50"/>
      <c r="D90" s="50"/>
    </row>
    <row r="91" spans="1:4" ht="15.75" customHeight="1" x14ac:dyDescent="0.25">
      <c r="A91" s="161"/>
      <c r="B91" s="49"/>
      <c r="C91" s="50"/>
      <c r="D91" s="50"/>
    </row>
    <row r="92" spans="1:4" ht="15.75" customHeight="1" x14ac:dyDescent="0.25">
      <c r="A92" s="161"/>
      <c r="B92" s="49"/>
      <c r="C92" s="50"/>
      <c r="D92" s="50"/>
    </row>
    <row r="93" spans="1:4" ht="15.75" customHeight="1" x14ac:dyDescent="0.25">
      <c r="A93" s="161"/>
      <c r="B93" s="49"/>
      <c r="C93" s="50"/>
      <c r="D93" s="50"/>
    </row>
    <row r="94" spans="1:4" ht="15.75" customHeight="1" x14ac:dyDescent="0.25">
      <c r="A94" s="161"/>
      <c r="B94" s="49"/>
      <c r="C94" s="50"/>
      <c r="D94" s="50"/>
    </row>
    <row r="95" spans="1:4" ht="15.75" customHeight="1" x14ac:dyDescent="0.25">
      <c r="A95" s="161"/>
      <c r="B95" s="49"/>
      <c r="C95" s="50"/>
      <c r="D95" s="50"/>
    </row>
    <row r="96" spans="1:4" ht="15.75" customHeight="1" x14ac:dyDescent="0.25">
      <c r="A96" s="161"/>
      <c r="B96" s="49"/>
      <c r="C96" s="50"/>
      <c r="D96" s="50"/>
    </row>
    <row r="97" spans="1:4" ht="15.75" customHeight="1" x14ac:dyDescent="0.25">
      <c r="A97" s="161"/>
      <c r="B97" s="49"/>
      <c r="C97" s="50"/>
      <c r="D97" s="50"/>
    </row>
    <row r="98" spans="1:4" ht="15.75" customHeight="1" x14ac:dyDescent="0.25">
      <c r="A98" s="161"/>
      <c r="B98" s="49"/>
      <c r="C98" s="50"/>
      <c r="D98" s="50"/>
    </row>
    <row r="99" spans="1:4" ht="15.75" customHeight="1" x14ac:dyDescent="0.25">
      <c r="A99" s="161"/>
      <c r="B99" s="49"/>
      <c r="C99" s="50"/>
      <c r="D99" s="50"/>
    </row>
    <row r="100" spans="1:4" ht="15.75" customHeight="1" x14ac:dyDescent="0.25">
      <c r="A100" s="161"/>
      <c r="B100" s="49"/>
      <c r="C100" s="50"/>
      <c r="D100" s="50"/>
    </row>
    <row r="101" spans="1:4" ht="15.75" customHeight="1" x14ac:dyDescent="0.25">
      <c r="A101" s="161"/>
      <c r="B101" s="49"/>
      <c r="C101" s="50"/>
      <c r="D101" s="50"/>
    </row>
    <row r="102" spans="1:4" ht="15.75" customHeight="1" x14ac:dyDescent="0.25">
      <c r="A102" s="161"/>
      <c r="B102" s="49"/>
      <c r="C102" s="50"/>
      <c r="D102" s="50"/>
    </row>
    <row r="103" spans="1:4" ht="15.75" customHeight="1" x14ac:dyDescent="0.25">
      <c r="A103" s="161"/>
      <c r="B103" s="49"/>
      <c r="C103" s="50"/>
      <c r="D103" s="50"/>
    </row>
    <row r="104" spans="1:4" ht="15.75" customHeight="1" x14ac:dyDescent="0.25">
      <c r="A104" s="161"/>
      <c r="B104" s="49"/>
      <c r="C104" s="50"/>
      <c r="D104" s="50"/>
    </row>
    <row r="105" spans="1:4" ht="15.75" customHeight="1" x14ac:dyDescent="0.25">
      <c r="A105" s="161"/>
      <c r="B105" s="49"/>
      <c r="C105" s="50"/>
      <c r="D105" s="50"/>
    </row>
    <row r="106" spans="1:4" ht="15.75" customHeight="1" x14ac:dyDescent="0.25">
      <c r="A106" s="161"/>
      <c r="B106" s="49"/>
      <c r="C106" s="50"/>
      <c r="D106" s="50"/>
    </row>
    <row r="107" spans="1:4" ht="15.75" customHeight="1" x14ac:dyDescent="0.25">
      <c r="A107" s="161"/>
      <c r="B107" s="49"/>
      <c r="C107" s="50"/>
      <c r="D107" s="50"/>
    </row>
    <row r="108" spans="1:4" ht="15.75" customHeight="1" x14ac:dyDescent="0.25">
      <c r="A108" s="161"/>
      <c r="B108" s="49"/>
      <c r="C108" s="50"/>
      <c r="D108" s="50"/>
    </row>
    <row r="109" spans="1:4" ht="15.75" customHeight="1" x14ac:dyDescent="0.25">
      <c r="A109" s="161"/>
      <c r="B109" s="49"/>
      <c r="C109" s="50"/>
      <c r="D109" s="50"/>
    </row>
    <row r="110" spans="1:4" ht="15.75" customHeight="1" x14ac:dyDescent="0.25">
      <c r="A110" s="161"/>
      <c r="B110" s="49"/>
      <c r="C110" s="50"/>
      <c r="D110" s="50"/>
    </row>
    <row r="111" spans="1:4" ht="15.75" customHeight="1" x14ac:dyDescent="0.25">
      <c r="A111" s="161"/>
      <c r="B111" s="49"/>
      <c r="C111" s="50"/>
      <c r="D111" s="50"/>
    </row>
    <row r="112" spans="1:4" ht="15.75" customHeight="1" x14ac:dyDescent="0.25">
      <c r="A112" s="161"/>
      <c r="B112" s="49"/>
      <c r="C112" s="50"/>
      <c r="D112" s="50"/>
    </row>
    <row r="113" spans="1:4" ht="15.75" customHeight="1" x14ac:dyDescent="0.25">
      <c r="A113" s="161"/>
      <c r="B113" s="49"/>
      <c r="C113" s="50"/>
      <c r="D113" s="50"/>
    </row>
    <row r="114" spans="1:4" ht="15.75" customHeight="1" x14ac:dyDescent="0.25">
      <c r="A114" s="161"/>
      <c r="B114" s="49"/>
      <c r="C114" s="50"/>
      <c r="D114" s="50"/>
    </row>
    <row r="115" spans="1:4" ht="15.75" customHeight="1" x14ac:dyDescent="0.25">
      <c r="A115" s="161"/>
      <c r="B115" s="49"/>
      <c r="C115" s="50"/>
      <c r="D115" s="50"/>
    </row>
    <row r="116" spans="1:4" ht="15.75" customHeight="1" x14ac:dyDescent="0.25">
      <c r="A116" s="161"/>
      <c r="B116" s="49"/>
      <c r="C116" s="50"/>
      <c r="D116" s="50"/>
    </row>
    <row r="117" spans="1:4" ht="15.75" customHeight="1" x14ac:dyDescent="0.25">
      <c r="A117" s="161"/>
      <c r="B117" s="49"/>
      <c r="C117" s="50"/>
      <c r="D117" s="50"/>
    </row>
    <row r="118" spans="1:4" ht="15.75" customHeight="1" x14ac:dyDescent="0.25">
      <c r="A118" s="161"/>
      <c r="B118" s="49"/>
      <c r="C118" s="50"/>
      <c r="D118" s="50"/>
    </row>
    <row r="119" spans="1:4" ht="15.75" customHeight="1" x14ac:dyDescent="0.25">
      <c r="A119" s="161"/>
      <c r="B119" s="49"/>
      <c r="C119" s="50"/>
      <c r="D119" s="50"/>
    </row>
    <row r="120" spans="1:4" ht="15.75" customHeight="1" x14ac:dyDescent="0.25">
      <c r="A120" s="161"/>
      <c r="B120" s="49"/>
      <c r="C120" s="50"/>
      <c r="D120" s="50"/>
    </row>
    <row r="121" spans="1:4" ht="15.75" customHeight="1" x14ac:dyDescent="0.25">
      <c r="A121" s="161"/>
      <c r="B121" s="49"/>
      <c r="C121" s="50"/>
      <c r="D121" s="50"/>
    </row>
    <row r="122" spans="1:4" ht="15.75" customHeight="1" x14ac:dyDescent="0.25">
      <c r="A122" s="161"/>
      <c r="B122" s="49"/>
      <c r="C122" s="50"/>
      <c r="D122" s="50"/>
    </row>
    <row r="123" spans="1:4" ht="15.75" customHeight="1" x14ac:dyDescent="0.25">
      <c r="A123" s="161"/>
      <c r="B123" s="49"/>
      <c r="C123" s="50"/>
      <c r="D123" s="50"/>
    </row>
    <row r="124" spans="1:4" ht="15.75" customHeight="1" x14ac:dyDescent="0.25">
      <c r="A124" s="161"/>
      <c r="B124" s="49"/>
      <c r="C124" s="50"/>
      <c r="D124" s="50"/>
    </row>
    <row r="125" spans="1:4" ht="15.75" customHeight="1" x14ac:dyDescent="0.25">
      <c r="A125" s="161"/>
      <c r="B125" s="49"/>
      <c r="C125" s="50"/>
      <c r="D125" s="50"/>
    </row>
    <row r="126" spans="1:4" ht="15.75" customHeight="1" x14ac:dyDescent="0.25">
      <c r="A126" s="161"/>
      <c r="B126" s="49"/>
      <c r="C126" s="50"/>
      <c r="D126" s="50"/>
    </row>
    <row r="127" spans="1:4" ht="15.75" customHeight="1" x14ac:dyDescent="0.25">
      <c r="A127" s="161"/>
      <c r="B127" s="49"/>
      <c r="C127" s="50"/>
      <c r="D127" s="50"/>
    </row>
    <row r="128" spans="1:4" ht="15.75" customHeight="1" x14ac:dyDescent="0.25">
      <c r="A128" s="161"/>
      <c r="B128" s="49"/>
      <c r="C128" s="50"/>
      <c r="D128" s="50"/>
    </row>
    <row r="129" spans="1:4" ht="15.75" customHeight="1" x14ac:dyDescent="0.25">
      <c r="A129" s="161"/>
      <c r="B129" s="49"/>
      <c r="C129" s="50"/>
      <c r="D129" s="50"/>
    </row>
    <row r="130" spans="1:4" ht="15.75" customHeight="1" x14ac:dyDescent="0.25">
      <c r="A130" s="161"/>
      <c r="B130" s="49"/>
      <c r="C130" s="50"/>
      <c r="D130" s="50"/>
    </row>
    <row r="131" spans="1:4" ht="15.75" customHeight="1" x14ac:dyDescent="0.25">
      <c r="A131" s="161"/>
      <c r="B131" s="49"/>
      <c r="C131" s="50"/>
      <c r="D131" s="50"/>
    </row>
    <row r="132" spans="1:4" ht="15.75" customHeight="1" x14ac:dyDescent="0.25">
      <c r="A132" s="161"/>
      <c r="B132" s="49"/>
      <c r="C132" s="50"/>
      <c r="D132" s="50"/>
    </row>
    <row r="133" spans="1:4" ht="15.75" customHeight="1" x14ac:dyDescent="0.25">
      <c r="A133" s="161"/>
      <c r="B133" s="49"/>
      <c r="C133" s="50"/>
      <c r="D133" s="50"/>
    </row>
    <row r="134" spans="1:4" ht="15.75" customHeight="1" x14ac:dyDescent="0.25">
      <c r="A134" s="161"/>
      <c r="B134" s="49"/>
      <c r="C134" s="50"/>
      <c r="D134" s="50"/>
    </row>
    <row r="135" spans="1:4" ht="15.75" customHeight="1" x14ac:dyDescent="0.25">
      <c r="A135" s="161"/>
      <c r="B135" s="49"/>
      <c r="C135" s="50"/>
      <c r="D135" s="50"/>
    </row>
    <row r="136" spans="1:4" ht="15.75" customHeight="1" x14ac:dyDescent="0.25">
      <c r="A136" s="161"/>
      <c r="B136" s="49"/>
      <c r="C136" s="50"/>
      <c r="D136" s="50"/>
    </row>
    <row r="137" spans="1:4" ht="15.75" customHeight="1" x14ac:dyDescent="0.25">
      <c r="A137" s="161"/>
      <c r="B137" s="49"/>
      <c r="C137" s="50"/>
      <c r="D137" s="50"/>
    </row>
    <row r="138" spans="1:4" ht="15.75" customHeight="1" x14ac:dyDescent="0.25">
      <c r="A138" s="161"/>
      <c r="B138" s="49"/>
      <c r="C138" s="50"/>
      <c r="D138" s="50"/>
    </row>
    <row r="139" spans="1:4" ht="15.75" customHeight="1" x14ac:dyDescent="0.25">
      <c r="A139" s="161"/>
      <c r="B139" s="49"/>
      <c r="C139" s="50"/>
      <c r="D139" s="50"/>
    </row>
    <row r="140" spans="1:4" ht="15.75" customHeight="1" x14ac:dyDescent="0.25">
      <c r="A140" s="161"/>
      <c r="B140" s="49"/>
      <c r="C140" s="50"/>
      <c r="D140" s="50"/>
    </row>
    <row r="141" spans="1:4" ht="15.75" customHeight="1" x14ac:dyDescent="0.25">
      <c r="A141" s="161"/>
      <c r="B141" s="49"/>
      <c r="C141" s="50"/>
      <c r="D141" s="50"/>
    </row>
    <row r="142" spans="1:4" ht="15.75" customHeight="1" x14ac:dyDescent="0.25">
      <c r="A142" s="161"/>
      <c r="B142" s="49"/>
      <c r="C142" s="50"/>
      <c r="D142" s="50"/>
    </row>
    <row r="143" spans="1:4" ht="15.75" customHeight="1" x14ac:dyDescent="0.25">
      <c r="A143" s="161"/>
      <c r="B143" s="49"/>
      <c r="C143" s="50"/>
      <c r="D143" s="50"/>
    </row>
    <row r="144" spans="1:4" ht="15.75" customHeight="1" x14ac:dyDescent="0.25">
      <c r="A144" s="161"/>
      <c r="B144" s="49"/>
      <c r="C144" s="50"/>
      <c r="D144" s="50"/>
    </row>
    <row r="145" spans="1:4" ht="15.75" customHeight="1" x14ac:dyDescent="0.25">
      <c r="A145" s="161"/>
      <c r="B145" s="49"/>
      <c r="C145" s="50"/>
      <c r="D145" s="50"/>
    </row>
    <row r="146" spans="1:4" ht="15.75" customHeight="1" x14ac:dyDescent="0.25">
      <c r="A146" s="161"/>
      <c r="B146" s="49"/>
      <c r="C146" s="50"/>
      <c r="D146" s="50"/>
    </row>
    <row r="147" spans="1:4" ht="15.75" customHeight="1" x14ac:dyDescent="0.25">
      <c r="A147" s="161"/>
      <c r="B147" s="49"/>
      <c r="C147" s="50"/>
      <c r="D147" s="50"/>
    </row>
    <row r="148" spans="1:4" ht="15.75" customHeight="1" x14ac:dyDescent="0.25">
      <c r="A148" s="161"/>
      <c r="B148" s="49"/>
      <c r="C148" s="50"/>
      <c r="D148" s="50"/>
    </row>
    <row r="149" spans="1:4" ht="15.75" customHeight="1" x14ac:dyDescent="0.25">
      <c r="A149" s="161"/>
      <c r="B149" s="49"/>
      <c r="C149" s="50"/>
      <c r="D149" s="50"/>
    </row>
    <row r="150" spans="1:4" ht="15.75" customHeight="1" x14ac:dyDescent="0.25">
      <c r="A150" s="161"/>
      <c r="B150" s="49"/>
      <c r="C150" s="50"/>
      <c r="D150" s="50"/>
    </row>
    <row r="151" spans="1:4" ht="15.75" customHeight="1" x14ac:dyDescent="0.25">
      <c r="A151" s="161"/>
      <c r="B151" s="49"/>
      <c r="C151" s="50"/>
      <c r="D151" s="50"/>
    </row>
    <row r="152" spans="1:4" ht="15.75" customHeight="1" x14ac:dyDescent="0.25">
      <c r="A152" s="161"/>
      <c r="B152" s="49"/>
      <c r="C152" s="50"/>
      <c r="D152" s="50"/>
    </row>
    <row r="153" spans="1:4" ht="15.75" customHeight="1" x14ac:dyDescent="0.25">
      <c r="A153" s="161"/>
      <c r="B153" s="49"/>
      <c r="C153" s="50"/>
      <c r="D153" s="50"/>
    </row>
    <row r="154" spans="1:4" ht="15.75" customHeight="1" x14ac:dyDescent="0.25">
      <c r="A154" s="161"/>
      <c r="B154" s="49"/>
      <c r="C154" s="50"/>
      <c r="D154" s="50"/>
    </row>
    <row r="155" spans="1:4" ht="15.75" customHeight="1" x14ac:dyDescent="0.25">
      <c r="A155" s="161"/>
      <c r="B155" s="49"/>
      <c r="C155" s="50"/>
      <c r="D155" s="50"/>
    </row>
    <row r="156" spans="1:4" ht="15.75" customHeight="1" x14ac:dyDescent="0.25">
      <c r="A156" s="161"/>
      <c r="B156" s="49"/>
      <c r="C156" s="50"/>
      <c r="D156" s="50"/>
    </row>
    <row r="157" spans="1:4" ht="15.75" customHeight="1" x14ac:dyDescent="0.25">
      <c r="A157" s="161"/>
      <c r="B157" s="49"/>
      <c r="C157" s="50"/>
      <c r="D157" s="50"/>
    </row>
    <row r="158" spans="1:4" ht="15.75" customHeight="1" x14ac:dyDescent="0.25">
      <c r="A158" s="161"/>
      <c r="B158" s="49"/>
      <c r="C158" s="50"/>
      <c r="D158" s="50"/>
    </row>
    <row r="159" spans="1:4" ht="15.75" customHeight="1" x14ac:dyDescent="0.25">
      <c r="A159" s="161"/>
      <c r="B159" s="49"/>
      <c r="C159" s="50"/>
      <c r="D159" s="50"/>
    </row>
    <row r="160" spans="1:4" ht="15.75" customHeight="1" x14ac:dyDescent="0.25">
      <c r="A160" s="161"/>
      <c r="B160" s="49"/>
      <c r="C160" s="50"/>
      <c r="D160" s="50"/>
    </row>
    <row r="161" spans="1:4" ht="15.75" customHeight="1" x14ac:dyDescent="0.25">
      <c r="A161" s="161"/>
      <c r="B161" s="49"/>
      <c r="C161" s="50"/>
      <c r="D161" s="50"/>
    </row>
    <row r="162" spans="1:4" ht="15.75" customHeight="1" x14ac:dyDescent="0.25">
      <c r="A162" s="161"/>
      <c r="B162" s="49"/>
      <c r="C162" s="50"/>
      <c r="D162" s="50"/>
    </row>
    <row r="163" spans="1:4" ht="15.75" customHeight="1" x14ac:dyDescent="0.25">
      <c r="A163" s="161"/>
      <c r="B163" s="49"/>
      <c r="C163" s="50"/>
      <c r="D163" s="50"/>
    </row>
    <row r="164" spans="1:4" ht="15.75" customHeight="1" x14ac:dyDescent="0.25">
      <c r="A164" s="161"/>
      <c r="B164" s="49"/>
      <c r="C164" s="50"/>
      <c r="D164" s="50"/>
    </row>
    <row r="165" spans="1:4" ht="15.75" customHeight="1" x14ac:dyDescent="0.25">
      <c r="A165" s="161"/>
      <c r="B165" s="49"/>
      <c r="C165" s="50"/>
      <c r="D165" s="50"/>
    </row>
    <row r="166" spans="1:4" ht="15.75" customHeight="1" x14ac:dyDescent="0.25">
      <c r="A166" s="161"/>
      <c r="B166" s="49"/>
      <c r="C166" s="50"/>
      <c r="D166" s="50"/>
    </row>
    <row r="167" spans="1:4" ht="15.75" customHeight="1" x14ac:dyDescent="0.25">
      <c r="A167" s="161"/>
      <c r="B167" s="49"/>
      <c r="C167" s="50"/>
      <c r="D167" s="50"/>
    </row>
    <row r="168" spans="1:4" ht="15.75" customHeight="1" x14ac:dyDescent="0.25">
      <c r="A168" s="161"/>
      <c r="B168" s="49"/>
      <c r="C168" s="50"/>
      <c r="D168" s="50"/>
    </row>
    <row r="169" spans="1:4" ht="15.75" customHeight="1" x14ac:dyDescent="0.25">
      <c r="A169" s="161"/>
      <c r="B169" s="49"/>
      <c r="C169" s="50"/>
      <c r="D169" s="50"/>
    </row>
    <row r="170" spans="1:4" ht="15.75" customHeight="1" x14ac:dyDescent="0.25">
      <c r="A170" s="161"/>
      <c r="B170" s="49"/>
      <c r="C170" s="50"/>
      <c r="D170" s="50"/>
    </row>
    <row r="171" spans="1:4" ht="15.75" customHeight="1" x14ac:dyDescent="0.25">
      <c r="A171" s="161"/>
      <c r="B171" s="49"/>
      <c r="C171" s="50"/>
      <c r="D171" s="50"/>
    </row>
    <row r="172" spans="1:4" ht="15.75" customHeight="1" x14ac:dyDescent="0.25">
      <c r="A172" s="161"/>
      <c r="B172" s="49"/>
      <c r="C172" s="50"/>
      <c r="D172" s="50"/>
    </row>
    <row r="173" spans="1:4" ht="15.75" customHeight="1" x14ac:dyDescent="0.25">
      <c r="A173" s="161"/>
      <c r="B173" s="49"/>
      <c r="C173" s="50"/>
      <c r="D173" s="50"/>
    </row>
    <row r="174" spans="1:4" ht="15.75" customHeight="1" x14ac:dyDescent="0.25">
      <c r="A174" s="161"/>
      <c r="B174" s="49"/>
      <c r="C174" s="50"/>
      <c r="D174" s="50"/>
    </row>
    <row r="175" spans="1:4" ht="15.75" customHeight="1" x14ac:dyDescent="0.25">
      <c r="A175" s="161"/>
      <c r="B175" s="49"/>
      <c r="C175" s="50"/>
      <c r="D175" s="50"/>
    </row>
    <row r="176" spans="1:4" ht="15.75" customHeight="1" x14ac:dyDescent="0.25">
      <c r="A176" s="161"/>
      <c r="B176" s="49"/>
      <c r="C176" s="50"/>
      <c r="D176" s="50"/>
    </row>
    <row r="177" spans="1:4" ht="15.75" customHeight="1" x14ac:dyDescent="0.25">
      <c r="A177" s="161"/>
      <c r="B177" s="49"/>
      <c r="C177" s="50"/>
      <c r="D177" s="50"/>
    </row>
    <row r="178" spans="1:4" ht="15.75" customHeight="1" x14ac:dyDescent="0.25">
      <c r="A178" s="161"/>
      <c r="B178" s="49"/>
      <c r="C178" s="50"/>
      <c r="D178" s="50"/>
    </row>
    <row r="179" spans="1:4" ht="15.75" customHeight="1" x14ac:dyDescent="0.25">
      <c r="A179" s="161"/>
      <c r="B179" s="49"/>
      <c r="C179" s="50"/>
      <c r="D179" s="50"/>
    </row>
    <row r="180" spans="1:4" ht="15.75" customHeight="1" x14ac:dyDescent="0.25">
      <c r="A180" s="161"/>
      <c r="B180" s="49"/>
      <c r="C180" s="50"/>
      <c r="D180" s="50"/>
    </row>
    <row r="181" spans="1:4" ht="15.75" customHeight="1" x14ac:dyDescent="0.25">
      <c r="A181" s="161"/>
      <c r="B181" s="49"/>
      <c r="C181" s="50"/>
      <c r="D181" s="50"/>
    </row>
    <row r="182" spans="1:4" ht="15.75" customHeight="1" x14ac:dyDescent="0.25">
      <c r="A182" s="161"/>
      <c r="B182" s="49"/>
      <c r="C182" s="50"/>
      <c r="D182" s="50"/>
    </row>
    <row r="183" spans="1:4" ht="15.75" customHeight="1" x14ac:dyDescent="0.25">
      <c r="A183" s="161"/>
      <c r="B183" s="49"/>
      <c r="C183" s="50"/>
      <c r="D183" s="50"/>
    </row>
    <row r="184" spans="1:4" ht="15.75" customHeight="1" x14ac:dyDescent="0.25">
      <c r="A184" s="161"/>
      <c r="B184" s="49"/>
      <c r="C184" s="50"/>
      <c r="D184" s="50"/>
    </row>
    <row r="185" spans="1:4" ht="15.75" customHeight="1" x14ac:dyDescent="0.25">
      <c r="A185" s="161"/>
      <c r="B185" s="49"/>
      <c r="C185" s="50"/>
      <c r="D185" s="50"/>
    </row>
    <row r="186" spans="1:4" ht="15.75" customHeight="1" x14ac:dyDescent="0.25">
      <c r="A186" s="161"/>
      <c r="B186" s="49"/>
      <c r="C186" s="50"/>
      <c r="D186" s="50"/>
    </row>
    <row r="187" spans="1:4" ht="15.75" customHeight="1" x14ac:dyDescent="0.25">
      <c r="A187" s="161"/>
      <c r="B187" s="49"/>
      <c r="C187" s="50"/>
      <c r="D187" s="50"/>
    </row>
    <row r="188" spans="1:4" ht="15.75" customHeight="1" x14ac:dyDescent="0.25">
      <c r="A188" s="161"/>
      <c r="B188" s="49"/>
      <c r="C188" s="50"/>
      <c r="D188" s="50"/>
    </row>
    <row r="189" spans="1:4" ht="15.75" customHeight="1" x14ac:dyDescent="0.25">
      <c r="A189" s="161"/>
      <c r="B189" s="49"/>
      <c r="C189" s="50"/>
      <c r="D189" s="50"/>
    </row>
    <row r="190" spans="1:4" ht="15.75" customHeight="1" x14ac:dyDescent="0.25">
      <c r="A190" s="161"/>
      <c r="B190" s="49"/>
      <c r="C190" s="50"/>
      <c r="D190" s="50"/>
    </row>
    <row r="191" spans="1:4" ht="15.75" customHeight="1" x14ac:dyDescent="0.25">
      <c r="A191" s="161"/>
      <c r="B191" s="49"/>
      <c r="C191" s="50"/>
      <c r="D191" s="50"/>
    </row>
    <row r="192" spans="1:4" ht="15.75" customHeight="1" x14ac:dyDescent="0.25">
      <c r="A192" s="161"/>
      <c r="B192" s="49"/>
      <c r="C192" s="50"/>
      <c r="D192" s="50"/>
    </row>
    <row r="193" spans="1:4" ht="15.75" customHeight="1" x14ac:dyDescent="0.25">
      <c r="A193" s="161"/>
      <c r="B193" s="49"/>
      <c r="C193" s="50"/>
      <c r="D193" s="50"/>
    </row>
    <row r="194" spans="1:4" ht="15.75" customHeight="1" x14ac:dyDescent="0.25">
      <c r="A194" s="161"/>
      <c r="B194" s="49"/>
      <c r="C194" s="50"/>
      <c r="D194" s="50"/>
    </row>
    <row r="195" spans="1:4" ht="15.75" customHeight="1" x14ac:dyDescent="0.25">
      <c r="A195" s="161"/>
      <c r="B195" s="49"/>
      <c r="C195" s="50"/>
      <c r="D195" s="50"/>
    </row>
    <row r="196" spans="1:4" ht="15.75" customHeight="1" x14ac:dyDescent="0.25">
      <c r="A196" s="161"/>
      <c r="B196" s="49"/>
      <c r="C196" s="50"/>
      <c r="D196" s="50"/>
    </row>
    <row r="197" spans="1:4" ht="15.75" customHeight="1" x14ac:dyDescent="0.25">
      <c r="A197" s="161"/>
      <c r="B197" s="49"/>
      <c r="C197" s="50"/>
      <c r="D197" s="50"/>
    </row>
    <row r="198" spans="1:4" ht="15.75" customHeight="1" x14ac:dyDescent="0.25">
      <c r="A198" s="161"/>
      <c r="B198" s="49"/>
      <c r="C198" s="50"/>
      <c r="D198" s="50"/>
    </row>
    <row r="199" spans="1:4" ht="15.75" customHeight="1" x14ac:dyDescent="0.25">
      <c r="A199" s="161"/>
      <c r="B199" s="49"/>
      <c r="C199" s="50"/>
      <c r="D199" s="50"/>
    </row>
    <row r="200" spans="1:4" ht="15.75" customHeight="1" x14ac:dyDescent="0.25">
      <c r="A200" s="161"/>
      <c r="B200" s="49"/>
      <c r="C200" s="50"/>
      <c r="D200" s="50"/>
    </row>
    <row r="201" spans="1:4" ht="15.75" customHeight="1" x14ac:dyDescent="0.25">
      <c r="A201" s="161"/>
      <c r="B201" s="49"/>
      <c r="C201" s="50"/>
      <c r="D201" s="50"/>
    </row>
    <row r="202" spans="1:4" ht="15.75" customHeight="1" x14ac:dyDescent="0.25">
      <c r="A202" s="161"/>
      <c r="B202" s="49"/>
      <c r="C202" s="50"/>
      <c r="D202" s="50"/>
    </row>
    <row r="203" spans="1:4" ht="15.75" customHeight="1" x14ac:dyDescent="0.25">
      <c r="A203" s="161"/>
      <c r="B203" s="49"/>
      <c r="C203" s="50"/>
      <c r="D203" s="50"/>
    </row>
    <row r="204" spans="1:4" ht="15.75" customHeight="1" x14ac:dyDescent="0.25">
      <c r="A204" s="161"/>
      <c r="B204" s="49"/>
      <c r="C204" s="50"/>
      <c r="D204" s="50"/>
    </row>
    <row r="205" spans="1:4" ht="15.75" customHeight="1" x14ac:dyDescent="0.25">
      <c r="A205" s="161"/>
      <c r="B205" s="49"/>
      <c r="C205" s="50"/>
      <c r="D205" s="50"/>
    </row>
    <row r="206" spans="1:4" ht="15.75" customHeight="1" x14ac:dyDescent="0.25">
      <c r="A206" s="161"/>
      <c r="B206" s="49"/>
      <c r="C206" s="50"/>
      <c r="D206" s="50"/>
    </row>
    <row r="207" spans="1:4" ht="15.75" customHeight="1" x14ac:dyDescent="0.25">
      <c r="A207" s="161"/>
      <c r="B207" s="49"/>
      <c r="C207" s="50"/>
      <c r="D207" s="50"/>
    </row>
    <row r="208" spans="1:4" ht="15.75" customHeight="1" x14ac:dyDescent="0.25">
      <c r="A208" s="161"/>
      <c r="B208" s="49"/>
      <c r="C208" s="50"/>
      <c r="D208" s="50"/>
    </row>
    <row r="209" spans="1:8" ht="15.75" customHeight="1" x14ac:dyDescent="0.25">
      <c r="A209" s="115"/>
      <c r="B209" s="49"/>
      <c r="C209" s="49"/>
      <c r="D209" s="49"/>
    </row>
    <row r="210" spans="1:8" ht="15.75" customHeight="1" x14ac:dyDescent="0.25">
      <c r="A210" s="115"/>
      <c r="B210" s="51" t="s">
        <v>3031</v>
      </c>
      <c r="C210" s="51" t="s">
        <v>3032</v>
      </c>
      <c r="D210" s="52" t="s">
        <v>3031</v>
      </c>
      <c r="E210" s="52" t="s">
        <v>3032</v>
      </c>
    </row>
    <row r="211" spans="1:8" ht="15.75" customHeight="1" x14ac:dyDescent="0.35">
      <c r="A211" s="115"/>
      <c r="B211" s="53" t="s">
        <v>3033</v>
      </c>
      <c r="C211" s="53" t="s">
        <v>3034</v>
      </c>
      <c r="D211" s="52" t="s">
        <v>3033</v>
      </c>
      <c r="F211" s="52" t="str">
        <f t="shared" ref="F211:F222" si="0">IF(NOT(ISBLANK(D211)),D211,IF(NOT(ISBLANK(E211)),"     "&amp;E211,FALSE))</f>
        <v>Afectación Económica o presupuestal</v>
      </c>
      <c r="G211" s="52" t="s">
        <v>3033</v>
      </c>
      <c r="H211" s="52" t="str">
        <f ca="1">IF(NOT(ISERROR(MATCH(G211,ANCHORARRAY(B222),0))),F224&amp;"Por favor no seleccionar los criterios de impacto",G211)</f>
        <v>Afectación Económica o presupuestal</v>
      </c>
    </row>
    <row r="212" spans="1:8" ht="15.75" customHeight="1" x14ac:dyDescent="0.35">
      <c r="A212" s="115"/>
      <c r="B212" s="53" t="s">
        <v>3033</v>
      </c>
      <c r="C212" s="53" t="s">
        <v>3020</v>
      </c>
      <c r="E212" s="52" t="s">
        <v>3034</v>
      </c>
      <c r="F212" s="52" t="str">
        <f t="shared" si="0"/>
        <v xml:space="preserve">     Afectación menor a 10 SMLMV .</v>
      </c>
    </row>
    <row r="213" spans="1:8" ht="15.75" customHeight="1" x14ac:dyDescent="0.35">
      <c r="A213" s="115"/>
      <c r="B213" s="53" t="s">
        <v>3033</v>
      </c>
      <c r="C213" s="53" t="s">
        <v>3023</v>
      </c>
      <c r="E213" s="52" t="s">
        <v>3020</v>
      </c>
      <c r="F213" s="52" t="str">
        <f t="shared" si="0"/>
        <v xml:space="preserve">     Entre 10 y 50 SMLMV </v>
      </c>
    </row>
    <row r="214" spans="1:8" ht="15.75" customHeight="1" x14ac:dyDescent="0.35">
      <c r="A214" s="115"/>
      <c r="B214" s="53" t="s">
        <v>3033</v>
      </c>
      <c r="C214" s="53" t="s">
        <v>3025</v>
      </c>
      <c r="E214" s="52" t="s">
        <v>3023</v>
      </c>
      <c r="F214" s="52" t="str">
        <f t="shared" si="0"/>
        <v xml:space="preserve">     Entre 50 y 100 SMLMV </v>
      </c>
    </row>
    <row r="215" spans="1:8" ht="15.75" customHeight="1" x14ac:dyDescent="0.35">
      <c r="A215" s="115"/>
      <c r="B215" s="53" t="s">
        <v>3033</v>
      </c>
      <c r="C215" s="53" t="s">
        <v>3028</v>
      </c>
      <c r="E215" s="52" t="s">
        <v>3025</v>
      </c>
      <c r="F215" s="52" t="str">
        <f t="shared" si="0"/>
        <v xml:space="preserve">     Entre 100 y 500 SMLMV </v>
      </c>
    </row>
    <row r="216" spans="1:8" ht="15.75" customHeight="1" x14ac:dyDescent="0.35">
      <c r="A216" s="115"/>
      <c r="B216" s="53" t="s">
        <v>3015</v>
      </c>
      <c r="C216" s="53" t="s">
        <v>3018</v>
      </c>
      <c r="E216" s="52" t="s">
        <v>3028</v>
      </c>
      <c r="F216" s="52" t="str">
        <f t="shared" si="0"/>
        <v xml:space="preserve">     Mayor a 500 SMLMV </v>
      </c>
    </row>
    <row r="217" spans="1:8" ht="15.75" customHeight="1" x14ac:dyDescent="0.35">
      <c r="A217" s="115"/>
      <c r="B217" s="53" t="s">
        <v>3015</v>
      </c>
      <c r="C217" s="53" t="s">
        <v>3035</v>
      </c>
      <c r="D217" s="52" t="s">
        <v>3015</v>
      </c>
      <c r="F217" s="52" t="str">
        <f t="shared" si="0"/>
        <v>Pérdida Reputacional</v>
      </c>
    </row>
    <row r="218" spans="1:8" ht="15.75" customHeight="1" x14ac:dyDescent="0.35">
      <c r="A218" s="115"/>
      <c r="B218" s="53" t="s">
        <v>3015</v>
      </c>
      <c r="C218" s="53" t="s">
        <v>194</v>
      </c>
      <c r="E218" s="52" t="s">
        <v>3018</v>
      </c>
      <c r="F218" s="52" t="str">
        <f t="shared" si="0"/>
        <v xml:space="preserve">     El riesgo afecta la imagen de alguna área de la organización</v>
      </c>
    </row>
    <row r="219" spans="1:8" ht="15.75" customHeight="1" x14ac:dyDescent="0.35">
      <c r="A219" s="115"/>
      <c r="B219" s="53" t="s">
        <v>3015</v>
      </c>
      <c r="C219" s="53" t="s">
        <v>3026</v>
      </c>
      <c r="E219" s="52" t="s">
        <v>3035</v>
      </c>
      <c r="F219" s="52" t="str">
        <f t="shared" si="0"/>
        <v xml:space="preserve">     El riesgo afecta la imagen de la entidad internamente, de conocimiento general, nivel interno, de junta dircetiva y accionistas y/o de provedores</v>
      </c>
    </row>
    <row r="220" spans="1:8" ht="15.75" customHeight="1" x14ac:dyDescent="0.35">
      <c r="A220" s="115"/>
      <c r="B220" s="53" t="s">
        <v>3015</v>
      </c>
      <c r="C220" s="53" t="s">
        <v>761</v>
      </c>
      <c r="E220" s="52" t="s">
        <v>194</v>
      </c>
      <c r="F220" s="52" t="str">
        <f t="shared" si="0"/>
        <v xml:space="preserve">     El riesgo afecta la imagen de la entidad con algunos usuarios de relevancia frente al logro de los objetivos</v>
      </c>
    </row>
    <row r="221" spans="1:8" ht="15.75" customHeight="1" x14ac:dyDescent="0.25">
      <c r="A221" s="115"/>
      <c r="B221" s="54"/>
      <c r="C221" s="54"/>
      <c r="E221" s="52" t="s">
        <v>3026</v>
      </c>
      <c r="F221" s="52" t="str">
        <f t="shared" si="0"/>
        <v xml:space="preserve">     El riesgo afecta la imagen de de la entidad con efecto publicitario sostenido a nivel de sector administrativo, nivel departamental o municipal</v>
      </c>
    </row>
    <row r="222" spans="1:8" ht="15.75" customHeight="1" x14ac:dyDescent="0.25">
      <c r="A222" s="115"/>
      <c r="B222" s="54" cm="1">
        <f t="array" ref="B222:B224">_xlfn.TAKE((_xlfn.UNIQUE('Tabla Impacto'!$B$209:$B$219)), 3, 1)</f>
        <v>0</v>
      </c>
      <c r="C222" s="54"/>
      <c r="E222" s="52" t="s">
        <v>761</v>
      </c>
      <c r="F222" s="52" t="str">
        <f t="shared" si="0"/>
        <v xml:space="preserve">     El riesgo afecta la imagen de la entidad a nivel nacional, con efecto publicitarios sostenible a nivel país</v>
      </c>
    </row>
    <row r="223" spans="1:8" ht="15.75" customHeight="1" x14ac:dyDescent="0.25">
      <c r="A223" s="115"/>
      <c r="B223" s="54" t="str">
        <v>Criterios</v>
      </c>
      <c r="C223" s="54"/>
    </row>
    <row r="224" spans="1:8" ht="15.75" customHeight="1" x14ac:dyDescent="0.25">
      <c r="B224" s="54" t="str">
        <v>Afectación Económica o presupuestal</v>
      </c>
      <c r="C224" s="54"/>
      <c r="F224" s="55" t="s">
        <v>3036</v>
      </c>
    </row>
    <row r="225" spans="2:6" ht="15.75" customHeight="1" x14ac:dyDescent="0.25">
      <c r="B225" s="52"/>
      <c r="C225" s="52"/>
      <c r="F225" s="55" t="s">
        <v>3037</v>
      </c>
    </row>
    <row r="226" spans="2:6" ht="15.75" customHeight="1" x14ac:dyDescent="0.25">
      <c r="B226" s="52"/>
      <c r="C226" s="52"/>
    </row>
    <row r="227" spans="2:6" ht="15.75" customHeight="1" x14ac:dyDescent="0.25">
      <c r="B227" s="52"/>
      <c r="C227" s="52"/>
    </row>
    <row r="228" spans="2:6" ht="15.75" customHeight="1" x14ac:dyDescent="0.25">
      <c r="B228" s="52"/>
      <c r="C228" s="52"/>
      <c r="D228" s="52"/>
    </row>
    <row r="229" spans="2:6" ht="15.75" customHeight="1" x14ac:dyDescent="0.25">
      <c r="B229" s="52"/>
      <c r="C229" s="52"/>
      <c r="D229" s="52"/>
    </row>
    <row r="230" spans="2:6" ht="15.75" customHeight="1" x14ac:dyDescent="0.25">
      <c r="B230" s="52"/>
      <c r="C230" s="52"/>
      <c r="D230" s="52"/>
    </row>
    <row r="231" spans="2:6" ht="15.75" customHeight="1" x14ac:dyDescent="0.25">
      <c r="B231" s="52"/>
      <c r="C231" s="52"/>
      <c r="D231" s="52"/>
    </row>
    <row r="232" spans="2:6" ht="15.75" customHeight="1" x14ac:dyDescent="0.25">
      <c r="B232" s="52"/>
      <c r="C232" s="52"/>
      <c r="D232" s="52"/>
    </row>
    <row r="233" spans="2:6" ht="15.75" customHeight="1" x14ac:dyDescent="0.25">
      <c r="B233" s="52"/>
      <c r="C233" s="52"/>
      <c r="D233" s="52"/>
    </row>
    <row r="234" spans="2:6" ht="15.75" customHeight="1" x14ac:dyDescent="0.2"/>
    <row r="235" spans="2:6" ht="15.75" customHeight="1" x14ac:dyDescent="0.2"/>
    <row r="236" spans="2:6" ht="15.75" customHeight="1" x14ac:dyDescent="0.2"/>
    <row r="237" spans="2:6" ht="15.75" customHeight="1" x14ac:dyDescent="0.2"/>
    <row r="238" spans="2:6" ht="15.75" customHeight="1" x14ac:dyDescent="0.2"/>
    <row r="239" spans="2:6" ht="15.75" customHeight="1" x14ac:dyDescent="0.2"/>
    <row r="240" spans="2:6"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mergeCells count="1">
    <mergeCell ref="B2:D2"/>
  </mergeCells>
  <dataValidations count="1">
    <dataValidation type="list" allowBlank="1" showErrorMessage="1" sqref="G211" xr:uid="{00000000-0002-0000-0500-000000000000}">
      <formula1>$F$211:$F$222</formula1>
    </dataValidation>
  </dataValidations>
  <pageMargins left="0.70866141732283472" right="0.70866141732283472" top="0.74803149606299213" bottom="0.74803149606299213" header="0" footer="0"/>
  <pageSetup scale="36" orientation="portrait" r:id="rId1"/>
  <headerFooter>
    <oddHeader>&amp;L&amp;G&amp;C
MATRIZ DE RIESGOS</oddHeader>
    <oddFooter>&amp;RCódigo:E-02-F-014
Versión: 5
Fecha: Ver Isolución</oddFooter>
  </headerFooter>
  <colBreaks count="1" manualBreakCount="1">
    <brk id="4" min="1" max="224" man="1"/>
  </colBreaks>
  <legacyDrawingHF r:id="rId2"/>
  <tableParts count="1">
    <tablePart r:id="rId3"/>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1"/>
  <sheetViews>
    <sheetView topLeftCell="A4" zoomScaleNormal="100" workbookViewId="0">
      <selection activeCell="B1" sqref="B1"/>
    </sheetView>
  </sheetViews>
  <sheetFormatPr baseColWidth="10" defaultColWidth="12.625" defaultRowHeight="15" customHeight="1" x14ac:dyDescent="0.2"/>
  <cols>
    <col min="1" max="1" width="12.5" style="166" customWidth="1"/>
    <col min="2" max="2" width="12.5" customWidth="1"/>
    <col min="3" max="3" width="14.875" customWidth="1"/>
    <col min="4" max="4" width="12.5" customWidth="1"/>
    <col min="5" max="5" width="40.25" customWidth="1"/>
    <col min="6" max="6" width="12.5" customWidth="1"/>
    <col min="7" max="26" width="12.5" style="166" customWidth="1"/>
  </cols>
  <sheetData>
    <row r="1" spans="2:6" ht="27" customHeight="1" x14ac:dyDescent="0.25">
      <c r="B1" s="167"/>
      <c r="C1" s="166"/>
      <c r="D1" s="166"/>
      <c r="E1" s="166"/>
      <c r="F1" s="166"/>
    </row>
    <row r="2" spans="2:6" ht="24" customHeight="1" x14ac:dyDescent="0.2">
      <c r="B2" s="1046" t="s">
        <v>3038</v>
      </c>
      <c r="C2" s="1047"/>
      <c r="D2" s="1047"/>
      <c r="E2" s="1047"/>
      <c r="F2" s="1048"/>
    </row>
    <row r="3" spans="2:6" ht="12.75" customHeight="1" x14ac:dyDescent="0.25">
      <c r="B3" s="168"/>
      <c r="C3" s="168"/>
      <c r="D3" s="168"/>
      <c r="E3" s="168"/>
      <c r="F3" s="168"/>
    </row>
    <row r="4" spans="2:6" ht="12.75" customHeight="1" x14ac:dyDescent="0.2">
      <c r="B4" s="1049" t="s">
        <v>3039</v>
      </c>
      <c r="C4" s="1047"/>
      <c r="D4" s="1050"/>
      <c r="E4" s="56" t="s">
        <v>2270</v>
      </c>
      <c r="F4" s="57" t="s">
        <v>3040</v>
      </c>
    </row>
    <row r="5" spans="2:6" ht="31.5" x14ac:dyDescent="0.2">
      <c r="B5" s="1051" t="s">
        <v>3041</v>
      </c>
      <c r="C5" s="1054" t="s">
        <v>174</v>
      </c>
      <c r="D5" s="169" t="s">
        <v>197</v>
      </c>
      <c r="E5" s="170" t="s">
        <v>3042</v>
      </c>
      <c r="F5" s="58">
        <v>0.25</v>
      </c>
    </row>
    <row r="6" spans="2:6" ht="47.25" x14ac:dyDescent="0.2">
      <c r="B6" s="1052"/>
      <c r="C6" s="1055"/>
      <c r="D6" s="59" t="s">
        <v>269</v>
      </c>
      <c r="E6" s="60" t="s">
        <v>3043</v>
      </c>
      <c r="F6" s="61">
        <v>0.15</v>
      </c>
    </row>
    <row r="7" spans="2:6" ht="47.25" x14ac:dyDescent="0.2">
      <c r="B7" s="1052"/>
      <c r="C7" s="1044"/>
      <c r="D7" s="59" t="s">
        <v>240</v>
      </c>
      <c r="E7" s="60" t="s">
        <v>3044</v>
      </c>
      <c r="F7" s="61">
        <v>0.1</v>
      </c>
    </row>
    <row r="8" spans="2:6" ht="63" x14ac:dyDescent="0.2">
      <c r="B8" s="1052"/>
      <c r="C8" s="1043" t="s">
        <v>175</v>
      </c>
      <c r="D8" s="59" t="s">
        <v>454</v>
      </c>
      <c r="E8" s="60" t="s">
        <v>3045</v>
      </c>
      <c r="F8" s="61">
        <v>0.25</v>
      </c>
    </row>
    <row r="9" spans="2:6" ht="31.5" x14ac:dyDescent="0.2">
      <c r="B9" s="1053"/>
      <c r="C9" s="1044"/>
      <c r="D9" s="59" t="s">
        <v>198</v>
      </c>
      <c r="E9" s="60" t="s">
        <v>3046</v>
      </c>
      <c r="F9" s="61">
        <v>0.15</v>
      </c>
    </row>
    <row r="10" spans="2:6" ht="47.25" x14ac:dyDescent="0.2">
      <c r="B10" s="1056" t="s">
        <v>3047</v>
      </c>
      <c r="C10" s="1043" t="s">
        <v>177</v>
      </c>
      <c r="D10" s="59" t="s">
        <v>259</v>
      </c>
      <c r="E10" s="60" t="s">
        <v>3048</v>
      </c>
      <c r="F10" s="62" t="s">
        <v>3049</v>
      </c>
    </row>
    <row r="11" spans="2:6" ht="63" x14ac:dyDescent="0.2">
      <c r="B11" s="1052"/>
      <c r="C11" s="1044"/>
      <c r="D11" s="59" t="s">
        <v>199</v>
      </c>
      <c r="E11" s="60" t="s">
        <v>3050</v>
      </c>
      <c r="F11" s="62" t="s">
        <v>3049</v>
      </c>
    </row>
    <row r="12" spans="2:6" ht="47.25" x14ac:dyDescent="0.2">
      <c r="B12" s="1052"/>
      <c r="C12" s="1043" t="s">
        <v>178</v>
      </c>
      <c r="D12" s="59" t="s">
        <v>200</v>
      </c>
      <c r="E12" s="60" t="s">
        <v>3051</v>
      </c>
      <c r="F12" s="62" t="s">
        <v>3049</v>
      </c>
    </row>
    <row r="13" spans="2:6" ht="47.25" x14ac:dyDescent="0.2">
      <c r="B13" s="1052"/>
      <c r="C13" s="1044"/>
      <c r="D13" s="59" t="s">
        <v>225</v>
      </c>
      <c r="E13" s="60" t="s">
        <v>3052</v>
      </c>
      <c r="F13" s="62" t="s">
        <v>3049</v>
      </c>
    </row>
    <row r="14" spans="2:6" ht="31.5" x14ac:dyDescent="0.2">
      <c r="B14" s="1052"/>
      <c r="C14" s="1043" t="s">
        <v>179</v>
      </c>
      <c r="D14" s="59" t="s">
        <v>201</v>
      </c>
      <c r="E14" s="60" t="s">
        <v>3053</v>
      </c>
      <c r="F14" s="62" t="s">
        <v>3049</v>
      </c>
    </row>
    <row r="15" spans="2:6" ht="31.5" x14ac:dyDescent="0.2">
      <c r="B15" s="1057"/>
      <c r="C15" s="1045"/>
      <c r="D15" s="63" t="s">
        <v>250</v>
      </c>
      <c r="E15" s="64" t="s">
        <v>3054</v>
      </c>
      <c r="F15" s="65" t="s">
        <v>3049</v>
      </c>
    </row>
    <row r="16" spans="2:6" ht="49.5" customHeight="1" x14ac:dyDescent="0.2">
      <c r="B16" s="1042" t="s">
        <v>3055</v>
      </c>
      <c r="C16" s="781"/>
      <c r="D16" s="781"/>
      <c r="E16" s="781"/>
      <c r="F16" s="781"/>
    </row>
    <row r="17" spans="2:6" ht="27" customHeight="1" x14ac:dyDescent="0.25">
      <c r="B17" s="167"/>
      <c r="C17" s="166"/>
      <c r="D17" s="166"/>
      <c r="E17" s="166"/>
      <c r="F17" s="166"/>
    </row>
    <row r="18" spans="2:6" ht="12.75" customHeight="1" x14ac:dyDescent="0.2">
      <c r="B18" s="166"/>
      <c r="C18" s="166"/>
      <c r="D18" s="166"/>
      <c r="E18" s="166"/>
      <c r="F18" s="166"/>
    </row>
    <row r="19" spans="2:6" ht="12.75" customHeight="1" x14ac:dyDescent="0.2">
      <c r="B19" s="166"/>
      <c r="C19" s="166"/>
      <c r="D19" s="166"/>
      <c r="E19" s="166"/>
      <c r="F19" s="166"/>
    </row>
    <row r="20" spans="2:6" ht="12.75" customHeight="1" x14ac:dyDescent="0.2">
      <c r="B20" s="166"/>
      <c r="C20" s="166"/>
      <c r="D20" s="166"/>
      <c r="E20" s="166"/>
      <c r="F20" s="166"/>
    </row>
    <row r="21" spans="2:6" ht="12.75" customHeight="1" x14ac:dyDescent="0.2">
      <c r="B21" s="166"/>
      <c r="C21" s="166"/>
      <c r="D21" s="166"/>
      <c r="E21" s="166"/>
      <c r="F21" s="166"/>
    </row>
    <row r="22" spans="2:6" ht="12.75" customHeight="1" x14ac:dyDescent="0.2">
      <c r="B22" s="166"/>
      <c r="C22" s="166"/>
      <c r="D22" s="166"/>
      <c r="E22" s="166"/>
      <c r="F22" s="166"/>
    </row>
    <row r="23" spans="2:6" ht="12.75" customHeight="1" x14ac:dyDescent="0.2">
      <c r="B23" s="166"/>
      <c r="C23" s="166"/>
      <c r="D23" s="166"/>
      <c r="E23" s="166"/>
      <c r="F23" s="166"/>
    </row>
    <row r="24" spans="2:6" ht="12.75" customHeight="1" x14ac:dyDescent="0.2">
      <c r="B24" s="166"/>
      <c r="C24" s="166"/>
      <c r="D24" s="166"/>
      <c r="E24" s="166"/>
      <c r="F24" s="166"/>
    </row>
    <row r="25" spans="2:6" ht="12.75" customHeight="1" x14ac:dyDescent="0.2">
      <c r="B25" s="166"/>
      <c r="C25" s="166"/>
      <c r="D25" s="166"/>
      <c r="E25" s="166"/>
      <c r="F25" s="166"/>
    </row>
    <row r="26" spans="2:6" ht="12.75" customHeight="1" x14ac:dyDescent="0.2">
      <c r="B26" s="166"/>
      <c r="C26" s="166"/>
      <c r="D26" s="166"/>
      <c r="E26" s="166"/>
      <c r="F26" s="166"/>
    </row>
    <row r="27" spans="2:6" ht="12.75" customHeight="1" x14ac:dyDescent="0.2">
      <c r="B27" s="166"/>
      <c r="C27" s="166"/>
      <c r="D27" s="166"/>
      <c r="E27" s="166"/>
      <c r="F27" s="166"/>
    </row>
    <row r="28" spans="2:6" ht="12.75" customHeight="1" x14ac:dyDescent="0.2">
      <c r="B28" s="166"/>
      <c r="C28" s="166"/>
      <c r="D28" s="166"/>
      <c r="E28" s="166"/>
      <c r="F28" s="166"/>
    </row>
    <row r="29" spans="2:6" ht="12.75" customHeight="1" x14ac:dyDescent="0.2">
      <c r="B29" s="166"/>
      <c r="C29" s="166"/>
      <c r="D29" s="166"/>
      <c r="E29" s="166"/>
      <c r="F29" s="166"/>
    </row>
    <row r="30" spans="2:6" ht="12.75" customHeight="1" x14ac:dyDescent="0.2">
      <c r="B30" s="166"/>
      <c r="C30" s="166"/>
      <c r="D30" s="166"/>
      <c r="E30" s="166"/>
      <c r="F30" s="166"/>
    </row>
    <row r="31" spans="2:6" ht="12.75" customHeight="1" x14ac:dyDescent="0.2">
      <c r="B31" s="166"/>
      <c r="C31" s="166"/>
      <c r="D31" s="166"/>
      <c r="E31" s="166"/>
      <c r="F31" s="166"/>
    </row>
    <row r="32" spans="2:6" ht="12.75" customHeight="1" x14ac:dyDescent="0.2">
      <c r="B32" s="166"/>
      <c r="C32" s="166"/>
      <c r="D32" s="166"/>
      <c r="E32" s="166"/>
      <c r="F32" s="166"/>
    </row>
    <row r="33" spans="2:6" ht="12.75" customHeight="1" x14ac:dyDescent="0.2">
      <c r="B33" s="166"/>
      <c r="C33" s="166"/>
      <c r="D33" s="166"/>
      <c r="E33" s="166"/>
      <c r="F33" s="166"/>
    </row>
    <row r="34" spans="2:6" ht="12.75" customHeight="1" x14ac:dyDescent="0.2">
      <c r="B34" s="166"/>
      <c r="C34" s="166"/>
      <c r="D34" s="166"/>
      <c r="E34" s="166"/>
      <c r="F34" s="166"/>
    </row>
    <row r="35" spans="2:6" ht="12.75" customHeight="1" x14ac:dyDescent="0.2">
      <c r="B35" s="166"/>
      <c r="C35" s="166"/>
      <c r="D35" s="166"/>
      <c r="E35" s="166"/>
      <c r="F35" s="166"/>
    </row>
    <row r="36" spans="2:6" ht="12.75" customHeight="1" x14ac:dyDescent="0.2">
      <c r="B36" s="166"/>
      <c r="C36" s="166"/>
      <c r="D36" s="166"/>
      <c r="E36" s="166"/>
      <c r="F36" s="166"/>
    </row>
    <row r="37" spans="2:6" ht="12.75" customHeight="1" x14ac:dyDescent="0.2">
      <c r="B37" s="166"/>
      <c r="C37" s="166"/>
      <c r="D37" s="166"/>
      <c r="E37" s="166"/>
      <c r="F37" s="166"/>
    </row>
    <row r="38" spans="2:6" ht="12.75" customHeight="1" x14ac:dyDescent="0.2">
      <c r="B38" s="166"/>
      <c r="C38" s="166"/>
      <c r="D38" s="166"/>
      <c r="E38" s="166"/>
      <c r="F38" s="166"/>
    </row>
    <row r="39" spans="2:6" ht="12.75" customHeight="1" x14ac:dyDescent="0.2">
      <c r="B39" s="166"/>
      <c r="C39" s="166"/>
      <c r="D39" s="166"/>
      <c r="E39" s="166"/>
      <c r="F39" s="166"/>
    </row>
    <row r="40" spans="2:6" ht="12.75" customHeight="1" x14ac:dyDescent="0.2">
      <c r="B40" s="166"/>
      <c r="C40" s="166"/>
      <c r="D40" s="166"/>
      <c r="E40" s="166"/>
      <c r="F40" s="166"/>
    </row>
    <row r="41" spans="2:6" ht="12.75" customHeight="1" x14ac:dyDescent="0.2">
      <c r="B41" s="166"/>
      <c r="C41" s="166"/>
      <c r="D41" s="166"/>
      <c r="E41" s="166"/>
      <c r="F41" s="166"/>
    </row>
    <row r="42" spans="2:6" ht="12.75" customHeight="1" x14ac:dyDescent="0.2">
      <c r="B42" s="166"/>
      <c r="C42" s="166"/>
      <c r="D42" s="166"/>
      <c r="E42" s="166"/>
      <c r="F42" s="166"/>
    </row>
    <row r="43" spans="2:6" ht="12.75" customHeight="1" x14ac:dyDescent="0.2">
      <c r="B43" s="166"/>
      <c r="C43" s="166"/>
      <c r="D43" s="166"/>
      <c r="E43" s="166"/>
      <c r="F43" s="166"/>
    </row>
    <row r="44" spans="2:6" ht="12.75" customHeight="1" x14ac:dyDescent="0.2">
      <c r="B44" s="166"/>
      <c r="C44" s="166"/>
      <c r="D44" s="166"/>
      <c r="E44" s="166"/>
      <c r="F44" s="166"/>
    </row>
    <row r="45" spans="2:6" ht="12.75" customHeight="1" x14ac:dyDescent="0.2">
      <c r="B45" s="166"/>
      <c r="C45" s="166"/>
      <c r="D45" s="166"/>
      <c r="E45" s="166"/>
      <c r="F45" s="166"/>
    </row>
    <row r="46" spans="2:6" ht="12.75" customHeight="1" x14ac:dyDescent="0.2">
      <c r="B46" s="166"/>
      <c r="C46" s="166"/>
      <c r="D46" s="166"/>
      <c r="E46" s="166"/>
      <c r="F46" s="166"/>
    </row>
    <row r="47" spans="2:6" ht="12.75" customHeight="1" x14ac:dyDescent="0.2">
      <c r="B47" s="166"/>
      <c r="C47" s="166"/>
      <c r="D47" s="166"/>
      <c r="E47" s="166"/>
      <c r="F47" s="166"/>
    </row>
    <row r="48" spans="2:6" ht="12.75" customHeight="1" x14ac:dyDescent="0.2">
      <c r="B48" s="166"/>
      <c r="C48" s="166"/>
      <c r="D48" s="166"/>
      <c r="E48" s="166"/>
      <c r="F48" s="166"/>
    </row>
    <row r="49" spans="2:6" ht="12.75" customHeight="1" x14ac:dyDescent="0.2">
      <c r="B49" s="166"/>
      <c r="C49" s="166"/>
      <c r="D49" s="166"/>
      <c r="E49" s="166"/>
      <c r="F49" s="166"/>
    </row>
    <row r="50" spans="2:6" ht="12.75" customHeight="1" x14ac:dyDescent="0.2">
      <c r="B50" s="166"/>
      <c r="C50" s="166"/>
      <c r="D50" s="166"/>
      <c r="E50" s="166"/>
      <c r="F50" s="166"/>
    </row>
    <row r="51" spans="2:6" ht="12.75" customHeight="1" x14ac:dyDescent="0.2">
      <c r="B51" s="166"/>
      <c r="C51" s="166"/>
      <c r="D51" s="166"/>
      <c r="E51" s="166"/>
      <c r="F51" s="166"/>
    </row>
    <row r="52" spans="2:6" ht="12.75" customHeight="1" x14ac:dyDescent="0.2">
      <c r="B52" s="166"/>
      <c r="C52" s="166"/>
      <c r="D52" s="166"/>
      <c r="E52" s="166"/>
      <c r="F52" s="166"/>
    </row>
    <row r="53" spans="2:6" ht="12.75" customHeight="1" x14ac:dyDescent="0.2">
      <c r="B53" s="166"/>
      <c r="C53" s="166"/>
      <c r="D53" s="166"/>
      <c r="E53" s="166"/>
      <c r="F53" s="166"/>
    </row>
    <row r="54" spans="2:6" ht="12.75" customHeight="1" x14ac:dyDescent="0.2">
      <c r="B54" s="166"/>
      <c r="C54" s="166"/>
      <c r="D54" s="166"/>
      <c r="E54" s="166"/>
      <c r="F54" s="166"/>
    </row>
    <row r="55" spans="2:6" ht="12.75" customHeight="1" x14ac:dyDescent="0.2">
      <c r="B55" s="166"/>
      <c r="C55" s="166"/>
      <c r="D55" s="166"/>
      <c r="E55" s="166"/>
      <c r="F55" s="166"/>
    </row>
    <row r="56" spans="2:6" ht="12.75" customHeight="1" x14ac:dyDescent="0.2">
      <c r="B56" s="166"/>
      <c r="C56" s="166"/>
      <c r="D56" s="166"/>
      <c r="E56" s="166"/>
      <c r="F56" s="166"/>
    </row>
    <row r="57" spans="2:6" ht="12.75" customHeight="1" x14ac:dyDescent="0.2">
      <c r="B57" s="166"/>
      <c r="C57" s="166"/>
      <c r="D57" s="166"/>
      <c r="E57" s="166"/>
      <c r="F57" s="166"/>
    </row>
    <row r="58" spans="2:6" ht="12.75" customHeight="1" x14ac:dyDescent="0.2">
      <c r="B58" s="166"/>
      <c r="C58" s="166"/>
      <c r="D58" s="166"/>
      <c r="E58" s="166"/>
      <c r="F58" s="166"/>
    </row>
    <row r="59" spans="2:6" ht="12.75" customHeight="1" x14ac:dyDescent="0.2">
      <c r="B59" s="166"/>
      <c r="C59" s="166"/>
      <c r="D59" s="166"/>
      <c r="E59" s="166"/>
      <c r="F59" s="166"/>
    </row>
    <row r="60" spans="2:6" ht="12.75" customHeight="1" x14ac:dyDescent="0.2">
      <c r="B60" s="166"/>
      <c r="C60" s="166"/>
      <c r="D60" s="166"/>
      <c r="E60" s="166"/>
      <c r="F60" s="166"/>
    </row>
    <row r="61" spans="2:6" ht="12.75" customHeight="1" x14ac:dyDescent="0.2">
      <c r="B61" s="166"/>
      <c r="C61" s="166"/>
      <c r="D61" s="166"/>
      <c r="E61" s="166"/>
      <c r="F61" s="166"/>
    </row>
    <row r="62" spans="2:6" ht="12.75" customHeight="1" x14ac:dyDescent="0.2">
      <c r="B62" s="166"/>
      <c r="C62" s="166"/>
      <c r="D62" s="166"/>
      <c r="E62" s="166"/>
      <c r="F62" s="166"/>
    </row>
    <row r="63" spans="2:6" ht="12.75" customHeight="1" x14ac:dyDescent="0.2">
      <c r="B63" s="166"/>
      <c r="C63" s="166"/>
      <c r="D63" s="166"/>
      <c r="E63" s="166"/>
      <c r="F63" s="166"/>
    </row>
    <row r="64" spans="2:6" ht="12.75" customHeight="1" x14ac:dyDescent="0.2">
      <c r="B64" s="166"/>
      <c r="C64" s="166"/>
      <c r="D64" s="166"/>
      <c r="E64" s="166"/>
      <c r="F64" s="166"/>
    </row>
    <row r="65" spans="2:6" ht="12.75" customHeight="1" x14ac:dyDescent="0.2">
      <c r="B65" s="166"/>
      <c r="C65" s="166"/>
      <c r="D65" s="166"/>
      <c r="E65" s="166"/>
      <c r="F65" s="166"/>
    </row>
    <row r="66" spans="2:6" ht="12.75" customHeight="1" x14ac:dyDescent="0.2">
      <c r="B66" s="166"/>
      <c r="C66" s="166"/>
      <c r="D66" s="166"/>
      <c r="E66" s="166"/>
      <c r="F66" s="166"/>
    </row>
    <row r="67" spans="2:6" ht="12.75" customHeight="1" x14ac:dyDescent="0.2">
      <c r="B67" s="166"/>
      <c r="C67" s="166"/>
      <c r="D67" s="166"/>
      <c r="E67" s="166"/>
      <c r="F67" s="166"/>
    </row>
    <row r="68" spans="2:6" ht="12.75" customHeight="1" x14ac:dyDescent="0.2">
      <c r="B68" s="166"/>
      <c r="C68" s="166"/>
      <c r="D68" s="166"/>
      <c r="E68" s="166"/>
      <c r="F68" s="166"/>
    </row>
    <row r="69" spans="2:6" ht="12.75" customHeight="1" x14ac:dyDescent="0.2">
      <c r="B69" s="166"/>
      <c r="C69" s="166"/>
      <c r="D69" s="166"/>
      <c r="E69" s="166"/>
      <c r="F69" s="166"/>
    </row>
    <row r="70" spans="2:6" ht="12.75" customHeight="1" x14ac:dyDescent="0.2">
      <c r="B70" s="166"/>
      <c r="C70" s="166"/>
      <c r="D70" s="166"/>
      <c r="E70" s="166"/>
      <c r="F70" s="166"/>
    </row>
    <row r="71" spans="2:6" ht="12.75" customHeight="1" x14ac:dyDescent="0.2">
      <c r="B71" s="166"/>
      <c r="C71" s="166"/>
      <c r="D71" s="166"/>
      <c r="E71" s="166"/>
      <c r="F71" s="166"/>
    </row>
    <row r="72" spans="2:6" ht="12.75" customHeight="1" x14ac:dyDescent="0.2">
      <c r="B72" s="166"/>
      <c r="C72" s="166"/>
      <c r="D72" s="166"/>
      <c r="E72" s="166"/>
      <c r="F72" s="166"/>
    </row>
    <row r="73" spans="2:6" ht="12.75" customHeight="1" x14ac:dyDescent="0.2">
      <c r="B73" s="166"/>
      <c r="C73" s="166"/>
      <c r="D73" s="166"/>
      <c r="E73" s="166"/>
      <c r="F73" s="166"/>
    </row>
    <row r="74" spans="2:6" ht="12.75" customHeight="1" x14ac:dyDescent="0.2">
      <c r="B74" s="166"/>
      <c r="C74" s="166"/>
      <c r="D74" s="166"/>
      <c r="E74" s="166"/>
      <c r="F74" s="166"/>
    </row>
    <row r="75" spans="2:6" ht="12.75" customHeight="1" x14ac:dyDescent="0.2">
      <c r="B75" s="166"/>
      <c r="C75" s="166"/>
      <c r="D75" s="166"/>
      <c r="E75" s="166"/>
      <c r="F75" s="166"/>
    </row>
    <row r="76" spans="2:6" ht="12.75" customHeight="1" x14ac:dyDescent="0.2">
      <c r="B76" s="166"/>
      <c r="C76" s="166"/>
      <c r="D76" s="166"/>
      <c r="E76" s="166"/>
      <c r="F76" s="166"/>
    </row>
    <row r="77" spans="2:6" ht="12.75" customHeight="1" x14ac:dyDescent="0.2">
      <c r="B77" s="166"/>
      <c r="C77" s="166"/>
      <c r="D77" s="166"/>
      <c r="E77" s="166"/>
      <c r="F77" s="166"/>
    </row>
    <row r="78" spans="2:6" ht="12.75" customHeight="1" x14ac:dyDescent="0.2">
      <c r="B78" s="166"/>
      <c r="C78" s="166"/>
      <c r="D78" s="166"/>
      <c r="E78" s="166"/>
      <c r="F78" s="166"/>
    </row>
    <row r="79" spans="2:6" ht="12.75" customHeight="1" x14ac:dyDescent="0.2">
      <c r="B79" s="166"/>
      <c r="C79" s="166"/>
      <c r="D79" s="166"/>
      <c r="E79" s="166"/>
      <c r="F79" s="166"/>
    </row>
    <row r="80" spans="2:6" ht="12.75" customHeight="1" x14ac:dyDescent="0.2">
      <c r="B80" s="166"/>
      <c r="C80" s="166"/>
      <c r="D80" s="166"/>
      <c r="E80" s="166"/>
      <c r="F80" s="166"/>
    </row>
    <row r="81" spans="2:6" ht="12.75" customHeight="1" x14ac:dyDescent="0.2">
      <c r="B81" s="166"/>
      <c r="C81" s="166"/>
      <c r="D81" s="166"/>
      <c r="E81" s="166"/>
      <c r="F81" s="166"/>
    </row>
    <row r="82" spans="2:6" ht="12.75" customHeight="1" x14ac:dyDescent="0.2">
      <c r="B82" s="166"/>
      <c r="C82" s="166"/>
      <c r="D82" s="166"/>
      <c r="E82" s="166"/>
      <c r="F82" s="166"/>
    </row>
    <row r="83" spans="2:6" ht="12.75" customHeight="1" x14ac:dyDescent="0.2">
      <c r="B83" s="166"/>
      <c r="C83" s="166"/>
      <c r="D83" s="166"/>
      <c r="E83" s="166"/>
      <c r="F83" s="166"/>
    </row>
    <row r="84" spans="2:6" ht="12.75" customHeight="1" x14ac:dyDescent="0.2">
      <c r="B84" s="166"/>
      <c r="C84" s="166"/>
      <c r="D84" s="166"/>
      <c r="E84" s="166"/>
      <c r="F84" s="166"/>
    </row>
    <row r="85" spans="2:6" ht="12.75" customHeight="1" x14ac:dyDescent="0.2">
      <c r="B85" s="166"/>
      <c r="C85" s="166"/>
      <c r="D85" s="166"/>
      <c r="E85" s="166"/>
      <c r="F85" s="166"/>
    </row>
    <row r="86" spans="2:6" ht="12.75" customHeight="1" x14ac:dyDescent="0.2">
      <c r="B86" s="166"/>
      <c r="C86" s="166"/>
      <c r="D86" s="166"/>
      <c r="E86" s="166"/>
      <c r="F86" s="166"/>
    </row>
    <row r="87" spans="2:6" ht="12.75" customHeight="1" x14ac:dyDescent="0.2">
      <c r="B87" s="166"/>
      <c r="C87" s="166"/>
      <c r="D87" s="166"/>
      <c r="E87" s="166"/>
      <c r="F87" s="166"/>
    </row>
    <row r="88" spans="2:6" ht="12.75" customHeight="1" x14ac:dyDescent="0.2">
      <c r="B88" s="166"/>
      <c r="C88" s="166"/>
      <c r="D88" s="166"/>
      <c r="E88" s="166"/>
      <c r="F88" s="166"/>
    </row>
    <row r="89" spans="2:6" ht="12.75" customHeight="1" x14ac:dyDescent="0.2">
      <c r="B89" s="166"/>
      <c r="C89" s="166"/>
      <c r="D89" s="166"/>
      <c r="E89" s="166"/>
      <c r="F89" s="166"/>
    </row>
    <row r="90" spans="2:6" ht="12.75" customHeight="1" x14ac:dyDescent="0.2">
      <c r="B90" s="166"/>
      <c r="C90" s="166"/>
      <c r="D90" s="166"/>
      <c r="E90" s="166"/>
      <c r="F90" s="166"/>
    </row>
    <row r="91" spans="2:6" ht="12.75" customHeight="1" x14ac:dyDescent="0.2">
      <c r="B91" s="166"/>
      <c r="C91" s="166"/>
      <c r="D91" s="166"/>
      <c r="E91" s="166"/>
      <c r="F91" s="166"/>
    </row>
    <row r="92" spans="2:6" ht="12.75" customHeight="1" x14ac:dyDescent="0.2">
      <c r="B92" s="166"/>
      <c r="C92" s="166"/>
      <c r="D92" s="166"/>
      <c r="E92" s="166"/>
      <c r="F92" s="166"/>
    </row>
    <row r="93" spans="2:6" ht="12.75" customHeight="1" x14ac:dyDescent="0.2">
      <c r="B93" s="166"/>
      <c r="C93" s="166"/>
      <c r="D93" s="166"/>
      <c r="E93" s="166"/>
      <c r="F93" s="166"/>
    </row>
    <row r="94" spans="2:6" ht="12.75" customHeight="1" x14ac:dyDescent="0.2">
      <c r="B94" s="166"/>
      <c r="C94" s="166"/>
      <c r="D94" s="166"/>
      <c r="E94" s="166"/>
      <c r="F94" s="166"/>
    </row>
    <row r="95" spans="2:6" ht="12.75" customHeight="1" x14ac:dyDescent="0.2">
      <c r="B95" s="166"/>
      <c r="C95" s="166"/>
      <c r="D95" s="166"/>
      <c r="E95" s="166"/>
      <c r="F95" s="166"/>
    </row>
    <row r="96" spans="2:6" ht="12.75" customHeight="1" x14ac:dyDescent="0.2">
      <c r="B96" s="166"/>
      <c r="C96" s="166"/>
      <c r="D96" s="166"/>
      <c r="E96" s="166"/>
      <c r="F96" s="166"/>
    </row>
    <row r="97" spans="2:6" ht="12.75" customHeight="1" x14ac:dyDescent="0.2">
      <c r="B97" s="166"/>
      <c r="C97" s="166"/>
      <c r="D97" s="166"/>
      <c r="E97" s="166"/>
      <c r="F97" s="166"/>
    </row>
    <row r="98" spans="2:6" ht="12.75" customHeight="1" x14ac:dyDescent="0.2">
      <c r="B98" s="166"/>
      <c r="C98" s="166"/>
      <c r="D98" s="166"/>
      <c r="E98" s="166"/>
      <c r="F98" s="166"/>
    </row>
    <row r="99" spans="2:6" ht="12.75" customHeight="1" x14ac:dyDescent="0.2">
      <c r="B99" s="166"/>
      <c r="C99" s="166"/>
      <c r="D99" s="166"/>
      <c r="E99" s="166"/>
      <c r="F99" s="166"/>
    </row>
    <row r="100" spans="2:6" ht="12.75" customHeight="1" x14ac:dyDescent="0.2">
      <c r="B100" s="166"/>
      <c r="C100" s="166"/>
      <c r="D100" s="166"/>
      <c r="E100" s="166"/>
      <c r="F100" s="166"/>
    </row>
    <row r="101" spans="2:6" ht="12.75" customHeight="1" x14ac:dyDescent="0.2">
      <c r="B101" s="166"/>
      <c r="C101" s="166"/>
      <c r="D101" s="166"/>
      <c r="E101" s="166"/>
      <c r="F101" s="166"/>
    </row>
    <row r="102" spans="2:6" ht="12.75" customHeight="1" x14ac:dyDescent="0.2">
      <c r="B102" s="166"/>
      <c r="C102" s="166"/>
      <c r="D102" s="166"/>
      <c r="E102" s="166"/>
      <c r="F102" s="166"/>
    </row>
    <row r="103" spans="2:6" ht="12.75" customHeight="1" x14ac:dyDescent="0.2">
      <c r="B103" s="166"/>
      <c r="C103" s="166"/>
      <c r="D103" s="166"/>
      <c r="E103" s="166"/>
      <c r="F103" s="166"/>
    </row>
    <row r="104" spans="2:6" ht="12.75" customHeight="1" x14ac:dyDescent="0.2">
      <c r="B104" s="166"/>
      <c r="C104" s="166"/>
      <c r="D104" s="166"/>
      <c r="E104" s="166"/>
      <c r="F104" s="166"/>
    </row>
    <row r="105" spans="2:6" ht="12.75" customHeight="1" x14ac:dyDescent="0.2">
      <c r="B105" s="166"/>
      <c r="C105" s="166"/>
      <c r="D105" s="166"/>
      <c r="E105" s="166"/>
      <c r="F105" s="166"/>
    </row>
    <row r="106" spans="2:6" ht="12.75" customHeight="1" x14ac:dyDescent="0.2">
      <c r="B106" s="166"/>
      <c r="C106" s="166"/>
      <c r="D106" s="166"/>
      <c r="E106" s="166"/>
      <c r="F106" s="166"/>
    </row>
    <row r="107" spans="2:6" ht="12.75" customHeight="1" x14ac:dyDescent="0.2">
      <c r="B107" s="166"/>
      <c r="C107" s="166"/>
      <c r="D107" s="166"/>
      <c r="E107" s="166"/>
      <c r="F107" s="166"/>
    </row>
    <row r="108" spans="2:6" ht="12.75" customHeight="1" x14ac:dyDescent="0.2">
      <c r="B108" s="166"/>
      <c r="C108" s="166"/>
      <c r="D108" s="166"/>
      <c r="E108" s="166"/>
      <c r="F108" s="166"/>
    </row>
    <row r="109" spans="2:6" ht="12.75" customHeight="1" x14ac:dyDescent="0.2">
      <c r="B109" s="166"/>
      <c r="C109" s="166"/>
      <c r="D109" s="166"/>
      <c r="E109" s="166"/>
      <c r="F109" s="166"/>
    </row>
    <row r="110" spans="2:6" ht="12.75" customHeight="1" x14ac:dyDescent="0.2">
      <c r="B110" s="166"/>
      <c r="C110" s="166"/>
      <c r="D110" s="166"/>
      <c r="E110" s="166"/>
      <c r="F110" s="166"/>
    </row>
    <row r="111" spans="2:6" ht="12.75" customHeight="1" x14ac:dyDescent="0.2">
      <c r="B111" s="166"/>
      <c r="C111" s="166"/>
      <c r="D111" s="166"/>
      <c r="E111" s="166"/>
      <c r="F111" s="166"/>
    </row>
    <row r="112" spans="2:6" ht="12.75" customHeight="1" x14ac:dyDescent="0.2">
      <c r="B112" s="166"/>
      <c r="C112" s="166"/>
      <c r="D112" s="166"/>
      <c r="E112" s="166"/>
      <c r="F112" s="166"/>
    </row>
    <row r="113" spans="2:6" ht="12.75" customHeight="1" x14ac:dyDescent="0.2">
      <c r="B113" s="166"/>
      <c r="C113" s="166"/>
      <c r="D113" s="166"/>
      <c r="E113" s="166"/>
      <c r="F113" s="166"/>
    </row>
    <row r="114" spans="2:6" ht="12.75" customHeight="1" x14ac:dyDescent="0.2">
      <c r="B114" s="166"/>
      <c r="C114" s="166"/>
      <c r="D114" s="166"/>
      <c r="E114" s="166"/>
      <c r="F114" s="166"/>
    </row>
    <row r="115" spans="2:6" ht="12.75" customHeight="1" x14ac:dyDescent="0.2">
      <c r="B115" s="166"/>
      <c r="C115" s="166"/>
      <c r="D115" s="166"/>
      <c r="E115" s="166"/>
      <c r="F115" s="166"/>
    </row>
    <row r="116" spans="2:6" ht="12.75" customHeight="1" x14ac:dyDescent="0.2">
      <c r="B116" s="166"/>
      <c r="C116" s="166"/>
      <c r="D116" s="166"/>
      <c r="E116" s="166"/>
      <c r="F116" s="166"/>
    </row>
    <row r="117" spans="2:6" ht="12.75" customHeight="1" x14ac:dyDescent="0.2">
      <c r="B117" s="166"/>
      <c r="C117" s="166"/>
      <c r="D117" s="166"/>
      <c r="E117" s="166"/>
      <c r="F117" s="166"/>
    </row>
    <row r="118" spans="2:6" ht="12.75" customHeight="1" x14ac:dyDescent="0.2">
      <c r="B118" s="166"/>
      <c r="C118" s="166"/>
      <c r="D118" s="166"/>
      <c r="E118" s="166"/>
      <c r="F118" s="166"/>
    </row>
    <row r="119" spans="2:6" ht="12.75" customHeight="1" x14ac:dyDescent="0.2">
      <c r="B119" s="166"/>
      <c r="C119" s="166"/>
      <c r="D119" s="166"/>
      <c r="E119" s="166"/>
      <c r="F119" s="166"/>
    </row>
    <row r="120" spans="2:6" ht="12.75" customHeight="1" x14ac:dyDescent="0.2">
      <c r="B120" s="166"/>
      <c r="C120" s="166"/>
      <c r="D120" s="166"/>
      <c r="E120" s="166"/>
      <c r="F120" s="166"/>
    </row>
    <row r="121" spans="2:6" ht="12.75" customHeight="1" x14ac:dyDescent="0.2">
      <c r="B121" s="166"/>
      <c r="C121" s="166"/>
      <c r="D121" s="166"/>
      <c r="E121" s="166"/>
      <c r="F121" s="166"/>
    </row>
    <row r="122" spans="2:6" ht="12.75" customHeight="1" x14ac:dyDescent="0.2">
      <c r="B122" s="166"/>
      <c r="C122" s="166"/>
      <c r="D122" s="166"/>
      <c r="E122" s="166"/>
      <c r="F122" s="166"/>
    </row>
    <row r="123" spans="2:6" ht="12.75" customHeight="1" x14ac:dyDescent="0.2">
      <c r="B123" s="166"/>
      <c r="C123" s="166"/>
      <c r="D123" s="166"/>
      <c r="E123" s="166"/>
      <c r="F123" s="166"/>
    </row>
    <row r="124" spans="2:6" ht="12.75" customHeight="1" x14ac:dyDescent="0.2">
      <c r="B124" s="166"/>
      <c r="C124" s="166"/>
      <c r="D124" s="166"/>
      <c r="E124" s="166"/>
      <c r="F124" s="166"/>
    </row>
    <row r="125" spans="2:6" ht="12.75" customHeight="1" x14ac:dyDescent="0.2">
      <c r="B125" s="166"/>
      <c r="C125" s="166"/>
      <c r="D125" s="166"/>
      <c r="E125" s="166"/>
      <c r="F125" s="166"/>
    </row>
    <row r="126" spans="2:6" ht="12.75" customHeight="1" x14ac:dyDescent="0.2">
      <c r="B126" s="166"/>
      <c r="C126" s="166"/>
      <c r="D126" s="166"/>
      <c r="E126" s="166"/>
      <c r="F126" s="166"/>
    </row>
    <row r="127" spans="2:6" ht="12.75" customHeight="1" x14ac:dyDescent="0.2">
      <c r="B127" s="166"/>
      <c r="C127" s="166"/>
      <c r="D127" s="166"/>
      <c r="E127" s="166"/>
      <c r="F127" s="166"/>
    </row>
    <row r="128" spans="2:6" ht="12.75" customHeight="1" x14ac:dyDescent="0.2">
      <c r="B128" s="166"/>
      <c r="C128" s="166"/>
      <c r="D128" s="166"/>
      <c r="E128" s="166"/>
      <c r="F128" s="166"/>
    </row>
    <row r="129" spans="2:6" ht="12.75" customHeight="1" x14ac:dyDescent="0.2">
      <c r="B129" s="166"/>
      <c r="C129" s="166"/>
      <c r="D129" s="166"/>
      <c r="E129" s="166"/>
      <c r="F129" s="166"/>
    </row>
    <row r="130" spans="2:6" ht="12.75" customHeight="1" x14ac:dyDescent="0.2">
      <c r="B130" s="166"/>
      <c r="C130" s="166"/>
      <c r="D130" s="166"/>
      <c r="E130" s="166"/>
      <c r="F130" s="166"/>
    </row>
    <row r="131" spans="2:6" ht="12.75" customHeight="1" x14ac:dyDescent="0.2">
      <c r="B131" s="166"/>
      <c r="C131" s="166"/>
      <c r="D131" s="166"/>
      <c r="E131" s="166"/>
      <c r="F131" s="166"/>
    </row>
    <row r="132" spans="2:6" ht="12.75" customHeight="1" x14ac:dyDescent="0.2">
      <c r="B132" s="166"/>
      <c r="C132" s="166"/>
      <c r="D132" s="166"/>
      <c r="E132" s="166"/>
      <c r="F132" s="166"/>
    </row>
    <row r="133" spans="2:6" ht="12.75" customHeight="1" x14ac:dyDescent="0.2">
      <c r="B133" s="166"/>
      <c r="C133" s="166"/>
      <c r="D133" s="166"/>
      <c r="E133" s="166"/>
      <c r="F133" s="166"/>
    </row>
    <row r="134" spans="2:6" ht="12.75" customHeight="1" x14ac:dyDescent="0.2">
      <c r="B134" s="166"/>
      <c r="C134" s="166"/>
      <c r="D134" s="166"/>
      <c r="E134" s="166"/>
      <c r="F134" s="166"/>
    </row>
    <row r="135" spans="2:6" ht="12.75" customHeight="1" x14ac:dyDescent="0.2">
      <c r="B135" s="166"/>
      <c r="C135" s="166"/>
      <c r="D135" s="166"/>
      <c r="E135" s="166"/>
      <c r="F135" s="166"/>
    </row>
    <row r="136" spans="2:6" ht="12.75" customHeight="1" x14ac:dyDescent="0.2">
      <c r="B136" s="166"/>
      <c r="C136" s="166"/>
      <c r="D136" s="166"/>
      <c r="E136" s="166"/>
      <c r="F136" s="166"/>
    </row>
    <row r="137" spans="2:6" ht="12.75" customHeight="1" x14ac:dyDescent="0.2">
      <c r="B137" s="166"/>
      <c r="C137" s="166"/>
      <c r="D137" s="166"/>
      <c r="E137" s="166"/>
      <c r="F137" s="166"/>
    </row>
    <row r="138" spans="2:6" ht="12.75" customHeight="1" x14ac:dyDescent="0.2">
      <c r="B138" s="166"/>
      <c r="C138" s="166"/>
      <c r="D138" s="166"/>
      <c r="E138" s="166"/>
      <c r="F138" s="166"/>
    </row>
    <row r="139" spans="2:6" ht="12.75" customHeight="1" x14ac:dyDescent="0.2">
      <c r="B139" s="166"/>
      <c r="C139" s="166"/>
      <c r="D139" s="166"/>
      <c r="E139" s="166"/>
      <c r="F139" s="166"/>
    </row>
    <row r="140" spans="2:6" ht="12.75" customHeight="1" x14ac:dyDescent="0.2">
      <c r="B140" s="166"/>
      <c r="C140" s="166"/>
      <c r="D140" s="166"/>
      <c r="E140" s="166"/>
      <c r="F140" s="166"/>
    </row>
    <row r="141" spans="2:6" ht="12.75" customHeight="1" x14ac:dyDescent="0.2">
      <c r="B141" s="166"/>
      <c r="C141" s="166"/>
      <c r="D141" s="166"/>
      <c r="E141" s="166"/>
      <c r="F141" s="166"/>
    </row>
    <row r="142" spans="2:6" ht="12.75" customHeight="1" x14ac:dyDescent="0.2">
      <c r="B142" s="166"/>
      <c r="C142" s="166"/>
      <c r="D142" s="166"/>
      <c r="E142" s="166"/>
      <c r="F142" s="166"/>
    </row>
    <row r="143" spans="2:6" ht="12.75" customHeight="1" x14ac:dyDescent="0.2">
      <c r="B143" s="166"/>
      <c r="C143" s="166"/>
      <c r="D143" s="166"/>
      <c r="E143" s="166"/>
      <c r="F143" s="166"/>
    </row>
    <row r="144" spans="2:6" ht="12.75" customHeight="1" x14ac:dyDescent="0.2">
      <c r="B144" s="166"/>
      <c r="C144" s="166"/>
      <c r="D144" s="166"/>
      <c r="E144" s="166"/>
      <c r="F144" s="166"/>
    </row>
    <row r="145" spans="2:6" ht="12.75" customHeight="1" x14ac:dyDescent="0.2">
      <c r="B145" s="166"/>
      <c r="C145" s="166"/>
      <c r="D145" s="166"/>
      <c r="E145" s="166"/>
      <c r="F145" s="166"/>
    </row>
    <row r="146" spans="2:6" ht="12.75" customHeight="1" x14ac:dyDescent="0.2">
      <c r="B146" s="166"/>
      <c r="C146" s="166"/>
      <c r="D146" s="166"/>
      <c r="E146" s="166"/>
      <c r="F146" s="166"/>
    </row>
    <row r="147" spans="2:6" ht="12.75" customHeight="1" x14ac:dyDescent="0.2">
      <c r="B147" s="166"/>
      <c r="C147" s="166"/>
      <c r="D147" s="166"/>
      <c r="E147" s="166"/>
      <c r="F147" s="166"/>
    </row>
    <row r="148" spans="2:6" ht="12.75" customHeight="1" x14ac:dyDescent="0.2">
      <c r="B148" s="166"/>
      <c r="C148" s="166"/>
      <c r="D148" s="166"/>
      <c r="E148" s="166"/>
      <c r="F148" s="166"/>
    </row>
    <row r="149" spans="2:6" ht="12.75" customHeight="1" x14ac:dyDescent="0.2">
      <c r="B149" s="166"/>
      <c r="C149" s="166"/>
      <c r="D149" s="166"/>
      <c r="E149" s="166"/>
      <c r="F149" s="166"/>
    </row>
    <row r="150" spans="2:6" ht="12.75" customHeight="1" x14ac:dyDescent="0.2">
      <c r="B150" s="166"/>
      <c r="C150" s="166"/>
      <c r="D150" s="166"/>
      <c r="E150" s="166"/>
      <c r="F150" s="166"/>
    </row>
    <row r="151" spans="2:6" ht="12.75" customHeight="1" x14ac:dyDescent="0.2">
      <c r="B151" s="166"/>
      <c r="C151" s="166"/>
      <c r="D151" s="166"/>
      <c r="E151" s="166"/>
      <c r="F151" s="166"/>
    </row>
    <row r="152" spans="2:6" ht="12.75" customHeight="1" x14ac:dyDescent="0.2">
      <c r="B152" s="166"/>
      <c r="C152" s="166"/>
      <c r="D152" s="166"/>
      <c r="E152" s="166"/>
      <c r="F152" s="166"/>
    </row>
    <row r="153" spans="2:6" ht="12.75" customHeight="1" x14ac:dyDescent="0.2">
      <c r="B153" s="166"/>
      <c r="C153" s="166"/>
      <c r="D153" s="166"/>
      <c r="E153" s="166"/>
      <c r="F153" s="166"/>
    </row>
    <row r="154" spans="2:6" ht="12.75" customHeight="1" x14ac:dyDescent="0.2">
      <c r="B154" s="166"/>
      <c r="C154" s="166"/>
      <c r="D154" s="166"/>
      <c r="E154" s="166"/>
      <c r="F154" s="166"/>
    </row>
    <row r="155" spans="2:6" ht="12.75" customHeight="1" x14ac:dyDescent="0.2">
      <c r="B155" s="166"/>
      <c r="C155" s="166"/>
      <c r="D155" s="166"/>
      <c r="E155" s="166"/>
      <c r="F155" s="166"/>
    </row>
    <row r="156" spans="2:6" ht="12.75" customHeight="1" x14ac:dyDescent="0.2">
      <c r="B156" s="166"/>
      <c r="C156" s="166"/>
      <c r="D156" s="166"/>
      <c r="E156" s="166"/>
      <c r="F156" s="166"/>
    </row>
    <row r="157" spans="2:6" ht="12.75" customHeight="1" x14ac:dyDescent="0.2">
      <c r="B157" s="166"/>
      <c r="C157" s="166"/>
      <c r="D157" s="166"/>
      <c r="E157" s="166"/>
      <c r="F157" s="166"/>
    </row>
    <row r="158" spans="2:6" ht="12.75" customHeight="1" x14ac:dyDescent="0.2">
      <c r="B158" s="166"/>
      <c r="C158" s="166"/>
      <c r="D158" s="166"/>
      <c r="E158" s="166"/>
      <c r="F158" s="166"/>
    </row>
    <row r="159" spans="2:6" ht="12.75" customHeight="1" x14ac:dyDescent="0.2">
      <c r="B159" s="166"/>
      <c r="C159" s="166"/>
      <c r="D159" s="166"/>
      <c r="E159" s="166"/>
      <c r="F159" s="166"/>
    </row>
    <row r="160" spans="2:6" ht="12.75" customHeight="1" x14ac:dyDescent="0.2">
      <c r="B160" s="166"/>
      <c r="C160" s="166"/>
      <c r="D160" s="166"/>
      <c r="E160" s="166"/>
      <c r="F160" s="166"/>
    </row>
    <row r="161" spans="2:6" ht="12.75" customHeight="1" x14ac:dyDescent="0.2">
      <c r="B161" s="166"/>
      <c r="C161" s="166"/>
      <c r="D161" s="166"/>
      <c r="E161" s="166"/>
      <c r="F161" s="166"/>
    </row>
    <row r="162" spans="2:6" ht="12.75" customHeight="1" x14ac:dyDescent="0.2">
      <c r="B162" s="166"/>
      <c r="C162" s="166"/>
      <c r="D162" s="166"/>
      <c r="E162" s="166"/>
      <c r="F162" s="166"/>
    </row>
    <row r="163" spans="2:6" ht="12.75" customHeight="1" x14ac:dyDescent="0.2">
      <c r="B163" s="166"/>
      <c r="C163" s="166"/>
      <c r="D163" s="166"/>
      <c r="E163" s="166"/>
      <c r="F163" s="166"/>
    </row>
    <row r="164" spans="2:6" ht="12.75" customHeight="1" x14ac:dyDescent="0.2">
      <c r="B164" s="166"/>
      <c r="C164" s="166"/>
      <c r="D164" s="166"/>
      <c r="E164" s="166"/>
      <c r="F164" s="166"/>
    </row>
    <row r="165" spans="2:6" ht="12.75" customHeight="1" x14ac:dyDescent="0.2">
      <c r="B165" s="166"/>
      <c r="C165" s="166"/>
      <c r="D165" s="166"/>
      <c r="E165" s="166"/>
      <c r="F165" s="166"/>
    </row>
    <row r="166" spans="2:6" ht="12.75" customHeight="1" x14ac:dyDescent="0.2">
      <c r="B166" s="166"/>
      <c r="C166" s="166"/>
      <c r="D166" s="166"/>
      <c r="E166" s="166"/>
      <c r="F166" s="166"/>
    </row>
    <row r="167" spans="2:6" ht="12.75" customHeight="1" x14ac:dyDescent="0.2">
      <c r="B167" s="166"/>
      <c r="C167" s="166"/>
      <c r="D167" s="166"/>
      <c r="E167" s="166"/>
      <c r="F167" s="166"/>
    </row>
    <row r="168" spans="2:6" ht="12.75" customHeight="1" x14ac:dyDescent="0.2">
      <c r="B168" s="166"/>
      <c r="C168" s="166"/>
      <c r="D168" s="166"/>
      <c r="E168" s="166"/>
      <c r="F168" s="166"/>
    </row>
    <row r="169" spans="2:6" ht="12.75" customHeight="1" x14ac:dyDescent="0.2">
      <c r="B169" s="166"/>
      <c r="C169" s="166"/>
      <c r="D169" s="166"/>
      <c r="E169" s="166"/>
      <c r="F169" s="166"/>
    </row>
    <row r="170" spans="2:6" ht="12.75" customHeight="1" x14ac:dyDescent="0.2">
      <c r="B170" s="166"/>
      <c r="C170" s="166"/>
      <c r="D170" s="166"/>
      <c r="E170" s="166"/>
      <c r="F170" s="166"/>
    </row>
    <row r="171" spans="2:6" ht="12.75" customHeight="1" x14ac:dyDescent="0.2">
      <c r="B171" s="166"/>
      <c r="C171" s="166"/>
      <c r="D171" s="166"/>
      <c r="E171" s="166"/>
      <c r="F171" s="166"/>
    </row>
    <row r="172" spans="2:6" ht="12.75" customHeight="1" x14ac:dyDescent="0.2">
      <c r="B172" s="166"/>
      <c r="C172" s="166"/>
      <c r="D172" s="166"/>
      <c r="E172" s="166"/>
      <c r="F172" s="166"/>
    </row>
    <row r="173" spans="2:6" ht="12.75" customHeight="1" x14ac:dyDescent="0.2">
      <c r="B173" s="166"/>
      <c r="C173" s="166"/>
      <c r="D173" s="166"/>
      <c r="E173" s="166"/>
      <c r="F173" s="166"/>
    </row>
    <row r="174" spans="2:6" ht="12.75" customHeight="1" x14ac:dyDescent="0.2">
      <c r="B174" s="166"/>
      <c r="C174" s="166"/>
      <c r="D174" s="166"/>
      <c r="E174" s="166"/>
      <c r="F174" s="166"/>
    </row>
    <row r="175" spans="2:6" ht="12.75" customHeight="1" x14ac:dyDescent="0.2">
      <c r="B175" s="166"/>
      <c r="C175" s="166"/>
      <c r="D175" s="166"/>
      <c r="E175" s="166"/>
      <c r="F175" s="166"/>
    </row>
    <row r="176" spans="2:6" ht="12.75" customHeight="1" x14ac:dyDescent="0.2">
      <c r="B176" s="166"/>
      <c r="C176" s="166"/>
      <c r="D176" s="166"/>
      <c r="E176" s="166"/>
      <c r="F176" s="166"/>
    </row>
    <row r="177" spans="2:6" ht="12.75" customHeight="1" x14ac:dyDescent="0.2">
      <c r="B177" s="166"/>
      <c r="C177" s="166"/>
      <c r="D177" s="166"/>
      <c r="E177" s="166"/>
      <c r="F177" s="166"/>
    </row>
    <row r="178" spans="2:6" ht="12.75" customHeight="1" x14ac:dyDescent="0.2">
      <c r="B178" s="166"/>
      <c r="C178" s="166"/>
      <c r="D178" s="166"/>
      <c r="E178" s="166"/>
      <c r="F178" s="166"/>
    </row>
    <row r="179" spans="2:6" ht="12.75" customHeight="1" x14ac:dyDescent="0.2">
      <c r="B179" s="166"/>
      <c r="C179" s="166"/>
      <c r="D179" s="166"/>
      <c r="E179" s="166"/>
      <c r="F179" s="166"/>
    </row>
    <row r="180" spans="2:6" ht="12.75" customHeight="1" x14ac:dyDescent="0.2">
      <c r="B180" s="166"/>
      <c r="C180" s="166"/>
      <c r="D180" s="166"/>
      <c r="E180" s="166"/>
      <c r="F180" s="166"/>
    </row>
    <row r="181" spans="2:6" ht="12.75" customHeight="1" x14ac:dyDescent="0.2">
      <c r="B181" s="166"/>
      <c r="C181" s="166"/>
      <c r="D181" s="166"/>
      <c r="E181" s="166"/>
      <c r="F181" s="166"/>
    </row>
    <row r="182" spans="2:6" ht="12.75" customHeight="1" x14ac:dyDescent="0.2">
      <c r="B182" s="166"/>
      <c r="C182" s="166"/>
      <c r="D182" s="166"/>
      <c r="E182" s="166"/>
      <c r="F182" s="166"/>
    </row>
    <row r="183" spans="2:6" ht="12.75" customHeight="1" x14ac:dyDescent="0.2">
      <c r="B183" s="166"/>
      <c r="C183" s="166"/>
      <c r="D183" s="166"/>
      <c r="E183" s="166"/>
      <c r="F183" s="166"/>
    </row>
    <row r="184" spans="2:6" ht="12.75" customHeight="1" x14ac:dyDescent="0.2">
      <c r="B184" s="166"/>
      <c r="C184" s="166"/>
      <c r="D184" s="166"/>
      <c r="E184" s="166"/>
      <c r="F184" s="166"/>
    </row>
    <row r="185" spans="2:6" ht="12.75" customHeight="1" x14ac:dyDescent="0.2">
      <c r="B185" s="166"/>
      <c r="C185" s="166"/>
      <c r="D185" s="166"/>
      <c r="E185" s="166"/>
      <c r="F185" s="166"/>
    </row>
    <row r="186" spans="2:6" ht="12.75" customHeight="1" x14ac:dyDescent="0.2">
      <c r="B186" s="166"/>
      <c r="C186" s="166"/>
      <c r="D186" s="166"/>
      <c r="E186" s="166"/>
      <c r="F186" s="166"/>
    </row>
    <row r="187" spans="2:6" ht="12.75" customHeight="1" x14ac:dyDescent="0.2">
      <c r="B187" s="166"/>
      <c r="C187" s="166"/>
      <c r="D187" s="166"/>
      <c r="E187" s="166"/>
      <c r="F187" s="166"/>
    </row>
    <row r="188" spans="2:6" ht="12.75" customHeight="1" x14ac:dyDescent="0.2">
      <c r="B188" s="166"/>
      <c r="C188" s="166"/>
      <c r="D188" s="166"/>
      <c r="E188" s="166"/>
      <c r="F188" s="166"/>
    </row>
    <row r="189" spans="2:6" ht="12.75" customHeight="1" x14ac:dyDescent="0.2">
      <c r="B189" s="166"/>
      <c r="C189" s="166"/>
      <c r="D189" s="166"/>
      <c r="E189" s="166"/>
      <c r="F189" s="166"/>
    </row>
    <row r="190" spans="2:6" ht="12.75" customHeight="1" x14ac:dyDescent="0.2">
      <c r="B190" s="166"/>
      <c r="C190" s="166"/>
      <c r="D190" s="166"/>
      <c r="E190" s="166"/>
      <c r="F190" s="166"/>
    </row>
    <row r="191" spans="2:6" ht="12.75" customHeight="1" x14ac:dyDescent="0.2">
      <c r="B191" s="166"/>
      <c r="C191" s="166"/>
      <c r="D191" s="166"/>
      <c r="E191" s="166"/>
      <c r="F191" s="166"/>
    </row>
    <row r="192" spans="2:6" ht="12.75" customHeight="1" x14ac:dyDescent="0.2">
      <c r="B192" s="166"/>
      <c r="C192" s="166"/>
      <c r="D192" s="166"/>
      <c r="E192" s="166"/>
      <c r="F192" s="166"/>
    </row>
    <row r="193" spans="2:6" ht="12.75" customHeight="1" x14ac:dyDescent="0.2">
      <c r="B193" s="166"/>
      <c r="C193" s="166"/>
      <c r="D193" s="166"/>
      <c r="E193" s="166"/>
      <c r="F193" s="166"/>
    </row>
    <row r="194" spans="2:6" ht="12.75" customHeight="1" x14ac:dyDescent="0.2">
      <c r="B194" s="166"/>
      <c r="C194" s="166"/>
      <c r="D194" s="166"/>
      <c r="E194" s="166"/>
      <c r="F194" s="166"/>
    </row>
    <row r="195" spans="2:6" ht="12.75" customHeight="1" x14ac:dyDescent="0.2">
      <c r="B195" s="166"/>
      <c r="C195" s="166"/>
      <c r="D195" s="166"/>
      <c r="E195" s="166"/>
      <c r="F195" s="166"/>
    </row>
    <row r="196" spans="2:6" ht="12.75" customHeight="1" x14ac:dyDescent="0.2">
      <c r="B196" s="166"/>
      <c r="C196" s="166"/>
      <c r="D196" s="166"/>
      <c r="E196" s="166"/>
      <c r="F196" s="166"/>
    </row>
    <row r="197" spans="2:6" ht="12.75" customHeight="1" x14ac:dyDescent="0.2">
      <c r="B197" s="166"/>
      <c r="C197" s="166"/>
      <c r="D197" s="166"/>
      <c r="E197" s="166"/>
      <c r="F197" s="166"/>
    </row>
    <row r="198" spans="2:6" ht="12.75" customHeight="1" x14ac:dyDescent="0.2">
      <c r="B198" s="166"/>
      <c r="C198" s="166"/>
      <c r="D198" s="166"/>
      <c r="E198" s="166"/>
      <c r="F198" s="166"/>
    </row>
    <row r="199" spans="2:6" ht="12.75" customHeight="1" x14ac:dyDescent="0.2">
      <c r="B199" s="166"/>
      <c r="C199" s="166"/>
      <c r="D199" s="166"/>
      <c r="E199" s="166"/>
      <c r="F199" s="166"/>
    </row>
    <row r="200" spans="2:6" ht="12.75" customHeight="1" x14ac:dyDescent="0.2">
      <c r="B200" s="166"/>
      <c r="C200" s="166"/>
      <c r="D200" s="166"/>
      <c r="E200" s="166"/>
      <c r="F200" s="166"/>
    </row>
    <row r="201" spans="2:6" ht="12.75" customHeight="1" x14ac:dyDescent="0.2">
      <c r="B201" s="166"/>
      <c r="C201" s="166"/>
      <c r="D201" s="166"/>
      <c r="E201" s="166"/>
      <c r="F201" s="166"/>
    </row>
    <row r="202" spans="2:6" ht="12.75" customHeight="1" x14ac:dyDescent="0.2">
      <c r="B202" s="166"/>
      <c r="C202" s="166"/>
      <c r="D202" s="166"/>
      <c r="E202" s="166"/>
      <c r="F202" s="166"/>
    </row>
    <row r="203" spans="2:6" ht="12.75" customHeight="1" x14ac:dyDescent="0.2">
      <c r="B203" s="166"/>
      <c r="C203" s="166"/>
      <c r="D203" s="166"/>
      <c r="E203" s="166"/>
      <c r="F203" s="166"/>
    </row>
    <row r="204" spans="2:6" ht="12.75" customHeight="1" x14ac:dyDescent="0.2">
      <c r="B204" s="166"/>
      <c r="C204" s="166"/>
      <c r="D204" s="166"/>
      <c r="E204" s="166"/>
      <c r="F204" s="166"/>
    </row>
    <row r="205" spans="2:6" ht="12.75" customHeight="1" x14ac:dyDescent="0.2">
      <c r="B205" s="166"/>
      <c r="C205" s="166"/>
      <c r="D205" s="166"/>
      <c r="E205" s="166"/>
      <c r="F205" s="166"/>
    </row>
    <row r="206" spans="2:6" ht="12.75" customHeight="1" x14ac:dyDescent="0.2">
      <c r="B206" s="166"/>
      <c r="C206" s="166"/>
      <c r="D206" s="166"/>
      <c r="E206" s="166"/>
      <c r="F206" s="166"/>
    </row>
    <row r="207" spans="2:6" ht="12.75" customHeight="1" x14ac:dyDescent="0.2">
      <c r="B207" s="166"/>
      <c r="C207" s="166"/>
      <c r="D207" s="166"/>
      <c r="E207" s="166"/>
      <c r="F207" s="166"/>
    </row>
    <row r="208" spans="2:6" ht="12.75" customHeight="1" x14ac:dyDescent="0.2">
      <c r="B208" s="166"/>
      <c r="C208" s="166"/>
      <c r="D208" s="166"/>
      <c r="E208" s="166"/>
      <c r="F208" s="166"/>
    </row>
    <row r="209" spans="2:6" ht="12.75" customHeight="1" x14ac:dyDescent="0.2">
      <c r="B209" s="166"/>
      <c r="C209" s="166"/>
      <c r="D209" s="166"/>
      <c r="E209" s="166"/>
      <c r="F209" s="166"/>
    </row>
    <row r="210" spans="2:6" ht="12.75" customHeight="1" x14ac:dyDescent="0.2">
      <c r="B210" s="166"/>
      <c r="C210" s="166"/>
      <c r="D210" s="166"/>
      <c r="E210" s="166"/>
      <c r="F210" s="166"/>
    </row>
    <row r="211" spans="2:6" ht="12.75" customHeight="1" x14ac:dyDescent="0.2">
      <c r="B211" s="166"/>
      <c r="C211" s="166"/>
      <c r="D211" s="166"/>
      <c r="E211" s="166"/>
      <c r="F211" s="166"/>
    </row>
    <row r="212" spans="2:6" ht="12.75" customHeight="1" x14ac:dyDescent="0.2">
      <c r="B212" s="166"/>
      <c r="C212" s="166"/>
      <c r="D212" s="166"/>
      <c r="E212" s="166"/>
      <c r="F212" s="166"/>
    </row>
    <row r="213" spans="2:6" ht="12.75" customHeight="1" x14ac:dyDescent="0.2">
      <c r="B213" s="166"/>
      <c r="C213" s="166"/>
      <c r="D213" s="166"/>
      <c r="E213" s="166"/>
      <c r="F213" s="166"/>
    </row>
    <row r="214" spans="2:6" ht="12.75" customHeight="1" x14ac:dyDescent="0.2">
      <c r="B214" s="166"/>
      <c r="C214" s="166"/>
      <c r="D214" s="166"/>
      <c r="E214" s="166"/>
      <c r="F214" s="166"/>
    </row>
    <row r="215" spans="2:6" ht="12.75" customHeight="1" x14ac:dyDescent="0.2">
      <c r="B215" s="166"/>
      <c r="C215" s="166"/>
      <c r="D215" s="166"/>
      <c r="E215" s="166"/>
      <c r="F215" s="166"/>
    </row>
    <row r="216" spans="2:6" ht="12.75" customHeight="1" x14ac:dyDescent="0.2">
      <c r="B216" s="166"/>
      <c r="C216" s="166"/>
      <c r="D216" s="166"/>
      <c r="E216" s="166"/>
      <c r="F216" s="166"/>
    </row>
    <row r="217" spans="2:6" ht="12.75" customHeight="1" x14ac:dyDescent="0.2">
      <c r="B217" s="166"/>
      <c r="C217" s="166"/>
      <c r="D217" s="166"/>
      <c r="E217" s="166"/>
      <c r="F217" s="166"/>
    </row>
    <row r="218" spans="2:6" ht="12.75" customHeight="1" x14ac:dyDescent="0.2">
      <c r="B218" s="166"/>
      <c r="C218" s="166"/>
      <c r="D218" s="166"/>
      <c r="E218" s="166"/>
      <c r="F218" s="166"/>
    </row>
    <row r="219" spans="2:6" ht="12.75" customHeight="1" x14ac:dyDescent="0.2">
      <c r="B219" s="166"/>
      <c r="C219" s="166"/>
      <c r="D219" s="166"/>
      <c r="E219" s="166"/>
      <c r="F219" s="166"/>
    </row>
    <row r="220" spans="2:6" ht="12.75" customHeight="1" x14ac:dyDescent="0.2">
      <c r="B220" s="166"/>
      <c r="C220" s="166"/>
      <c r="D220" s="166"/>
      <c r="E220" s="166"/>
      <c r="F220" s="166"/>
    </row>
    <row r="221" spans="2:6" ht="12.75" customHeight="1" x14ac:dyDescent="0.2">
      <c r="B221" s="166"/>
      <c r="C221" s="166"/>
      <c r="D221" s="166"/>
      <c r="E221" s="166"/>
      <c r="F221" s="166"/>
    </row>
    <row r="222" spans="2:6" ht="12.75" customHeight="1" x14ac:dyDescent="0.2">
      <c r="B222" s="166"/>
      <c r="C222" s="166"/>
      <c r="D222" s="166"/>
      <c r="E222" s="166"/>
      <c r="F222" s="166"/>
    </row>
    <row r="223" spans="2:6" ht="12.75" customHeight="1" x14ac:dyDescent="0.2">
      <c r="B223" s="166"/>
      <c r="C223" s="166"/>
      <c r="D223" s="166"/>
      <c r="E223" s="166"/>
      <c r="F223" s="166"/>
    </row>
    <row r="224" spans="2:6" ht="12.75" customHeight="1" x14ac:dyDescent="0.2">
      <c r="B224" s="166"/>
      <c r="C224" s="166"/>
      <c r="D224" s="166"/>
      <c r="E224" s="166"/>
      <c r="F224" s="166"/>
    </row>
    <row r="225" spans="2:6" ht="12.75" customHeight="1" x14ac:dyDescent="0.2">
      <c r="B225" s="166"/>
      <c r="C225" s="166"/>
      <c r="D225" s="166"/>
      <c r="E225" s="166"/>
      <c r="F225" s="166"/>
    </row>
    <row r="226" spans="2:6" ht="12.75" customHeight="1" x14ac:dyDescent="0.2">
      <c r="B226" s="166"/>
      <c r="C226" s="166"/>
      <c r="D226" s="166"/>
      <c r="E226" s="166"/>
      <c r="F226" s="166"/>
    </row>
    <row r="227" spans="2:6" ht="12.75" customHeight="1" x14ac:dyDescent="0.2">
      <c r="B227" s="166"/>
      <c r="C227" s="166"/>
      <c r="D227" s="166"/>
      <c r="E227" s="166"/>
      <c r="F227" s="166"/>
    </row>
    <row r="228" spans="2:6" ht="12.75" customHeight="1" x14ac:dyDescent="0.2">
      <c r="B228" s="166"/>
      <c r="C228" s="166"/>
      <c r="D228" s="166"/>
      <c r="E228" s="166"/>
      <c r="F228" s="166"/>
    </row>
    <row r="229" spans="2:6" ht="12.75" customHeight="1" x14ac:dyDescent="0.2">
      <c r="B229" s="166"/>
      <c r="C229" s="166"/>
      <c r="D229" s="166"/>
      <c r="E229" s="166"/>
      <c r="F229" s="166"/>
    </row>
    <row r="230" spans="2:6" ht="12.75" customHeight="1" x14ac:dyDescent="0.2">
      <c r="B230" s="166"/>
      <c r="C230" s="166"/>
      <c r="D230" s="166"/>
      <c r="E230" s="166"/>
      <c r="F230" s="166"/>
    </row>
    <row r="231" spans="2:6" ht="12.75" customHeight="1" x14ac:dyDescent="0.2">
      <c r="B231" s="166"/>
      <c r="C231" s="166"/>
      <c r="D231" s="166"/>
      <c r="E231" s="166"/>
      <c r="F231" s="166"/>
    </row>
    <row r="232" spans="2:6" ht="12.75" customHeight="1" x14ac:dyDescent="0.2">
      <c r="B232" s="166"/>
      <c r="C232" s="166"/>
      <c r="D232" s="166"/>
      <c r="E232" s="166"/>
      <c r="F232" s="166"/>
    </row>
    <row r="233" spans="2:6" ht="12.75" customHeight="1" x14ac:dyDescent="0.2">
      <c r="B233" s="166"/>
      <c r="C233" s="166"/>
      <c r="D233" s="166"/>
      <c r="E233" s="166"/>
      <c r="F233" s="166"/>
    </row>
    <row r="234" spans="2:6" ht="12.75" customHeight="1" x14ac:dyDescent="0.2">
      <c r="B234" s="166"/>
      <c r="C234" s="166"/>
      <c r="D234" s="166"/>
      <c r="E234" s="166"/>
      <c r="F234" s="166"/>
    </row>
    <row r="235" spans="2:6" ht="12.75" customHeight="1" x14ac:dyDescent="0.2">
      <c r="B235" s="166"/>
      <c r="C235" s="166"/>
      <c r="D235" s="166"/>
      <c r="E235" s="166"/>
      <c r="F235" s="166"/>
    </row>
    <row r="236" spans="2:6" ht="12.75" customHeight="1" x14ac:dyDescent="0.2">
      <c r="B236" s="166"/>
      <c r="C236" s="166"/>
      <c r="D236" s="166"/>
      <c r="E236" s="166"/>
      <c r="F236" s="166"/>
    </row>
    <row r="237" spans="2:6" ht="12.75" customHeight="1" x14ac:dyDescent="0.2">
      <c r="B237" s="166"/>
      <c r="C237" s="166"/>
      <c r="D237" s="166"/>
      <c r="E237" s="166"/>
      <c r="F237" s="166"/>
    </row>
    <row r="238" spans="2:6" ht="12.75" customHeight="1" x14ac:dyDescent="0.2">
      <c r="B238" s="166"/>
      <c r="C238" s="166"/>
      <c r="D238" s="166"/>
      <c r="E238" s="166"/>
      <c r="F238" s="166"/>
    </row>
    <row r="239" spans="2:6" ht="12.75" customHeight="1" x14ac:dyDescent="0.2">
      <c r="B239" s="166"/>
      <c r="C239" s="166"/>
      <c r="D239" s="166"/>
      <c r="E239" s="166"/>
      <c r="F239" s="166"/>
    </row>
    <row r="240" spans="2:6" ht="12.75" customHeight="1" x14ac:dyDescent="0.2">
      <c r="B240" s="166"/>
      <c r="C240" s="166"/>
      <c r="D240" s="166"/>
      <c r="E240" s="166"/>
      <c r="F240" s="166"/>
    </row>
    <row r="241" spans="2:6" ht="12.75" customHeight="1" x14ac:dyDescent="0.2">
      <c r="B241" s="166"/>
      <c r="C241" s="166"/>
      <c r="D241" s="166"/>
      <c r="E241" s="166"/>
      <c r="F241" s="166"/>
    </row>
    <row r="242" spans="2:6" ht="12.75" customHeight="1" x14ac:dyDescent="0.2">
      <c r="B242" s="166"/>
      <c r="C242" s="166"/>
      <c r="D242" s="166"/>
      <c r="E242" s="166"/>
      <c r="F242" s="166"/>
    </row>
    <row r="243" spans="2:6" ht="12.75" customHeight="1" x14ac:dyDescent="0.2">
      <c r="B243" s="166"/>
      <c r="C243" s="166"/>
      <c r="D243" s="166"/>
      <c r="E243" s="166"/>
      <c r="F243" s="166"/>
    </row>
    <row r="244" spans="2:6" ht="12.75" customHeight="1" x14ac:dyDescent="0.2">
      <c r="B244" s="166"/>
      <c r="C244" s="166"/>
      <c r="D244" s="166"/>
      <c r="E244" s="166"/>
      <c r="F244" s="166"/>
    </row>
    <row r="245" spans="2:6" ht="12.75" customHeight="1" x14ac:dyDescent="0.2">
      <c r="B245" s="166"/>
      <c r="C245" s="166"/>
      <c r="D245" s="166"/>
      <c r="E245" s="166"/>
      <c r="F245" s="166"/>
    </row>
    <row r="246" spans="2:6" ht="12.75" customHeight="1" x14ac:dyDescent="0.2">
      <c r="B246" s="166"/>
      <c r="C246" s="166"/>
      <c r="D246" s="166"/>
      <c r="E246" s="166"/>
      <c r="F246" s="166"/>
    </row>
    <row r="247" spans="2:6" ht="12.75" customHeight="1" x14ac:dyDescent="0.2">
      <c r="B247" s="166"/>
      <c r="C247" s="166"/>
      <c r="D247" s="166"/>
      <c r="E247" s="166"/>
      <c r="F247" s="166"/>
    </row>
    <row r="248" spans="2:6" ht="12.75" customHeight="1" x14ac:dyDescent="0.2">
      <c r="B248" s="166"/>
      <c r="C248" s="166"/>
      <c r="D248" s="166"/>
      <c r="E248" s="166"/>
      <c r="F248" s="166"/>
    </row>
    <row r="249" spans="2:6" ht="12.75" customHeight="1" x14ac:dyDescent="0.2">
      <c r="B249" s="166"/>
      <c r="C249" s="166"/>
      <c r="D249" s="166"/>
      <c r="E249" s="166"/>
      <c r="F249" s="166"/>
    </row>
    <row r="250" spans="2:6" ht="12.75" customHeight="1" x14ac:dyDescent="0.2">
      <c r="B250" s="166"/>
      <c r="C250" s="166"/>
      <c r="D250" s="166"/>
      <c r="E250" s="166"/>
      <c r="F250" s="166"/>
    </row>
    <row r="251" spans="2:6" ht="12.75" customHeight="1" x14ac:dyDescent="0.2">
      <c r="B251" s="166"/>
      <c r="C251" s="166"/>
      <c r="D251" s="166"/>
      <c r="E251" s="166"/>
      <c r="F251" s="166"/>
    </row>
    <row r="252" spans="2:6" ht="12.75" customHeight="1" x14ac:dyDescent="0.2">
      <c r="B252" s="166"/>
      <c r="C252" s="166"/>
      <c r="D252" s="166"/>
      <c r="E252" s="166"/>
      <c r="F252" s="166"/>
    </row>
    <row r="253" spans="2:6" ht="12.75" customHeight="1" x14ac:dyDescent="0.2">
      <c r="B253" s="166"/>
      <c r="C253" s="166"/>
      <c r="D253" s="166"/>
      <c r="E253" s="166"/>
      <c r="F253" s="166"/>
    </row>
    <row r="254" spans="2:6" ht="12.75" customHeight="1" x14ac:dyDescent="0.2">
      <c r="B254" s="166"/>
      <c r="C254" s="166"/>
      <c r="D254" s="166"/>
      <c r="E254" s="166"/>
      <c r="F254" s="166"/>
    </row>
    <row r="255" spans="2:6" ht="12.75" customHeight="1" x14ac:dyDescent="0.2">
      <c r="B255" s="166"/>
      <c r="C255" s="166"/>
      <c r="D255" s="166"/>
      <c r="E255" s="166"/>
      <c r="F255" s="166"/>
    </row>
    <row r="256" spans="2:6" ht="12.75" customHeight="1" x14ac:dyDescent="0.2">
      <c r="B256" s="166"/>
      <c r="C256" s="166"/>
      <c r="D256" s="166"/>
      <c r="E256" s="166"/>
      <c r="F256" s="166"/>
    </row>
    <row r="257" spans="2:6" ht="12.75" customHeight="1" x14ac:dyDescent="0.2">
      <c r="B257" s="166"/>
      <c r="C257" s="166"/>
      <c r="D257" s="166"/>
      <c r="E257" s="166"/>
      <c r="F257" s="166"/>
    </row>
    <row r="258" spans="2:6" ht="12.75" customHeight="1" x14ac:dyDescent="0.2">
      <c r="B258" s="166"/>
      <c r="C258" s="166"/>
      <c r="D258" s="166"/>
      <c r="E258" s="166"/>
      <c r="F258" s="166"/>
    </row>
    <row r="259" spans="2:6" ht="12.75" customHeight="1" x14ac:dyDescent="0.2">
      <c r="B259" s="166"/>
      <c r="C259" s="166"/>
      <c r="D259" s="166"/>
      <c r="E259" s="166"/>
      <c r="F259" s="166"/>
    </row>
    <row r="260" spans="2:6" ht="12.75" customHeight="1" x14ac:dyDescent="0.2">
      <c r="B260" s="166"/>
      <c r="C260" s="166"/>
      <c r="D260" s="166"/>
      <c r="E260" s="166"/>
      <c r="F260" s="166"/>
    </row>
    <row r="261" spans="2:6" ht="12.75" customHeight="1" x14ac:dyDescent="0.2">
      <c r="B261" s="166"/>
      <c r="C261" s="166"/>
      <c r="D261" s="166"/>
      <c r="E261" s="166"/>
      <c r="F261" s="166"/>
    </row>
    <row r="262" spans="2:6" ht="12.75" customHeight="1" x14ac:dyDescent="0.2">
      <c r="B262" s="166"/>
      <c r="C262" s="166"/>
      <c r="D262" s="166"/>
      <c r="E262" s="166"/>
      <c r="F262" s="166"/>
    </row>
    <row r="263" spans="2:6" ht="12.75" customHeight="1" x14ac:dyDescent="0.2">
      <c r="B263" s="166"/>
      <c r="C263" s="166"/>
      <c r="D263" s="166"/>
      <c r="E263" s="166"/>
      <c r="F263" s="166"/>
    </row>
    <row r="264" spans="2:6" ht="12.75" customHeight="1" x14ac:dyDescent="0.2">
      <c r="B264" s="166"/>
      <c r="C264" s="166"/>
      <c r="D264" s="166"/>
      <c r="E264" s="166"/>
      <c r="F264" s="166"/>
    </row>
    <row r="265" spans="2:6" ht="12.75" customHeight="1" x14ac:dyDescent="0.2">
      <c r="B265" s="166"/>
      <c r="C265" s="166"/>
      <c r="D265" s="166"/>
      <c r="E265" s="166"/>
      <c r="F265" s="166"/>
    </row>
    <row r="266" spans="2:6" ht="12.75" customHeight="1" x14ac:dyDescent="0.2">
      <c r="B266" s="166"/>
      <c r="C266" s="166"/>
      <c r="D266" s="166"/>
      <c r="E266" s="166"/>
      <c r="F266" s="166"/>
    </row>
    <row r="267" spans="2:6" ht="12.75" customHeight="1" x14ac:dyDescent="0.2">
      <c r="B267" s="166"/>
      <c r="C267" s="166"/>
      <c r="D267" s="166"/>
      <c r="E267" s="166"/>
      <c r="F267" s="166"/>
    </row>
    <row r="268" spans="2:6" ht="12.75" customHeight="1" x14ac:dyDescent="0.2">
      <c r="B268" s="166"/>
      <c r="C268" s="166"/>
      <c r="D268" s="166"/>
      <c r="E268" s="166"/>
      <c r="F268" s="166"/>
    </row>
    <row r="269" spans="2:6" ht="12.75" customHeight="1" x14ac:dyDescent="0.2">
      <c r="B269" s="166"/>
      <c r="C269" s="166"/>
      <c r="D269" s="166"/>
      <c r="E269" s="166"/>
      <c r="F269" s="166"/>
    </row>
    <row r="270" spans="2:6" ht="12.75" customHeight="1" x14ac:dyDescent="0.2">
      <c r="B270" s="166"/>
      <c r="C270" s="166"/>
      <c r="D270" s="166"/>
      <c r="E270" s="166"/>
      <c r="F270" s="166"/>
    </row>
    <row r="271" spans="2:6" ht="12.75" customHeight="1" x14ac:dyDescent="0.2">
      <c r="B271" s="166"/>
      <c r="C271" s="166"/>
      <c r="D271" s="166"/>
      <c r="E271" s="166"/>
      <c r="F271" s="166"/>
    </row>
    <row r="272" spans="2:6" ht="12.75" customHeight="1" x14ac:dyDescent="0.2">
      <c r="B272" s="166"/>
      <c r="C272" s="166"/>
      <c r="D272" s="166"/>
      <c r="E272" s="166"/>
      <c r="F272" s="166"/>
    </row>
    <row r="273" spans="2:6" ht="12.75" customHeight="1" x14ac:dyDescent="0.2">
      <c r="B273" s="166"/>
      <c r="C273" s="166"/>
      <c r="D273" s="166"/>
      <c r="E273" s="166"/>
      <c r="F273" s="166"/>
    </row>
    <row r="274" spans="2:6" ht="12.75" customHeight="1" x14ac:dyDescent="0.2">
      <c r="B274" s="166"/>
      <c r="C274" s="166"/>
      <c r="D274" s="166"/>
      <c r="E274" s="166"/>
      <c r="F274" s="166"/>
    </row>
    <row r="275" spans="2:6" ht="12.75" customHeight="1" x14ac:dyDescent="0.2">
      <c r="B275" s="166"/>
      <c r="C275" s="166"/>
      <c r="D275" s="166"/>
      <c r="E275" s="166"/>
      <c r="F275" s="166"/>
    </row>
    <row r="276" spans="2:6" ht="12.75" customHeight="1" x14ac:dyDescent="0.2">
      <c r="B276" s="166"/>
      <c r="C276" s="166"/>
      <c r="D276" s="166"/>
      <c r="E276" s="166"/>
      <c r="F276" s="166"/>
    </row>
    <row r="277" spans="2:6" ht="12.75" customHeight="1" x14ac:dyDescent="0.2">
      <c r="B277" s="166"/>
      <c r="C277" s="166"/>
      <c r="D277" s="166"/>
      <c r="E277" s="166"/>
      <c r="F277" s="166"/>
    </row>
    <row r="278" spans="2:6" ht="12.75" customHeight="1" x14ac:dyDescent="0.2">
      <c r="B278" s="166"/>
      <c r="C278" s="166"/>
      <c r="D278" s="166"/>
      <c r="E278" s="166"/>
      <c r="F278" s="166"/>
    </row>
    <row r="279" spans="2:6" ht="12.75" customHeight="1" x14ac:dyDescent="0.2">
      <c r="B279" s="166"/>
      <c r="C279" s="166"/>
      <c r="D279" s="166"/>
      <c r="E279" s="166"/>
      <c r="F279" s="166"/>
    </row>
    <row r="280" spans="2:6" ht="12.75" customHeight="1" x14ac:dyDescent="0.2">
      <c r="B280" s="166"/>
      <c r="C280" s="166"/>
      <c r="D280" s="166"/>
      <c r="E280" s="166"/>
      <c r="F280" s="166"/>
    </row>
    <row r="281" spans="2:6" ht="12.75" customHeight="1" x14ac:dyDescent="0.2">
      <c r="B281" s="166"/>
      <c r="C281" s="166"/>
      <c r="D281" s="166"/>
      <c r="E281" s="166"/>
      <c r="F281" s="166"/>
    </row>
    <row r="282" spans="2:6" ht="12.75" customHeight="1" x14ac:dyDescent="0.2">
      <c r="B282" s="166"/>
      <c r="C282" s="166"/>
      <c r="D282" s="166"/>
      <c r="E282" s="166"/>
      <c r="F282" s="166"/>
    </row>
    <row r="283" spans="2:6" ht="12.75" customHeight="1" x14ac:dyDescent="0.2">
      <c r="B283" s="166"/>
      <c r="C283" s="166"/>
      <c r="D283" s="166"/>
      <c r="E283" s="166"/>
      <c r="F283" s="166"/>
    </row>
    <row r="284" spans="2:6" ht="12.75" customHeight="1" x14ac:dyDescent="0.2">
      <c r="B284" s="166"/>
      <c r="C284" s="166"/>
      <c r="D284" s="166"/>
      <c r="E284" s="166"/>
      <c r="F284" s="166"/>
    </row>
    <row r="285" spans="2:6" ht="12.75" customHeight="1" x14ac:dyDescent="0.2">
      <c r="B285" s="166"/>
      <c r="C285" s="166"/>
      <c r="D285" s="166"/>
      <c r="E285" s="166"/>
      <c r="F285" s="166"/>
    </row>
    <row r="286" spans="2:6" ht="12.75" customHeight="1" x14ac:dyDescent="0.2">
      <c r="B286" s="166"/>
      <c r="C286" s="166"/>
      <c r="D286" s="166"/>
      <c r="E286" s="166"/>
      <c r="F286" s="166"/>
    </row>
    <row r="287" spans="2:6" ht="12.75" customHeight="1" x14ac:dyDescent="0.2">
      <c r="B287" s="166"/>
      <c r="C287" s="166"/>
      <c r="D287" s="166"/>
      <c r="E287" s="166"/>
      <c r="F287" s="166"/>
    </row>
    <row r="288" spans="2:6" ht="12.75" customHeight="1" x14ac:dyDescent="0.2">
      <c r="B288" s="166"/>
      <c r="C288" s="166"/>
      <c r="D288" s="166"/>
      <c r="E288" s="166"/>
      <c r="F288" s="166"/>
    </row>
    <row r="289" spans="2:6" ht="12.75" customHeight="1" x14ac:dyDescent="0.2">
      <c r="B289" s="166"/>
      <c r="C289" s="166"/>
      <c r="D289" s="166"/>
      <c r="E289" s="166"/>
      <c r="F289" s="166"/>
    </row>
    <row r="290" spans="2:6" ht="12.75" customHeight="1" x14ac:dyDescent="0.2">
      <c r="B290" s="166"/>
      <c r="C290" s="166"/>
      <c r="D290" s="166"/>
      <c r="E290" s="166"/>
      <c r="F290" s="166"/>
    </row>
    <row r="291" spans="2:6" ht="12.75" customHeight="1" x14ac:dyDescent="0.2">
      <c r="B291" s="166"/>
      <c r="C291" s="166"/>
      <c r="D291" s="166"/>
      <c r="E291" s="166"/>
      <c r="F291" s="166"/>
    </row>
    <row r="292" spans="2:6" ht="12.75" customHeight="1" x14ac:dyDescent="0.2">
      <c r="B292" s="166"/>
      <c r="C292" s="166"/>
      <c r="D292" s="166"/>
      <c r="E292" s="166"/>
      <c r="F292" s="166"/>
    </row>
    <row r="293" spans="2:6" ht="12.75" customHeight="1" x14ac:dyDescent="0.2">
      <c r="B293" s="166"/>
      <c r="C293" s="166"/>
      <c r="D293" s="166"/>
      <c r="E293" s="166"/>
      <c r="F293" s="166"/>
    </row>
    <row r="294" spans="2:6" ht="12.75" customHeight="1" x14ac:dyDescent="0.2">
      <c r="B294" s="166"/>
      <c r="C294" s="166"/>
      <c r="D294" s="166"/>
      <c r="E294" s="166"/>
      <c r="F294" s="166"/>
    </row>
    <row r="295" spans="2:6" ht="12.75" customHeight="1" x14ac:dyDescent="0.2">
      <c r="B295" s="166"/>
      <c r="C295" s="166"/>
      <c r="D295" s="166"/>
      <c r="E295" s="166"/>
      <c r="F295" s="166"/>
    </row>
    <row r="296" spans="2:6" ht="12.75" customHeight="1" x14ac:dyDescent="0.2">
      <c r="B296" s="166"/>
      <c r="C296" s="166"/>
      <c r="D296" s="166"/>
      <c r="E296" s="166"/>
      <c r="F296" s="166"/>
    </row>
    <row r="297" spans="2:6" ht="12.75" customHeight="1" x14ac:dyDescent="0.2">
      <c r="B297" s="166"/>
      <c r="C297" s="166"/>
      <c r="D297" s="166"/>
      <c r="E297" s="166"/>
      <c r="F297" s="166"/>
    </row>
    <row r="298" spans="2:6" ht="12.75" customHeight="1" x14ac:dyDescent="0.2">
      <c r="B298" s="166"/>
      <c r="C298" s="166"/>
      <c r="D298" s="166"/>
      <c r="E298" s="166"/>
      <c r="F298" s="166"/>
    </row>
    <row r="299" spans="2:6" ht="12.75" customHeight="1" x14ac:dyDescent="0.2">
      <c r="B299" s="166"/>
      <c r="C299" s="166"/>
      <c r="D299" s="166"/>
      <c r="E299" s="166"/>
      <c r="F299" s="166"/>
    </row>
    <row r="300" spans="2:6" ht="12.75" customHeight="1" x14ac:dyDescent="0.2">
      <c r="B300" s="166"/>
      <c r="C300" s="166"/>
      <c r="D300" s="166"/>
      <c r="E300" s="166"/>
      <c r="F300" s="166"/>
    </row>
    <row r="301" spans="2:6" ht="12.75" customHeight="1" x14ac:dyDescent="0.2">
      <c r="B301" s="166"/>
      <c r="C301" s="166"/>
      <c r="D301" s="166"/>
      <c r="E301" s="166"/>
      <c r="F301" s="166"/>
    </row>
    <row r="302" spans="2:6" ht="12.75" customHeight="1" x14ac:dyDescent="0.2">
      <c r="B302" s="166"/>
      <c r="C302" s="166"/>
      <c r="D302" s="166"/>
      <c r="E302" s="166"/>
      <c r="F302" s="166"/>
    </row>
    <row r="303" spans="2:6" ht="12.75" customHeight="1" x14ac:dyDescent="0.2">
      <c r="B303" s="166"/>
      <c r="C303" s="166"/>
      <c r="D303" s="166"/>
      <c r="E303" s="166"/>
      <c r="F303" s="166"/>
    </row>
    <row r="304" spans="2:6" ht="12.75" customHeight="1" x14ac:dyDescent="0.2">
      <c r="B304" s="166"/>
      <c r="C304" s="166"/>
      <c r="D304" s="166"/>
      <c r="E304" s="166"/>
      <c r="F304" s="166"/>
    </row>
    <row r="305" spans="2:6" ht="12.75" customHeight="1" x14ac:dyDescent="0.2">
      <c r="B305" s="166"/>
      <c r="C305" s="166"/>
      <c r="D305" s="166"/>
      <c r="E305" s="166"/>
      <c r="F305" s="166"/>
    </row>
    <row r="306" spans="2:6" ht="12.75" customHeight="1" x14ac:dyDescent="0.2">
      <c r="B306" s="166"/>
      <c r="C306" s="166"/>
      <c r="D306" s="166"/>
      <c r="E306" s="166"/>
      <c r="F306" s="166"/>
    </row>
    <row r="307" spans="2:6" ht="12.75" customHeight="1" x14ac:dyDescent="0.2">
      <c r="B307" s="166"/>
      <c r="C307" s="166"/>
      <c r="D307" s="166"/>
      <c r="E307" s="166"/>
      <c r="F307" s="166"/>
    </row>
    <row r="308" spans="2:6" ht="12.75" customHeight="1" x14ac:dyDescent="0.2">
      <c r="B308" s="166"/>
      <c r="C308" s="166"/>
      <c r="D308" s="166"/>
      <c r="E308" s="166"/>
      <c r="F308" s="166"/>
    </row>
    <row r="309" spans="2:6" ht="12.75" customHeight="1" x14ac:dyDescent="0.2">
      <c r="B309" s="166"/>
      <c r="C309" s="166"/>
      <c r="D309" s="166"/>
      <c r="E309" s="166"/>
      <c r="F309" s="166"/>
    </row>
    <row r="310" spans="2:6" ht="12.75" customHeight="1" x14ac:dyDescent="0.2">
      <c r="B310" s="166"/>
      <c r="C310" s="166"/>
      <c r="D310" s="166"/>
      <c r="E310" s="166"/>
      <c r="F310" s="166"/>
    </row>
    <row r="311" spans="2:6" ht="12.75" customHeight="1" x14ac:dyDescent="0.2">
      <c r="B311" s="166"/>
      <c r="C311" s="166"/>
      <c r="D311" s="166"/>
      <c r="E311" s="166"/>
      <c r="F311" s="166"/>
    </row>
    <row r="312" spans="2:6" ht="12.75" customHeight="1" x14ac:dyDescent="0.2">
      <c r="B312" s="166"/>
      <c r="C312" s="166"/>
      <c r="D312" s="166"/>
      <c r="E312" s="166"/>
      <c r="F312" s="166"/>
    </row>
    <row r="313" spans="2:6" ht="12.75" customHeight="1" x14ac:dyDescent="0.2">
      <c r="B313" s="166"/>
      <c r="C313" s="166"/>
      <c r="D313" s="166"/>
      <c r="E313" s="166"/>
      <c r="F313" s="166"/>
    </row>
    <row r="314" spans="2:6" ht="12.75" customHeight="1" x14ac:dyDescent="0.2">
      <c r="B314" s="166"/>
      <c r="C314" s="166"/>
      <c r="D314" s="166"/>
      <c r="E314" s="166"/>
      <c r="F314" s="166"/>
    </row>
    <row r="315" spans="2:6" ht="12.75" customHeight="1" x14ac:dyDescent="0.2">
      <c r="B315" s="166"/>
      <c r="C315" s="166"/>
      <c r="D315" s="166"/>
      <c r="E315" s="166"/>
      <c r="F315" s="166"/>
    </row>
    <row r="316" spans="2:6" ht="12.75" customHeight="1" x14ac:dyDescent="0.2">
      <c r="B316" s="166"/>
      <c r="C316" s="166"/>
      <c r="D316" s="166"/>
      <c r="E316" s="166"/>
      <c r="F316" s="166"/>
    </row>
    <row r="317" spans="2:6" ht="12.75" customHeight="1" x14ac:dyDescent="0.2">
      <c r="B317" s="166"/>
      <c r="C317" s="166"/>
      <c r="D317" s="166"/>
      <c r="E317" s="166"/>
      <c r="F317" s="166"/>
    </row>
    <row r="318" spans="2:6" ht="12.75" customHeight="1" x14ac:dyDescent="0.2">
      <c r="B318" s="166"/>
      <c r="C318" s="166"/>
      <c r="D318" s="166"/>
      <c r="E318" s="166"/>
      <c r="F318" s="166"/>
    </row>
    <row r="319" spans="2:6" ht="12.75" customHeight="1" x14ac:dyDescent="0.2">
      <c r="B319" s="166"/>
      <c r="C319" s="166"/>
      <c r="D319" s="166"/>
      <c r="E319" s="166"/>
      <c r="F319" s="166"/>
    </row>
    <row r="320" spans="2:6" ht="12.75" customHeight="1" x14ac:dyDescent="0.2">
      <c r="B320" s="166"/>
      <c r="C320" s="166"/>
      <c r="D320" s="166"/>
      <c r="E320" s="166"/>
      <c r="F320" s="166"/>
    </row>
    <row r="321" spans="2:6" ht="12.75" customHeight="1" x14ac:dyDescent="0.2">
      <c r="B321" s="166"/>
      <c r="C321" s="166"/>
      <c r="D321" s="166"/>
      <c r="E321" s="166"/>
      <c r="F321" s="166"/>
    </row>
    <row r="322" spans="2:6" ht="12.75" customHeight="1" x14ac:dyDescent="0.2">
      <c r="B322" s="166"/>
      <c r="C322" s="166"/>
      <c r="D322" s="166"/>
      <c r="E322" s="166"/>
      <c r="F322" s="166"/>
    </row>
    <row r="323" spans="2:6" ht="12.75" customHeight="1" x14ac:dyDescent="0.2">
      <c r="B323" s="166"/>
      <c r="C323" s="166"/>
      <c r="D323" s="166"/>
      <c r="E323" s="166"/>
      <c r="F323" s="166"/>
    </row>
    <row r="324" spans="2:6" ht="12.75" customHeight="1" x14ac:dyDescent="0.2">
      <c r="B324" s="166"/>
      <c r="C324" s="166"/>
      <c r="D324" s="166"/>
      <c r="E324" s="166"/>
      <c r="F324" s="166"/>
    </row>
    <row r="325" spans="2:6" ht="12.75" customHeight="1" x14ac:dyDescent="0.2">
      <c r="B325" s="166"/>
      <c r="C325" s="166"/>
      <c r="D325" s="166"/>
      <c r="E325" s="166"/>
      <c r="F325" s="166"/>
    </row>
    <row r="326" spans="2:6" ht="12.75" customHeight="1" x14ac:dyDescent="0.2">
      <c r="B326" s="166"/>
      <c r="C326" s="166"/>
      <c r="D326" s="166"/>
      <c r="E326" s="166"/>
      <c r="F326" s="166"/>
    </row>
    <row r="327" spans="2:6" ht="12.75" customHeight="1" x14ac:dyDescent="0.2">
      <c r="B327" s="166"/>
      <c r="C327" s="166"/>
      <c r="D327" s="166"/>
      <c r="E327" s="166"/>
      <c r="F327" s="166"/>
    </row>
    <row r="328" spans="2:6" ht="12.75" customHeight="1" x14ac:dyDescent="0.2">
      <c r="B328" s="166"/>
      <c r="C328" s="166"/>
      <c r="D328" s="166"/>
      <c r="E328" s="166"/>
      <c r="F328" s="166"/>
    </row>
    <row r="329" spans="2:6" ht="12.75" customHeight="1" x14ac:dyDescent="0.2">
      <c r="B329" s="166"/>
      <c r="C329" s="166"/>
      <c r="D329" s="166"/>
      <c r="E329" s="166"/>
      <c r="F329" s="166"/>
    </row>
    <row r="330" spans="2:6" ht="12.75" customHeight="1" x14ac:dyDescent="0.2">
      <c r="B330" s="166"/>
      <c r="C330" s="166"/>
      <c r="D330" s="166"/>
      <c r="E330" s="166"/>
      <c r="F330" s="166"/>
    </row>
    <row r="331" spans="2:6" ht="12.75" customHeight="1" x14ac:dyDescent="0.2">
      <c r="B331" s="166"/>
      <c r="C331" s="166"/>
      <c r="D331" s="166"/>
      <c r="E331" s="166"/>
      <c r="F331" s="166"/>
    </row>
    <row r="332" spans="2:6" ht="12.75" customHeight="1" x14ac:dyDescent="0.2">
      <c r="B332" s="166"/>
      <c r="C332" s="166"/>
      <c r="D332" s="166"/>
      <c r="E332" s="166"/>
      <c r="F332" s="166"/>
    </row>
    <row r="333" spans="2:6" ht="12.75" customHeight="1" x14ac:dyDescent="0.2">
      <c r="B333" s="166"/>
      <c r="C333" s="166"/>
      <c r="D333" s="166"/>
      <c r="E333" s="166"/>
      <c r="F333" s="166"/>
    </row>
    <row r="334" spans="2:6" ht="12.75" customHeight="1" x14ac:dyDescent="0.2">
      <c r="B334" s="166"/>
      <c r="C334" s="166"/>
      <c r="D334" s="166"/>
      <c r="E334" s="166"/>
      <c r="F334" s="166"/>
    </row>
    <row r="335" spans="2:6" ht="12.75" customHeight="1" x14ac:dyDescent="0.2">
      <c r="B335" s="166"/>
      <c r="C335" s="166"/>
      <c r="D335" s="166"/>
      <c r="E335" s="166"/>
      <c r="F335" s="166"/>
    </row>
    <row r="336" spans="2:6" ht="12.75" customHeight="1" x14ac:dyDescent="0.2">
      <c r="B336" s="166"/>
      <c r="C336" s="166"/>
      <c r="D336" s="166"/>
      <c r="E336" s="166"/>
      <c r="F336" s="166"/>
    </row>
    <row r="337" spans="2:6" ht="12.75" customHeight="1" x14ac:dyDescent="0.2">
      <c r="B337" s="166"/>
      <c r="C337" s="166"/>
      <c r="D337" s="166"/>
      <c r="E337" s="166"/>
      <c r="F337" s="166"/>
    </row>
    <row r="338" spans="2:6" ht="12.75" customHeight="1" x14ac:dyDescent="0.2">
      <c r="B338" s="166"/>
      <c r="C338" s="166"/>
      <c r="D338" s="166"/>
      <c r="E338" s="166"/>
      <c r="F338" s="166"/>
    </row>
    <row r="339" spans="2:6" ht="12.75" customHeight="1" x14ac:dyDescent="0.2">
      <c r="B339" s="166"/>
      <c r="C339" s="166"/>
      <c r="D339" s="166"/>
      <c r="E339" s="166"/>
      <c r="F339" s="166"/>
    </row>
    <row r="340" spans="2:6" ht="12.75" customHeight="1" x14ac:dyDescent="0.2">
      <c r="B340" s="166"/>
      <c r="C340" s="166"/>
      <c r="D340" s="166"/>
      <c r="E340" s="166"/>
      <c r="F340" s="166"/>
    </row>
    <row r="341" spans="2:6" ht="12.75" customHeight="1" x14ac:dyDescent="0.2">
      <c r="B341" s="166"/>
      <c r="C341" s="166"/>
      <c r="D341" s="166"/>
      <c r="E341" s="166"/>
      <c r="F341" s="166"/>
    </row>
    <row r="342" spans="2:6" ht="12.75" customHeight="1" x14ac:dyDescent="0.2">
      <c r="B342" s="166"/>
      <c r="C342" s="166"/>
      <c r="D342" s="166"/>
      <c r="E342" s="166"/>
      <c r="F342" s="166"/>
    </row>
    <row r="343" spans="2:6" ht="12.75" customHeight="1" x14ac:dyDescent="0.2">
      <c r="B343" s="166"/>
      <c r="C343" s="166"/>
      <c r="D343" s="166"/>
      <c r="E343" s="166"/>
      <c r="F343" s="166"/>
    </row>
    <row r="344" spans="2:6" ht="12.75" customHeight="1" x14ac:dyDescent="0.2">
      <c r="B344" s="166"/>
      <c r="C344" s="166"/>
      <c r="D344" s="166"/>
      <c r="E344" s="166"/>
      <c r="F344" s="166"/>
    </row>
    <row r="345" spans="2:6" ht="12.75" customHeight="1" x14ac:dyDescent="0.2">
      <c r="B345" s="166"/>
      <c r="C345" s="166"/>
      <c r="D345" s="166"/>
      <c r="E345" s="166"/>
      <c r="F345" s="166"/>
    </row>
    <row r="346" spans="2:6" ht="12.75" customHeight="1" x14ac:dyDescent="0.2">
      <c r="B346" s="166"/>
      <c r="C346" s="166"/>
      <c r="D346" s="166"/>
      <c r="E346" s="166"/>
      <c r="F346" s="166"/>
    </row>
    <row r="347" spans="2:6" ht="12.75" customHeight="1" x14ac:dyDescent="0.2">
      <c r="B347" s="166"/>
      <c r="C347" s="166"/>
      <c r="D347" s="166"/>
      <c r="E347" s="166"/>
      <c r="F347" s="166"/>
    </row>
    <row r="348" spans="2:6" ht="12.75" customHeight="1" x14ac:dyDescent="0.2">
      <c r="B348" s="166"/>
      <c r="C348" s="166"/>
      <c r="D348" s="166"/>
      <c r="E348" s="166"/>
      <c r="F348" s="166"/>
    </row>
    <row r="349" spans="2:6" ht="12.75" customHeight="1" x14ac:dyDescent="0.2">
      <c r="B349" s="166"/>
      <c r="C349" s="166"/>
      <c r="D349" s="166"/>
      <c r="E349" s="166"/>
      <c r="F349" s="166"/>
    </row>
    <row r="350" spans="2:6" ht="12.75" customHeight="1" x14ac:dyDescent="0.2">
      <c r="B350" s="166"/>
      <c r="C350" s="166"/>
      <c r="D350" s="166"/>
      <c r="E350" s="166"/>
      <c r="F350" s="166"/>
    </row>
    <row r="351" spans="2:6" ht="12.75" customHeight="1" x14ac:dyDescent="0.2">
      <c r="B351" s="166"/>
      <c r="C351" s="166"/>
      <c r="D351" s="166"/>
      <c r="E351" s="166"/>
      <c r="F351" s="166"/>
    </row>
    <row r="352" spans="2:6" ht="12.75" customHeight="1" x14ac:dyDescent="0.2">
      <c r="B352" s="166"/>
      <c r="C352" s="166"/>
      <c r="D352" s="166"/>
      <c r="E352" s="166"/>
      <c r="F352" s="166"/>
    </row>
    <row r="353" spans="2:6" ht="12.75" customHeight="1" x14ac:dyDescent="0.2">
      <c r="B353" s="166"/>
      <c r="C353" s="166"/>
      <c r="D353" s="166"/>
      <c r="E353" s="166"/>
      <c r="F353" s="166"/>
    </row>
    <row r="354" spans="2:6" ht="12.75" customHeight="1" x14ac:dyDescent="0.2">
      <c r="B354" s="166"/>
      <c r="C354" s="166"/>
      <c r="D354" s="166"/>
      <c r="E354" s="166"/>
      <c r="F354" s="166"/>
    </row>
    <row r="355" spans="2:6" ht="12.75" customHeight="1" x14ac:dyDescent="0.2">
      <c r="B355" s="166"/>
      <c r="C355" s="166"/>
      <c r="D355" s="166"/>
      <c r="E355" s="166"/>
      <c r="F355" s="166"/>
    </row>
    <row r="356" spans="2:6" ht="12.75" customHeight="1" x14ac:dyDescent="0.2">
      <c r="B356" s="166"/>
      <c r="C356" s="166"/>
      <c r="D356" s="166"/>
      <c r="E356" s="166"/>
      <c r="F356" s="166"/>
    </row>
    <row r="357" spans="2:6" ht="12.75" customHeight="1" x14ac:dyDescent="0.2">
      <c r="B357" s="166"/>
      <c r="C357" s="166"/>
      <c r="D357" s="166"/>
      <c r="E357" s="166"/>
      <c r="F357" s="166"/>
    </row>
    <row r="358" spans="2:6" ht="12.75" customHeight="1" x14ac:dyDescent="0.2">
      <c r="B358" s="166"/>
      <c r="C358" s="166"/>
      <c r="D358" s="166"/>
      <c r="E358" s="166"/>
      <c r="F358" s="166"/>
    </row>
    <row r="359" spans="2:6" ht="12.75" customHeight="1" x14ac:dyDescent="0.2">
      <c r="B359" s="166"/>
      <c r="C359" s="166"/>
      <c r="D359" s="166"/>
      <c r="E359" s="166"/>
      <c r="F359" s="166"/>
    </row>
    <row r="360" spans="2:6" ht="12.75" customHeight="1" x14ac:dyDescent="0.2">
      <c r="B360" s="166"/>
      <c r="C360" s="166"/>
      <c r="D360" s="166"/>
      <c r="E360" s="166"/>
      <c r="F360" s="166"/>
    </row>
    <row r="361" spans="2:6" ht="12.75" customHeight="1" x14ac:dyDescent="0.2">
      <c r="B361" s="166"/>
      <c r="C361" s="166"/>
      <c r="D361" s="166"/>
      <c r="E361" s="166"/>
      <c r="F361" s="166"/>
    </row>
    <row r="362" spans="2:6" ht="12.75" customHeight="1" x14ac:dyDescent="0.2">
      <c r="B362" s="166"/>
      <c r="C362" s="166"/>
      <c r="D362" s="166"/>
      <c r="E362" s="166"/>
      <c r="F362" s="166"/>
    </row>
    <row r="363" spans="2:6" ht="12.75" customHeight="1" x14ac:dyDescent="0.2">
      <c r="B363" s="166"/>
      <c r="C363" s="166"/>
      <c r="D363" s="166"/>
      <c r="E363" s="166"/>
      <c r="F363" s="166"/>
    </row>
    <row r="364" spans="2:6" ht="12.75" customHeight="1" x14ac:dyDescent="0.2">
      <c r="B364" s="166"/>
      <c r="C364" s="166"/>
      <c r="D364" s="166"/>
      <c r="E364" s="166"/>
      <c r="F364" s="166"/>
    </row>
    <row r="365" spans="2:6" ht="12.75" customHeight="1" x14ac:dyDescent="0.2">
      <c r="B365" s="166"/>
      <c r="C365" s="166"/>
      <c r="D365" s="166"/>
      <c r="E365" s="166"/>
      <c r="F365" s="166"/>
    </row>
    <row r="366" spans="2:6" ht="12.75" customHeight="1" x14ac:dyDescent="0.2">
      <c r="B366" s="166"/>
      <c r="C366" s="166"/>
      <c r="D366" s="166"/>
      <c r="E366" s="166"/>
      <c r="F366" s="166"/>
    </row>
    <row r="367" spans="2:6" ht="12.75" customHeight="1" x14ac:dyDescent="0.2">
      <c r="B367" s="166"/>
      <c r="C367" s="166"/>
      <c r="D367" s="166"/>
      <c r="E367" s="166"/>
      <c r="F367" s="166"/>
    </row>
    <row r="368" spans="2:6" ht="12.75" customHeight="1" x14ac:dyDescent="0.2">
      <c r="B368" s="166"/>
      <c r="C368" s="166"/>
      <c r="D368" s="166"/>
      <c r="E368" s="166"/>
      <c r="F368" s="166"/>
    </row>
    <row r="369" spans="2:6" ht="12.75" customHeight="1" x14ac:dyDescent="0.2">
      <c r="B369" s="166"/>
      <c r="C369" s="166"/>
      <c r="D369" s="166"/>
      <c r="E369" s="166"/>
      <c r="F369" s="166"/>
    </row>
    <row r="370" spans="2:6" ht="12.75" customHeight="1" x14ac:dyDescent="0.2">
      <c r="B370" s="166"/>
      <c r="C370" s="166"/>
      <c r="D370" s="166"/>
      <c r="E370" s="166"/>
      <c r="F370" s="166"/>
    </row>
    <row r="371" spans="2:6" ht="12.75" customHeight="1" x14ac:dyDescent="0.2">
      <c r="B371" s="166"/>
      <c r="C371" s="166"/>
      <c r="D371" s="166"/>
      <c r="E371" s="166"/>
      <c r="F371" s="166"/>
    </row>
    <row r="372" spans="2:6" ht="12.75" customHeight="1" x14ac:dyDescent="0.2">
      <c r="B372" s="166"/>
      <c r="C372" s="166"/>
      <c r="D372" s="166"/>
      <c r="E372" s="166"/>
      <c r="F372" s="166"/>
    </row>
    <row r="373" spans="2:6" ht="12.75" customHeight="1" x14ac:dyDescent="0.2">
      <c r="B373" s="166"/>
      <c r="C373" s="166"/>
      <c r="D373" s="166"/>
      <c r="E373" s="166"/>
      <c r="F373" s="166"/>
    </row>
    <row r="374" spans="2:6" ht="12.75" customHeight="1" x14ac:dyDescent="0.2">
      <c r="B374" s="166"/>
      <c r="C374" s="166"/>
      <c r="D374" s="166"/>
      <c r="E374" s="166"/>
      <c r="F374" s="166"/>
    </row>
    <row r="375" spans="2:6" ht="12.75" customHeight="1" x14ac:dyDescent="0.2">
      <c r="B375" s="166"/>
      <c r="C375" s="166"/>
      <c r="D375" s="166"/>
      <c r="E375" s="166"/>
      <c r="F375" s="166"/>
    </row>
    <row r="376" spans="2:6" ht="12.75" customHeight="1" x14ac:dyDescent="0.2">
      <c r="B376" s="166"/>
      <c r="C376" s="166"/>
      <c r="D376" s="166"/>
      <c r="E376" s="166"/>
      <c r="F376" s="166"/>
    </row>
    <row r="377" spans="2:6" ht="12.75" customHeight="1" x14ac:dyDescent="0.2">
      <c r="B377" s="166"/>
      <c r="C377" s="166"/>
      <c r="D377" s="166"/>
      <c r="E377" s="166"/>
      <c r="F377" s="166"/>
    </row>
    <row r="378" spans="2:6" ht="12.75" customHeight="1" x14ac:dyDescent="0.2">
      <c r="B378" s="166"/>
      <c r="C378" s="166"/>
      <c r="D378" s="166"/>
      <c r="E378" s="166"/>
      <c r="F378" s="166"/>
    </row>
    <row r="379" spans="2:6" ht="12.75" customHeight="1" x14ac:dyDescent="0.2">
      <c r="B379" s="166"/>
      <c r="C379" s="166"/>
      <c r="D379" s="166"/>
      <c r="E379" s="166"/>
      <c r="F379" s="166"/>
    </row>
    <row r="380" spans="2:6" ht="12.75" customHeight="1" x14ac:dyDescent="0.2">
      <c r="B380" s="166"/>
      <c r="C380" s="166"/>
      <c r="D380" s="166"/>
      <c r="E380" s="166"/>
      <c r="F380" s="166"/>
    </row>
    <row r="381" spans="2:6" ht="12.75" customHeight="1" x14ac:dyDescent="0.2">
      <c r="B381" s="166"/>
      <c r="C381" s="166"/>
      <c r="D381" s="166"/>
      <c r="E381" s="166"/>
      <c r="F381" s="166"/>
    </row>
    <row r="382" spans="2:6" ht="12.75" customHeight="1" x14ac:dyDescent="0.2">
      <c r="B382" s="166"/>
      <c r="C382" s="166"/>
      <c r="D382" s="166"/>
      <c r="E382" s="166"/>
      <c r="F382" s="166"/>
    </row>
    <row r="383" spans="2:6" ht="12.75" customHeight="1" x14ac:dyDescent="0.2">
      <c r="B383" s="166"/>
      <c r="C383" s="166"/>
      <c r="D383" s="166"/>
      <c r="E383" s="166"/>
      <c r="F383" s="166"/>
    </row>
    <row r="384" spans="2:6" ht="12.75" customHeight="1" x14ac:dyDescent="0.2">
      <c r="B384" s="166"/>
      <c r="C384" s="166"/>
      <c r="D384" s="166"/>
      <c r="E384" s="166"/>
      <c r="F384" s="166"/>
    </row>
    <row r="385" spans="2:6" ht="12.75" customHeight="1" x14ac:dyDescent="0.2">
      <c r="B385" s="166"/>
      <c r="C385" s="166"/>
      <c r="D385" s="166"/>
      <c r="E385" s="166"/>
      <c r="F385" s="166"/>
    </row>
    <row r="386" spans="2:6" ht="12.75" customHeight="1" x14ac:dyDescent="0.2">
      <c r="B386" s="166"/>
      <c r="C386" s="166"/>
      <c r="D386" s="166"/>
      <c r="E386" s="166"/>
      <c r="F386" s="166"/>
    </row>
    <row r="387" spans="2:6" ht="12.75" customHeight="1" x14ac:dyDescent="0.2">
      <c r="B387" s="166"/>
      <c r="C387" s="166"/>
      <c r="D387" s="166"/>
      <c r="E387" s="166"/>
      <c r="F387" s="166"/>
    </row>
    <row r="388" spans="2:6" ht="12.75" customHeight="1" x14ac:dyDescent="0.2">
      <c r="B388" s="166"/>
      <c r="C388" s="166"/>
      <c r="D388" s="166"/>
      <c r="E388" s="166"/>
      <c r="F388" s="166"/>
    </row>
    <row r="389" spans="2:6" ht="12.75" customHeight="1" x14ac:dyDescent="0.2">
      <c r="B389" s="166"/>
      <c r="C389" s="166"/>
      <c r="D389" s="166"/>
      <c r="E389" s="166"/>
      <c r="F389" s="166"/>
    </row>
    <row r="390" spans="2:6" ht="12.75" customHeight="1" x14ac:dyDescent="0.2">
      <c r="B390" s="166"/>
      <c r="C390" s="166"/>
      <c r="D390" s="166"/>
      <c r="E390" s="166"/>
      <c r="F390" s="166"/>
    </row>
    <row r="391" spans="2:6" ht="12.75" customHeight="1" x14ac:dyDescent="0.2">
      <c r="B391" s="166"/>
      <c r="C391" s="166"/>
      <c r="D391" s="166"/>
      <c r="E391" s="166"/>
      <c r="F391" s="166"/>
    </row>
    <row r="392" spans="2:6" ht="12.75" customHeight="1" x14ac:dyDescent="0.2">
      <c r="B392" s="166"/>
      <c r="C392" s="166"/>
      <c r="D392" s="166"/>
      <c r="E392" s="166"/>
      <c r="F392" s="166"/>
    </row>
    <row r="393" spans="2:6" ht="12.75" customHeight="1" x14ac:dyDescent="0.2">
      <c r="B393" s="166"/>
      <c r="C393" s="166"/>
      <c r="D393" s="166"/>
      <c r="E393" s="166"/>
      <c r="F393" s="166"/>
    </row>
    <row r="394" spans="2:6" ht="12.75" customHeight="1" x14ac:dyDescent="0.2">
      <c r="B394" s="166"/>
      <c r="C394" s="166"/>
      <c r="D394" s="166"/>
      <c r="E394" s="166"/>
      <c r="F394" s="166"/>
    </row>
    <row r="395" spans="2:6" ht="12.75" customHeight="1" x14ac:dyDescent="0.2">
      <c r="B395" s="166"/>
      <c r="C395" s="166"/>
      <c r="D395" s="166"/>
      <c r="E395" s="166"/>
      <c r="F395" s="166"/>
    </row>
    <row r="396" spans="2:6" ht="12.75" customHeight="1" x14ac:dyDescent="0.2">
      <c r="B396" s="166"/>
      <c r="C396" s="166"/>
      <c r="D396" s="166"/>
      <c r="E396" s="166"/>
      <c r="F396" s="166"/>
    </row>
    <row r="397" spans="2:6" ht="12.75" customHeight="1" x14ac:dyDescent="0.2">
      <c r="B397" s="166"/>
      <c r="C397" s="166"/>
      <c r="D397" s="166"/>
      <c r="E397" s="166"/>
      <c r="F397" s="166"/>
    </row>
    <row r="398" spans="2:6" ht="12.75" customHeight="1" x14ac:dyDescent="0.2">
      <c r="B398" s="166"/>
      <c r="C398" s="166"/>
      <c r="D398" s="166"/>
      <c r="E398" s="166"/>
      <c r="F398" s="166"/>
    </row>
    <row r="399" spans="2:6" ht="12.75" customHeight="1" x14ac:dyDescent="0.2">
      <c r="B399" s="166"/>
      <c r="C399" s="166"/>
      <c r="D399" s="166"/>
      <c r="E399" s="166"/>
      <c r="F399" s="166"/>
    </row>
    <row r="400" spans="2:6" ht="12.75" customHeight="1" x14ac:dyDescent="0.2">
      <c r="B400" s="166"/>
      <c r="C400" s="166"/>
      <c r="D400" s="166"/>
      <c r="E400" s="166"/>
      <c r="F400" s="166"/>
    </row>
    <row r="401" spans="2:6" ht="12.75" customHeight="1" x14ac:dyDescent="0.2">
      <c r="B401" s="166"/>
      <c r="C401" s="166"/>
      <c r="D401" s="166"/>
      <c r="E401" s="166"/>
      <c r="F401" s="166"/>
    </row>
    <row r="402" spans="2:6" ht="12.75" customHeight="1" x14ac:dyDescent="0.2">
      <c r="B402" s="166"/>
      <c r="C402" s="166"/>
      <c r="D402" s="166"/>
      <c r="E402" s="166"/>
      <c r="F402" s="166"/>
    </row>
    <row r="403" spans="2:6" ht="12.75" customHeight="1" x14ac:dyDescent="0.2">
      <c r="B403" s="166"/>
      <c r="C403" s="166"/>
      <c r="D403" s="166"/>
      <c r="E403" s="166"/>
      <c r="F403" s="166"/>
    </row>
    <row r="404" spans="2:6" ht="12.75" customHeight="1" x14ac:dyDescent="0.2">
      <c r="B404" s="166"/>
      <c r="C404" s="166"/>
      <c r="D404" s="166"/>
      <c r="E404" s="166"/>
      <c r="F404" s="166"/>
    </row>
    <row r="405" spans="2:6" ht="12.75" customHeight="1" x14ac:dyDescent="0.2">
      <c r="B405" s="166"/>
      <c r="C405" s="166"/>
      <c r="D405" s="166"/>
      <c r="E405" s="166"/>
      <c r="F405" s="166"/>
    </row>
    <row r="406" spans="2:6" ht="12.75" customHeight="1" x14ac:dyDescent="0.2">
      <c r="B406" s="166"/>
      <c r="C406" s="166"/>
      <c r="D406" s="166"/>
      <c r="E406" s="166"/>
      <c r="F406" s="166"/>
    </row>
    <row r="407" spans="2:6" ht="12.75" customHeight="1" x14ac:dyDescent="0.2">
      <c r="B407" s="166"/>
      <c r="C407" s="166"/>
      <c r="D407" s="166"/>
      <c r="E407" s="166"/>
      <c r="F407" s="166"/>
    </row>
    <row r="408" spans="2:6" ht="12.75" customHeight="1" x14ac:dyDescent="0.2">
      <c r="B408" s="166"/>
      <c r="C408" s="166"/>
      <c r="D408" s="166"/>
      <c r="E408" s="166"/>
      <c r="F408" s="166"/>
    </row>
    <row r="409" spans="2:6" ht="12.75" customHeight="1" x14ac:dyDescent="0.2">
      <c r="B409" s="166"/>
      <c r="C409" s="166"/>
      <c r="D409" s="166"/>
      <c r="E409" s="166"/>
      <c r="F409" s="166"/>
    </row>
    <row r="410" spans="2:6" ht="12.75" customHeight="1" x14ac:dyDescent="0.2">
      <c r="B410" s="166"/>
      <c r="C410" s="166"/>
      <c r="D410" s="166"/>
      <c r="E410" s="166"/>
      <c r="F410" s="166"/>
    </row>
    <row r="411" spans="2:6" ht="12.75" customHeight="1" x14ac:dyDescent="0.2">
      <c r="B411" s="166"/>
      <c r="C411" s="166"/>
      <c r="D411" s="166"/>
      <c r="E411" s="166"/>
      <c r="F411" s="166"/>
    </row>
    <row r="412" spans="2:6" ht="12.75" customHeight="1" x14ac:dyDescent="0.2">
      <c r="B412" s="166"/>
      <c r="C412" s="166"/>
      <c r="D412" s="166"/>
      <c r="E412" s="166"/>
      <c r="F412" s="166"/>
    </row>
    <row r="413" spans="2:6" ht="12.75" customHeight="1" x14ac:dyDescent="0.2">
      <c r="B413" s="166"/>
      <c r="C413" s="166"/>
      <c r="D413" s="166"/>
      <c r="E413" s="166"/>
      <c r="F413" s="166"/>
    </row>
    <row r="414" spans="2:6" ht="12.75" customHeight="1" x14ac:dyDescent="0.2">
      <c r="B414" s="166"/>
      <c r="C414" s="166"/>
      <c r="D414" s="166"/>
      <c r="E414" s="166"/>
      <c r="F414" s="166"/>
    </row>
    <row r="415" spans="2:6" ht="12.75" customHeight="1" x14ac:dyDescent="0.2">
      <c r="B415" s="166"/>
      <c r="C415" s="166"/>
      <c r="D415" s="166"/>
      <c r="E415" s="166"/>
      <c r="F415" s="166"/>
    </row>
    <row r="416" spans="2:6" ht="12.75" customHeight="1" x14ac:dyDescent="0.2">
      <c r="B416" s="166"/>
      <c r="C416" s="166"/>
      <c r="D416" s="166"/>
      <c r="E416" s="166"/>
      <c r="F416" s="166"/>
    </row>
    <row r="417" spans="2:6" ht="12.75" customHeight="1" x14ac:dyDescent="0.2">
      <c r="B417" s="166"/>
      <c r="C417" s="166"/>
      <c r="D417" s="166"/>
      <c r="E417" s="166"/>
      <c r="F417" s="166"/>
    </row>
    <row r="418" spans="2:6" ht="12.75" customHeight="1" x14ac:dyDescent="0.2">
      <c r="B418" s="166"/>
      <c r="C418" s="166"/>
      <c r="D418" s="166"/>
      <c r="E418" s="166"/>
      <c r="F418" s="166"/>
    </row>
    <row r="419" spans="2:6" ht="12.75" customHeight="1" x14ac:dyDescent="0.2">
      <c r="B419" s="166"/>
      <c r="C419" s="166"/>
      <c r="D419" s="166"/>
      <c r="E419" s="166"/>
      <c r="F419" s="166"/>
    </row>
    <row r="420" spans="2:6" ht="12.75" customHeight="1" x14ac:dyDescent="0.2">
      <c r="B420" s="166"/>
      <c r="C420" s="166"/>
      <c r="D420" s="166"/>
      <c r="E420" s="166"/>
      <c r="F420" s="166"/>
    </row>
    <row r="421" spans="2:6" ht="12.75" customHeight="1" x14ac:dyDescent="0.2">
      <c r="B421" s="166"/>
      <c r="C421" s="166"/>
      <c r="D421" s="166"/>
      <c r="E421" s="166"/>
      <c r="F421" s="166"/>
    </row>
    <row r="422" spans="2:6" ht="12.75" customHeight="1" x14ac:dyDescent="0.2">
      <c r="B422" s="166"/>
      <c r="C422" s="166"/>
      <c r="D422" s="166"/>
      <c r="E422" s="166"/>
      <c r="F422" s="166"/>
    </row>
    <row r="423" spans="2:6" ht="12.75" customHeight="1" x14ac:dyDescent="0.2">
      <c r="B423" s="166"/>
      <c r="C423" s="166"/>
      <c r="D423" s="166"/>
      <c r="E423" s="166"/>
      <c r="F423" s="166"/>
    </row>
    <row r="424" spans="2:6" ht="12.75" customHeight="1" x14ac:dyDescent="0.2">
      <c r="B424" s="166"/>
      <c r="C424" s="166"/>
      <c r="D424" s="166"/>
      <c r="E424" s="166"/>
      <c r="F424" s="166"/>
    </row>
    <row r="425" spans="2:6" ht="12.75" customHeight="1" x14ac:dyDescent="0.2">
      <c r="B425" s="166"/>
      <c r="C425" s="166"/>
      <c r="D425" s="166"/>
      <c r="E425" s="166"/>
      <c r="F425" s="166"/>
    </row>
    <row r="426" spans="2:6" ht="12.75" customHeight="1" x14ac:dyDescent="0.2">
      <c r="B426" s="166"/>
      <c r="C426" s="166"/>
      <c r="D426" s="166"/>
      <c r="E426" s="166"/>
      <c r="F426" s="166"/>
    </row>
    <row r="427" spans="2:6" ht="12.75" customHeight="1" x14ac:dyDescent="0.2">
      <c r="B427" s="166"/>
      <c r="C427" s="166"/>
      <c r="D427" s="166"/>
      <c r="E427" s="166"/>
      <c r="F427" s="166"/>
    </row>
    <row r="428" spans="2:6" ht="12.75" customHeight="1" x14ac:dyDescent="0.2">
      <c r="B428" s="166"/>
      <c r="C428" s="166"/>
      <c r="D428" s="166"/>
      <c r="E428" s="166"/>
      <c r="F428" s="166"/>
    </row>
    <row r="429" spans="2:6" ht="12.75" customHeight="1" x14ac:dyDescent="0.2">
      <c r="B429" s="166"/>
      <c r="C429" s="166"/>
      <c r="D429" s="166"/>
      <c r="E429" s="166"/>
      <c r="F429" s="166"/>
    </row>
    <row r="430" spans="2:6" ht="12.75" customHeight="1" x14ac:dyDescent="0.2">
      <c r="B430" s="166"/>
      <c r="C430" s="166"/>
      <c r="D430" s="166"/>
      <c r="E430" s="166"/>
      <c r="F430" s="166"/>
    </row>
    <row r="431" spans="2:6" ht="12.75" customHeight="1" x14ac:dyDescent="0.2">
      <c r="B431" s="166"/>
      <c r="C431" s="166"/>
      <c r="D431" s="166"/>
      <c r="E431" s="166"/>
      <c r="F431" s="166"/>
    </row>
    <row r="432" spans="2:6" ht="12.75" customHeight="1" x14ac:dyDescent="0.2">
      <c r="B432" s="166"/>
      <c r="C432" s="166"/>
      <c r="D432" s="166"/>
      <c r="E432" s="166"/>
      <c r="F432" s="166"/>
    </row>
    <row r="433" spans="2:6" ht="12.75" customHeight="1" x14ac:dyDescent="0.2">
      <c r="B433" s="166"/>
      <c r="C433" s="166"/>
      <c r="D433" s="166"/>
      <c r="E433" s="166"/>
      <c r="F433" s="166"/>
    </row>
    <row r="434" spans="2:6" ht="12.75" customHeight="1" x14ac:dyDescent="0.2">
      <c r="B434" s="166"/>
      <c r="C434" s="166"/>
      <c r="D434" s="166"/>
      <c r="E434" s="166"/>
      <c r="F434" s="166"/>
    </row>
    <row r="435" spans="2:6" ht="12.75" customHeight="1" x14ac:dyDescent="0.2">
      <c r="B435" s="166"/>
      <c r="C435" s="166"/>
      <c r="D435" s="166"/>
      <c r="E435" s="166"/>
      <c r="F435" s="166"/>
    </row>
    <row r="436" spans="2:6" ht="12.75" customHeight="1" x14ac:dyDescent="0.2">
      <c r="B436" s="166"/>
      <c r="C436" s="166"/>
      <c r="D436" s="166"/>
      <c r="E436" s="166"/>
      <c r="F436" s="166"/>
    </row>
    <row r="437" spans="2:6" ht="12.75" customHeight="1" x14ac:dyDescent="0.2">
      <c r="B437" s="166"/>
      <c r="C437" s="166"/>
      <c r="D437" s="166"/>
      <c r="E437" s="166"/>
      <c r="F437" s="166"/>
    </row>
    <row r="438" spans="2:6" ht="12.75" customHeight="1" x14ac:dyDescent="0.2">
      <c r="B438" s="166"/>
      <c r="C438" s="166"/>
      <c r="D438" s="166"/>
      <c r="E438" s="166"/>
      <c r="F438" s="166"/>
    </row>
    <row r="439" spans="2:6" ht="12.75" customHeight="1" x14ac:dyDescent="0.2">
      <c r="B439" s="166"/>
      <c r="C439" s="166"/>
      <c r="D439" s="166"/>
      <c r="E439" s="166"/>
      <c r="F439" s="166"/>
    </row>
    <row r="440" spans="2:6" ht="12.75" customHeight="1" x14ac:dyDescent="0.2">
      <c r="B440" s="166"/>
      <c r="C440" s="166"/>
      <c r="D440" s="166"/>
      <c r="E440" s="166"/>
      <c r="F440" s="166"/>
    </row>
    <row r="441" spans="2:6" ht="12.75" customHeight="1" x14ac:dyDescent="0.2">
      <c r="B441" s="166"/>
      <c r="C441" s="166"/>
      <c r="D441" s="166"/>
      <c r="E441" s="166"/>
      <c r="F441" s="166"/>
    </row>
    <row r="442" spans="2:6" ht="12.75" customHeight="1" x14ac:dyDescent="0.2">
      <c r="B442" s="166"/>
      <c r="C442" s="166"/>
      <c r="D442" s="166"/>
      <c r="E442" s="166"/>
      <c r="F442" s="166"/>
    </row>
    <row r="443" spans="2:6" ht="12.75" customHeight="1" x14ac:dyDescent="0.2">
      <c r="B443" s="166"/>
      <c r="C443" s="166"/>
      <c r="D443" s="166"/>
      <c r="E443" s="166"/>
      <c r="F443" s="166"/>
    </row>
    <row r="444" spans="2:6" ht="12.75" customHeight="1" x14ac:dyDescent="0.2">
      <c r="B444" s="166"/>
      <c r="C444" s="166"/>
      <c r="D444" s="166"/>
      <c r="E444" s="166"/>
      <c r="F444" s="166"/>
    </row>
    <row r="445" spans="2:6" ht="12.75" customHeight="1" x14ac:dyDescent="0.2">
      <c r="B445" s="166"/>
      <c r="C445" s="166"/>
      <c r="D445" s="166"/>
      <c r="E445" s="166"/>
      <c r="F445" s="166"/>
    </row>
    <row r="446" spans="2:6" ht="12.75" customHeight="1" x14ac:dyDescent="0.2">
      <c r="B446" s="166"/>
      <c r="C446" s="166"/>
      <c r="D446" s="166"/>
      <c r="E446" s="166"/>
      <c r="F446" s="166"/>
    </row>
    <row r="447" spans="2:6" ht="12.75" customHeight="1" x14ac:dyDescent="0.2">
      <c r="B447" s="166"/>
      <c r="C447" s="166"/>
      <c r="D447" s="166"/>
      <c r="E447" s="166"/>
      <c r="F447" s="166"/>
    </row>
    <row r="448" spans="2:6" ht="12.75" customHeight="1" x14ac:dyDescent="0.2">
      <c r="B448" s="166"/>
      <c r="C448" s="166"/>
      <c r="D448" s="166"/>
      <c r="E448" s="166"/>
      <c r="F448" s="166"/>
    </row>
    <row r="449" spans="2:6" ht="12.75" customHeight="1" x14ac:dyDescent="0.2">
      <c r="B449" s="166"/>
      <c r="C449" s="166"/>
      <c r="D449" s="166"/>
      <c r="E449" s="166"/>
      <c r="F449" s="166"/>
    </row>
    <row r="450" spans="2:6" ht="12.75" customHeight="1" x14ac:dyDescent="0.2">
      <c r="B450" s="166"/>
      <c r="C450" s="166"/>
      <c r="D450" s="166"/>
      <c r="E450" s="166"/>
      <c r="F450" s="166"/>
    </row>
    <row r="451" spans="2:6" ht="12.75" customHeight="1" x14ac:dyDescent="0.2">
      <c r="B451" s="166"/>
      <c r="C451" s="166"/>
      <c r="D451" s="166"/>
      <c r="E451" s="166"/>
      <c r="F451" s="166"/>
    </row>
    <row r="452" spans="2:6" ht="12.75" customHeight="1" x14ac:dyDescent="0.2">
      <c r="B452" s="166"/>
      <c r="C452" s="166"/>
      <c r="D452" s="166"/>
      <c r="E452" s="166"/>
      <c r="F452" s="166"/>
    </row>
    <row r="453" spans="2:6" ht="12.75" customHeight="1" x14ac:dyDescent="0.2">
      <c r="B453" s="166"/>
      <c r="C453" s="166"/>
      <c r="D453" s="166"/>
      <c r="E453" s="166"/>
      <c r="F453" s="166"/>
    </row>
    <row r="454" spans="2:6" ht="12.75" customHeight="1" x14ac:dyDescent="0.2">
      <c r="B454" s="166"/>
      <c r="C454" s="166"/>
      <c r="D454" s="166"/>
      <c r="E454" s="166"/>
      <c r="F454" s="166"/>
    </row>
    <row r="455" spans="2:6" ht="12.75" customHeight="1" x14ac:dyDescent="0.2">
      <c r="B455" s="166"/>
      <c r="C455" s="166"/>
      <c r="D455" s="166"/>
      <c r="E455" s="166"/>
      <c r="F455" s="166"/>
    </row>
    <row r="456" spans="2:6" ht="12.75" customHeight="1" x14ac:dyDescent="0.2">
      <c r="B456" s="166"/>
      <c r="C456" s="166"/>
      <c r="D456" s="166"/>
      <c r="E456" s="166"/>
      <c r="F456" s="166"/>
    </row>
    <row r="457" spans="2:6" ht="12.75" customHeight="1" x14ac:dyDescent="0.2">
      <c r="B457" s="166"/>
      <c r="C457" s="166"/>
      <c r="D457" s="166"/>
      <c r="E457" s="166"/>
      <c r="F457" s="166"/>
    </row>
    <row r="458" spans="2:6" ht="12.75" customHeight="1" x14ac:dyDescent="0.2">
      <c r="B458" s="166"/>
      <c r="C458" s="166"/>
      <c r="D458" s="166"/>
      <c r="E458" s="166"/>
      <c r="F458" s="166"/>
    </row>
    <row r="459" spans="2:6" ht="12.75" customHeight="1" x14ac:dyDescent="0.2">
      <c r="B459" s="166"/>
      <c r="C459" s="166"/>
      <c r="D459" s="166"/>
      <c r="E459" s="166"/>
      <c r="F459" s="166"/>
    </row>
    <row r="460" spans="2:6" ht="12.75" customHeight="1" x14ac:dyDescent="0.2">
      <c r="B460" s="166"/>
      <c r="C460" s="166"/>
      <c r="D460" s="166"/>
      <c r="E460" s="166"/>
      <c r="F460" s="166"/>
    </row>
    <row r="461" spans="2:6" ht="12.75" customHeight="1" x14ac:dyDescent="0.2">
      <c r="B461" s="166"/>
      <c r="C461" s="166"/>
      <c r="D461" s="166"/>
      <c r="E461" s="166"/>
      <c r="F461" s="166"/>
    </row>
    <row r="462" spans="2:6" ht="12.75" customHeight="1" x14ac:dyDescent="0.2">
      <c r="B462" s="166"/>
      <c r="C462" s="166"/>
      <c r="D462" s="166"/>
      <c r="E462" s="166"/>
      <c r="F462" s="166"/>
    </row>
    <row r="463" spans="2:6" ht="12.75" customHeight="1" x14ac:dyDescent="0.2">
      <c r="B463" s="166"/>
      <c r="C463" s="166"/>
      <c r="D463" s="166"/>
      <c r="E463" s="166"/>
      <c r="F463" s="166"/>
    </row>
    <row r="464" spans="2:6" ht="12.75" customHeight="1" x14ac:dyDescent="0.2">
      <c r="B464" s="166"/>
      <c r="C464" s="166"/>
      <c r="D464" s="166"/>
      <c r="E464" s="166"/>
      <c r="F464" s="166"/>
    </row>
    <row r="465" spans="2:6" ht="12.75" customHeight="1" x14ac:dyDescent="0.2">
      <c r="B465" s="166"/>
      <c r="C465" s="166"/>
      <c r="D465" s="166"/>
      <c r="E465" s="166"/>
      <c r="F465" s="166"/>
    </row>
    <row r="466" spans="2:6" ht="12.75" customHeight="1" x14ac:dyDescent="0.2">
      <c r="B466" s="166"/>
      <c r="C466" s="166"/>
      <c r="D466" s="166"/>
      <c r="E466" s="166"/>
      <c r="F466" s="166"/>
    </row>
    <row r="467" spans="2:6" ht="12.75" customHeight="1" x14ac:dyDescent="0.2">
      <c r="B467" s="166"/>
      <c r="C467" s="166"/>
      <c r="D467" s="166"/>
      <c r="E467" s="166"/>
      <c r="F467" s="166"/>
    </row>
    <row r="468" spans="2:6" ht="12.75" customHeight="1" x14ac:dyDescent="0.2">
      <c r="B468" s="166"/>
      <c r="C468" s="166"/>
      <c r="D468" s="166"/>
      <c r="E468" s="166"/>
      <c r="F468" s="166"/>
    </row>
    <row r="469" spans="2:6" ht="12.75" customHeight="1" x14ac:dyDescent="0.2">
      <c r="B469" s="166"/>
      <c r="C469" s="166"/>
      <c r="D469" s="166"/>
      <c r="E469" s="166"/>
      <c r="F469" s="166"/>
    </row>
    <row r="470" spans="2:6" ht="12.75" customHeight="1" x14ac:dyDescent="0.2">
      <c r="B470" s="166"/>
      <c r="C470" s="166"/>
      <c r="D470" s="166"/>
      <c r="E470" s="166"/>
      <c r="F470" s="166"/>
    </row>
    <row r="471" spans="2:6" ht="12.75" customHeight="1" x14ac:dyDescent="0.2">
      <c r="B471" s="166"/>
      <c r="C471" s="166"/>
      <c r="D471" s="166"/>
      <c r="E471" s="166"/>
      <c r="F471" s="166"/>
    </row>
    <row r="472" spans="2:6" ht="12.75" customHeight="1" x14ac:dyDescent="0.2">
      <c r="B472" s="166"/>
      <c r="C472" s="166"/>
      <c r="D472" s="166"/>
      <c r="E472" s="166"/>
      <c r="F472" s="166"/>
    </row>
    <row r="473" spans="2:6" ht="12.75" customHeight="1" x14ac:dyDescent="0.2">
      <c r="B473" s="166"/>
      <c r="C473" s="166"/>
      <c r="D473" s="166"/>
      <c r="E473" s="166"/>
      <c r="F473" s="166"/>
    </row>
    <row r="474" spans="2:6" ht="12.75" customHeight="1" x14ac:dyDescent="0.2">
      <c r="B474" s="166"/>
      <c r="C474" s="166"/>
      <c r="D474" s="166"/>
      <c r="E474" s="166"/>
      <c r="F474" s="166"/>
    </row>
    <row r="475" spans="2:6" ht="12.75" customHeight="1" x14ac:dyDescent="0.2">
      <c r="B475" s="166"/>
      <c r="C475" s="166"/>
      <c r="D475" s="166"/>
      <c r="E475" s="166"/>
      <c r="F475" s="166"/>
    </row>
    <row r="476" spans="2:6" ht="12.75" customHeight="1" x14ac:dyDescent="0.2">
      <c r="B476" s="166"/>
      <c r="C476" s="166"/>
      <c r="D476" s="166"/>
      <c r="E476" s="166"/>
      <c r="F476" s="166"/>
    </row>
    <row r="477" spans="2:6" ht="12.75" customHeight="1" x14ac:dyDescent="0.2">
      <c r="B477" s="166"/>
      <c r="C477" s="166"/>
      <c r="D477" s="166"/>
      <c r="E477" s="166"/>
      <c r="F477" s="166"/>
    </row>
    <row r="478" spans="2:6" ht="12.75" customHeight="1" x14ac:dyDescent="0.2">
      <c r="B478" s="166"/>
      <c r="C478" s="166"/>
      <c r="D478" s="166"/>
      <c r="E478" s="166"/>
      <c r="F478" s="166"/>
    </row>
    <row r="479" spans="2:6" ht="12.75" customHeight="1" x14ac:dyDescent="0.2">
      <c r="B479" s="166"/>
      <c r="C479" s="166"/>
      <c r="D479" s="166"/>
      <c r="E479" s="166"/>
      <c r="F479" s="166"/>
    </row>
    <row r="480" spans="2:6" ht="12.75" customHeight="1" x14ac:dyDescent="0.2">
      <c r="B480" s="166"/>
      <c r="C480" s="166"/>
      <c r="D480" s="166"/>
      <c r="E480" s="166"/>
      <c r="F480" s="166"/>
    </row>
    <row r="481" spans="2:6" ht="12.75" customHeight="1" x14ac:dyDescent="0.2">
      <c r="B481" s="166"/>
      <c r="C481" s="166"/>
      <c r="D481" s="166"/>
      <c r="E481" s="166"/>
      <c r="F481" s="166"/>
    </row>
    <row r="482" spans="2:6" ht="12.75" customHeight="1" x14ac:dyDescent="0.2">
      <c r="B482" s="166"/>
      <c r="C482" s="166"/>
      <c r="D482" s="166"/>
      <c r="E482" s="166"/>
      <c r="F482" s="166"/>
    </row>
    <row r="483" spans="2:6" ht="12.75" customHeight="1" x14ac:dyDescent="0.2">
      <c r="B483" s="166"/>
      <c r="C483" s="166"/>
      <c r="D483" s="166"/>
      <c r="E483" s="166"/>
      <c r="F483" s="166"/>
    </row>
    <row r="484" spans="2:6" ht="12.75" customHeight="1" x14ac:dyDescent="0.2">
      <c r="B484" s="166"/>
      <c r="C484" s="166"/>
      <c r="D484" s="166"/>
      <c r="E484" s="166"/>
      <c r="F484" s="166"/>
    </row>
    <row r="485" spans="2:6" ht="12.75" customHeight="1" x14ac:dyDescent="0.2">
      <c r="B485" s="166"/>
      <c r="C485" s="166"/>
      <c r="D485" s="166"/>
      <c r="E485" s="166"/>
      <c r="F485" s="166"/>
    </row>
    <row r="486" spans="2:6" ht="12.75" customHeight="1" x14ac:dyDescent="0.2">
      <c r="B486" s="166"/>
      <c r="C486" s="166"/>
      <c r="D486" s="166"/>
      <c r="E486" s="166"/>
      <c r="F486" s="166"/>
    </row>
    <row r="487" spans="2:6" ht="12.75" customHeight="1" x14ac:dyDescent="0.2">
      <c r="B487" s="166"/>
      <c r="C487" s="166"/>
      <c r="D487" s="166"/>
      <c r="E487" s="166"/>
      <c r="F487" s="166"/>
    </row>
    <row r="488" spans="2:6" ht="12.75" customHeight="1" x14ac:dyDescent="0.2">
      <c r="B488" s="166"/>
      <c r="C488" s="166"/>
      <c r="D488" s="166"/>
      <c r="E488" s="166"/>
      <c r="F488" s="166"/>
    </row>
    <row r="489" spans="2:6" ht="12.75" customHeight="1" x14ac:dyDescent="0.2">
      <c r="B489" s="166"/>
      <c r="C489" s="166"/>
      <c r="D489" s="166"/>
      <c r="E489" s="166"/>
      <c r="F489" s="166"/>
    </row>
    <row r="490" spans="2:6" ht="12.75" customHeight="1" x14ac:dyDescent="0.2">
      <c r="B490" s="166"/>
      <c r="C490" s="166"/>
      <c r="D490" s="166"/>
      <c r="E490" s="166"/>
      <c r="F490" s="166"/>
    </row>
    <row r="491" spans="2:6" ht="12.75" customHeight="1" x14ac:dyDescent="0.2">
      <c r="B491" s="166"/>
      <c r="C491" s="166"/>
      <c r="D491" s="166"/>
      <c r="E491" s="166"/>
      <c r="F491" s="166"/>
    </row>
    <row r="492" spans="2:6" ht="12.75" customHeight="1" x14ac:dyDescent="0.2">
      <c r="B492" s="166"/>
      <c r="C492" s="166"/>
      <c r="D492" s="166"/>
      <c r="E492" s="166"/>
      <c r="F492" s="166"/>
    </row>
    <row r="493" spans="2:6" ht="12.75" customHeight="1" x14ac:dyDescent="0.2">
      <c r="B493" s="166"/>
      <c r="C493" s="166"/>
      <c r="D493" s="166"/>
      <c r="E493" s="166"/>
      <c r="F493" s="166"/>
    </row>
    <row r="494" spans="2:6" ht="12.75" customHeight="1" x14ac:dyDescent="0.2">
      <c r="B494" s="166"/>
      <c r="C494" s="166"/>
      <c r="D494" s="166"/>
      <c r="E494" s="166"/>
      <c r="F494" s="166"/>
    </row>
    <row r="495" spans="2:6" ht="12.75" customHeight="1" x14ac:dyDescent="0.2">
      <c r="B495" s="166"/>
      <c r="C495" s="166"/>
      <c r="D495" s="166"/>
      <c r="E495" s="166"/>
      <c r="F495" s="166"/>
    </row>
    <row r="496" spans="2:6" ht="12.75" customHeight="1" x14ac:dyDescent="0.2">
      <c r="B496" s="166"/>
      <c r="C496" s="166"/>
      <c r="D496" s="166"/>
      <c r="E496" s="166"/>
      <c r="F496" s="166"/>
    </row>
    <row r="497" spans="2:6" ht="12.75" customHeight="1" x14ac:dyDescent="0.2">
      <c r="B497" s="166"/>
      <c r="C497" s="166"/>
      <c r="D497" s="166"/>
      <c r="E497" s="166"/>
      <c r="F497" s="166"/>
    </row>
    <row r="498" spans="2:6" ht="12.75" customHeight="1" x14ac:dyDescent="0.2">
      <c r="B498" s="166"/>
      <c r="C498" s="166"/>
      <c r="D498" s="166"/>
      <c r="E498" s="166"/>
      <c r="F498" s="166"/>
    </row>
    <row r="499" spans="2:6" ht="12.75" customHeight="1" x14ac:dyDescent="0.2">
      <c r="B499" s="166"/>
      <c r="C499" s="166"/>
      <c r="D499" s="166"/>
      <c r="E499" s="166"/>
      <c r="F499" s="166"/>
    </row>
    <row r="500" spans="2:6" ht="12.75" customHeight="1" x14ac:dyDescent="0.2">
      <c r="B500" s="166"/>
      <c r="C500" s="166"/>
      <c r="D500" s="166"/>
      <c r="E500" s="166"/>
      <c r="F500" s="166"/>
    </row>
    <row r="501" spans="2:6" ht="12.75" customHeight="1" x14ac:dyDescent="0.2">
      <c r="B501" s="166"/>
      <c r="C501" s="166"/>
      <c r="D501" s="166"/>
      <c r="E501" s="166"/>
      <c r="F501" s="166"/>
    </row>
    <row r="502" spans="2:6" ht="12.75" customHeight="1" x14ac:dyDescent="0.2">
      <c r="B502" s="166"/>
      <c r="C502" s="166"/>
      <c r="D502" s="166"/>
      <c r="E502" s="166"/>
      <c r="F502" s="166"/>
    </row>
    <row r="503" spans="2:6" ht="12.75" customHeight="1" x14ac:dyDescent="0.2">
      <c r="B503" s="166"/>
      <c r="C503" s="166"/>
      <c r="D503" s="166"/>
      <c r="E503" s="166"/>
      <c r="F503" s="166"/>
    </row>
    <row r="504" spans="2:6" ht="12.75" customHeight="1" x14ac:dyDescent="0.2">
      <c r="B504" s="166"/>
      <c r="C504" s="166"/>
      <c r="D504" s="166"/>
      <c r="E504" s="166"/>
      <c r="F504" s="166"/>
    </row>
    <row r="505" spans="2:6" ht="12.75" customHeight="1" x14ac:dyDescent="0.2">
      <c r="B505" s="166"/>
      <c r="C505" s="166"/>
      <c r="D505" s="166"/>
      <c r="E505" s="166"/>
      <c r="F505" s="166"/>
    </row>
    <row r="506" spans="2:6" ht="12.75" customHeight="1" x14ac:dyDescent="0.2">
      <c r="B506" s="166"/>
      <c r="C506" s="166"/>
      <c r="D506" s="166"/>
      <c r="E506" s="166"/>
      <c r="F506" s="166"/>
    </row>
    <row r="507" spans="2:6" ht="12.75" customHeight="1" x14ac:dyDescent="0.2">
      <c r="B507" s="166"/>
      <c r="C507" s="166"/>
      <c r="D507" s="166"/>
      <c r="E507" s="166"/>
      <c r="F507" s="166"/>
    </row>
    <row r="508" spans="2:6" ht="12.75" customHeight="1" x14ac:dyDescent="0.2">
      <c r="B508" s="166"/>
      <c r="C508" s="166"/>
      <c r="D508" s="166"/>
      <c r="E508" s="166"/>
      <c r="F508" s="166"/>
    </row>
    <row r="509" spans="2:6" ht="12.75" customHeight="1" x14ac:dyDescent="0.2">
      <c r="B509" s="166"/>
      <c r="C509" s="166"/>
      <c r="D509" s="166"/>
      <c r="E509" s="166"/>
      <c r="F509" s="166"/>
    </row>
    <row r="510" spans="2:6" ht="12.75" customHeight="1" x14ac:dyDescent="0.2">
      <c r="B510" s="166"/>
      <c r="C510" s="166"/>
      <c r="D510" s="166"/>
      <c r="E510" s="166"/>
      <c r="F510" s="166"/>
    </row>
    <row r="511" spans="2:6" ht="12.75" customHeight="1" x14ac:dyDescent="0.2">
      <c r="B511" s="166"/>
      <c r="C511" s="166"/>
      <c r="D511" s="166"/>
      <c r="E511" s="166"/>
      <c r="F511" s="166"/>
    </row>
    <row r="512" spans="2:6" ht="12.75" customHeight="1" x14ac:dyDescent="0.2">
      <c r="B512" s="166"/>
      <c r="C512" s="166"/>
      <c r="D512" s="166"/>
      <c r="E512" s="166"/>
      <c r="F512" s="166"/>
    </row>
    <row r="513" spans="2:6" ht="12.75" customHeight="1" x14ac:dyDescent="0.2">
      <c r="B513" s="166"/>
      <c r="C513" s="166"/>
      <c r="D513" s="166"/>
      <c r="E513" s="166"/>
      <c r="F513" s="166"/>
    </row>
    <row r="514" spans="2:6" ht="12.75" customHeight="1" x14ac:dyDescent="0.2">
      <c r="B514" s="166"/>
      <c r="C514" s="166"/>
      <c r="D514" s="166"/>
      <c r="E514" s="166"/>
      <c r="F514" s="166"/>
    </row>
    <row r="515" spans="2:6" ht="12.75" customHeight="1" x14ac:dyDescent="0.2">
      <c r="B515" s="166"/>
      <c r="C515" s="166"/>
      <c r="D515" s="166"/>
      <c r="E515" s="166"/>
      <c r="F515" s="166"/>
    </row>
    <row r="516" spans="2:6" ht="12.75" customHeight="1" x14ac:dyDescent="0.2">
      <c r="B516" s="166"/>
      <c r="C516" s="166"/>
      <c r="D516" s="166"/>
      <c r="E516" s="166"/>
      <c r="F516" s="166"/>
    </row>
    <row r="517" spans="2:6" ht="12.75" customHeight="1" x14ac:dyDescent="0.2">
      <c r="B517" s="166"/>
      <c r="C517" s="166"/>
      <c r="D517" s="166"/>
      <c r="E517" s="166"/>
      <c r="F517" s="166"/>
    </row>
    <row r="518" spans="2:6" ht="12.75" customHeight="1" x14ac:dyDescent="0.2">
      <c r="B518" s="166"/>
      <c r="C518" s="166"/>
      <c r="D518" s="166"/>
      <c r="E518" s="166"/>
      <c r="F518" s="166"/>
    </row>
    <row r="519" spans="2:6" ht="12.75" customHeight="1" x14ac:dyDescent="0.2">
      <c r="B519" s="166"/>
      <c r="C519" s="166"/>
      <c r="D519" s="166"/>
      <c r="E519" s="166"/>
      <c r="F519" s="166"/>
    </row>
    <row r="520" spans="2:6" ht="12.75" customHeight="1" x14ac:dyDescent="0.2">
      <c r="B520" s="166"/>
      <c r="C520" s="166"/>
      <c r="D520" s="166"/>
      <c r="E520" s="166"/>
      <c r="F520" s="166"/>
    </row>
    <row r="521" spans="2:6" ht="12.75" customHeight="1" x14ac:dyDescent="0.2">
      <c r="B521" s="166"/>
      <c r="C521" s="166"/>
      <c r="D521" s="166"/>
      <c r="E521" s="166"/>
      <c r="F521" s="166"/>
    </row>
    <row r="522" spans="2:6" ht="12.75" customHeight="1" x14ac:dyDescent="0.2">
      <c r="B522" s="166"/>
      <c r="C522" s="166"/>
      <c r="D522" s="166"/>
      <c r="E522" s="166"/>
      <c r="F522" s="166"/>
    </row>
    <row r="523" spans="2:6" ht="12.75" customHeight="1" x14ac:dyDescent="0.2">
      <c r="B523" s="166"/>
      <c r="C523" s="166"/>
      <c r="D523" s="166"/>
      <c r="E523" s="166"/>
      <c r="F523" s="166"/>
    </row>
    <row r="524" spans="2:6" ht="12.75" customHeight="1" x14ac:dyDescent="0.2">
      <c r="B524" s="166"/>
      <c r="C524" s="166"/>
      <c r="D524" s="166"/>
      <c r="E524" s="166"/>
      <c r="F524" s="166"/>
    </row>
    <row r="525" spans="2:6" ht="12.75" customHeight="1" x14ac:dyDescent="0.2">
      <c r="B525" s="166"/>
      <c r="C525" s="166"/>
      <c r="D525" s="166"/>
      <c r="E525" s="166"/>
      <c r="F525" s="166"/>
    </row>
    <row r="526" spans="2:6" ht="12.75" customHeight="1" x14ac:dyDescent="0.2">
      <c r="B526" s="166"/>
      <c r="C526" s="166"/>
      <c r="D526" s="166"/>
      <c r="E526" s="166"/>
      <c r="F526" s="166"/>
    </row>
    <row r="527" spans="2:6" ht="12.75" customHeight="1" x14ac:dyDescent="0.2">
      <c r="B527" s="166"/>
      <c r="C527" s="166"/>
      <c r="D527" s="166"/>
      <c r="E527" s="166"/>
      <c r="F527" s="166"/>
    </row>
    <row r="528" spans="2:6" ht="12.75" customHeight="1" x14ac:dyDescent="0.2">
      <c r="B528" s="166"/>
      <c r="C528" s="166"/>
      <c r="D528" s="166"/>
      <c r="E528" s="166"/>
      <c r="F528" s="166"/>
    </row>
    <row r="529" spans="2:6" ht="12.75" customHeight="1" x14ac:dyDescent="0.2">
      <c r="B529" s="166"/>
      <c r="C529" s="166"/>
      <c r="D529" s="166"/>
      <c r="E529" s="166"/>
      <c r="F529" s="166"/>
    </row>
    <row r="530" spans="2:6" ht="12.75" customHeight="1" x14ac:dyDescent="0.2">
      <c r="B530" s="166"/>
      <c r="C530" s="166"/>
      <c r="D530" s="166"/>
      <c r="E530" s="166"/>
      <c r="F530" s="166"/>
    </row>
    <row r="531" spans="2:6" ht="12.75" customHeight="1" x14ac:dyDescent="0.2">
      <c r="B531" s="166"/>
      <c r="C531" s="166"/>
      <c r="D531" s="166"/>
      <c r="E531" s="166"/>
      <c r="F531" s="166"/>
    </row>
    <row r="532" spans="2:6" ht="12.75" customHeight="1" x14ac:dyDescent="0.2">
      <c r="B532" s="166"/>
      <c r="C532" s="166"/>
      <c r="D532" s="166"/>
      <c r="E532" s="166"/>
      <c r="F532" s="166"/>
    </row>
    <row r="533" spans="2:6" ht="12.75" customHeight="1" x14ac:dyDescent="0.2">
      <c r="B533" s="166"/>
      <c r="C533" s="166"/>
      <c r="D533" s="166"/>
      <c r="E533" s="166"/>
      <c r="F533" s="166"/>
    </row>
    <row r="534" spans="2:6" ht="12.75" customHeight="1" x14ac:dyDescent="0.2">
      <c r="B534" s="166"/>
      <c r="C534" s="166"/>
      <c r="D534" s="166"/>
      <c r="E534" s="166"/>
      <c r="F534" s="166"/>
    </row>
    <row r="535" spans="2:6" ht="12.75" customHeight="1" x14ac:dyDescent="0.2">
      <c r="B535" s="166"/>
      <c r="C535" s="166"/>
      <c r="D535" s="166"/>
      <c r="E535" s="166"/>
      <c r="F535" s="166"/>
    </row>
    <row r="536" spans="2:6" ht="12.75" customHeight="1" x14ac:dyDescent="0.2">
      <c r="B536" s="166"/>
      <c r="C536" s="166"/>
      <c r="D536" s="166"/>
      <c r="E536" s="166"/>
      <c r="F536" s="166"/>
    </row>
    <row r="537" spans="2:6" ht="12.75" customHeight="1" x14ac:dyDescent="0.2">
      <c r="B537" s="166"/>
      <c r="C537" s="166"/>
      <c r="D537" s="166"/>
      <c r="E537" s="166"/>
      <c r="F537" s="166"/>
    </row>
    <row r="538" spans="2:6" ht="12.75" customHeight="1" x14ac:dyDescent="0.2">
      <c r="B538" s="166"/>
      <c r="C538" s="166"/>
      <c r="D538" s="166"/>
      <c r="E538" s="166"/>
      <c r="F538" s="166"/>
    </row>
    <row r="539" spans="2:6" ht="12.75" customHeight="1" x14ac:dyDescent="0.2">
      <c r="B539" s="166"/>
      <c r="C539" s="166"/>
      <c r="D539" s="166"/>
      <c r="E539" s="166"/>
      <c r="F539" s="166"/>
    </row>
    <row r="540" spans="2:6" ht="12.75" customHeight="1" x14ac:dyDescent="0.2">
      <c r="B540" s="166"/>
      <c r="C540" s="166"/>
      <c r="D540" s="166"/>
      <c r="E540" s="166"/>
      <c r="F540" s="166"/>
    </row>
    <row r="541" spans="2:6" ht="12.75" customHeight="1" x14ac:dyDescent="0.2">
      <c r="B541" s="166"/>
      <c r="C541" s="166"/>
      <c r="D541" s="166"/>
      <c r="E541" s="166"/>
      <c r="F541" s="166"/>
    </row>
    <row r="542" spans="2:6" ht="12.75" customHeight="1" x14ac:dyDescent="0.2">
      <c r="B542" s="166"/>
      <c r="C542" s="166"/>
      <c r="D542" s="166"/>
      <c r="E542" s="166"/>
      <c r="F542" s="166"/>
    </row>
    <row r="543" spans="2:6" ht="12.75" customHeight="1" x14ac:dyDescent="0.2">
      <c r="B543" s="166"/>
      <c r="C543" s="166"/>
      <c r="D543" s="166"/>
      <c r="E543" s="166"/>
      <c r="F543" s="166"/>
    </row>
    <row r="544" spans="2:6" ht="12.75" customHeight="1" x14ac:dyDescent="0.2">
      <c r="B544" s="166"/>
      <c r="C544" s="166"/>
      <c r="D544" s="166"/>
      <c r="E544" s="166"/>
      <c r="F544" s="166"/>
    </row>
    <row r="545" spans="2:6" ht="12.75" customHeight="1" x14ac:dyDescent="0.2">
      <c r="B545" s="166"/>
      <c r="C545" s="166"/>
      <c r="D545" s="166"/>
      <c r="E545" s="166"/>
      <c r="F545" s="166"/>
    </row>
    <row r="546" spans="2:6" ht="12.75" customHeight="1" x14ac:dyDescent="0.2">
      <c r="B546" s="166"/>
      <c r="C546" s="166"/>
      <c r="D546" s="166"/>
      <c r="E546" s="166"/>
      <c r="F546" s="166"/>
    </row>
    <row r="547" spans="2:6" ht="12.75" customHeight="1" x14ac:dyDescent="0.2">
      <c r="B547" s="166"/>
      <c r="C547" s="166"/>
      <c r="D547" s="166"/>
      <c r="E547" s="166"/>
      <c r="F547" s="166"/>
    </row>
    <row r="548" spans="2:6" ht="12.75" customHeight="1" x14ac:dyDescent="0.2">
      <c r="B548" s="166"/>
      <c r="C548" s="166"/>
      <c r="D548" s="166"/>
      <c r="E548" s="166"/>
      <c r="F548" s="166"/>
    </row>
    <row r="549" spans="2:6" ht="12.75" customHeight="1" x14ac:dyDescent="0.2">
      <c r="B549" s="166"/>
      <c r="C549" s="166"/>
      <c r="D549" s="166"/>
      <c r="E549" s="166"/>
      <c r="F549" s="166"/>
    </row>
    <row r="550" spans="2:6" ht="12.75" customHeight="1" x14ac:dyDescent="0.2">
      <c r="B550" s="166"/>
      <c r="C550" s="166"/>
      <c r="D550" s="166"/>
      <c r="E550" s="166"/>
      <c r="F550" s="166"/>
    </row>
    <row r="551" spans="2:6" ht="12.75" customHeight="1" x14ac:dyDescent="0.2">
      <c r="B551" s="166"/>
      <c r="C551" s="166"/>
      <c r="D551" s="166"/>
      <c r="E551" s="166"/>
      <c r="F551" s="166"/>
    </row>
    <row r="552" spans="2:6" ht="12.75" customHeight="1" x14ac:dyDescent="0.2">
      <c r="B552" s="166"/>
      <c r="C552" s="166"/>
      <c r="D552" s="166"/>
      <c r="E552" s="166"/>
      <c r="F552" s="166"/>
    </row>
    <row r="553" spans="2:6" ht="12.75" customHeight="1" x14ac:dyDescent="0.2">
      <c r="B553" s="166"/>
      <c r="C553" s="166"/>
      <c r="D553" s="166"/>
      <c r="E553" s="166"/>
      <c r="F553" s="166"/>
    </row>
    <row r="554" spans="2:6" ht="12.75" customHeight="1" x14ac:dyDescent="0.2">
      <c r="B554" s="166"/>
      <c r="C554" s="166"/>
      <c r="D554" s="166"/>
      <c r="E554" s="166"/>
      <c r="F554" s="166"/>
    </row>
    <row r="555" spans="2:6" ht="12.75" customHeight="1" x14ac:dyDescent="0.2">
      <c r="B555" s="166"/>
      <c r="C555" s="166"/>
      <c r="D555" s="166"/>
      <c r="E555" s="166"/>
      <c r="F555" s="166"/>
    </row>
    <row r="556" spans="2:6" ht="12.75" customHeight="1" x14ac:dyDescent="0.2">
      <c r="B556" s="166"/>
      <c r="C556" s="166"/>
      <c r="D556" s="166"/>
      <c r="E556" s="166"/>
      <c r="F556" s="166"/>
    </row>
    <row r="557" spans="2:6" ht="12.75" customHeight="1" x14ac:dyDescent="0.2">
      <c r="B557" s="166"/>
      <c r="C557" s="166"/>
      <c r="D557" s="166"/>
      <c r="E557" s="166"/>
      <c r="F557" s="166"/>
    </row>
    <row r="558" spans="2:6" ht="12.75" customHeight="1" x14ac:dyDescent="0.2">
      <c r="B558" s="166"/>
      <c r="C558" s="166"/>
      <c r="D558" s="166"/>
      <c r="E558" s="166"/>
      <c r="F558" s="166"/>
    </row>
    <row r="559" spans="2:6" ht="12.75" customHeight="1" x14ac:dyDescent="0.2">
      <c r="B559" s="166"/>
      <c r="C559" s="166"/>
      <c r="D559" s="166"/>
      <c r="E559" s="166"/>
      <c r="F559" s="166"/>
    </row>
    <row r="560" spans="2:6" ht="12.75" customHeight="1" x14ac:dyDescent="0.2">
      <c r="B560" s="166"/>
      <c r="C560" s="166"/>
      <c r="D560" s="166"/>
      <c r="E560" s="166"/>
      <c r="F560" s="166"/>
    </row>
    <row r="561" spans="2:6" ht="12.75" customHeight="1" x14ac:dyDescent="0.2">
      <c r="B561" s="166"/>
      <c r="C561" s="166"/>
      <c r="D561" s="166"/>
      <c r="E561" s="166"/>
      <c r="F561" s="166"/>
    </row>
    <row r="562" spans="2:6" ht="12.75" customHeight="1" x14ac:dyDescent="0.2">
      <c r="B562" s="166"/>
      <c r="C562" s="166"/>
      <c r="D562" s="166"/>
      <c r="E562" s="166"/>
      <c r="F562" s="166"/>
    </row>
    <row r="563" spans="2:6" ht="12.75" customHeight="1" x14ac:dyDescent="0.2">
      <c r="B563" s="166"/>
      <c r="C563" s="166"/>
      <c r="D563" s="166"/>
      <c r="E563" s="166"/>
      <c r="F563" s="166"/>
    </row>
    <row r="564" spans="2:6" ht="12.75" customHeight="1" x14ac:dyDescent="0.2">
      <c r="B564" s="166"/>
      <c r="C564" s="166"/>
      <c r="D564" s="166"/>
      <c r="E564" s="166"/>
      <c r="F564" s="166"/>
    </row>
    <row r="565" spans="2:6" ht="12.75" customHeight="1" x14ac:dyDescent="0.2">
      <c r="B565" s="166"/>
      <c r="C565" s="166"/>
      <c r="D565" s="166"/>
      <c r="E565" s="166"/>
      <c r="F565" s="166"/>
    </row>
    <row r="566" spans="2:6" ht="12.75" customHeight="1" x14ac:dyDescent="0.2">
      <c r="B566" s="166"/>
      <c r="C566" s="166"/>
      <c r="D566" s="166"/>
      <c r="E566" s="166"/>
      <c r="F566" s="166"/>
    </row>
    <row r="567" spans="2:6" ht="12.75" customHeight="1" x14ac:dyDescent="0.2">
      <c r="B567" s="166"/>
      <c r="C567" s="166"/>
      <c r="D567" s="166"/>
      <c r="E567" s="166"/>
      <c r="F567" s="166"/>
    </row>
    <row r="568" spans="2:6" ht="12.75" customHeight="1" x14ac:dyDescent="0.2">
      <c r="B568" s="166"/>
      <c r="C568" s="166"/>
      <c r="D568" s="166"/>
      <c r="E568" s="166"/>
      <c r="F568" s="166"/>
    </row>
    <row r="569" spans="2:6" ht="12.75" customHeight="1" x14ac:dyDescent="0.2">
      <c r="B569" s="166"/>
      <c r="C569" s="166"/>
      <c r="D569" s="166"/>
      <c r="E569" s="166"/>
      <c r="F569" s="166"/>
    </row>
    <row r="570" spans="2:6" ht="12.75" customHeight="1" x14ac:dyDescent="0.2">
      <c r="B570" s="166"/>
      <c r="C570" s="166"/>
      <c r="D570" s="166"/>
      <c r="E570" s="166"/>
      <c r="F570" s="166"/>
    </row>
    <row r="571" spans="2:6" ht="12.75" customHeight="1" x14ac:dyDescent="0.2">
      <c r="B571" s="166"/>
      <c r="C571" s="166"/>
      <c r="D571" s="166"/>
      <c r="E571" s="166"/>
      <c r="F571" s="166"/>
    </row>
    <row r="572" spans="2:6" ht="12.75" customHeight="1" x14ac:dyDescent="0.2">
      <c r="B572" s="166"/>
      <c r="C572" s="166"/>
      <c r="D572" s="166"/>
      <c r="E572" s="166"/>
      <c r="F572" s="166"/>
    </row>
    <row r="573" spans="2:6" ht="12.75" customHeight="1" x14ac:dyDescent="0.2">
      <c r="B573" s="166"/>
      <c r="C573" s="166"/>
      <c r="D573" s="166"/>
      <c r="E573" s="166"/>
      <c r="F573" s="166"/>
    </row>
    <row r="574" spans="2:6" ht="12.75" customHeight="1" x14ac:dyDescent="0.2">
      <c r="B574" s="166"/>
      <c r="C574" s="166"/>
      <c r="D574" s="166"/>
      <c r="E574" s="166"/>
      <c r="F574" s="166"/>
    </row>
    <row r="575" spans="2:6" ht="12.75" customHeight="1" x14ac:dyDescent="0.2">
      <c r="B575" s="166"/>
      <c r="C575" s="166"/>
      <c r="D575" s="166"/>
      <c r="E575" s="166"/>
      <c r="F575" s="166"/>
    </row>
    <row r="576" spans="2:6" ht="12.75" customHeight="1" x14ac:dyDescent="0.2">
      <c r="B576" s="166"/>
      <c r="C576" s="166"/>
      <c r="D576" s="166"/>
      <c r="E576" s="166"/>
      <c r="F576" s="166"/>
    </row>
    <row r="577" spans="2:6" ht="12.75" customHeight="1" x14ac:dyDescent="0.2">
      <c r="B577" s="166"/>
      <c r="C577" s="166"/>
      <c r="D577" s="166"/>
      <c r="E577" s="166"/>
      <c r="F577" s="166"/>
    </row>
    <row r="578" spans="2:6" ht="12.75" customHeight="1" x14ac:dyDescent="0.2">
      <c r="B578" s="166"/>
      <c r="C578" s="166"/>
      <c r="D578" s="166"/>
      <c r="E578" s="166"/>
      <c r="F578" s="166"/>
    </row>
    <row r="579" spans="2:6" ht="12.75" customHeight="1" x14ac:dyDescent="0.2">
      <c r="B579" s="166"/>
      <c r="C579" s="166"/>
      <c r="D579" s="166"/>
      <c r="E579" s="166"/>
      <c r="F579" s="166"/>
    </row>
    <row r="580" spans="2:6" ht="12.75" customHeight="1" x14ac:dyDescent="0.2">
      <c r="B580" s="166"/>
      <c r="C580" s="166"/>
      <c r="D580" s="166"/>
      <c r="E580" s="166"/>
      <c r="F580" s="166"/>
    </row>
    <row r="581" spans="2:6" ht="12.75" customHeight="1" x14ac:dyDescent="0.2">
      <c r="B581" s="166"/>
      <c r="C581" s="166"/>
      <c r="D581" s="166"/>
      <c r="E581" s="166"/>
      <c r="F581" s="166"/>
    </row>
    <row r="582" spans="2:6" ht="12.75" customHeight="1" x14ac:dyDescent="0.2">
      <c r="B582" s="166"/>
      <c r="C582" s="166"/>
      <c r="D582" s="166"/>
      <c r="E582" s="166"/>
      <c r="F582" s="166"/>
    </row>
    <row r="583" spans="2:6" ht="12.75" customHeight="1" x14ac:dyDescent="0.2">
      <c r="B583" s="166"/>
      <c r="C583" s="166"/>
      <c r="D583" s="166"/>
      <c r="E583" s="166"/>
      <c r="F583" s="166"/>
    </row>
    <row r="584" spans="2:6" ht="12.75" customHeight="1" x14ac:dyDescent="0.2">
      <c r="B584" s="166"/>
      <c r="C584" s="166"/>
      <c r="D584" s="166"/>
      <c r="E584" s="166"/>
      <c r="F584" s="166"/>
    </row>
    <row r="585" spans="2:6" ht="12.75" customHeight="1" x14ac:dyDescent="0.2">
      <c r="B585" s="166"/>
      <c r="C585" s="166"/>
      <c r="D585" s="166"/>
      <c r="E585" s="166"/>
      <c r="F585" s="166"/>
    </row>
    <row r="586" spans="2:6" ht="12.75" customHeight="1" x14ac:dyDescent="0.2">
      <c r="B586" s="166"/>
      <c r="C586" s="166"/>
      <c r="D586" s="166"/>
      <c r="E586" s="166"/>
      <c r="F586" s="166"/>
    </row>
    <row r="587" spans="2:6" ht="12.75" customHeight="1" x14ac:dyDescent="0.2">
      <c r="B587" s="166"/>
      <c r="C587" s="166"/>
      <c r="D587" s="166"/>
      <c r="E587" s="166"/>
      <c r="F587" s="166"/>
    </row>
    <row r="588" spans="2:6" ht="12.75" customHeight="1" x14ac:dyDescent="0.2">
      <c r="B588" s="166"/>
      <c r="C588" s="166"/>
      <c r="D588" s="166"/>
      <c r="E588" s="166"/>
      <c r="F588" s="166"/>
    </row>
    <row r="589" spans="2:6" ht="12.75" customHeight="1" x14ac:dyDescent="0.2">
      <c r="B589" s="166"/>
      <c r="C589" s="166"/>
      <c r="D589" s="166"/>
      <c r="E589" s="166"/>
      <c r="F589" s="166"/>
    </row>
    <row r="590" spans="2:6" ht="12.75" customHeight="1" x14ac:dyDescent="0.2">
      <c r="B590" s="166"/>
      <c r="C590" s="166"/>
      <c r="D590" s="166"/>
      <c r="E590" s="166"/>
      <c r="F590" s="166"/>
    </row>
    <row r="591" spans="2:6" ht="12.75" customHeight="1" x14ac:dyDescent="0.2">
      <c r="B591" s="166"/>
      <c r="C591" s="166"/>
      <c r="D591" s="166"/>
      <c r="E591" s="166"/>
      <c r="F591" s="166"/>
    </row>
    <row r="592" spans="2:6" ht="12.75" customHeight="1" x14ac:dyDescent="0.2">
      <c r="B592" s="166"/>
      <c r="C592" s="166"/>
      <c r="D592" s="166"/>
      <c r="E592" s="166"/>
      <c r="F592" s="166"/>
    </row>
    <row r="593" spans="2:6" ht="12.75" customHeight="1" x14ac:dyDescent="0.2">
      <c r="B593" s="166"/>
      <c r="C593" s="166"/>
      <c r="D593" s="166"/>
      <c r="E593" s="166"/>
      <c r="F593" s="166"/>
    </row>
    <row r="594" spans="2:6" ht="12.75" customHeight="1" x14ac:dyDescent="0.2">
      <c r="B594" s="166"/>
      <c r="C594" s="166"/>
      <c r="D594" s="166"/>
      <c r="E594" s="166"/>
      <c r="F594" s="166"/>
    </row>
    <row r="595" spans="2:6" ht="12.75" customHeight="1" x14ac:dyDescent="0.2">
      <c r="B595" s="166"/>
      <c r="C595" s="166"/>
      <c r="D595" s="166"/>
      <c r="E595" s="166"/>
      <c r="F595" s="166"/>
    </row>
    <row r="596" spans="2:6" ht="12.75" customHeight="1" x14ac:dyDescent="0.2">
      <c r="B596" s="166"/>
      <c r="C596" s="166"/>
      <c r="D596" s="166"/>
      <c r="E596" s="166"/>
      <c r="F596" s="166"/>
    </row>
    <row r="597" spans="2:6" ht="12.75" customHeight="1" x14ac:dyDescent="0.2">
      <c r="B597" s="166"/>
      <c r="C597" s="166"/>
      <c r="D597" s="166"/>
      <c r="E597" s="166"/>
      <c r="F597" s="166"/>
    </row>
    <row r="598" spans="2:6" ht="12.75" customHeight="1" x14ac:dyDescent="0.2">
      <c r="B598" s="166"/>
      <c r="C598" s="166"/>
      <c r="D598" s="166"/>
      <c r="E598" s="166"/>
      <c r="F598" s="166"/>
    </row>
    <row r="599" spans="2:6" ht="12.75" customHeight="1" x14ac:dyDescent="0.2">
      <c r="B599" s="166"/>
      <c r="C599" s="166"/>
      <c r="D599" s="166"/>
      <c r="E599" s="166"/>
      <c r="F599" s="166"/>
    </row>
    <row r="600" spans="2:6" ht="12.75" customHeight="1" x14ac:dyDescent="0.2">
      <c r="B600" s="166"/>
      <c r="C600" s="166"/>
      <c r="D600" s="166"/>
      <c r="E600" s="166"/>
      <c r="F600" s="166"/>
    </row>
    <row r="601" spans="2:6" ht="12.75" customHeight="1" x14ac:dyDescent="0.2">
      <c r="B601" s="166"/>
      <c r="C601" s="166"/>
      <c r="D601" s="166"/>
      <c r="E601" s="166"/>
      <c r="F601" s="166"/>
    </row>
    <row r="602" spans="2:6" ht="12.75" customHeight="1" x14ac:dyDescent="0.2">
      <c r="B602" s="166"/>
      <c r="C602" s="166"/>
      <c r="D602" s="166"/>
      <c r="E602" s="166"/>
      <c r="F602" s="166"/>
    </row>
    <row r="603" spans="2:6" ht="12.75" customHeight="1" x14ac:dyDescent="0.2">
      <c r="B603" s="166"/>
      <c r="C603" s="166"/>
      <c r="D603" s="166"/>
      <c r="E603" s="166"/>
      <c r="F603" s="166"/>
    </row>
    <row r="604" spans="2:6" ht="12.75" customHeight="1" x14ac:dyDescent="0.2">
      <c r="B604" s="166"/>
      <c r="C604" s="166"/>
      <c r="D604" s="166"/>
      <c r="E604" s="166"/>
      <c r="F604" s="166"/>
    </row>
    <row r="605" spans="2:6" ht="12.75" customHeight="1" x14ac:dyDescent="0.2">
      <c r="B605" s="166"/>
      <c r="C605" s="166"/>
      <c r="D605" s="166"/>
      <c r="E605" s="166"/>
      <c r="F605" s="166"/>
    </row>
    <row r="606" spans="2:6" ht="12.75" customHeight="1" x14ac:dyDescent="0.2">
      <c r="B606" s="166"/>
      <c r="C606" s="166"/>
      <c r="D606" s="166"/>
      <c r="E606" s="166"/>
      <c r="F606" s="166"/>
    </row>
    <row r="607" spans="2:6" ht="12.75" customHeight="1" x14ac:dyDescent="0.2">
      <c r="B607" s="166"/>
      <c r="C607" s="166"/>
      <c r="D607" s="166"/>
      <c r="E607" s="166"/>
      <c r="F607" s="166"/>
    </row>
    <row r="608" spans="2:6" ht="12.75" customHeight="1" x14ac:dyDescent="0.2">
      <c r="B608" s="166"/>
      <c r="C608" s="166"/>
      <c r="D608" s="166"/>
      <c r="E608" s="166"/>
      <c r="F608" s="166"/>
    </row>
    <row r="609" spans="2:6" ht="12.75" customHeight="1" x14ac:dyDescent="0.2">
      <c r="B609" s="166"/>
      <c r="C609" s="166"/>
      <c r="D609" s="166"/>
      <c r="E609" s="166"/>
      <c r="F609" s="166"/>
    </row>
    <row r="610" spans="2:6" ht="12.75" customHeight="1" x14ac:dyDescent="0.2">
      <c r="B610" s="166"/>
      <c r="C610" s="166"/>
      <c r="D610" s="166"/>
      <c r="E610" s="166"/>
      <c r="F610" s="166"/>
    </row>
    <row r="611" spans="2:6" ht="12.75" customHeight="1" x14ac:dyDescent="0.2">
      <c r="B611" s="166"/>
      <c r="C611" s="166"/>
      <c r="D611" s="166"/>
      <c r="E611" s="166"/>
      <c r="F611" s="166"/>
    </row>
    <row r="612" spans="2:6" ht="12.75" customHeight="1" x14ac:dyDescent="0.2">
      <c r="B612" s="166"/>
      <c r="C612" s="166"/>
      <c r="D612" s="166"/>
      <c r="E612" s="166"/>
      <c r="F612" s="166"/>
    </row>
    <row r="613" spans="2:6" ht="12.75" customHeight="1" x14ac:dyDescent="0.2">
      <c r="B613" s="166"/>
      <c r="C613" s="166"/>
      <c r="D613" s="166"/>
      <c r="E613" s="166"/>
      <c r="F613" s="166"/>
    </row>
    <row r="614" spans="2:6" ht="12.75" customHeight="1" x14ac:dyDescent="0.2">
      <c r="B614" s="166"/>
      <c r="C614" s="166"/>
      <c r="D614" s="166"/>
      <c r="E614" s="166"/>
      <c r="F614" s="166"/>
    </row>
    <row r="615" spans="2:6" ht="12.75" customHeight="1" x14ac:dyDescent="0.2">
      <c r="B615" s="166"/>
      <c r="C615" s="166"/>
      <c r="D615" s="166"/>
      <c r="E615" s="166"/>
      <c r="F615" s="166"/>
    </row>
    <row r="616" spans="2:6" ht="12.75" customHeight="1" x14ac:dyDescent="0.2">
      <c r="B616" s="166"/>
      <c r="C616" s="166"/>
      <c r="D616" s="166"/>
      <c r="E616" s="166"/>
      <c r="F616" s="166"/>
    </row>
    <row r="617" spans="2:6" ht="12.75" customHeight="1" x14ac:dyDescent="0.2">
      <c r="B617" s="166"/>
      <c r="C617" s="166"/>
      <c r="D617" s="166"/>
      <c r="E617" s="166"/>
      <c r="F617" s="166"/>
    </row>
    <row r="618" spans="2:6" ht="12.75" customHeight="1" x14ac:dyDescent="0.2">
      <c r="B618" s="166"/>
      <c r="C618" s="166"/>
      <c r="D618" s="166"/>
      <c r="E618" s="166"/>
      <c r="F618" s="166"/>
    </row>
    <row r="619" spans="2:6" ht="12.75" customHeight="1" x14ac:dyDescent="0.2">
      <c r="B619" s="166"/>
      <c r="C619" s="166"/>
      <c r="D619" s="166"/>
      <c r="E619" s="166"/>
      <c r="F619" s="166"/>
    </row>
    <row r="620" spans="2:6" ht="12.75" customHeight="1" x14ac:dyDescent="0.2">
      <c r="B620" s="166"/>
      <c r="C620" s="166"/>
      <c r="D620" s="166"/>
      <c r="E620" s="166"/>
      <c r="F620" s="166"/>
    </row>
    <row r="621" spans="2:6" ht="12.75" customHeight="1" x14ac:dyDescent="0.2">
      <c r="B621" s="166"/>
      <c r="C621" s="166"/>
      <c r="D621" s="166"/>
      <c r="E621" s="166"/>
      <c r="F621" s="166"/>
    </row>
    <row r="622" spans="2:6" ht="12.75" customHeight="1" x14ac:dyDescent="0.2">
      <c r="B622" s="166"/>
      <c r="C622" s="166"/>
      <c r="D622" s="166"/>
      <c r="E622" s="166"/>
      <c r="F622" s="166"/>
    </row>
    <row r="623" spans="2:6" ht="12.75" customHeight="1" x14ac:dyDescent="0.2">
      <c r="B623" s="166"/>
      <c r="C623" s="166"/>
      <c r="D623" s="166"/>
      <c r="E623" s="166"/>
      <c r="F623" s="166"/>
    </row>
    <row r="624" spans="2:6" ht="12.75" customHeight="1" x14ac:dyDescent="0.2">
      <c r="B624" s="166"/>
      <c r="C624" s="166"/>
      <c r="D624" s="166"/>
      <c r="E624" s="166"/>
      <c r="F624" s="166"/>
    </row>
    <row r="625" spans="2:6" ht="12.75" customHeight="1" x14ac:dyDescent="0.2">
      <c r="B625" s="166"/>
      <c r="C625" s="166"/>
      <c r="D625" s="166"/>
      <c r="E625" s="166"/>
      <c r="F625" s="166"/>
    </row>
    <row r="626" spans="2:6" ht="12.75" customHeight="1" x14ac:dyDescent="0.2">
      <c r="B626" s="166"/>
      <c r="C626" s="166"/>
      <c r="D626" s="166"/>
      <c r="E626" s="166"/>
      <c r="F626" s="166"/>
    </row>
    <row r="627" spans="2:6" ht="12.75" customHeight="1" x14ac:dyDescent="0.2">
      <c r="B627" s="166"/>
      <c r="C627" s="166"/>
      <c r="D627" s="166"/>
      <c r="E627" s="166"/>
      <c r="F627" s="166"/>
    </row>
    <row r="628" spans="2:6" ht="12.75" customHeight="1" x14ac:dyDescent="0.2">
      <c r="B628" s="166"/>
      <c r="C628" s="166"/>
      <c r="D628" s="166"/>
      <c r="E628" s="166"/>
      <c r="F628" s="166"/>
    </row>
    <row r="629" spans="2:6" ht="12.75" customHeight="1" x14ac:dyDescent="0.2">
      <c r="B629" s="166"/>
      <c r="C629" s="166"/>
      <c r="D629" s="166"/>
      <c r="E629" s="166"/>
      <c r="F629" s="166"/>
    </row>
    <row r="630" spans="2:6" ht="12.75" customHeight="1" x14ac:dyDescent="0.2">
      <c r="B630" s="166"/>
      <c r="C630" s="166"/>
      <c r="D630" s="166"/>
      <c r="E630" s="166"/>
      <c r="F630" s="166"/>
    </row>
    <row r="631" spans="2:6" ht="12.75" customHeight="1" x14ac:dyDescent="0.2">
      <c r="B631" s="166"/>
      <c r="C631" s="166"/>
      <c r="D631" s="166"/>
      <c r="E631" s="166"/>
      <c r="F631" s="166"/>
    </row>
    <row r="632" spans="2:6" ht="12.75" customHeight="1" x14ac:dyDescent="0.2">
      <c r="B632" s="166"/>
      <c r="C632" s="166"/>
      <c r="D632" s="166"/>
      <c r="E632" s="166"/>
      <c r="F632" s="166"/>
    </row>
    <row r="633" spans="2:6" ht="12.75" customHeight="1" x14ac:dyDescent="0.2">
      <c r="B633" s="166"/>
      <c r="C633" s="166"/>
      <c r="D633" s="166"/>
      <c r="E633" s="166"/>
      <c r="F633" s="166"/>
    </row>
    <row r="634" spans="2:6" ht="12.75" customHeight="1" x14ac:dyDescent="0.2">
      <c r="B634" s="166"/>
      <c r="C634" s="166"/>
      <c r="D634" s="166"/>
      <c r="E634" s="166"/>
      <c r="F634" s="166"/>
    </row>
    <row r="635" spans="2:6" ht="12.75" customHeight="1" x14ac:dyDescent="0.2">
      <c r="B635" s="166"/>
      <c r="C635" s="166"/>
      <c r="D635" s="166"/>
      <c r="E635" s="166"/>
      <c r="F635" s="166"/>
    </row>
    <row r="636" spans="2:6" ht="12.75" customHeight="1" x14ac:dyDescent="0.2">
      <c r="B636" s="166"/>
      <c r="C636" s="166"/>
      <c r="D636" s="166"/>
      <c r="E636" s="166"/>
      <c r="F636" s="166"/>
    </row>
    <row r="637" spans="2:6" ht="12.75" customHeight="1" x14ac:dyDescent="0.2">
      <c r="B637" s="166"/>
      <c r="C637" s="166"/>
      <c r="D637" s="166"/>
      <c r="E637" s="166"/>
      <c r="F637" s="166"/>
    </row>
    <row r="638" spans="2:6" ht="12.75" customHeight="1" x14ac:dyDescent="0.2">
      <c r="B638" s="166"/>
      <c r="C638" s="166"/>
      <c r="D638" s="166"/>
      <c r="E638" s="166"/>
      <c r="F638" s="166"/>
    </row>
    <row r="639" spans="2:6" ht="12.75" customHeight="1" x14ac:dyDescent="0.2">
      <c r="B639" s="166"/>
      <c r="C639" s="166"/>
      <c r="D639" s="166"/>
      <c r="E639" s="166"/>
      <c r="F639" s="166"/>
    </row>
    <row r="640" spans="2:6" ht="12.75" customHeight="1" x14ac:dyDescent="0.2">
      <c r="B640" s="166"/>
      <c r="C640" s="166"/>
      <c r="D640" s="166"/>
      <c r="E640" s="166"/>
      <c r="F640" s="166"/>
    </row>
    <row r="641" spans="2:6" ht="12.75" customHeight="1" x14ac:dyDescent="0.2">
      <c r="B641" s="166"/>
      <c r="C641" s="166"/>
      <c r="D641" s="166"/>
      <c r="E641" s="166"/>
      <c r="F641" s="166"/>
    </row>
    <row r="642" spans="2:6" ht="12.75" customHeight="1" x14ac:dyDescent="0.2">
      <c r="B642" s="166"/>
      <c r="C642" s="166"/>
      <c r="D642" s="166"/>
      <c r="E642" s="166"/>
      <c r="F642" s="166"/>
    </row>
    <row r="643" spans="2:6" ht="12.75" customHeight="1" x14ac:dyDescent="0.2">
      <c r="B643" s="166"/>
      <c r="C643" s="166"/>
      <c r="D643" s="166"/>
      <c r="E643" s="166"/>
      <c r="F643" s="166"/>
    </row>
    <row r="644" spans="2:6" ht="12.75" customHeight="1" x14ac:dyDescent="0.2">
      <c r="B644" s="166"/>
      <c r="C644" s="166"/>
      <c r="D644" s="166"/>
      <c r="E644" s="166"/>
      <c r="F644" s="166"/>
    </row>
    <row r="645" spans="2:6" ht="12.75" customHeight="1" x14ac:dyDescent="0.2">
      <c r="B645" s="166"/>
      <c r="C645" s="166"/>
      <c r="D645" s="166"/>
      <c r="E645" s="166"/>
      <c r="F645" s="166"/>
    </row>
    <row r="646" spans="2:6" ht="12.75" customHeight="1" x14ac:dyDescent="0.2">
      <c r="B646" s="166"/>
      <c r="C646" s="166"/>
      <c r="D646" s="166"/>
      <c r="E646" s="166"/>
      <c r="F646" s="166"/>
    </row>
    <row r="647" spans="2:6" ht="12.75" customHeight="1" x14ac:dyDescent="0.2">
      <c r="B647" s="166"/>
      <c r="C647" s="166"/>
      <c r="D647" s="166"/>
      <c r="E647" s="166"/>
      <c r="F647" s="166"/>
    </row>
    <row r="648" spans="2:6" ht="12.75" customHeight="1" x14ac:dyDescent="0.2">
      <c r="B648" s="166"/>
      <c r="C648" s="166"/>
      <c r="D648" s="166"/>
      <c r="E648" s="166"/>
      <c r="F648" s="166"/>
    </row>
    <row r="649" spans="2:6" ht="12.75" customHeight="1" x14ac:dyDescent="0.2">
      <c r="B649" s="166"/>
      <c r="C649" s="166"/>
      <c r="D649" s="166"/>
      <c r="E649" s="166"/>
      <c r="F649" s="166"/>
    </row>
    <row r="650" spans="2:6" ht="12.75" customHeight="1" x14ac:dyDescent="0.2">
      <c r="B650" s="166"/>
      <c r="C650" s="166"/>
      <c r="D650" s="166"/>
      <c r="E650" s="166"/>
      <c r="F650" s="166"/>
    </row>
    <row r="651" spans="2:6" ht="12.75" customHeight="1" x14ac:dyDescent="0.2">
      <c r="B651" s="166"/>
      <c r="C651" s="166"/>
      <c r="D651" s="166"/>
      <c r="E651" s="166"/>
      <c r="F651" s="166"/>
    </row>
    <row r="652" spans="2:6" ht="12.75" customHeight="1" x14ac:dyDescent="0.2">
      <c r="B652" s="166"/>
      <c r="C652" s="166"/>
      <c r="D652" s="166"/>
      <c r="E652" s="166"/>
      <c r="F652" s="166"/>
    </row>
    <row r="653" spans="2:6" ht="12.75" customHeight="1" x14ac:dyDescent="0.2">
      <c r="B653" s="166"/>
      <c r="C653" s="166"/>
      <c r="D653" s="166"/>
      <c r="E653" s="166"/>
      <c r="F653" s="166"/>
    </row>
    <row r="654" spans="2:6" ht="12.75" customHeight="1" x14ac:dyDescent="0.2">
      <c r="B654" s="166"/>
      <c r="C654" s="166"/>
      <c r="D654" s="166"/>
      <c r="E654" s="166"/>
      <c r="F654" s="166"/>
    </row>
    <row r="655" spans="2:6" ht="12.75" customHeight="1" x14ac:dyDescent="0.2">
      <c r="B655" s="166"/>
      <c r="C655" s="166"/>
      <c r="D655" s="166"/>
      <c r="E655" s="166"/>
      <c r="F655" s="166"/>
    </row>
    <row r="656" spans="2:6" ht="12.75" customHeight="1" x14ac:dyDescent="0.2">
      <c r="B656" s="166"/>
      <c r="C656" s="166"/>
      <c r="D656" s="166"/>
      <c r="E656" s="166"/>
      <c r="F656" s="166"/>
    </row>
    <row r="657" spans="2:6" ht="12.75" customHeight="1" x14ac:dyDescent="0.2">
      <c r="B657" s="166"/>
      <c r="C657" s="166"/>
      <c r="D657" s="166"/>
      <c r="E657" s="166"/>
      <c r="F657" s="166"/>
    </row>
    <row r="658" spans="2:6" ht="12.75" customHeight="1" x14ac:dyDescent="0.2">
      <c r="B658" s="166"/>
      <c r="C658" s="166"/>
      <c r="D658" s="166"/>
      <c r="E658" s="166"/>
      <c r="F658" s="166"/>
    </row>
    <row r="659" spans="2:6" ht="12.75" customHeight="1" x14ac:dyDescent="0.2">
      <c r="B659" s="166"/>
      <c r="C659" s="166"/>
      <c r="D659" s="166"/>
      <c r="E659" s="166"/>
      <c r="F659" s="166"/>
    </row>
    <row r="660" spans="2:6" ht="12.75" customHeight="1" x14ac:dyDescent="0.2">
      <c r="B660" s="166"/>
      <c r="C660" s="166"/>
      <c r="D660" s="166"/>
      <c r="E660" s="166"/>
      <c r="F660" s="166"/>
    </row>
    <row r="661" spans="2:6" ht="12.75" customHeight="1" x14ac:dyDescent="0.2">
      <c r="B661" s="166"/>
      <c r="C661" s="166"/>
      <c r="D661" s="166"/>
      <c r="E661" s="166"/>
      <c r="F661" s="166"/>
    </row>
    <row r="662" spans="2:6" ht="12.75" customHeight="1" x14ac:dyDescent="0.2">
      <c r="B662" s="166"/>
      <c r="C662" s="166"/>
      <c r="D662" s="166"/>
      <c r="E662" s="166"/>
      <c r="F662" s="166"/>
    </row>
    <row r="663" spans="2:6" ht="12.75" customHeight="1" x14ac:dyDescent="0.2">
      <c r="B663" s="166"/>
      <c r="C663" s="166"/>
      <c r="D663" s="166"/>
      <c r="E663" s="166"/>
      <c r="F663" s="166"/>
    </row>
    <row r="664" spans="2:6" ht="12.75" customHeight="1" x14ac:dyDescent="0.2">
      <c r="B664" s="166"/>
      <c r="C664" s="166"/>
      <c r="D664" s="166"/>
      <c r="E664" s="166"/>
      <c r="F664" s="166"/>
    </row>
    <row r="665" spans="2:6" ht="12.75" customHeight="1" x14ac:dyDescent="0.2">
      <c r="B665" s="166"/>
      <c r="C665" s="166"/>
      <c r="D665" s="166"/>
      <c r="E665" s="166"/>
      <c r="F665" s="166"/>
    </row>
    <row r="666" spans="2:6" ht="12.75" customHeight="1" x14ac:dyDescent="0.2">
      <c r="B666" s="166"/>
      <c r="C666" s="166"/>
      <c r="D666" s="166"/>
      <c r="E666" s="166"/>
      <c r="F666" s="166"/>
    </row>
    <row r="667" spans="2:6" ht="12.75" customHeight="1" x14ac:dyDescent="0.2">
      <c r="B667" s="166"/>
      <c r="C667" s="166"/>
      <c r="D667" s="166"/>
      <c r="E667" s="166"/>
      <c r="F667" s="166"/>
    </row>
    <row r="668" spans="2:6" ht="12.75" customHeight="1" x14ac:dyDescent="0.2">
      <c r="B668" s="166"/>
      <c r="C668" s="166"/>
      <c r="D668" s="166"/>
      <c r="E668" s="166"/>
      <c r="F668" s="166"/>
    </row>
    <row r="669" spans="2:6" ht="12.75" customHeight="1" x14ac:dyDescent="0.2">
      <c r="B669" s="166"/>
      <c r="C669" s="166"/>
      <c r="D669" s="166"/>
      <c r="E669" s="166"/>
      <c r="F669" s="166"/>
    </row>
    <row r="670" spans="2:6" ht="12.75" customHeight="1" x14ac:dyDescent="0.2">
      <c r="B670" s="166"/>
      <c r="C670" s="166"/>
      <c r="D670" s="166"/>
      <c r="E670" s="166"/>
      <c r="F670" s="166"/>
    </row>
    <row r="671" spans="2:6" ht="12.75" customHeight="1" x14ac:dyDescent="0.2">
      <c r="B671" s="166"/>
      <c r="C671" s="166"/>
      <c r="D671" s="166"/>
      <c r="E671" s="166"/>
      <c r="F671" s="166"/>
    </row>
    <row r="672" spans="2:6" ht="12.75" customHeight="1" x14ac:dyDescent="0.2">
      <c r="B672" s="166"/>
      <c r="C672" s="166"/>
      <c r="D672" s="166"/>
      <c r="E672" s="166"/>
      <c r="F672" s="166"/>
    </row>
    <row r="673" spans="2:6" ht="12.75" customHeight="1" x14ac:dyDescent="0.2">
      <c r="B673" s="166"/>
      <c r="C673" s="166"/>
      <c r="D673" s="166"/>
      <c r="E673" s="166"/>
      <c r="F673" s="166"/>
    </row>
    <row r="674" spans="2:6" ht="12.75" customHeight="1" x14ac:dyDescent="0.2">
      <c r="B674" s="166"/>
      <c r="C674" s="166"/>
      <c r="D674" s="166"/>
      <c r="E674" s="166"/>
      <c r="F674" s="166"/>
    </row>
    <row r="675" spans="2:6" ht="12.75" customHeight="1" x14ac:dyDescent="0.2">
      <c r="B675" s="166"/>
      <c r="C675" s="166"/>
      <c r="D675" s="166"/>
      <c r="E675" s="166"/>
      <c r="F675" s="166"/>
    </row>
    <row r="676" spans="2:6" ht="12.75" customHeight="1" x14ac:dyDescent="0.2">
      <c r="B676" s="166"/>
      <c r="C676" s="166"/>
      <c r="D676" s="166"/>
      <c r="E676" s="166"/>
      <c r="F676" s="166"/>
    </row>
    <row r="677" spans="2:6" ht="12.75" customHeight="1" x14ac:dyDescent="0.2">
      <c r="B677" s="166"/>
      <c r="C677" s="166"/>
      <c r="D677" s="166"/>
      <c r="E677" s="166"/>
      <c r="F677" s="166"/>
    </row>
    <row r="678" spans="2:6" ht="12.75" customHeight="1" x14ac:dyDescent="0.2">
      <c r="B678" s="166"/>
      <c r="C678" s="166"/>
      <c r="D678" s="166"/>
      <c r="E678" s="166"/>
      <c r="F678" s="166"/>
    </row>
    <row r="679" spans="2:6" ht="12.75" customHeight="1" x14ac:dyDescent="0.2">
      <c r="B679" s="166"/>
      <c r="C679" s="166"/>
      <c r="D679" s="166"/>
      <c r="E679" s="166"/>
      <c r="F679" s="166"/>
    </row>
    <row r="680" spans="2:6" ht="12.75" customHeight="1" x14ac:dyDescent="0.2">
      <c r="B680" s="166"/>
      <c r="C680" s="166"/>
      <c r="D680" s="166"/>
      <c r="E680" s="166"/>
      <c r="F680" s="166"/>
    </row>
    <row r="681" spans="2:6" ht="12.75" customHeight="1" x14ac:dyDescent="0.2">
      <c r="B681" s="166"/>
      <c r="C681" s="166"/>
      <c r="D681" s="166"/>
      <c r="E681" s="166"/>
      <c r="F681" s="166"/>
    </row>
    <row r="682" spans="2:6" ht="12.75" customHeight="1" x14ac:dyDescent="0.2">
      <c r="B682" s="166"/>
      <c r="C682" s="166"/>
      <c r="D682" s="166"/>
      <c r="E682" s="166"/>
      <c r="F682" s="166"/>
    </row>
    <row r="683" spans="2:6" ht="12.75" customHeight="1" x14ac:dyDescent="0.2">
      <c r="B683" s="166"/>
      <c r="C683" s="166"/>
      <c r="D683" s="166"/>
      <c r="E683" s="166"/>
      <c r="F683" s="166"/>
    </row>
    <row r="684" spans="2:6" ht="12.75" customHeight="1" x14ac:dyDescent="0.2">
      <c r="B684" s="166"/>
      <c r="C684" s="166"/>
      <c r="D684" s="166"/>
      <c r="E684" s="166"/>
      <c r="F684" s="166"/>
    </row>
    <row r="685" spans="2:6" ht="12.75" customHeight="1" x14ac:dyDescent="0.2">
      <c r="B685" s="166"/>
      <c r="C685" s="166"/>
      <c r="D685" s="166"/>
      <c r="E685" s="166"/>
      <c r="F685" s="166"/>
    </row>
    <row r="686" spans="2:6" ht="12.75" customHeight="1" x14ac:dyDescent="0.2">
      <c r="B686" s="166"/>
      <c r="C686" s="166"/>
      <c r="D686" s="166"/>
      <c r="E686" s="166"/>
      <c r="F686" s="166"/>
    </row>
    <row r="687" spans="2:6" ht="12.75" customHeight="1" x14ac:dyDescent="0.2">
      <c r="B687" s="166"/>
      <c r="C687" s="166"/>
      <c r="D687" s="166"/>
      <c r="E687" s="166"/>
      <c r="F687" s="166"/>
    </row>
    <row r="688" spans="2:6" ht="12.75" customHeight="1" x14ac:dyDescent="0.2">
      <c r="B688" s="166"/>
      <c r="C688" s="166"/>
      <c r="D688" s="166"/>
      <c r="E688" s="166"/>
      <c r="F688" s="166"/>
    </row>
    <row r="689" spans="2:6" ht="12.75" customHeight="1" x14ac:dyDescent="0.2">
      <c r="B689" s="166"/>
      <c r="C689" s="166"/>
      <c r="D689" s="166"/>
      <c r="E689" s="166"/>
      <c r="F689" s="166"/>
    </row>
    <row r="690" spans="2:6" ht="12.75" customHeight="1" x14ac:dyDescent="0.2">
      <c r="B690" s="166"/>
      <c r="C690" s="166"/>
      <c r="D690" s="166"/>
      <c r="E690" s="166"/>
      <c r="F690" s="166"/>
    </row>
    <row r="691" spans="2:6" ht="12.75" customHeight="1" x14ac:dyDescent="0.2">
      <c r="B691" s="166"/>
      <c r="C691" s="166"/>
      <c r="D691" s="166"/>
      <c r="E691" s="166"/>
      <c r="F691" s="166"/>
    </row>
    <row r="692" spans="2:6" ht="12.75" customHeight="1" x14ac:dyDescent="0.2">
      <c r="B692" s="166"/>
      <c r="C692" s="166"/>
      <c r="D692" s="166"/>
      <c r="E692" s="166"/>
      <c r="F692" s="166"/>
    </row>
    <row r="693" spans="2:6" ht="12.75" customHeight="1" x14ac:dyDescent="0.2">
      <c r="B693" s="166"/>
      <c r="C693" s="166"/>
      <c r="D693" s="166"/>
      <c r="E693" s="166"/>
      <c r="F693" s="166"/>
    </row>
    <row r="694" spans="2:6" ht="12.75" customHeight="1" x14ac:dyDescent="0.2">
      <c r="B694" s="166"/>
      <c r="C694" s="166"/>
      <c r="D694" s="166"/>
      <c r="E694" s="166"/>
      <c r="F694" s="166"/>
    </row>
    <row r="695" spans="2:6" ht="12.75" customHeight="1" x14ac:dyDescent="0.2">
      <c r="B695" s="166"/>
      <c r="C695" s="166"/>
      <c r="D695" s="166"/>
      <c r="E695" s="166"/>
      <c r="F695" s="166"/>
    </row>
    <row r="696" spans="2:6" ht="12.75" customHeight="1" x14ac:dyDescent="0.2">
      <c r="B696" s="166"/>
      <c r="C696" s="166"/>
      <c r="D696" s="166"/>
      <c r="E696" s="166"/>
      <c r="F696" s="166"/>
    </row>
    <row r="697" spans="2:6" ht="12.75" customHeight="1" x14ac:dyDescent="0.2">
      <c r="B697" s="166"/>
      <c r="C697" s="166"/>
      <c r="D697" s="166"/>
      <c r="E697" s="166"/>
      <c r="F697" s="166"/>
    </row>
    <row r="698" spans="2:6" ht="12.75" customHeight="1" x14ac:dyDescent="0.2">
      <c r="B698" s="166"/>
      <c r="C698" s="166"/>
      <c r="D698" s="166"/>
      <c r="E698" s="166"/>
      <c r="F698" s="166"/>
    </row>
    <row r="699" spans="2:6" ht="12.75" customHeight="1" x14ac:dyDescent="0.2">
      <c r="B699" s="166"/>
      <c r="C699" s="166"/>
      <c r="D699" s="166"/>
      <c r="E699" s="166"/>
      <c r="F699" s="166"/>
    </row>
    <row r="700" spans="2:6" ht="12.75" customHeight="1" x14ac:dyDescent="0.2">
      <c r="B700" s="166"/>
      <c r="C700" s="166"/>
      <c r="D700" s="166"/>
      <c r="E700" s="166"/>
      <c r="F700" s="166"/>
    </row>
    <row r="701" spans="2:6" ht="12.75" customHeight="1" x14ac:dyDescent="0.2">
      <c r="B701" s="166"/>
      <c r="C701" s="166"/>
      <c r="D701" s="166"/>
      <c r="E701" s="166"/>
      <c r="F701" s="166"/>
    </row>
    <row r="702" spans="2:6" ht="12.75" customHeight="1" x14ac:dyDescent="0.2">
      <c r="B702" s="166"/>
      <c r="C702" s="166"/>
      <c r="D702" s="166"/>
      <c r="E702" s="166"/>
      <c r="F702" s="166"/>
    </row>
    <row r="703" spans="2:6" ht="12.75" customHeight="1" x14ac:dyDescent="0.2">
      <c r="B703" s="166"/>
      <c r="C703" s="166"/>
      <c r="D703" s="166"/>
      <c r="E703" s="166"/>
      <c r="F703" s="166"/>
    </row>
    <row r="704" spans="2:6" ht="12.75" customHeight="1" x14ac:dyDescent="0.2">
      <c r="B704" s="166"/>
      <c r="C704" s="166"/>
      <c r="D704" s="166"/>
      <c r="E704" s="166"/>
      <c r="F704" s="166"/>
    </row>
    <row r="705" spans="2:6" ht="12.75" customHeight="1" x14ac:dyDescent="0.2">
      <c r="B705" s="166"/>
      <c r="C705" s="166"/>
      <c r="D705" s="166"/>
      <c r="E705" s="166"/>
      <c r="F705" s="166"/>
    </row>
    <row r="706" spans="2:6" ht="12.75" customHeight="1" x14ac:dyDescent="0.2">
      <c r="B706" s="166"/>
      <c r="C706" s="166"/>
      <c r="D706" s="166"/>
      <c r="E706" s="166"/>
      <c r="F706" s="166"/>
    </row>
    <row r="707" spans="2:6" ht="12.75" customHeight="1" x14ac:dyDescent="0.2">
      <c r="B707" s="166"/>
      <c r="C707" s="166"/>
      <c r="D707" s="166"/>
      <c r="E707" s="166"/>
      <c r="F707" s="166"/>
    </row>
    <row r="708" spans="2:6" ht="12.75" customHeight="1" x14ac:dyDescent="0.2">
      <c r="B708" s="166"/>
      <c r="C708" s="166"/>
      <c r="D708" s="166"/>
      <c r="E708" s="166"/>
      <c r="F708" s="166"/>
    </row>
    <row r="709" spans="2:6" ht="12.75" customHeight="1" x14ac:dyDescent="0.2">
      <c r="B709" s="166"/>
      <c r="C709" s="166"/>
      <c r="D709" s="166"/>
      <c r="E709" s="166"/>
      <c r="F709" s="166"/>
    </row>
    <row r="710" spans="2:6" ht="12.75" customHeight="1" x14ac:dyDescent="0.2">
      <c r="B710" s="166"/>
      <c r="C710" s="166"/>
      <c r="D710" s="166"/>
      <c r="E710" s="166"/>
      <c r="F710" s="166"/>
    </row>
    <row r="711" spans="2:6" ht="12.75" customHeight="1" x14ac:dyDescent="0.2">
      <c r="B711" s="166"/>
      <c r="C711" s="166"/>
      <c r="D711" s="166"/>
      <c r="E711" s="166"/>
      <c r="F711" s="166"/>
    </row>
    <row r="712" spans="2:6" ht="12.75" customHeight="1" x14ac:dyDescent="0.2">
      <c r="B712" s="166"/>
      <c r="C712" s="166"/>
      <c r="D712" s="166"/>
      <c r="E712" s="166"/>
      <c r="F712" s="166"/>
    </row>
    <row r="713" spans="2:6" ht="12.75" customHeight="1" x14ac:dyDescent="0.2">
      <c r="B713" s="166"/>
      <c r="C713" s="166"/>
      <c r="D713" s="166"/>
      <c r="E713" s="166"/>
      <c r="F713" s="166"/>
    </row>
    <row r="714" spans="2:6" ht="12.75" customHeight="1" x14ac:dyDescent="0.2">
      <c r="B714" s="166"/>
      <c r="C714" s="166"/>
      <c r="D714" s="166"/>
      <c r="E714" s="166"/>
      <c r="F714" s="166"/>
    </row>
    <row r="715" spans="2:6" ht="12.75" customHeight="1" x14ac:dyDescent="0.2">
      <c r="B715" s="166"/>
      <c r="C715" s="166"/>
      <c r="D715" s="166"/>
      <c r="E715" s="166"/>
      <c r="F715" s="166"/>
    </row>
    <row r="716" spans="2:6" ht="12.75" customHeight="1" x14ac:dyDescent="0.2">
      <c r="B716" s="166"/>
      <c r="C716" s="166"/>
      <c r="D716" s="166"/>
      <c r="E716" s="166"/>
      <c r="F716" s="166"/>
    </row>
    <row r="717" spans="2:6" ht="12.75" customHeight="1" x14ac:dyDescent="0.2">
      <c r="B717" s="166"/>
      <c r="C717" s="166"/>
      <c r="D717" s="166"/>
      <c r="E717" s="166"/>
      <c r="F717" s="166"/>
    </row>
    <row r="718" spans="2:6" ht="12.75" customHeight="1" x14ac:dyDescent="0.2">
      <c r="B718" s="166"/>
      <c r="C718" s="166"/>
      <c r="D718" s="166"/>
      <c r="E718" s="166"/>
      <c r="F718" s="166"/>
    </row>
    <row r="719" spans="2:6" ht="12.75" customHeight="1" x14ac:dyDescent="0.2">
      <c r="B719" s="166"/>
      <c r="C719" s="166"/>
      <c r="D719" s="166"/>
      <c r="E719" s="166"/>
      <c r="F719" s="166"/>
    </row>
    <row r="720" spans="2:6" ht="12.75" customHeight="1" x14ac:dyDescent="0.2">
      <c r="B720" s="166"/>
      <c r="C720" s="166"/>
      <c r="D720" s="166"/>
      <c r="E720" s="166"/>
      <c r="F720" s="166"/>
    </row>
    <row r="721" spans="2:6" ht="12.75" customHeight="1" x14ac:dyDescent="0.2">
      <c r="B721" s="166"/>
      <c r="C721" s="166"/>
      <c r="D721" s="166"/>
      <c r="E721" s="166"/>
      <c r="F721" s="166"/>
    </row>
    <row r="722" spans="2:6" ht="12.75" customHeight="1" x14ac:dyDescent="0.2">
      <c r="B722" s="166"/>
      <c r="C722" s="166"/>
      <c r="D722" s="166"/>
      <c r="E722" s="166"/>
      <c r="F722" s="166"/>
    </row>
    <row r="723" spans="2:6" ht="12.75" customHeight="1" x14ac:dyDescent="0.2">
      <c r="B723" s="166"/>
      <c r="C723" s="166"/>
      <c r="D723" s="166"/>
      <c r="E723" s="166"/>
      <c r="F723" s="166"/>
    </row>
    <row r="724" spans="2:6" ht="12.75" customHeight="1" x14ac:dyDescent="0.2">
      <c r="B724" s="166"/>
      <c r="C724" s="166"/>
      <c r="D724" s="166"/>
      <c r="E724" s="166"/>
      <c r="F724" s="166"/>
    </row>
    <row r="725" spans="2:6" ht="12.75" customHeight="1" x14ac:dyDescent="0.2">
      <c r="B725" s="166"/>
      <c r="C725" s="166"/>
      <c r="D725" s="166"/>
      <c r="E725" s="166"/>
      <c r="F725" s="166"/>
    </row>
    <row r="726" spans="2:6" ht="12.75" customHeight="1" x14ac:dyDescent="0.2">
      <c r="B726" s="166"/>
      <c r="C726" s="166"/>
      <c r="D726" s="166"/>
      <c r="E726" s="166"/>
      <c r="F726" s="166"/>
    </row>
    <row r="727" spans="2:6" ht="12.75" customHeight="1" x14ac:dyDescent="0.2">
      <c r="B727" s="166"/>
      <c r="C727" s="166"/>
      <c r="D727" s="166"/>
      <c r="E727" s="166"/>
      <c r="F727" s="166"/>
    </row>
    <row r="728" spans="2:6" ht="12.75" customHeight="1" x14ac:dyDescent="0.2">
      <c r="B728" s="166"/>
      <c r="C728" s="166"/>
      <c r="D728" s="166"/>
      <c r="E728" s="166"/>
      <c r="F728" s="166"/>
    </row>
    <row r="729" spans="2:6" ht="12.75" customHeight="1" x14ac:dyDescent="0.2">
      <c r="B729" s="166"/>
      <c r="C729" s="166"/>
      <c r="D729" s="166"/>
      <c r="E729" s="166"/>
      <c r="F729" s="166"/>
    </row>
    <row r="730" spans="2:6" ht="12.75" customHeight="1" x14ac:dyDescent="0.2">
      <c r="B730" s="166"/>
      <c r="C730" s="166"/>
      <c r="D730" s="166"/>
      <c r="E730" s="166"/>
      <c r="F730" s="166"/>
    </row>
    <row r="731" spans="2:6" ht="12.75" customHeight="1" x14ac:dyDescent="0.2">
      <c r="B731" s="166"/>
      <c r="C731" s="166"/>
      <c r="D731" s="166"/>
      <c r="E731" s="166"/>
      <c r="F731" s="166"/>
    </row>
    <row r="732" spans="2:6" ht="12.75" customHeight="1" x14ac:dyDescent="0.2">
      <c r="B732" s="166"/>
      <c r="C732" s="166"/>
      <c r="D732" s="166"/>
      <c r="E732" s="166"/>
      <c r="F732" s="166"/>
    </row>
    <row r="733" spans="2:6" ht="12.75" customHeight="1" x14ac:dyDescent="0.2">
      <c r="B733" s="166"/>
      <c r="C733" s="166"/>
      <c r="D733" s="166"/>
      <c r="E733" s="166"/>
      <c r="F733" s="166"/>
    </row>
    <row r="734" spans="2:6" ht="12.75" customHeight="1" x14ac:dyDescent="0.2">
      <c r="B734" s="166"/>
      <c r="C734" s="166"/>
      <c r="D734" s="166"/>
      <c r="E734" s="166"/>
      <c r="F734" s="166"/>
    </row>
    <row r="735" spans="2:6" ht="12.75" customHeight="1" x14ac:dyDescent="0.2">
      <c r="B735" s="166"/>
      <c r="C735" s="166"/>
      <c r="D735" s="166"/>
      <c r="E735" s="166"/>
      <c r="F735" s="166"/>
    </row>
    <row r="736" spans="2:6" ht="12.75" customHeight="1" x14ac:dyDescent="0.2">
      <c r="B736" s="166"/>
      <c r="C736" s="166"/>
      <c r="D736" s="166"/>
      <c r="E736" s="166"/>
      <c r="F736" s="166"/>
    </row>
    <row r="737" spans="2:6" ht="12.75" customHeight="1" x14ac:dyDescent="0.2">
      <c r="B737" s="166"/>
      <c r="C737" s="166"/>
      <c r="D737" s="166"/>
      <c r="E737" s="166"/>
      <c r="F737" s="166"/>
    </row>
    <row r="738" spans="2:6" ht="12.75" customHeight="1" x14ac:dyDescent="0.2">
      <c r="B738" s="166"/>
      <c r="C738" s="166"/>
      <c r="D738" s="166"/>
      <c r="E738" s="166"/>
      <c r="F738" s="166"/>
    </row>
    <row r="739" spans="2:6" ht="12.75" customHeight="1" x14ac:dyDescent="0.2">
      <c r="B739" s="166"/>
      <c r="C739" s="166"/>
      <c r="D739" s="166"/>
      <c r="E739" s="166"/>
      <c r="F739" s="166"/>
    </row>
    <row r="740" spans="2:6" ht="12.75" customHeight="1" x14ac:dyDescent="0.2">
      <c r="B740" s="166"/>
      <c r="C740" s="166"/>
      <c r="D740" s="166"/>
      <c r="E740" s="166"/>
      <c r="F740" s="166"/>
    </row>
    <row r="741" spans="2:6" ht="12.75" customHeight="1" x14ac:dyDescent="0.2">
      <c r="B741" s="166"/>
      <c r="C741" s="166"/>
      <c r="D741" s="166"/>
      <c r="E741" s="166"/>
      <c r="F741" s="166"/>
    </row>
    <row r="742" spans="2:6" ht="12.75" customHeight="1" x14ac:dyDescent="0.2">
      <c r="B742" s="166"/>
      <c r="C742" s="166"/>
      <c r="D742" s="166"/>
      <c r="E742" s="166"/>
      <c r="F742" s="166"/>
    </row>
    <row r="743" spans="2:6" ht="12.75" customHeight="1" x14ac:dyDescent="0.2">
      <c r="B743" s="166"/>
      <c r="C743" s="166"/>
      <c r="D743" s="166"/>
      <c r="E743" s="166"/>
      <c r="F743" s="166"/>
    </row>
    <row r="744" spans="2:6" ht="12.75" customHeight="1" x14ac:dyDescent="0.2">
      <c r="B744" s="166"/>
      <c r="C744" s="166"/>
      <c r="D744" s="166"/>
      <c r="E744" s="166"/>
      <c r="F744" s="166"/>
    </row>
    <row r="745" spans="2:6" ht="12.75" customHeight="1" x14ac:dyDescent="0.2">
      <c r="B745" s="166"/>
      <c r="C745" s="166"/>
      <c r="D745" s="166"/>
      <c r="E745" s="166"/>
      <c r="F745" s="166"/>
    </row>
    <row r="746" spans="2:6" ht="12.75" customHeight="1" x14ac:dyDescent="0.2">
      <c r="B746" s="166"/>
      <c r="C746" s="166"/>
      <c r="D746" s="166"/>
      <c r="E746" s="166"/>
      <c r="F746" s="166"/>
    </row>
    <row r="747" spans="2:6" ht="12.75" customHeight="1" x14ac:dyDescent="0.2">
      <c r="B747" s="166"/>
      <c r="C747" s="166"/>
      <c r="D747" s="166"/>
      <c r="E747" s="166"/>
      <c r="F747" s="166"/>
    </row>
    <row r="748" spans="2:6" ht="12.75" customHeight="1" x14ac:dyDescent="0.2">
      <c r="B748" s="166"/>
      <c r="C748" s="166"/>
      <c r="D748" s="166"/>
      <c r="E748" s="166"/>
      <c r="F748" s="166"/>
    </row>
    <row r="749" spans="2:6" ht="12.75" customHeight="1" x14ac:dyDescent="0.2">
      <c r="B749" s="166"/>
      <c r="C749" s="166"/>
      <c r="D749" s="166"/>
      <c r="E749" s="166"/>
      <c r="F749" s="166"/>
    </row>
    <row r="750" spans="2:6" ht="12.75" customHeight="1" x14ac:dyDescent="0.2">
      <c r="B750" s="166"/>
      <c r="C750" s="166"/>
      <c r="D750" s="166"/>
      <c r="E750" s="166"/>
      <c r="F750" s="166"/>
    </row>
    <row r="751" spans="2:6" ht="12.75" customHeight="1" x14ac:dyDescent="0.2">
      <c r="B751" s="166"/>
      <c r="C751" s="166"/>
      <c r="D751" s="166"/>
      <c r="E751" s="166"/>
      <c r="F751" s="166"/>
    </row>
    <row r="752" spans="2:6" ht="12.75" customHeight="1" x14ac:dyDescent="0.2">
      <c r="B752" s="166"/>
      <c r="C752" s="166"/>
      <c r="D752" s="166"/>
      <c r="E752" s="166"/>
      <c r="F752" s="166"/>
    </row>
    <row r="753" spans="2:6" ht="12.75" customHeight="1" x14ac:dyDescent="0.2">
      <c r="B753" s="166"/>
      <c r="C753" s="166"/>
      <c r="D753" s="166"/>
      <c r="E753" s="166"/>
      <c r="F753" s="166"/>
    </row>
    <row r="754" spans="2:6" ht="12.75" customHeight="1" x14ac:dyDescent="0.2">
      <c r="B754" s="166"/>
      <c r="C754" s="166"/>
      <c r="D754" s="166"/>
      <c r="E754" s="166"/>
      <c r="F754" s="166"/>
    </row>
    <row r="755" spans="2:6" ht="12.75" customHeight="1" x14ac:dyDescent="0.2">
      <c r="B755" s="166"/>
      <c r="C755" s="166"/>
      <c r="D755" s="166"/>
      <c r="E755" s="166"/>
      <c r="F755" s="166"/>
    </row>
    <row r="756" spans="2:6" ht="12.75" customHeight="1" x14ac:dyDescent="0.2">
      <c r="B756" s="166"/>
      <c r="C756" s="166"/>
      <c r="D756" s="166"/>
      <c r="E756" s="166"/>
      <c r="F756" s="166"/>
    </row>
    <row r="757" spans="2:6" ht="12.75" customHeight="1" x14ac:dyDescent="0.2">
      <c r="B757" s="166"/>
      <c r="C757" s="166"/>
      <c r="D757" s="166"/>
      <c r="E757" s="166"/>
      <c r="F757" s="166"/>
    </row>
    <row r="758" spans="2:6" ht="12.75" customHeight="1" x14ac:dyDescent="0.2">
      <c r="B758" s="166"/>
      <c r="C758" s="166"/>
      <c r="D758" s="166"/>
      <c r="E758" s="166"/>
      <c r="F758" s="166"/>
    </row>
    <row r="759" spans="2:6" ht="12.75" customHeight="1" x14ac:dyDescent="0.2">
      <c r="B759" s="166"/>
      <c r="C759" s="166"/>
      <c r="D759" s="166"/>
      <c r="E759" s="166"/>
      <c r="F759" s="166"/>
    </row>
    <row r="760" spans="2:6" ht="12.75" customHeight="1" x14ac:dyDescent="0.2">
      <c r="B760" s="166"/>
      <c r="C760" s="166"/>
      <c r="D760" s="166"/>
      <c r="E760" s="166"/>
      <c r="F760" s="166"/>
    </row>
    <row r="761" spans="2:6" ht="12.75" customHeight="1" x14ac:dyDescent="0.2">
      <c r="B761" s="166"/>
      <c r="C761" s="166"/>
      <c r="D761" s="166"/>
      <c r="E761" s="166"/>
      <c r="F761" s="166"/>
    </row>
    <row r="762" spans="2:6" ht="12.75" customHeight="1" x14ac:dyDescent="0.2">
      <c r="B762" s="166"/>
      <c r="C762" s="166"/>
      <c r="D762" s="166"/>
      <c r="E762" s="166"/>
      <c r="F762" s="166"/>
    </row>
    <row r="763" spans="2:6" ht="12.75" customHeight="1" x14ac:dyDescent="0.2">
      <c r="B763" s="166"/>
      <c r="C763" s="166"/>
      <c r="D763" s="166"/>
      <c r="E763" s="166"/>
      <c r="F763" s="166"/>
    </row>
    <row r="764" spans="2:6" ht="12.75" customHeight="1" x14ac:dyDescent="0.2">
      <c r="B764" s="166"/>
      <c r="C764" s="166"/>
      <c r="D764" s="166"/>
      <c r="E764" s="166"/>
      <c r="F764" s="166"/>
    </row>
    <row r="765" spans="2:6" ht="12.75" customHeight="1" x14ac:dyDescent="0.2">
      <c r="B765" s="166"/>
      <c r="C765" s="166"/>
      <c r="D765" s="166"/>
      <c r="E765" s="166"/>
      <c r="F765" s="166"/>
    </row>
    <row r="766" spans="2:6" ht="12.75" customHeight="1" x14ac:dyDescent="0.2">
      <c r="B766" s="166"/>
      <c r="C766" s="166"/>
      <c r="D766" s="166"/>
      <c r="E766" s="166"/>
      <c r="F766" s="166"/>
    </row>
    <row r="767" spans="2:6" ht="12.75" customHeight="1" x14ac:dyDescent="0.2">
      <c r="B767" s="166"/>
      <c r="C767" s="166"/>
      <c r="D767" s="166"/>
      <c r="E767" s="166"/>
      <c r="F767" s="166"/>
    </row>
    <row r="768" spans="2:6" ht="12.75" customHeight="1" x14ac:dyDescent="0.2">
      <c r="B768" s="166"/>
      <c r="C768" s="166"/>
      <c r="D768" s="166"/>
      <c r="E768" s="166"/>
      <c r="F768" s="166"/>
    </row>
    <row r="769" spans="2:6" ht="12.75" customHeight="1" x14ac:dyDescent="0.2">
      <c r="B769" s="166"/>
      <c r="C769" s="166"/>
      <c r="D769" s="166"/>
      <c r="E769" s="166"/>
      <c r="F769" s="166"/>
    </row>
    <row r="770" spans="2:6" ht="12.75" customHeight="1" x14ac:dyDescent="0.2">
      <c r="B770" s="166"/>
      <c r="C770" s="166"/>
      <c r="D770" s="166"/>
      <c r="E770" s="166"/>
      <c r="F770" s="166"/>
    </row>
    <row r="771" spans="2:6" ht="12.75" customHeight="1" x14ac:dyDescent="0.2">
      <c r="B771" s="166"/>
      <c r="C771" s="166"/>
      <c r="D771" s="166"/>
      <c r="E771" s="166"/>
      <c r="F771" s="166"/>
    </row>
    <row r="772" spans="2:6" ht="12.75" customHeight="1" x14ac:dyDescent="0.2">
      <c r="B772" s="166"/>
      <c r="C772" s="166"/>
      <c r="D772" s="166"/>
      <c r="E772" s="166"/>
      <c r="F772" s="166"/>
    </row>
    <row r="773" spans="2:6" ht="12.75" customHeight="1" x14ac:dyDescent="0.2">
      <c r="B773" s="166"/>
      <c r="C773" s="166"/>
      <c r="D773" s="166"/>
      <c r="E773" s="166"/>
      <c r="F773" s="166"/>
    </row>
    <row r="774" spans="2:6" ht="12.75" customHeight="1" x14ac:dyDescent="0.2">
      <c r="B774" s="166"/>
      <c r="C774" s="166"/>
      <c r="D774" s="166"/>
      <c r="E774" s="166"/>
      <c r="F774" s="166"/>
    </row>
    <row r="775" spans="2:6" ht="12.75" customHeight="1" x14ac:dyDescent="0.2">
      <c r="B775" s="166"/>
      <c r="C775" s="166"/>
      <c r="D775" s="166"/>
      <c r="E775" s="166"/>
      <c r="F775" s="166"/>
    </row>
    <row r="776" spans="2:6" ht="12.75" customHeight="1" x14ac:dyDescent="0.2">
      <c r="B776" s="166"/>
      <c r="C776" s="166"/>
      <c r="D776" s="166"/>
      <c r="E776" s="166"/>
      <c r="F776" s="166"/>
    </row>
    <row r="777" spans="2:6" ht="12.75" customHeight="1" x14ac:dyDescent="0.2">
      <c r="B777" s="166"/>
      <c r="C777" s="166"/>
      <c r="D777" s="166"/>
      <c r="E777" s="166"/>
      <c r="F777" s="166"/>
    </row>
    <row r="778" spans="2:6" ht="12.75" customHeight="1" x14ac:dyDescent="0.2">
      <c r="B778" s="166"/>
      <c r="C778" s="166"/>
      <c r="D778" s="166"/>
      <c r="E778" s="166"/>
      <c r="F778" s="166"/>
    </row>
    <row r="779" spans="2:6" ht="12.75" customHeight="1" x14ac:dyDescent="0.2">
      <c r="B779" s="166"/>
      <c r="C779" s="166"/>
      <c r="D779" s="166"/>
      <c r="E779" s="166"/>
      <c r="F779" s="166"/>
    </row>
    <row r="780" spans="2:6" ht="12.75" customHeight="1" x14ac:dyDescent="0.2">
      <c r="B780" s="166"/>
      <c r="C780" s="166"/>
      <c r="D780" s="166"/>
      <c r="E780" s="166"/>
      <c r="F780" s="166"/>
    </row>
    <row r="781" spans="2:6" ht="12.75" customHeight="1" x14ac:dyDescent="0.2">
      <c r="B781" s="166"/>
      <c r="C781" s="166"/>
      <c r="D781" s="166"/>
      <c r="E781" s="166"/>
      <c r="F781" s="166"/>
    </row>
    <row r="782" spans="2:6" ht="12.75" customHeight="1" x14ac:dyDescent="0.2">
      <c r="B782" s="166"/>
      <c r="C782" s="166"/>
      <c r="D782" s="166"/>
      <c r="E782" s="166"/>
      <c r="F782" s="166"/>
    </row>
    <row r="783" spans="2:6" ht="12.75" customHeight="1" x14ac:dyDescent="0.2">
      <c r="B783" s="166"/>
      <c r="C783" s="166"/>
      <c r="D783" s="166"/>
      <c r="E783" s="166"/>
      <c r="F783" s="166"/>
    </row>
    <row r="784" spans="2:6" ht="12.75" customHeight="1" x14ac:dyDescent="0.2">
      <c r="B784" s="166"/>
      <c r="C784" s="166"/>
      <c r="D784" s="166"/>
      <c r="E784" s="166"/>
      <c r="F784" s="166"/>
    </row>
    <row r="785" spans="2:6" ht="12.75" customHeight="1" x14ac:dyDescent="0.2">
      <c r="B785" s="166"/>
      <c r="C785" s="166"/>
      <c r="D785" s="166"/>
      <c r="E785" s="166"/>
      <c r="F785" s="166"/>
    </row>
    <row r="786" spans="2:6" ht="12.75" customHeight="1" x14ac:dyDescent="0.2">
      <c r="B786" s="166"/>
      <c r="C786" s="166"/>
      <c r="D786" s="166"/>
      <c r="E786" s="166"/>
      <c r="F786" s="166"/>
    </row>
    <row r="787" spans="2:6" ht="12.75" customHeight="1" x14ac:dyDescent="0.2">
      <c r="B787" s="166"/>
      <c r="C787" s="166"/>
      <c r="D787" s="166"/>
      <c r="E787" s="166"/>
      <c r="F787" s="166"/>
    </row>
    <row r="788" spans="2:6" ht="12.75" customHeight="1" x14ac:dyDescent="0.2">
      <c r="B788" s="166"/>
      <c r="C788" s="166"/>
      <c r="D788" s="166"/>
      <c r="E788" s="166"/>
      <c r="F788" s="166"/>
    </row>
    <row r="789" spans="2:6" ht="12.75" customHeight="1" x14ac:dyDescent="0.2">
      <c r="B789" s="166"/>
      <c r="C789" s="166"/>
      <c r="D789" s="166"/>
      <c r="E789" s="166"/>
      <c r="F789" s="166"/>
    </row>
    <row r="790" spans="2:6" ht="12.75" customHeight="1" x14ac:dyDescent="0.2">
      <c r="B790" s="166"/>
      <c r="C790" s="166"/>
      <c r="D790" s="166"/>
      <c r="E790" s="166"/>
      <c r="F790" s="166"/>
    </row>
    <row r="791" spans="2:6" ht="12.75" customHeight="1" x14ac:dyDescent="0.2">
      <c r="B791" s="166"/>
      <c r="C791" s="166"/>
      <c r="D791" s="166"/>
      <c r="E791" s="166"/>
      <c r="F791" s="166"/>
    </row>
    <row r="792" spans="2:6" ht="12.75" customHeight="1" x14ac:dyDescent="0.2">
      <c r="B792" s="166"/>
      <c r="C792" s="166"/>
      <c r="D792" s="166"/>
      <c r="E792" s="166"/>
      <c r="F792" s="166"/>
    </row>
    <row r="793" spans="2:6" ht="12.75" customHeight="1" x14ac:dyDescent="0.2">
      <c r="B793" s="166"/>
      <c r="C793" s="166"/>
      <c r="D793" s="166"/>
      <c r="E793" s="166"/>
      <c r="F793" s="166"/>
    </row>
    <row r="794" spans="2:6" ht="12.75" customHeight="1" x14ac:dyDescent="0.2">
      <c r="B794" s="166"/>
      <c r="C794" s="166"/>
      <c r="D794" s="166"/>
      <c r="E794" s="166"/>
      <c r="F794" s="166"/>
    </row>
    <row r="795" spans="2:6" ht="12.75" customHeight="1" x14ac:dyDescent="0.2">
      <c r="B795" s="166"/>
      <c r="C795" s="166"/>
      <c r="D795" s="166"/>
      <c r="E795" s="166"/>
      <c r="F795" s="166"/>
    </row>
    <row r="796" spans="2:6" ht="12.75" customHeight="1" x14ac:dyDescent="0.2">
      <c r="B796" s="166"/>
      <c r="C796" s="166"/>
      <c r="D796" s="166"/>
      <c r="E796" s="166"/>
      <c r="F796" s="166"/>
    </row>
    <row r="797" spans="2:6" ht="12.75" customHeight="1" x14ac:dyDescent="0.2">
      <c r="B797" s="166"/>
      <c r="C797" s="166"/>
      <c r="D797" s="166"/>
      <c r="E797" s="166"/>
      <c r="F797" s="166"/>
    </row>
    <row r="798" spans="2:6" ht="12.75" customHeight="1" x14ac:dyDescent="0.2">
      <c r="B798" s="166"/>
      <c r="C798" s="166"/>
      <c r="D798" s="166"/>
      <c r="E798" s="166"/>
      <c r="F798" s="166"/>
    </row>
    <row r="799" spans="2:6" ht="12.75" customHeight="1" x14ac:dyDescent="0.2">
      <c r="B799" s="166"/>
      <c r="C799" s="166"/>
      <c r="D799" s="166"/>
      <c r="E799" s="166"/>
      <c r="F799" s="166"/>
    </row>
    <row r="800" spans="2:6" ht="12.75" customHeight="1" x14ac:dyDescent="0.2">
      <c r="B800" s="166"/>
      <c r="C800" s="166"/>
      <c r="D800" s="166"/>
      <c r="E800" s="166"/>
      <c r="F800" s="166"/>
    </row>
    <row r="801" spans="2:6" ht="12.75" customHeight="1" x14ac:dyDescent="0.2">
      <c r="B801" s="166"/>
      <c r="C801" s="166"/>
      <c r="D801" s="166"/>
      <c r="E801" s="166"/>
      <c r="F801" s="166"/>
    </row>
    <row r="802" spans="2:6" ht="12.75" customHeight="1" x14ac:dyDescent="0.2">
      <c r="B802" s="166"/>
      <c r="C802" s="166"/>
      <c r="D802" s="166"/>
      <c r="E802" s="166"/>
      <c r="F802" s="166"/>
    </row>
    <row r="803" spans="2:6" ht="12.75" customHeight="1" x14ac:dyDescent="0.2">
      <c r="B803" s="166"/>
      <c r="C803" s="166"/>
      <c r="D803" s="166"/>
      <c r="E803" s="166"/>
      <c r="F803" s="166"/>
    </row>
    <row r="804" spans="2:6" ht="12.75" customHeight="1" x14ac:dyDescent="0.2">
      <c r="B804" s="166"/>
      <c r="C804" s="166"/>
      <c r="D804" s="166"/>
      <c r="E804" s="166"/>
      <c r="F804" s="166"/>
    </row>
    <row r="805" spans="2:6" ht="12.75" customHeight="1" x14ac:dyDescent="0.2">
      <c r="B805" s="166"/>
      <c r="C805" s="166"/>
      <c r="D805" s="166"/>
      <c r="E805" s="166"/>
      <c r="F805" s="166"/>
    </row>
    <row r="806" spans="2:6" ht="12.75" customHeight="1" x14ac:dyDescent="0.2">
      <c r="B806" s="166"/>
      <c r="C806" s="166"/>
      <c r="D806" s="166"/>
      <c r="E806" s="166"/>
      <c r="F806" s="166"/>
    </row>
    <row r="807" spans="2:6" ht="12.75" customHeight="1" x14ac:dyDescent="0.2">
      <c r="B807" s="166"/>
      <c r="C807" s="166"/>
      <c r="D807" s="166"/>
      <c r="E807" s="166"/>
      <c r="F807" s="166"/>
    </row>
    <row r="808" spans="2:6" ht="12.75" customHeight="1" x14ac:dyDescent="0.2">
      <c r="B808" s="166"/>
      <c r="C808" s="166"/>
      <c r="D808" s="166"/>
      <c r="E808" s="166"/>
      <c r="F808" s="166"/>
    </row>
    <row r="809" spans="2:6" ht="12.75" customHeight="1" x14ac:dyDescent="0.2">
      <c r="B809" s="166"/>
      <c r="C809" s="166"/>
      <c r="D809" s="166"/>
      <c r="E809" s="166"/>
      <c r="F809" s="166"/>
    </row>
    <row r="810" spans="2:6" ht="12.75" customHeight="1" x14ac:dyDescent="0.2">
      <c r="B810" s="166"/>
      <c r="C810" s="166"/>
      <c r="D810" s="166"/>
      <c r="E810" s="166"/>
      <c r="F810" s="166"/>
    </row>
    <row r="811" spans="2:6" ht="12.75" customHeight="1" x14ac:dyDescent="0.2">
      <c r="B811" s="166"/>
      <c r="C811" s="166"/>
      <c r="D811" s="166"/>
      <c r="E811" s="166"/>
      <c r="F811" s="166"/>
    </row>
    <row r="812" spans="2:6" ht="12.75" customHeight="1" x14ac:dyDescent="0.2">
      <c r="B812" s="166"/>
      <c r="C812" s="166"/>
      <c r="D812" s="166"/>
      <c r="E812" s="166"/>
      <c r="F812" s="166"/>
    </row>
    <row r="813" spans="2:6" ht="12.75" customHeight="1" x14ac:dyDescent="0.2">
      <c r="B813" s="166"/>
      <c r="C813" s="166"/>
      <c r="D813" s="166"/>
      <c r="E813" s="166"/>
      <c r="F813" s="166"/>
    </row>
    <row r="814" spans="2:6" ht="12.75" customHeight="1" x14ac:dyDescent="0.2">
      <c r="B814" s="166"/>
      <c r="C814" s="166"/>
      <c r="D814" s="166"/>
      <c r="E814" s="166"/>
      <c r="F814" s="166"/>
    </row>
    <row r="815" spans="2:6" ht="12.75" customHeight="1" x14ac:dyDescent="0.2">
      <c r="B815" s="166"/>
      <c r="C815" s="166"/>
      <c r="D815" s="166"/>
      <c r="E815" s="166"/>
      <c r="F815" s="166"/>
    </row>
    <row r="816" spans="2:6" ht="12.75" customHeight="1" x14ac:dyDescent="0.2">
      <c r="B816" s="166"/>
      <c r="C816" s="166"/>
      <c r="D816" s="166"/>
      <c r="E816" s="166"/>
      <c r="F816" s="166"/>
    </row>
    <row r="817" spans="2:6" ht="12.75" customHeight="1" x14ac:dyDescent="0.2">
      <c r="B817" s="166"/>
      <c r="C817" s="166"/>
      <c r="D817" s="166"/>
      <c r="E817" s="166"/>
      <c r="F817" s="166"/>
    </row>
    <row r="818" spans="2:6" ht="12.75" customHeight="1" x14ac:dyDescent="0.2">
      <c r="B818" s="166"/>
      <c r="C818" s="166"/>
      <c r="D818" s="166"/>
      <c r="E818" s="166"/>
      <c r="F818" s="166"/>
    </row>
    <row r="819" spans="2:6" ht="12.75" customHeight="1" x14ac:dyDescent="0.2">
      <c r="B819" s="166"/>
      <c r="C819" s="166"/>
      <c r="D819" s="166"/>
      <c r="E819" s="166"/>
      <c r="F819" s="166"/>
    </row>
    <row r="820" spans="2:6" ht="12.75" customHeight="1" x14ac:dyDescent="0.2">
      <c r="B820" s="166"/>
      <c r="C820" s="166"/>
      <c r="D820" s="166"/>
      <c r="E820" s="166"/>
      <c r="F820" s="166"/>
    </row>
    <row r="821" spans="2:6" ht="12.75" customHeight="1" x14ac:dyDescent="0.2">
      <c r="B821" s="166"/>
      <c r="C821" s="166"/>
      <c r="D821" s="166"/>
      <c r="E821" s="166"/>
      <c r="F821" s="166"/>
    </row>
    <row r="822" spans="2:6" ht="12.75" customHeight="1" x14ac:dyDescent="0.2">
      <c r="B822" s="166"/>
      <c r="C822" s="166"/>
      <c r="D822" s="166"/>
      <c r="E822" s="166"/>
      <c r="F822" s="166"/>
    </row>
    <row r="823" spans="2:6" ht="12.75" customHeight="1" x14ac:dyDescent="0.2">
      <c r="B823" s="166"/>
      <c r="C823" s="166"/>
      <c r="D823" s="166"/>
      <c r="E823" s="166"/>
      <c r="F823" s="166"/>
    </row>
    <row r="824" spans="2:6" ht="12.75" customHeight="1" x14ac:dyDescent="0.2">
      <c r="B824" s="166"/>
      <c r="C824" s="166"/>
      <c r="D824" s="166"/>
      <c r="E824" s="166"/>
      <c r="F824" s="166"/>
    </row>
    <row r="825" spans="2:6" ht="12.75" customHeight="1" x14ac:dyDescent="0.2">
      <c r="B825" s="166"/>
      <c r="C825" s="166"/>
      <c r="D825" s="166"/>
      <c r="E825" s="166"/>
      <c r="F825" s="166"/>
    </row>
    <row r="826" spans="2:6" ht="12.75" customHeight="1" x14ac:dyDescent="0.2">
      <c r="B826" s="166"/>
      <c r="C826" s="166"/>
      <c r="D826" s="166"/>
      <c r="E826" s="166"/>
      <c r="F826" s="166"/>
    </row>
    <row r="827" spans="2:6" ht="12.75" customHeight="1" x14ac:dyDescent="0.2">
      <c r="B827" s="166"/>
      <c r="C827" s="166"/>
      <c r="D827" s="166"/>
      <c r="E827" s="166"/>
      <c r="F827" s="166"/>
    </row>
    <row r="828" spans="2:6" ht="12.75" customHeight="1" x14ac:dyDescent="0.2">
      <c r="B828" s="166"/>
      <c r="C828" s="166"/>
      <c r="D828" s="166"/>
      <c r="E828" s="166"/>
      <c r="F828" s="166"/>
    </row>
    <row r="829" spans="2:6" ht="12.75" customHeight="1" x14ac:dyDescent="0.2">
      <c r="B829" s="166"/>
      <c r="C829" s="166"/>
      <c r="D829" s="166"/>
      <c r="E829" s="166"/>
      <c r="F829" s="166"/>
    </row>
    <row r="830" spans="2:6" ht="12.75" customHeight="1" x14ac:dyDescent="0.2">
      <c r="B830" s="166"/>
      <c r="C830" s="166"/>
      <c r="D830" s="166"/>
      <c r="E830" s="166"/>
      <c r="F830" s="166"/>
    </row>
    <row r="831" spans="2:6" ht="12.75" customHeight="1" x14ac:dyDescent="0.2">
      <c r="B831" s="166"/>
      <c r="C831" s="166"/>
      <c r="D831" s="166"/>
      <c r="E831" s="166"/>
      <c r="F831" s="166"/>
    </row>
    <row r="832" spans="2:6" ht="12.75" customHeight="1" x14ac:dyDescent="0.2">
      <c r="B832" s="166"/>
      <c r="C832" s="166"/>
      <c r="D832" s="166"/>
      <c r="E832" s="166"/>
      <c r="F832" s="166"/>
    </row>
    <row r="833" spans="2:6" ht="12.75" customHeight="1" x14ac:dyDescent="0.2">
      <c r="B833" s="166"/>
      <c r="C833" s="166"/>
      <c r="D833" s="166"/>
      <c r="E833" s="166"/>
      <c r="F833" s="166"/>
    </row>
    <row r="834" spans="2:6" ht="12.75" customHeight="1" x14ac:dyDescent="0.2">
      <c r="B834" s="166"/>
      <c r="C834" s="166"/>
      <c r="D834" s="166"/>
      <c r="E834" s="166"/>
      <c r="F834" s="166"/>
    </row>
    <row r="835" spans="2:6" ht="12.75" customHeight="1" x14ac:dyDescent="0.2">
      <c r="B835" s="166"/>
      <c r="C835" s="166"/>
      <c r="D835" s="166"/>
      <c r="E835" s="166"/>
      <c r="F835" s="166"/>
    </row>
    <row r="836" spans="2:6" ht="12.75" customHeight="1" x14ac:dyDescent="0.2">
      <c r="B836" s="166"/>
      <c r="C836" s="166"/>
      <c r="D836" s="166"/>
      <c r="E836" s="166"/>
      <c r="F836" s="166"/>
    </row>
    <row r="837" spans="2:6" ht="12.75" customHeight="1" x14ac:dyDescent="0.2">
      <c r="B837" s="166"/>
      <c r="C837" s="166"/>
      <c r="D837" s="166"/>
      <c r="E837" s="166"/>
      <c r="F837" s="166"/>
    </row>
    <row r="838" spans="2:6" ht="12.75" customHeight="1" x14ac:dyDescent="0.2">
      <c r="B838" s="166"/>
      <c r="C838" s="166"/>
      <c r="D838" s="166"/>
      <c r="E838" s="166"/>
      <c r="F838" s="166"/>
    </row>
    <row r="839" spans="2:6" ht="12.75" customHeight="1" x14ac:dyDescent="0.2">
      <c r="B839" s="166"/>
      <c r="C839" s="166"/>
      <c r="D839" s="166"/>
      <c r="E839" s="166"/>
      <c r="F839" s="166"/>
    </row>
    <row r="840" spans="2:6" ht="12.75" customHeight="1" x14ac:dyDescent="0.2">
      <c r="B840" s="166"/>
      <c r="C840" s="166"/>
      <c r="D840" s="166"/>
      <c r="E840" s="166"/>
      <c r="F840" s="166"/>
    </row>
    <row r="841" spans="2:6" ht="12.75" customHeight="1" x14ac:dyDescent="0.2">
      <c r="B841" s="166"/>
      <c r="C841" s="166"/>
      <c r="D841" s="166"/>
      <c r="E841" s="166"/>
      <c r="F841" s="166"/>
    </row>
    <row r="842" spans="2:6" ht="12.75" customHeight="1" x14ac:dyDescent="0.2">
      <c r="B842" s="166"/>
      <c r="C842" s="166"/>
      <c r="D842" s="166"/>
      <c r="E842" s="166"/>
      <c r="F842" s="166"/>
    </row>
    <row r="843" spans="2:6" ht="12.75" customHeight="1" x14ac:dyDescent="0.2">
      <c r="B843" s="166"/>
      <c r="C843" s="166"/>
      <c r="D843" s="166"/>
      <c r="E843" s="166"/>
      <c r="F843" s="166"/>
    </row>
    <row r="844" spans="2:6" ht="12.75" customHeight="1" x14ac:dyDescent="0.2">
      <c r="B844" s="166"/>
      <c r="C844" s="166"/>
      <c r="D844" s="166"/>
      <c r="E844" s="166"/>
      <c r="F844" s="166"/>
    </row>
    <row r="845" spans="2:6" ht="12.75" customHeight="1" x14ac:dyDescent="0.2">
      <c r="B845" s="166"/>
      <c r="C845" s="166"/>
      <c r="D845" s="166"/>
      <c r="E845" s="166"/>
      <c r="F845" s="166"/>
    </row>
    <row r="846" spans="2:6" ht="12.75" customHeight="1" x14ac:dyDescent="0.2">
      <c r="B846" s="166"/>
      <c r="C846" s="166"/>
      <c r="D846" s="166"/>
      <c r="E846" s="166"/>
      <c r="F846" s="166"/>
    </row>
    <row r="847" spans="2:6" ht="12.75" customHeight="1" x14ac:dyDescent="0.2">
      <c r="B847" s="166"/>
      <c r="C847" s="166"/>
      <c r="D847" s="166"/>
      <c r="E847" s="166"/>
      <c r="F847" s="166"/>
    </row>
    <row r="848" spans="2:6" ht="12.75" customHeight="1" x14ac:dyDescent="0.2">
      <c r="B848" s="166"/>
      <c r="C848" s="166"/>
      <c r="D848" s="166"/>
      <c r="E848" s="166"/>
      <c r="F848" s="166"/>
    </row>
    <row r="849" spans="2:6" ht="12.75" customHeight="1" x14ac:dyDescent="0.2">
      <c r="B849" s="166"/>
      <c r="C849" s="166"/>
      <c r="D849" s="166"/>
      <c r="E849" s="166"/>
      <c r="F849" s="166"/>
    </row>
    <row r="850" spans="2:6" ht="12.75" customHeight="1" x14ac:dyDescent="0.2">
      <c r="B850" s="166"/>
      <c r="C850" s="166"/>
      <c r="D850" s="166"/>
      <c r="E850" s="166"/>
      <c r="F850" s="166"/>
    </row>
    <row r="851" spans="2:6" ht="12.75" customHeight="1" x14ac:dyDescent="0.2">
      <c r="B851" s="166"/>
      <c r="C851" s="166"/>
      <c r="D851" s="166"/>
      <c r="E851" s="166"/>
      <c r="F851" s="166"/>
    </row>
    <row r="852" spans="2:6" ht="12.75" customHeight="1" x14ac:dyDescent="0.2">
      <c r="B852" s="166"/>
      <c r="C852" s="166"/>
      <c r="D852" s="166"/>
      <c r="E852" s="166"/>
      <c r="F852" s="166"/>
    </row>
    <row r="853" spans="2:6" ht="12.75" customHeight="1" x14ac:dyDescent="0.2">
      <c r="B853" s="166"/>
      <c r="C853" s="166"/>
      <c r="D853" s="166"/>
      <c r="E853" s="166"/>
      <c r="F853" s="166"/>
    </row>
    <row r="854" spans="2:6" ht="12.75" customHeight="1" x14ac:dyDescent="0.2">
      <c r="B854" s="166"/>
      <c r="C854" s="166"/>
      <c r="D854" s="166"/>
      <c r="E854" s="166"/>
      <c r="F854" s="166"/>
    </row>
    <row r="855" spans="2:6" ht="12.75" customHeight="1" x14ac:dyDescent="0.2">
      <c r="B855" s="166"/>
      <c r="C855" s="166"/>
      <c r="D855" s="166"/>
      <c r="E855" s="166"/>
      <c r="F855" s="166"/>
    </row>
    <row r="856" spans="2:6" ht="12.75" customHeight="1" x14ac:dyDescent="0.2">
      <c r="B856" s="166"/>
      <c r="C856" s="166"/>
      <c r="D856" s="166"/>
      <c r="E856" s="166"/>
      <c r="F856" s="166"/>
    </row>
    <row r="857" spans="2:6" ht="12.75" customHeight="1" x14ac:dyDescent="0.2">
      <c r="B857" s="166"/>
      <c r="C857" s="166"/>
      <c r="D857" s="166"/>
      <c r="E857" s="166"/>
      <c r="F857" s="166"/>
    </row>
    <row r="858" spans="2:6" ht="12.75" customHeight="1" x14ac:dyDescent="0.2">
      <c r="B858" s="166"/>
      <c r="C858" s="166"/>
      <c r="D858" s="166"/>
      <c r="E858" s="166"/>
      <c r="F858" s="166"/>
    </row>
    <row r="859" spans="2:6" ht="12.75" customHeight="1" x14ac:dyDescent="0.2">
      <c r="B859" s="166"/>
      <c r="C859" s="166"/>
      <c r="D859" s="166"/>
      <c r="E859" s="166"/>
      <c r="F859" s="166"/>
    </row>
    <row r="860" spans="2:6" ht="12.75" customHeight="1" x14ac:dyDescent="0.2">
      <c r="B860" s="166"/>
      <c r="C860" s="166"/>
      <c r="D860" s="166"/>
      <c r="E860" s="166"/>
      <c r="F860" s="166"/>
    </row>
    <row r="861" spans="2:6" ht="12.75" customHeight="1" x14ac:dyDescent="0.2">
      <c r="B861" s="166"/>
      <c r="C861" s="166"/>
      <c r="D861" s="166"/>
      <c r="E861" s="166"/>
      <c r="F861" s="166"/>
    </row>
    <row r="862" spans="2:6" ht="12.75" customHeight="1" x14ac:dyDescent="0.2">
      <c r="B862" s="166"/>
      <c r="C862" s="166"/>
      <c r="D862" s="166"/>
      <c r="E862" s="166"/>
      <c r="F862" s="166"/>
    </row>
    <row r="863" spans="2:6" ht="12.75" customHeight="1" x14ac:dyDescent="0.2">
      <c r="B863" s="166"/>
      <c r="C863" s="166"/>
      <c r="D863" s="166"/>
      <c r="E863" s="166"/>
      <c r="F863" s="166"/>
    </row>
    <row r="864" spans="2:6" ht="12.75" customHeight="1" x14ac:dyDescent="0.2">
      <c r="B864" s="166"/>
      <c r="C864" s="166"/>
      <c r="D864" s="166"/>
      <c r="E864" s="166"/>
      <c r="F864" s="166"/>
    </row>
    <row r="865" spans="2:6" ht="12.75" customHeight="1" x14ac:dyDescent="0.2">
      <c r="B865" s="166"/>
      <c r="C865" s="166"/>
      <c r="D865" s="166"/>
      <c r="E865" s="166"/>
      <c r="F865" s="166"/>
    </row>
    <row r="866" spans="2:6" ht="12.75" customHeight="1" x14ac:dyDescent="0.2">
      <c r="B866" s="166"/>
      <c r="C866" s="166"/>
      <c r="D866" s="166"/>
      <c r="E866" s="166"/>
      <c r="F866" s="166"/>
    </row>
    <row r="867" spans="2:6" ht="12.75" customHeight="1" x14ac:dyDescent="0.2">
      <c r="B867" s="166"/>
      <c r="C867" s="166"/>
      <c r="D867" s="166"/>
      <c r="E867" s="166"/>
      <c r="F867" s="166"/>
    </row>
    <row r="868" spans="2:6" ht="12.75" customHeight="1" x14ac:dyDescent="0.2">
      <c r="B868" s="166"/>
      <c r="C868" s="166"/>
      <c r="D868" s="166"/>
      <c r="E868" s="166"/>
      <c r="F868" s="166"/>
    </row>
    <row r="869" spans="2:6" ht="12.75" customHeight="1" x14ac:dyDescent="0.2">
      <c r="B869" s="166"/>
      <c r="C869" s="166"/>
      <c r="D869" s="166"/>
      <c r="E869" s="166"/>
      <c r="F869" s="166"/>
    </row>
    <row r="870" spans="2:6" ht="12.75" customHeight="1" x14ac:dyDescent="0.2">
      <c r="B870" s="166"/>
      <c r="C870" s="166"/>
      <c r="D870" s="166"/>
      <c r="E870" s="166"/>
      <c r="F870" s="166"/>
    </row>
    <row r="871" spans="2:6" ht="12.75" customHeight="1" x14ac:dyDescent="0.2">
      <c r="B871" s="166"/>
      <c r="C871" s="166"/>
      <c r="D871" s="166"/>
      <c r="E871" s="166"/>
      <c r="F871" s="166"/>
    </row>
    <row r="872" spans="2:6" ht="12.75" customHeight="1" x14ac:dyDescent="0.2">
      <c r="B872" s="166"/>
      <c r="C872" s="166"/>
      <c r="D872" s="166"/>
      <c r="E872" s="166"/>
      <c r="F872" s="166"/>
    </row>
    <row r="873" spans="2:6" ht="12.75" customHeight="1" x14ac:dyDescent="0.2">
      <c r="B873" s="166"/>
      <c r="C873" s="166"/>
      <c r="D873" s="166"/>
      <c r="E873" s="166"/>
      <c r="F873" s="166"/>
    </row>
    <row r="874" spans="2:6" ht="12.75" customHeight="1" x14ac:dyDescent="0.2">
      <c r="B874" s="166"/>
      <c r="C874" s="166"/>
      <c r="D874" s="166"/>
      <c r="E874" s="166"/>
      <c r="F874" s="166"/>
    </row>
    <row r="875" spans="2:6" ht="12.75" customHeight="1" x14ac:dyDescent="0.2">
      <c r="B875" s="166"/>
      <c r="C875" s="166"/>
      <c r="D875" s="166"/>
      <c r="E875" s="166"/>
      <c r="F875" s="166"/>
    </row>
    <row r="876" spans="2:6" ht="12.75" customHeight="1" x14ac:dyDescent="0.2">
      <c r="B876" s="166"/>
      <c r="C876" s="166"/>
      <c r="D876" s="166"/>
      <c r="E876" s="166"/>
      <c r="F876" s="166"/>
    </row>
    <row r="877" spans="2:6" ht="12.75" customHeight="1" x14ac:dyDescent="0.2">
      <c r="B877" s="166"/>
      <c r="C877" s="166"/>
      <c r="D877" s="166"/>
      <c r="E877" s="166"/>
      <c r="F877" s="166"/>
    </row>
    <row r="878" spans="2:6" ht="12.75" customHeight="1" x14ac:dyDescent="0.2">
      <c r="B878" s="166"/>
      <c r="C878" s="166"/>
      <c r="D878" s="166"/>
      <c r="E878" s="166"/>
      <c r="F878" s="166"/>
    </row>
    <row r="879" spans="2:6" ht="12.75" customHeight="1" x14ac:dyDescent="0.2">
      <c r="B879" s="166"/>
      <c r="C879" s="166"/>
      <c r="D879" s="166"/>
      <c r="E879" s="166"/>
      <c r="F879" s="166"/>
    </row>
    <row r="880" spans="2:6" ht="12.75" customHeight="1" x14ac:dyDescent="0.2">
      <c r="B880" s="166"/>
      <c r="C880" s="166"/>
      <c r="D880" s="166"/>
      <c r="E880" s="166"/>
      <c r="F880" s="166"/>
    </row>
    <row r="881" spans="2:6" ht="12.75" customHeight="1" x14ac:dyDescent="0.2">
      <c r="B881" s="166"/>
      <c r="C881" s="166"/>
      <c r="D881" s="166"/>
      <c r="E881" s="166"/>
      <c r="F881" s="166"/>
    </row>
    <row r="882" spans="2:6" ht="12.75" customHeight="1" x14ac:dyDescent="0.2">
      <c r="B882" s="166"/>
      <c r="C882" s="166"/>
      <c r="D882" s="166"/>
      <c r="E882" s="166"/>
      <c r="F882" s="166"/>
    </row>
    <row r="883" spans="2:6" ht="12.75" customHeight="1" x14ac:dyDescent="0.2">
      <c r="B883" s="166"/>
      <c r="C883" s="166"/>
      <c r="D883" s="166"/>
      <c r="E883" s="166"/>
      <c r="F883" s="166"/>
    </row>
    <row r="884" spans="2:6" ht="12.75" customHeight="1" x14ac:dyDescent="0.2">
      <c r="B884" s="166"/>
      <c r="C884" s="166"/>
      <c r="D884" s="166"/>
      <c r="E884" s="166"/>
      <c r="F884" s="166"/>
    </row>
    <row r="885" spans="2:6" ht="12.75" customHeight="1" x14ac:dyDescent="0.2">
      <c r="B885" s="166"/>
      <c r="C885" s="166"/>
      <c r="D885" s="166"/>
      <c r="E885" s="166"/>
      <c r="F885" s="166"/>
    </row>
    <row r="886" spans="2:6" ht="12.75" customHeight="1" x14ac:dyDescent="0.2">
      <c r="B886" s="166"/>
      <c r="C886" s="166"/>
      <c r="D886" s="166"/>
      <c r="E886" s="166"/>
      <c r="F886" s="166"/>
    </row>
    <row r="887" spans="2:6" ht="12.75" customHeight="1" x14ac:dyDescent="0.2">
      <c r="B887" s="166"/>
      <c r="C887" s="166"/>
      <c r="D887" s="166"/>
      <c r="E887" s="166"/>
      <c r="F887" s="166"/>
    </row>
    <row r="888" spans="2:6" ht="12.75" customHeight="1" x14ac:dyDescent="0.2">
      <c r="B888" s="166"/>
      <c r="C888" s="166"/>
      <c r="D888" s="166"/>
      <c r="E888" s="166"/>
      <c r="F888" s="166"/>
    </row>
    <row r="889" spans="2:6" ht="12.75" customHeight="1" x14ac:dyDescent="0.2">
      <c r="B889" s="166"/>
      <c r="C889" s="166"/>
      <c r="D889" s="166"/>
      <c r="E889" s="166"/>
      <c r="F889" s="166"/>
    </row>
    <row r="890" spans="2:6" ht="12.75" customHeight="1" x14ac:dyDescent="0.2">
      <c r="B890" s="166"/>
      <c r="C890" s="166"/>
      <c r="D890" s="166"/>
      <c r="E890" s="166"/>
      <c r="F890" s="166"/>
    </row>
    <row r="891" spans="2:6" ht="12.75" customHeight="1" x14ac:dyDescent="0.2">
      <c r="B891" s="166"/>
      <c r="C891" s="166"/>
      <c r="D891" s="166"/>
      <c r="E891" s="166"/>
      <c r="F891" s="166"/>
    </row>
    <row r="892" spans="2:6" ht="12.75" customHeight="1" x14ac:dyDescent="0.2">
      <c r="B892" s="166"/>
      <c r="C892" s="166"/>
      <c r="D892" s="166"/>
      <c r="E892" s="166"/>
      <c r="F892" s="166"/>
    </row>
    <row r="893" spans="2:6" ht="12.75" customHeight="1" x14ac:dyDescent="0.2">
      <c r="B893" s="166"/>
      <c r="C893" s="166"/>
      <c r="D893" s="166"/>
      <c r="E893" s="166"/>
      <c r="F893" s="166"/>
    </row>
    <row r="894" spans="2:6" ht="12.75" customHeight="1" x14ac:dyDescent="0.2">
      <c r="B894" s="166"/>
      <c r="C894" s="166"/>
      <c r="D894" s="166"/>
      <c r="E894" s="166"/>
      <c r="F894" s="166"/>
    </row>
    <row r="895" spans="2:6" ht="12.75" customHeight="1" x14ac:dyDescent="0.2">
      <c r="B895" s="166"/>
      <c r="C895" s="166"/>
      <c r="D895" s="166"/>
      <c r="E895" s="166"/>
      <c r="F895" s="166"/>
    </row>
    <row r="896" spans="2:6" ht="12.75" customHeight="1" x14ac:dyDescent="0.2">
      <c r="B896" s="166"/>
      <c r="C896" s="166"/>
      <c r="D896" s="166"/>
      <c r="E896" s="166"/>
      <c r="F896" s="166"/>
    </row>
    <row r="897" spans="2:6" ht="12.75" customHeight="1" x14ac:dyDescent="0.2">
      <c r="B897" s="166"/>
      <c r="C897" s="166"/>
      <c r="D897" s="166"/>
      <c r="E897" s="166"/>
      <c r="F897" s="166"/>
    </row>
    <row r="898" spans="2:6" ht="12.75" customHeight="1" x14ac:dyDescent="0.2">
      <c r="B898" s="166"/>
      <c r="C898" s="166"/>
      <c r="D898" s="166"/>
      <c r="E898" s="166"/>
      <c r="F898" s="166"/>
    </row>
    <row r="899" spans="2:6" ht="12.75" customHeight="1" x14ac:dyDescent="0.2">
      <c r="B899" s="166"/>
      <c r="C899" s="166"/>
      <c r="D899" s="166"/>
      <c r="E899" s="166"/>
      <c r="F899" s="166"/>
    </row>
    <row r="900" spans="2:6" ht="12.75" customHeight="1" x14ac:dyDescent="0.2">
      <c r="B900" s="166"/>
      <c r="C900" s="166"/>
      <c r="D900" s="166"/>
      <c r="E900" s="166"/>
      <c r="F900" s="166"/>
    </row>
    <row r="901" spans="2:6" ht="12.75" customHeight="1" x14ac:dyDescent="0.2">
      <c r="B901" s="166"/>
      <c r="C901" s="166"/>
      <c r="D901" s="166"/>
      <c r="E901" s="166"/>
      <c r="F901" s="166"/>
    </row>
    <row r="902" spans="2:6" ht="12.75" customHeight="1" x14ac:dyDescent="0.2">
      <c r="B902" s="166"/>
      <c r="C902" s="166"/>
      <c r="D902" s="166"/>
      <c r="E902" s="166"/>
      <c r="F902" s="166"/>
    </row>
    <row r="903" spans="2:6" ht="12.75" customHeight="1" x14ac:dyDescent="0.2">
      <c r="B903" s="166"/>
      <c r="C903" s="166"/>
      <c r="D903" s="166"/>
      <c r="E903" s="166"/>
      <c r="F903" s="166"/>
    </row>
    <row r="904" spans="2:6" ht="12.75" customHeight="1" x14ac:dyDescent="0.2">
      <c r="B904" s="166"/>
      <c r="C904" s="166"/>
      <c r="D904" s="166"/>
      <c r="E904" s="166"/>
      <c r="F904" s="166"/>
    </row>
    <row r="905" spans="2:6" ht="12.75" customHeight="1" x14ac:dyDescent="0.2">
      <c r="B905" s="166"/>
      <c r="C905" s="166"/>
      <c r="D905" s="166"/>
      <c r="E905" s="166"/>
      <c r="F905" s="166"/>
    </row>
    <row r="906" spans="2:6" ht="12.75" customHeight="1" x14ac:dyDescent="0.2">
      <c r="B906" s="166"/>
      <c r="C906" s="166"/>
      <c r="D906" s="166"/>
      <c r="E906" s="166"/>
      <c r="F906" s="166"/>
    </row>
    <row r="907" spans="2:6" ht="12.75" customHeight="1" x14ac:dyDescent="0.2">
      <c r="B907" s="166"/>
      <c r="C907" s="166"/>
      <c r="D907" s="166"/>
      <c r="E907" s="166"/>
      <c r="F907" s="166"/>
    </row>
    <row r="908" spans="2:6" ht="12.75" customHeight="1" x14ac:dyDescent="0.2">
      <c r="B908" s="166"/>
      <c r="C908" s="166"/>
      <c r="D908" s="166"/>
      <c r="E908" s="166"/>
      <c r="F908" s="166"/>
    </row>
    <row r="909" spans="2:6" ht="12.75" customHeight="1" x14ac:dyDescent="0.2">
      <c r="B909" s="166"/>
      <c r="C909" s="166"/>
      <c r="D909" s="166"/>
      <c r="E909" s="166"/>
      <c r="F909" s="166"/>
    </row>
    <row r="910" spans="2:6" ht="12.75" customHeight="1" x14ac:dyDescent="0.2">
      <c r="B910" s="166"/>
      <c r="C910" s="166"/>
      <c r="D910" s="166"/>
      <c r="E910" s="166"/>
      <c r="F910" s="166"/>
    </row>
    <row r="911" spans="2:6" ht="12.75" customHeight="1" x14ac:dyDescent="0.2">
      <c r="B911" s="166"/>
      <c r="C911" s="166"/>
      <c r="D911" s="166"/>
      <c r="E911" s="166"/>
      <c r="F911" s="166"/>
    </row>
    <row r="912" spans="2:6" ht="12.75" customHeight="1" x14ac:dyDescent="0.2">
      <c r="B912" s="166"/>
      <c r="C912" s="166"/>
      <c r="D912" s="166"/>
      <c r="E912" s="166"/>
      <c r="F912" s="166"/>
    </row>
    <row r="913" spans="2:6" ht="12.75" customHeight="1" x14ac:dyDescent="0.2">
      <c r="B913" s="166"/>
      <c r="C913" s="166"/>
      <c r="D913" s="166"/>
      <c r="E913" s="166"/>
      <c r="F913" s="166"/>
    </row>
    <row r="914" spans="2:6" ht="12.75" customHeight="1" x14ac:dyDescent="0.2">
      <c r="B914" s="166"/>
      <c r="C914" s="166"/>
      <c r="D914" s="166"/>
      <c r="E914" s="166"/>
      <c r="F914" s="166"/>
    </row>
    <row r="915" spans="2:6" ht="12.75" customHeight="1" x14ac:dyDescent="0.2">
      <c r="B915" s="166"/>
      <c r="C915" s="166"/>
      <c r="D915" s="166"/>
      <c r="E915" s="166"/>
      <c r="F915" s="166"/>
    </row>
    <row r="916" spans="2:6" ht="12.75" customHeight="1" x14ac:dyDescent="0.2">
      <c r="B916" s="166"/>
      <c r="C916" s="166"/>
      <c r="D916" s="166"/>
      <c r="E916" s="166"/>
      <c r="F916" s="166"/>
    </row>
    <row r="917" spans="2:6" ht="12.75" customHeight="1" x14ac:dyDescent="0.2">
      <c r="B917" s="166"/>
      <c r="C917" s="166"/>
      <c r="D917" s="166"/>
      <c r="E917" s="166"/>
      <c r="F917" s="166"/>
    </row>
    <row r="918" spans="2:6" ht="12.75" customHeight="1" x14ac:dyDescent="0.2">
      <c r="B918" s="166"/>
      <c r="C918" s="166"/>
      <c r="D918" s="166"/>
      <c r="E918" s="166"/>
      <c r="F918" s="166"/>
    </row>
    <row r="919" spans="2:6" ht="12.75" customHeight="1" x14ac:dyDescent="0.2">
      <c r="B919" s="166"/>
      <c r="C919" s="166"/>
      <c r="D919" s="166"/>
      <c r="E919" s="166"/>
      <c r="F919" s="166"/>
    </row>
    <row r="920" spans="2:6" ht="12.75" customHeight="1" x14ac:dyDescent="0.2">
      <c r="B920" s="166"/>
      <c r="C920" s="166"/>
      <c r="D920" s="166"/>
      <c r="E920" s="166"/>
      <c r="F920" s="166"/>
    </row>
    <row r="921" spans="2:6" ht="12.75" customHeight="1" x14ac:dyDescent="0.2">
      <c r="B921" s="166"/>
      <c r="C921" s="166"/>
      <c r="D921" s="166"/>
      <c r="E921" s="166"/>
      <c r="F921" s="166"/>
    </row>
    <row r="922" spans="2:6" ht="12.75" customHeight="1" x14ac:dyDescent="0.2">
      <c r="B922" s="166"/>
      <c r="C922" s="166"/>
      <c r="D922" s="166"/>
      <c r="E922" s="166"/>
      <c r="F922" s="166"/>
    </row>
    <row r="923" spans="2:6" ht="12.75" customHeight="1" x14ac:dyDescent="0.2">
      <c r="B923" s="166"/>
      <c r="C923" s="166"/>
      <c r="D923" s="166"/>
      <c r="E923" s="166"/>
      <c r="F923" s="166"/>
    </row>
    <row r="924" spans="2:6" ht="12.75" customHeight="1" x14ac:dyDescent="0.2">
      <c r="B924" s="166"/>
      <c r="C924" s="166"/>
      <c r="D924" s="166"/>
      <c r="E924" s="166"/>
      <c r="F924" s="166"/>
    </row>
    <row r="925" spans="2:6" ht="12.75" customHeight="1" x14ac:dyDescent="0.2">
      <c r="B925" s="166"/>
      <c r="C925" s="166"/>
      <c r="D925" s="166"/>
      <c r="E925" s="166"/>
      <c r="F925" s="166"/>
    </row>
    <row r="926" spans="2:6" ht="12.75" customHeight="1" x14ac:dyDescent="0.2">
      <c r="B926" s="166"/>
      <c r="C926" s="166"/>
      <c r="D926" s="166"/>
      <c r="E926" s="166"/>
      <c r="F926" s="166"/>
    </row>
    <row r="927" spans="2:6" ht="12.75" customHeight="1" x14ac:dyDescent="0.2">
      <c r="B927" s="166"/>
      <c r="C927" s="166"/>
      <c r="D927" s="166"/>
      <c r="E927" s="166"/>
      <c r="F927" s="166"/>
    </row>
    <row r="928" spans="2:6" ht="12.75" customHeight="1" x14ac:dyDescent="0.2">
      <c r="B928" s="166"/>
      <c r="C928" s="166"/>
      <c r="D928" s="166"/>
      <c r="E928" s="166"/>
      <c r="F928" s="166"/>
    </row>
    <row r="929" spans="2:6" ht="12.75" customHeight="1" x14ac:dyDescent="0.2">
      <c r="B929" s="166"/>
      <c r="C929" s="166"/>
      <c r="D929" s="166"/>
      <c r="E929" s="166"/>
      <c r="F929" s="166"/>
    </row>
    <row r="930" spans="2:6" ht="12.75" customHeight="1" x14ac:dyDescent="0.2">
      <c r="B930" s="166"/>
      <c r="C930" s="166"/>
      <c r="D930" s="166"/>
      <c r="E930" s="166"/>
      <c r="F930" s="166"/>
    </row>
    <row r="931" spans="2:6" ht="12.75" customHeight="1" x14ac:dyDescent="0.2">
      <c r="B931" s="166"/>
      <c r="C931" s="166"/>
      <c r="D931" s="166"/>
      <c r="E931" s="166"/>
      <c r="F931" s="166"/>
    </row>
    <row r="932" spans="2:6" ht="12.75" customHeight="1" x14ac:dyDescent="0.2">
      <c r="B932" s="166"/>
      <c r="C932" s="166"/>
      <c r="D932" s="166"/>
      <c r="E932" s="166"/>
      <c r="F932" s="166"/>
    </row>
    <row r="933" spans="2:6" ht="12.75" customHeight="1" x14ac:dyDescent="0.2">
      <c r="B933" s="166"/>
      <c r="C933" s="166"/>
      <c r="D933" s="166"/>
      <c r="E933" s="166"/>
      <c r="F933" s="166"/>
    </row>
    <row r="934" spans="2:6" ht="12.75" customHeight="1" x14ac:dyDescent="0.2">
      <c r="B934" s="166"/>
      <c r="C934" s="166"/>
      <c r="D934" s="166"/>
      <c r="E934" s="166"/>
      <c r="F934" s="166"/>
    </row>
    <row r="935" spans="2:6" ht="12.75" customHeight="1" x14ac:dyDescent="0.2">
      <c r="B935" s="166"/>
      <c r="C935" s="166"/>
      <c r="D935" s="166"/>
      <c r="E935" s="166"/>
      <c r="F935" s="166"/>
    </row>
    <row r="936" spans="2:6" ht="12.75" customHeight="1" x14ac:dyDescent="0.2">
      <c r="B936" s="166"/>
      <c r="C936" s="166"/>
      <c r="D936" s="166"/>
      <c r="E936" s="166"/>
      <c r="F936" s="166"/>
    </row>
    <row r="937" spans="2:6" ht="12.75" customHeight="1" x14ac:dyDescent="0.2">
      <c r="B937" s="166"/>
      <c r="C937" s="166"/>
      <c r="D937" s="166"/>
      <c r="E937" s="166"/>
      <c r="F937" s="166"/>
    </row>
    <row r="938" spans="2:6" ht="12.75" customHeight="1" x14ac:dyDescent="0.2">
      <c r="B938" s="166"/>
      <c r="C938" s="166"/>
      <c r="D938" s="166"/>
      <c r="E938" s="166"/>
      <c r="F938" s="166"/>
    </row>
    <row r="939" spans="2:6" ht="12.75" customHeight="1" x14ac:dyDescent="0.2">
      <c r="B939" s="166"/>
      <c r="C939" s="166"/>
      <c r="D939" s="166"/>
      <c r="E939" s="166"/>
      <c r="F939" s="166"/>
    </row>
    <row r="940" spans="2:6" ht="12.75" customHeight="1" x14ac:dyDescent="0.2">
      <c r="B940" s="166"/>
      <c r="C940" s="166"/>
      <c r="D940" s="166"/>
      <c r="E940" s="166"/>
      <c r="F940" s="166"/>
    </row>
    <row r="941" spans="2:6" ht="12.75" customHeight="1" x14ac:dyDescent="0.2">
      <c r="B941" s="166"/>
      <c r="C941" s="166"/>
      <c r="D941" s="166"/>
      <c r="E941" s="166"/>
      <c r="F941" s="166"/>
    </row>
    <row r="942" spans="2:6" ht="12.75" customHeight="1" x14ac:dyDescent="0.2">
      <c r="B942" s="166"/>
      <c r="C942" s="166"/>
      <c r="D942" s="166"/>
      <c r="E942" s="166"/>
      <c r="F942" s="166"/>
    </row>
    <row r="943" spans="2:6" ht="12.75" customHeight="1" x14ac:dyDescent="0.2">
      <c r="B943" s="166"/>
      <c r="C943" s="166"/>
      <c r="D943" s="166"/>
      <c r="E943" s="166"/>
      <c r="F943" s="166"/>
    </row>
    <row r="944" spans="2:6" ht="12.75" customHeight="1" x14ac:dyDescent="0.2">
      <c r="B944" s="166"/>
      <c r="C944" s="166"/>
      <c r="D944" s="166"/>
      <c r="E944" s="166"/>
      <c r="F944" s="166"/>
    </row>
    <row r="945" spans="2:6" ht="12.75" customHeight="1" x14ac:dyDescent="0.2">
      <c r="B945" s="166"/>
      <c r="C945" s="166"/>
      <c r="D945" s="166"/>
      <c r="E945" s="166"/>
      <c r="F945" s="166"/>
    </row>
    <row r="946" spans="2:6" ht="12.75" customHeight="1" x14ac:dyDescent="0.2">
      <c r="B946" s="166"/>
      <c r="C946" s="166"/>
      <c r="D946" s="166"/>
      <c r="E946" s="166"/>
      <c r="F946" s="166"/>
    </row>
    <row r="947" spans="2:6" ht="12.75" customHeight="1" x14ac:dyDescent="0.2">
      <c r="B947" s="166"/>
      <c r="C947" s="166"/>
      <c r="D947" s="166"/>
      <c r="E947" s="166"/>
      <c r="F947" s="166"/>
    </row>
    <row r="948" spans="2:6" ht="12.75" customHeight="1" x14ac:dyDescent="0.2">
      <c r="B948" s="166"/>
      <c r="C948" s="166"/>
      <c r="D948" s="166"/>
      <c r="E948" s="166"/>
      <c r="F948" s="166"/>
    </row>
    <row r="949" spans="2:6" ht="12.75" customHeight="1" x14ac:dyDescent="0.2">
      <c r="B949" s="166"/>
      <c r="C949" s="166"/>
      <c r="D949" s="166"/>
      <c r="E949" s="166"/>
      <c r="F949" s="166"/>
    </row>
    <row r="950" spans="2:6" ht="12.75" customHeight="1" x14ac:dyDescent="0.2">
      <c r="B950" s="166"/>
      <c r="C950" s="166"/>
      <c r="D950" s="166"/>
      <c r="E950" s="166"/>
      <c r="F950" s="166"/>
    </row>
    <row r="951" spans="2:6" ht="12.75" customHeight="1" x14ac:dyDescent="0.2">
      <c r="B951" s="166"/>
      <c r="C951" s="166"/>
      <c r="D951" s="166"/>
      <c r="E951" s="166"/>
      <c r="F951" s="166"/>
    </row>
    <row r="952" spans="2:6" ht="12.75" customHeight="1" x14ac:dyDescent="0.2">
      <c r="B952" s="166"/>
      <c r="C952" s="166"/>
      <c r="D952" s="166"/>
      <c r="E952" s="166"/>
      <c r="F952" s="166"/>
    </row>
    <row r="953" spans="2:6" ht="12.75" customHeight="1" x14ac:dyDescent="0.2">
      <c r="B953" s="166"/>
      <c r="C953" s="166"/>
      <c r="D953" s="166"/>
      <c r="E953" s="166"/>
      <c r="F953" s="166"/>
    </row>
    <row r="954" spans="2:6" ht="12.75" customHeight="1" x14ac:dyDescent="0.2">
      <c r="B954" s="166"/>
      <c r="C954" s="166"/>
      <c r="D954" s="166"/>
      <c r="E954" s="166"/>
      <c r="F954" s="166"/>
    </row>
    <row r="955" spans="2:6" ht="12.75" customHeight="1" x14ac:dyDescent="0.2">
      <c r="B955" s="166"/>
      <c r="C955" s="166"/>
      <c r="D955" s="166"/>
      <c r="E955" s="166"/>
      <c r="F955" s="166"/>
    </row>
    <row r="956" spans="2:6" ht="12.75" customHeight="1" x14ac:dyDescent="0.2">
      <c r="B956" s="166"/>
      <c r="C956" s="166"/>
      <c r="D956" s="166"/>
      <c r="E956" s="166"/>
      <c r="F956" s="166"/>
    </row>
    <row r="957" spans="2:6" ht="12.75" customHeight="1" x14ac:dyDescent="0.2">
      <c r="B957" s="166"/>
      <c r="C957" s="166"/>
      <c r="D957" s="166"/>
      <c r="E957" s="166"/>
      <c r="F957" s="166"/>
    </row>
    <row r="958" spans="2:6" ht="12.75" customHeight="1" x14ac:dyDescent="0.2">
      <c r="B958" s="166"/>
      <c r="C958" s="166"/>
      <c r="D958" s="166"/>
      <c r="E958" s="166"/>
      <c r="F958" s="166"/>
    </row>
    <row r="959" spans="2:6" ht="12.75" customHeight="1" x14ac:dyDescent="0.2">
      <c r="B959" s="166"/>
      <c r="C959" s="166"/>
      <c r="D959" s="166"/>
      <c r="E959" s="166"/>
      <c r="F959" s="166"/>
    </row>
    <row r="960" spans="2:6" ht="12.75" customHeight="1" x14ac:dyDescent="0.2">
      <c r="B960" s="166"/>
      <c r="C960" s="166"/>
      <c r="D960" s="166"/>
      <c r="E960" s="166"/>
      <c r="F960" s="166"/>
    </row>
    <row r="961" spans="2:6" ht="12.75" customHeight="1" x14ac:dyDescent="0.2">
      <c r="B961" s="166"/>
      <c r="C961" s="166"/>
      <c r="D961" s="166"/>
      <c r="E961" s="166"/>
      <c r="F961" s="166"/>
    </row>
    <row r="962" spans="2:6" ht="12.75" customHeight="1" x14ac:dyDescent="0.2">
      <c r="B962" s="166"/>
      <c r="C962" s="166"/>
      <c r="D962" s="166"/>
      <c r="E962" s="166"/>
      <c r="F962" s="166"/>
    </row>
    <row r="963" spans="2:6" ht="12.75" customHeight="1" x14ac:dyDescent="0.2">
      <c r="B963" s="166"/>
      <c r="C963" s="166"/>
      <c r="D963" s="166"/>
      <c r="E963" s="166"/>
      <c r="F963" s="166"/>
    </row>
    <row r="964" spans="2:6" ht="12.75" customHeight="1" x14ac:dyDescent="0.2">
      <c r="B964" s="166"/>
      <c r="C964" s="166"/>
      <c r="D964" s="166"/>
      <c r="E964" s="166"/>
      <c r="F964" s="166"/>
    </row>
    <row r="965" spans="2:6" ht="12.75" customHeight="1" x14ac:dyDescent="0.2">
      <c r="B965" s="166"/>
      <c r="C965" s="166"/>
      <c r="D965" s="166"/>
      <c r="E965" s="166"/>
      <c r="F965" s="166"/>
    </row>
    <row r="966" spans="2:6" ht="12.75" customHeight="1" x14ac:dyDescent="0.2">
      <c r="B966" s="166"/>
      <c r="C966" s="166"/>
      <c r="D966" s="166"/>
      <c r="E966" s="166"/>
      <c r="F966" s="166"/>
    </row>
    <row r="967" spans="2:6" ht="12.75" customHeight="1" x14ac:dyDescent="0.2">
      <c r="B967" s="166"/>
      <c r="C967" s="166"/>
      <c r="D967" s="166"/>
      <c r="E967" s="166"/>
      <c r="F967" s="166"/>
    </row>
    <row r="968" spans="2:6" ht="12.75" customHeight="1" x14ac:dyDescent="0.2">
      <c r="B968" s="166"/>
      <c r="C968" s="166"/>
      <c r="D968" s="166"/>
      <c r="E968" s="166"/>
      <c r="F968" s="166"/>
    </row>
    <row r="969" spans="2:6" ht="12.75" customHeight="1" x14ac:dyDescent="0.2">
      <c r="B969" s="166"/>
      <c r="C969" s="166"/>
      <c r="D969" s="166"/>
      <c r="E969" s="166"/>
      <c r="F969" s="166"/>
    </row>
    <row r="970" spans="2:6" ht="12.75" customHeight="1" x14ac:dyDescent="0.2">
      <c r="B970" s="166"/>
      <c r="C970" s="166"/>
      <c r="D970" s="166"/>
      <c r="E970" s="166"/>
      <c r="F970" s="166"/>
    </row>
    <row r="971" spans="2:6" ht="12.75" customHeight="1" x14ac:dyDescent="0.2">
      <c r="B971" s="166"/>
      <c r="C971" s="166"/>
      <c r="D971" s="166"/>
      <c r="E971" s="166"/>
      <c r="F971" s="166"/>
    </row>
    <row r="972" spans="2:6" ht="12.75" customHeight="1" x14ac:dyDescent="0.2">
      <c r="B972" s="166"/>
      <c r="C972" s="166"/>
      <c r="D972" s="166"/>
      <c r="E972" s="166"/>
      <c r="F972" s="166"/>
    </row>
    <row r="973" spans="2:6" ht="12.75" customHeight="1" x14ac:dyDescent="0.2">
      <c r="B973" s="166"/>
      <c r="C973" s="166"/>
      <c r="D973" s="166"/>
      <c r="E973" s="166"/>
      <c r="F973" s="166"/>
    </row>
    <row r="974" spans="2:6" ht="12.75" customHeight="1" x14ac:dyDescent="0.2">
      <c r="B974" s="166"/>
      <c r="C974" s="166"/>
      <c r="D974" s="166"/>
      <c r="E974" s="166"/>
      <c r="F974" s="166"/>
    </row>
    <row r="975" spans="2:6" ht="12.75" customHeight="1" x14ac:dyDescent="0.2">
      <c r="B975" s="166"/>
      <c r="C975" s="166"/>
      <c r="D975" s="166"/>
      <c r="E975" s="166"/>
      <c r="F975" s="166"/>
    </row>
    <row r="976" spans="2:6" ht="12.75" customHeight="1" x14ac:dyDescent="0.2">
      <c r="B976" s="166"/>
      <c r="C976" s="166"/>
      <c r="D976" s="166"/>
      <c r="E976" s="166"/>
      <c r="F976" s="166"/>
    </row>
    <row r="977" spans="2:6" ht="12.75" customHeight="1" x14ac:dyDescent="0.2">
      <c r="B977" s="166"/>
      <c r="C977" s="166"/>
      <c r="D977" s="166"/>
      <c r="E977" s="166"/>
      <c r="F977" s="166"/>
    </row>
    <row r="978" spans="2:6" ht="12.75" customHeight="1" x14ac:dyDescent="0.2">
      <c r="B978" s="166"/>
      <c r="C978" s="166"/>
      <c r="D978" s="166"/>
      <c r="E978" s="166"/>
      <c r="F978" s="166"/>
    </row>
    <row r="979" spans="2:6" ht="12.75" customHeight="1" x14ac:dyDescent="0.2">
      <c r="B979" s="166"/>
      <c r="C979" s="166"/>
      <c r="D979" s="166"/>
      <c r="E979" s="166"/>
      <c r="F979" s="166"/>
    </row>
    <row r="980" spans="2:6" ht="12.75" customHeight="1" x14ac:dyDescent="0.2">
      <c r="B980" s="166"/>
      <c r="C980" s="166"/>
      <c r="D980" s="166"/>
      <c r="E980" s="166"/>
      <c r="F980" s="166"/>
    </row>
    <row r="981" spans="2:6" ht="12.75" customHeight="1" x14ac:dyDescent="0.2">
      <c r="B981" s="166"/>
      <c r="C981" s="166"/>
      <c r="D981" s="166"/>
      <c r="E981" s="166"/>
      <c r="F981" s="166"/>
    </row>
    <row r="982" spans="2:6" ht="12.75" customHeight="1" x14ac:dyDescent="0.2">
      <c r="B982" s="166"/>
      <c r="C982" s="166"/>
      <c r="D982" s="166"/>
      <c r="E982" s="166"/>
      <c r="F982" s="166"/>
    </row>
    <row r="983" spans="2:6" ht="12.75" customHeight="1" x14ac:dyDescent="0.2">
      <c r="B983" s="166"/>
      <c r="C983" s="166"/>
      <c r="D983" s="166"/>
      <c r="E983" s="166"/>
      <c r="F983" s="166"/>
    </row>
    <row r="984" spans="2:6" ht="12.75" customHeight="1" x14ac:dyDescent="0.2">
      <c r="B984" s="166"/>
      <c r="C984" s="166"/>
      <c r="D984" s="166"/>
      <c r="E984" s="166"/>
      <c r="F984" s="166"/>
    </row>
    <row r="985" spans="2:6" ht="12.75" customHeight="1" x14ac:dyDescent="0.2">
      <c r="B985" s="166"/>
      <c r="C985" s="166"/>
      <c r="D985" s="166"/>
      <c r="E985" s="166"/>
      <c r="F985" s="166"/>
    </row>
    <row r="986" spans="2:6" ht="12.75" customHeight="1" x14ac:dyDescent="0.2">
      <c r="B986" s="166"/>
      <c r="C986" s="166"/>
      <c r="D986" s="166"/>
      <c r="E986" s="166"/>
      <c r="F986" s="166"/>
    </row>
    <row r="987" spans="2:6" ht="12.75" customHeight="1" x14ac:dyDescent="0.2">
      <c r="B987" s="166"/>
      <c r="C987" s="166"/>
      <c r="D987" s="166"/>
      <c r="E987" s="166"/>
      <c r="F987" s="166"/>
    </row>
    <row r="988" spans="2:6" ht="12.75" customHeight="1" x14ac:dyDescent="0.2">
      <c r="B988" s="166"/>
      <c r="C988" s="166"/>
      <c r="D988" s="166"/>
      <c r="E988" s="166"/>
      <c r="F988" s="166"/>
    </row>
    <row r="989" spans="2:6" ht="12.75" customHeight="1" x14ac:dyDescent="0.2">
      <c r="B989" s="166"/>
      <c r="C989" s="166"/>
      <c r="D989" s="166"/>
      <c r="E989" s="166"/>
      <c r="F989" s="166"/>
    </row>
    <row r="990" spans="2:6" ht="12.75" customHeight="1" x14ac:dyDescent="0.2">
      <c r="B990" s="166"/>
      <c r="C990" s="166"/>
      <c r="D990" s="166"/>
      <c r="E990" s="166"/>
      <c r="F990" s="166"/>
    </row>
    <row r="991" spans="2:6" ht="12.75" customHeight="1" x14ac:dyDescent="0.2">
      <c r="B991" s="166"/>
      <c r="C991" s="166"/>
      <c r="D991" s="166"/>
      <c r="E991" s="166"/>
      <c r="F991" s="166"/>
    </row>
    <row r="992" spans="2:6" ht="12.75" customHeight="1" x14ac:dyDescent="0.2">
      <c r="B992" s="166"/>
      <c r="C992" s="166"/>
      <c r="D992" s="166"/>
      <c r="E992" s="166"/>
      <c r="F992" s="166"/>
    </row>
    <row r="993" spans="2:6" ht="12.75" customHeight="1" x14ac:dyDescent="0.2">
      <c r="B993" s="166"/>
      <c r="C993" s="166"/>
      <c r="D993" s="166"/>
      <c r="E993" s="166"/>
      <c r="F993" s="166"/>
    </row>
    <row r="994" spans="2:6" ht="12.75" customHeight="1" x14ac:dyDescent="0.2">
      <c r="B994" s="166"/>
      <c r="C994" s="166"/>
      <c r="D994" s="166"/>
      <c r="E994" s="166"/>
      <c r="F994" s="166"/>
    </row>
    <row r="995" spans="2:6" ht="12.75" customHeight="1" x14ac:dyDescent="0.2">
      <c r="B995" s="166"/>
      <c r="C995" s="166"/>
      <c r="D995" s="166"/>
      <c r="E995" s="166"/>
      <c r="F995" s="166"/>
    </row>
    <row r="996" spans="2:6" ht="12.75" customHeight="1" x14ac:dyDescent="0.2">
      <c r="B996" s="166"/>
      <c r="C996" s="166"/>
      <c r="D996" s="166"/>
      <c r="E996" s="166"/>
      <c r="F996" s="166"/>
    </row>
    <row r="997" spans="2:6" ht="12.75" customHeight="1" x14ac:dyDescent="0.2">
      <c r="B997" s="166"/>
      <c r="C997" s="166"/>
      <c r="D997" s="166"/>
      <c r="E997" s="166"/>
      <c r="F997" s="166"/>
    </row>
    <row r="998" spans="2:6" ht="12.75" customHeight="1" x14ac:dyDescent="0.2">
      <c r="B998" s="166"/>
      <c r="C998" s="166"/>
      <c r="D998" s="166"/>
      <c r="E998" s="166"/>
      <c r="F998" s="166"/>
    </row>
    <row r="999" spans="2:6" ht="12.75" customHeight="1" x14ac:dyDescent="0.2">
      <c r="B999" s="166"/>
      <c r="C999" s="166"/>
      <c r="D999" s="166"/>
      <c r="E999" s="166"/>
      <c r="F999" s="166"/>
    </row>
    <row r="1000" spans="2:6" ht="12.75" customHeight="1" x14ac:dyDescent="0.2">
      <c r="B1000" s="166"/>
      <c r="C1000" s="166"/>
      <c r="D1000" s="166"/>
      <c r="E1000" s="166"/>
      <c r="F1000" s="166"/>
    </row>
    <row r="1001" spans="2:6" ht="12.75" customHeight="1" x14ac:dyDescent="0.2">
      <c r="B1001" s="166"/>
      <c r="C1001" s="166"/>
      <c r="D1001" s="166"/>
      <c r="E1001" s="166"/>
      <c r="F1001" s="166"/>
    </row>
  </sheetData>
  <mergeCells count="10">
    <mergeCell ref="B16:F16"/>
    <mergeCell ref="C12:C13"/>
    <mergeCell ref="C14:C15"/>
    <mergeCell ref="B2:F2"/>
    <mergeCell ref="B4:D4"/>
    <mergeCell ref="B5:B9"/>
    <mergeCell ref="C5:C7"/>
    <mergeCell ref="C8:C9"/>
    <mergeCell ref="B10:B15"/>
    <mergeCell ref="C10:C11"/>
  </mergeCells>
  <pageMargins left="0.70866141732283472" right="0.70866141732283472" top="0.74803149606299213" bottom="0.74803149606299213" header="0" footer="0"/>
  <pageSetup orientation="landscape" r:id="rId1"/>
  <headerFooter>
    <oddHeader>&amp;L&amp;G&amp;C
MATRIZ DE RIESGOS</oddHeader>
    <oddFooter>&amp;RCódigo:E-02-F-014
Versión: 5 
Fecha: Ver Isolución</oddFooter>
  </headerFooter>
  <legacyDrawingHF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113"/>
  <sheetViews>
    <sheetView showGridLines="0" topLeftCell="J1" zoomScale="70" zoomScaleNormal="70" workbookViewId="0">
      <selection activeCell="P2" sqref="P2"/>
    </sheetView>
  </sheetViews>
  <sheetFormatPr baseColWidth="10" defaultColWidth="10" defaultRowHeight="12" x14ac:dyDescent="0.2"/>
  <cols>
    <col min="1" max="1" width="14.75" style="103" customWidth="1"/>
    <col min="2" max="2" width="4.125" style="103" customWidth="1"/>
    <col min="3" max="3" width="10.375" style="103" bestFit="1" customWidth="1"/>
    <col min="4" max="5" width="36.375" style="103" customWidth="1"/>
    <col min="6" max="6" width="3.125" style="103" customWidth="1"/>
    <col min="7" max="7" width="12.25" style="103" customWidth="1"/>
    <col min="8" max="8" width="16.375" style="103" customWidth="1"/>
    <col min="9" max="9" width="25.125" style="103" customWidth="1"/>
    <col min="10" max="10" width="29.125" style="103" customWidth="1"/>
    <col min="11" max="11" width="16.625" style="103" customWidth="1"/>
    <col min="12" max="12" width="8.625" style="103" bestFit="1" customWidth="1"/>
    <col min="13" max="13" width="25.125" style="103" customWidth="1"/>
    <col min="14" max="16384" width="10" style="103"/>
  </cols>
  <sheetData>
    <row r="1" spans="1:14" ht="24" x14ac:dyDescent="0.2">
      <c r="A1" s="102" t="s">
        <v>3056</v>
      </c>
      <c r="C1" s="102" t="s">
        <v>3057</v>
      </c>
      <c r="D1" s="102" t="s">
        <v>3058</v>
      </c>
      <c r="E1" s="102" t="s">
        <v>3059</v>
      </c>
      <c r="G1" s="102" t="s">
        <v>3060</v>
      </c>
      <c r="H1" s="102" t="s">
        <v>3061</v>
      </c>
      <c r="I1" s="102" t="s">
        <v>3058</v>
      </c>
      <c r="J1" s="102" t="s">
        <v>3059</v>
      </c>
      <c r="L1" s="102" t="s">
        <v>3062</v>
      </c>
      <c r="M1" s="102" t="s">
        <v>79</v>
      </c>
      <c r="N1" s="102" t="s">
        <v>3063</v>
      </c>
    </row>
    <row r="2" spans="1:14" ht="123.75" x14ac:dyDescent="0.2">
      <c r="A2" s="104" t="s">
        <v>3064</v>
      </c>
      <c r="C2" s="105" t="s">
        <v>762</v>
      </c>
      <c r="D2" s="76" t="s">
        <v>3065</v>
      </c>
      <c r="E2" s="76" t="s">
        <v>3066</v>
      </c>
      <c r="G2" s="105" t="s">
        <v>2265</v>
      </c>
      <c r="H2" s="105">
        <v>1</v>
      </c>
      <c r="I2" s="76" t="s">
        <v>3067</v>
      </c>
      <c r="J2" s="76" t="s">
        <v>3068</v>
      </c>
      <c r="L2" s="106" t="s">
        <v>193</v>
      </c>
      <c r="M2" s="105" t="s">
        <v>187</v>
      </c>
      <c r="N2" s="105" t="s">
        <v>3069</v>
      </c>
    </row>
    <row r="3" spans="1:14" ht="123.75" x14ac:dyDescent="0.2">
      <c r="A3" s="104" t="s">
        <v>3070</v>
      </c>
      <c r="C3" s="105" t="s">
        <v>2266</v>
      </c>
      <c r="D3" s="76" t="s">
        <v>3071</v>
      </c>
      <c r="E3" s="76" t="s">
        <v>3072</v>
      </c>
      <c r="G3" s="105" t="s">
        <v>195</v>
      </c>
      <c r="H3" s="105">
        <v>2</v>
      </c>
      <c r="I3" s="76" t="s">
        <v>3073</v>
      </c>
      <c r="J3" s="76" t="s">
        <v>3074</v>
      </c>
      <c r="L3" s="106" t="s">
        <v>193</v>
      </c>
      <c r="M3" s="105" t="s">
        <v>307</v>
      </c>
      <c r="N3" s="105" t="s">
        <v>3075</v>
      </c>
    </row>
    <row r="4" spans="1:14" ht="135" x14ac:dyDescent="0.2">
      <c r="A4" s="104" t="s">
        <v>3076</v>
      </c>
      <c r="C4" s="105" t="s">
        <v>8</v>
      </c>
      <c r="D4" s="76" t="s">
        <v>3077</v>
      </c>
      <c r="E4" s="76" t="s">
        <v>3078</v>
      </c>
      <c r="G4" s="105" t="s">
        <v>8</v>
      </c>
      <c r="H4" s="105">
        <v>3</v>
      </c>
      <c r="I4" s="76" t="s">
        <v>3079</v>
      </c>
      <c r="J4" s="76" t="s">
        <v>3080</v>
      </c>
      <c r="L4" s="106" t="s">
        <v>193</v>
      </c>
      <c r="M4" s="105" t="s">
        <v>462</v>
      </c>
      <c r="N4" s="105" t="s">
        <v>3081</v>
      </c>
    </row>
    <row r="5" spans="1:14" ht="123.75" x14ac:dyDescent="0.2">
      <c r="C5" s="105" t="s">
        <v>195</v>
      </c>
      <c r="D5" s="76" t="s">
        <v>3082</v>
      </c>
      <c r="E5" s="76" t="s">
        <v>3083</v>
      </c>
      <c r="G5" s="105" t="s">
        <v>2266</v>
      </c>
      <c r="H5" s="105">
        <v>4</v>
      </c>
      <c r="I5" s="76" t="s">
        <v>3084</v>
      </c>
      <c r="J5" s="76" t="s">
        <v>3085</v>
      </c>
      <c r="L5" s="106" t="s">
        <v>193</v>
      </c>
      <c r="M5" s="105" t="s">
        <v>528</v>
      </c>
      <c r="N5" s="105" t="s">
        <v>3086</v>
      </c>
    </row>
    <row r="6" spans="1:14" ht="123.75" x14ac:dyDescent="0.2">
      <c r="C6" s="105" t="s">
        <v>2265</v>
      </c>
      <c r="D6" s="76" t="s">
        <v>3087</v>
      </c>
      <c r="E6" s="76" t="s">
        <v>3088</v>
      </c>
      <c r="G6" s="105" t="s">
        <v>762</v>
      </c>
      <c r="H6" s="105">
        <v>5</v>
      </c>
      <c r="I6" s="76" t="s">
        <v>3089</v>
      </c>
      <c r="J6" s="76" t="s">
        <v>3090</v>
      </c>
      <c r="L6" s="106" t="s">
        <v>193</v>
      </c>
      <c r="M6" s="105" t="s">
        <v>1734</v>
      </c>
      <c r="N6" s="105" t="s">
        <v>3091</v>
      </c>
    </row>
    <row r="7" spans="1:14" ht="36" x14ac:dyDescent="0.2">
      <c r="L7" s="106" t="s">
        <v>3092</v>
      </c>
      <c r="M7" s="105" t="s">
        <v>570</v>
      </c>
      <c r="N7" s="105" t="s">
        <v>3093</v>
      </c>
    </row>
    <row r="8" spans="1:14" ht="36" x14ac:dyDescent="0.2">
      <c r="A8" s="102" t="s">
        <v>3064</v>
      </c>
      <c r="L8" s="106" t="s">
        <v>3092</v>
      </c>
      <c r="M8" s="105" t="s">
        <v>1169</v>
      </c>
      <c r="N8" s="105" t="s">
        <v>3094</v>
      </c>
    </row>
    <row r="9" spans="1:14" ht="48" x14ac:dyDescent="0.2">
      <c r="A9" s="104" t="s">
        <v>3095</v>
      </c>
      <c r="C9" s="1059" t="s">
        <v>3096</v>
      </c>
      <c r="D9" s="1059"/>
      <c r="E9" s="1059"/>
      <c r="L9" s="106" t="s">
        <v>3092</v>
      </c>
      <c r="M9" s="105" t="s">
        <v>880</v>
      </c>
      <c r="N9" s="105" t="s">
        <v>3097</v>
      </c>
    </row>
    <row r="10" spans="1:14" ht="24" x14ac:dyDescent="0.2">
      <c r="A10" s="104" t="s">
        <v>3098</v>
      </c>
      <c r="C10" s="102" t="s">
        <v>3099</v>
      </c>
      <c r="D10" s="102" t="s">
        <v>3100</v>
      </c>
      <c r="E10" s="102" t="s">
        <v>3101</v>
      </c>
      <c r="G10" s="102" t="s">
        <v>3102</v>
      </c>
      <c r="H10" s="102" t="s">
        <v>3103</v>
      </c>
      <c r="I10" s="102" t="s">
        <v>2270</v>
      </c>
      <c r="J10" s="102" t="s">
        <v>178</v>
      </c>
      <c r="L10" s="106" t="s">
        <v>3092</v>
      </c>
      <c r="M10" s="105" t="s">
        <v>804</v>
      </c>
      <c r="N10" s="105" t="s">
        <v>3104</v>
      </c>
    </row>
    <row r="11" spans="1:14" ht="24" x14ac:dyDescent="0.2">
      <c r="A11" s="104" t="s">
        <v>3105</v>
      </c>
      <c r="C11" s="105">
        <v>1</v>
      </c>
      <c r="D11" s="105" t="s">
        <v>3106</v>
      </c>
      <c r="E11" s="106" t="s">
        <v>2986</v>
      </c>
      <c r="G11" s="104" t="s">
        <v>2259</v>
      </c>
      <c r="H11" s="105">
        <v>5</v>
      </c>
      <c r="I11" s="77" t="s">
        <v>3107</v>
      </c>
      <c r="J11" s="77" t="s">
        <v>3108</v>
      </c>
      <c r="L11" s="106" t="s">
        <v>3092</v>
      </c>
      <c r="M11" s="105" t="s">
        <v>1029</v>
      </c>
      <c r="N11" s="105" t="s">
        <v>3109</v>
      </c>
    </row>
    <row r="12" spans="1:14" ht="24" x14ac:dyDescent="0.2">
      <c r="A12" s="104" t="s">
        <v>1295</v>
      </c>
      <c r="C12" s="105">
        <v>2</v>
      </c>
      <c r="D12" s="105" t="s">
        <v>3110</v>
      </c>
      <c r="E12" s="106" t="s">
        <v>2985</v>
      </c>
      <c r="G12" s="104" t="s">
        <v>2260</v>
      </c>
      <c r="H12" s="105">
        <v>4</v>
      </c>
      <c r="I12" s="77" t="s">
        <v>3111</v>
      </c>
      <c r="J12" s="77" t="s">
        <v>3112</v>
      </c>
      <c r="L12" s="106" t="s">
        <v>3092</v>
      </c>
      <c r="M12" s="105" t="s">
        <v>1206</v>
      </c>
      <c r="N12" s="105" t="s">
        <v>3113</v>
      </c>
    </row>
    <row r="13" spans="1:14" ht="36" x14ac:dyDescent="0.2">
      <c r="A13" s="104" t="s">
        <v>3114</v>
      </c>
      <c r="C13" s="105">
        <v>3</v>
      </c>
      <c r="D13" s="105" t="s">
        <v>3115</v>
      </c>
      <c r="E13" s="106" t="s">
        <v>2986</v>
      </c>
      <c r="G13" s="104" t="s">
        <v>2261</v>
      </c>
      <c r="H13" s="105">
        <v>3</v>
      </c>
      <c r="I13" s="77" t="s">
        <v>3116</v>
      </c>
      <c r="J13" s="77" t="s">
        <v>3117</v>
      </c>
      <c r="L13" s="106" t="s">
        <v>3092</v>
      </c>
      <c r="M13" s="105" t="s">
        <v>840</v>
      </c>
      <c r="N13" s="105" t="s">
        <v>3118</v>
      </c>
    </row>
    <row r="14" spans="1:14" ht="36" x14ac:dyDescent="0.2">
      <c r="A14" s="104" t="s">
        <v>3119</v>
      </c>
      <c r="C14" s="105">
        <v>4</v>
      </c>
      <c r="D14" s="105" t="s">
        <v>3120</v>
      </c>
      <c r="E14" s="106" t="s">
        <v>2986</v>
      </c>
      <c r="G14" s="104" t="s">
        <v>2263</v>
      </c>
      <c r="H14" s="105">
        <v>2</v>
      </c>
      <c r="I14" s="77" t="s">
        <v>3121</v>
      </c>
      <c r="J14" s="77" t="s">
        <v>3122</v>
      </c>
      <c r="L14" s="106" t="s">
        <v>3092</v>
      </c>
      <c r="M14" s="105" t="s">
        <v>714</v>
      </c>
      <c r="N14" s="105" t="s">
        <v>3123</v>
      </c>
    </row>
    <row r="15" spans="1:14" ht="33.75" x14ac:dyDescent="0.2">
      <c r="C15" s="105">
        <v>5</v>
      </c>
      <c r="D15" s="105" t="s">
        <v>3124</v>
      </c>
      <c r="E15" s="106" t="s">
        <v>2986</v>
      </c>
      <c r="G15" s="104" t="s">
        <v>2264</v>
      </c>
      <c r="H15" s="105">
        <v>1</v>
      </c>
      <c r="I15" s="77" t="s">
        <v>3125</v>
      </c>
      <c r="J15" s="77" t="s">
        <v>3126</v>
      </c>
      <c r="L15" s="106" t="s">
        <v>3127</v>
      </c>
      <c r="M15" s="105" t="s">
        <v>1270</v>
      </c>
      <c r="N15" s="105" t="s">
        <v>3128</v>
      </c>
    </row>
    <row r="16" spans="1:14" ht="24" x14ac:dyDescent="0.2">
      <c r="C16" s="105">
        <v>6</v>
      </c>
      <c r="D16" s="105" t="s">
        <v>3129</v>
      </c>
      <c r="E16" s="106" t="s">
        <v>2986</v>
      </c>
      <c r="L16" s="106" t="s">
        <v>3127</v>
      </c>
      <c r="M16" s="105" t="s">
        <v>1325</v>
      </c>
      <c r="N16" s="105" t="s">
        <v>3130</v>
      </c>
    </row>
    <row r="17" spans="1:14" ht="24" x14ac:dyDescent="0.2">
      <c r="C17" s="105">
        <v>7</v>
      </c>
      <c r="D17" s="105" t="s">
        <v>3131</v>
      </c>
      <c r="E17" s="106" t="s">
        <v>2986</v>
      </c>
      <c r="L17" s="106" t="s">
        <v>3127</v>
      </c>
      <c r="M17" s="105" t="s">
        <v>1347</v>
      </c>
      <c r="N17" s="105" t="s">
        <v>3132</v>
      </c>
    </row>
    <row r="18" spans="1:14" ht="36" x14ac:dyDescent="0.2">
      <c r="A18" s="102" t="s">
        <v>3070</v>
      </c>
      <c r="C18" s="105">
        <v>8</v>
      </c>
      <c r="D18" s="105" t="s">
        <v>3133</v>
      </c>
      <c r="E18" s="106" t="s">
        <v>2986</v>
      </c>
      <c r="G18" s="107" t="s">
        <v>3134</v>
      </c>
      <c r="H18" s="105" t="s">
        <v>3135</v>
      </c>
      <c r="L18" s="106" t="s">
        <v>3127</v>
      </c>
      <c r="M18" s="105" t="s">
        <v>1378</v>
      </c>
      <c r="N18" s="105" t="s">
        <v>3136</v>
      </c>
    </row>
    <row r="19" spans="1:14" ht="24" x14ac:dyDescent="0.2">
      <c r="A19" s="104" t="s">
        <v>1274</v>
      </c>
      <c r="C19" s="105">
        <v>9</v>
      </c>
      <c r="D19" s="105" t="s">
        <v>3137</v>
      </c>
      <c r="E19" s="106" t="s">
        <v>2986</v>
      </c>
      <c r="L19" s="106" t="s">
        <v>3127</v>
      </c>
      <c r="M19" s="105" t="s">
        <v>1448</v>
      </c>
      <c r="N19" s="105" t="s">
        <v>3138</v>
      </c>
    </row>
    <row r="20" spans="1:14" ht="24" x14ac:dyDescent="0.2">
      <c r="A20" s="104" t="s">
        <v>3139</v>
      </c>
      <c r="C20" s="105">
        <v>10</v>
      </c>
      <c r="D20" s="105" t="s">
        <v>3140</v>
      </c>
      <c r="E20" s="106" t="s">
        <v>2986</v>
      </c>
      <c r="G20" s="107" t="s">
        <v>3141</v>
      </c>
      <c r="H20" s="104">
        <f>COUNTA(#REF!)</f>
        <v>1</v>
      </c>
      <c r="L20" s="106" t="s">
        <v>3127</v>
      </c>
      <c r="M20" s="105" t="s">
        <v>1512</v>
      </c>
      <c r="N20" s="105" t="s">
        <v>3142</v>
      </c>
    </row>
    <row r="21" spans="1:14" ht="36" x14ac:dyDescent="0.2">
      <c r="A21" s="104" t="s">
        <v>79</v>
      </c>
      <c r="C21" s="105">
        <v>11</v>
      </c>
      <c r="D21" s="105" t="s">
        <v>3143</v>
      </c>
      <c r="E21" s="106" t="s">
        <v>2986</v>
      </c>
      <c r="G21" s="107" t="s">
        <v>3144</v>
      </c>
      <c r="H21" s="104">
        <f>COUNTA(#REF!)</f>
        <v>1</v>
      </c>
      <c r="L21" s="106" t="s">
        <v>3127</v>
      </c>
      <c r="M21" s="105" t="s">
        <v>1526</v>
      </c>
      <c r="N21" s="105" t="s">
        <v>3145</v>
      </c>
    </row>
    <row r="22" spans="1:14" ht="24" x14ac:dyDescent="0.2">
      <c r="A22" s="104" t="s">
        <v>3146</v>
      </c>
      <c r="C22" s="105">
        <v>12</v>
      </c>
      <c r="D22" s="105" t="s">
        <v>3147</v>
      </c>
      <c r="E22" s="106" t="s">
        <v>2985</v>
      </c>
      <c r="L22" s="106" t="s">
        <v>3127</v>
      </c>
      <c r="M22" s="105" t="s">
        <v>1576</v>
      </c>
      <c r="N22" s="105" t="s">
        <v>3148</v>
      </c>
    </row>
    <row r="23" spans="1:14" ht="48" x14ac:dyDescent="0.2">
      <c r="A23" s="104" t="s">
        <v>193</v>
      </c>
      <c r="C23" s="105">
        <v>13</v>
      </c>
      <c r="D23" s="105" t="s">
        <v>3149</v>
      </c>
      <c r="E23" s="106" t="s">
        <v>2986</v>
      </c>
      <c r="L23" s="106" t="s">
        <v>2297</v>
      </c>
      <c r="M23" s="105" t="s">
        <v>1686</v>
      </c>
      <c r="N23" s="105" t="s">
        <v>3150</v>
      </c>
    </row>
    <row r="24" spans="1:14" ht="24" x14ac:dyDescent="0.2">
      <c r="A24" s="104" t="s">
        <v>3151</v>
      </c>
      <c r="C24" s="105">
        <v>14</v>
      </c>
      <c r="D24" s="105" t="s">
        <v>3152</v>
      </c>
      <c r="E24" s="106" t="s">
        <v>2986</v>
      </c>
      <c r="L24" s="106"/>
      <c r="M24" s="105" t="s">
        <v>3153</v>
      </c>
      <c r="N24" s="105" t="s">
        <v>3154</v>
      </c>
    </row>
    <row r="25" spans="1:14" x14ac:dyDescent="0.2">
      <c r="A25" s="104" t="s">
        <v>3155</v>
      </c>
      <c r="C25" s="105">
        <v>15</v>
      </c>
      <c r="D25" s="105" t="s">
        <v>3156</v>
      </c>
      <c r="E25" s="106" t="s">
        <v>2986</v>
      </c>
    </row>
    <row r="26" spans="1:14" ht="24" x14ac:dyDescent="0.2">
      <c r="C26" s="105">
        <v>16</v>
      </c>
      <c r="D26" s="108" t="s">
        <v>3157</v>
      </c>
      <c r="E26" s="106" t="s">
        <v>2986</v>
      </c>
      <c r="G26" s="1060" t="s">
        <v>3158</v>
      </c>
      <c r="H26" s="1060"/>
      <c r="I26" s="1060"/>
      <c r="J26" s="1060"/>
      <c r="K26" s="1060"/>
    </row>
    <row r="27" spans="1:14" ht="48" x14ac:dyDescent="0.2">
      <c r="C27" s="105">
        <v>17</v>
      </c>
      <c r="D27" s="105" t="s">
        <v>3159</v>
      </c>
      <c r="E27" s="106" t="s">
        <v>2986</v>
      </c>
      <c r="G27" s="109" t="s">
        <v>3160</v>
      </c>
      <c r="H27" s="109" t="s">
        <v>3161</v>
      </c>
      <c r="I27" s="109" t="s">
        <v>3162</v>
      </c>
      <c r="J27" s="109" t="s">
        <v>3163</v>
      </c>
      <c r="K27" s="109" t="s">
        <v>3164</v>
      </c>
    </row>
    <row r="28" spans="1:14" x14ac:dyDescent="0.2">
      <c r="A28" s="102" t="s">
        <v>3076</v>
      </c>
      <c r="C28" s="105">
        <v>18</v>
      </c>
      <c r="D28" s="105" t="s">
        <v>3165</v>
      </c>
      <c r="E28" s="106" t="s">
        <v>2986</v>
      </c>
      <c r="G28" s="105" t="s">
        <v>2380</v>
      </c>
      <c r="H28" s="105" t="s">
        <v>2381</v>
      </c>
      <c r="I28" s="105" t="s">
        <v>2381</v>
      </c>
      <c r="J28" s="105">
        <v>2</v>
      </c>
      <c r="K28" s="105">
        <v>2</v>
      </c>
    </row>
    <row r="29" spans="1:14" x14ac:dyDescent="0.2">
      <c r="A29" s="104" t="s">
        <v>3166</v>
      </c>
      <c r="C29" s="105">
        <v>19</v>
      </c>
      <c r="D29" s="105" t="s">
        <v>3167</v>
      </c>
      <c r="E29" s="106" t="s">
        <v>2985</v>
      </c>
      <c r="G29" s="105" t="s">
        <v>2380</v>
      </c>
      <c r="H29" s="105" t="s">
        <v>2381</v>
      </c>
      <c r="I29" s="105" t="s">
        <v>2686</v>
      </c>
      <c r="J29" s="105">
        <v>2</v>
      </c>
      <c r="K29" s="105">
        <v>1</v>
      </c>
    </row>
    <row r="30" spans="1:14" ht="24" x14ac:dyDescent="0.2">
      <c r="A30" s="104" t="s">
        <v>3168</v>
      </c>
      <c r="C30" s="105" t="s">
        <v>2983</v>
      </c>
      <c r="D30" s="104">
        <f>COUNTIF(E11:E29,"SI")</f>
        <v>3</v>
      </c>
      <c r="E30" s="110" t="str">
        <f>IF(COUNTBLANK(E11:E29)&gt;0,"Diligenciar todas las preguntas",IF(E26="SI",$C$2,IF(D30&lt;6,$C$4,IF(AND(D30&gt;5,D30&lt;12),$C$3,IF(AND(D30&gt;11,D30&lt;20),$C$2,"Revisar fórmula")))))</f>
        <v>Moderado</v>
      </c>
      <c r="G30" s="105" t="s">
        <v>2380</v>
      </c>
      <c r="H30" s="105" t="s">
        <v>2381</v>
      </c>
      <c r="I30" s="105" t="s">
        <v>2698</v>
      </c>
      <c r="J30" s="105">
        <v>2</v>
      </c>
      <c r="K30" s="105">
        <v>0</v>
      </c>
    </row>
    <row r="31" spans="1:14" x14ac:dyDescent="0.2">
      <c r="A31" s="104" t="s">
        <v>3169</v>
      </c>
      <c r="G31" s="105" t="s">
        <v>2380</v>
      </c>
      <c r="H31" s="105" t="s">
        <v>2698</v>
      </c>
      <c r="I31" s="105" t="s">
        <v>2381</v>
      </c>
      <c r="J31" s="105">
        <v>0</v>
      </c>
      <c r="K31" s="105">
        <v>2</v>
      </c>
    </row>
    <row r="32" spans="1:14" ht="24" x14ac:dyDescent="0.2">
      <c r="A32" s="104" t="s">
        <v>3170</v>
      </c>
      <c r="C32" s="102" t="s">
        <v>3171</v>
      </c>
      <c r="D32" s="102" t="s">
        <v>3172</v>
      </c>
      <c r="E32" s="102" t="s">
        <v>3173</v>
      </c>
      <c r="G32" s="105" t="s">
        <v>8</v>
      </c>
      <c r="H32" s="105" t="s">
        <v>2381</v>
      </c>
      <c r="I32" s="105" t="s">
        <v>2381</v>
      </c>
      <c r="J32" s="105">
        <v>1</v>
      </c>
      <c r="K32" s="105">
        <v>1</v>
      </c>
    </row>
    <row r="33" spans="1:11" ht="24" x14ac:dyDescent="0.2">
      <c r="A33" s="104" t="s">
        <v>3174</v>
      </c>
      <c r="C33" s="104" t="s">
        <v>2380</v>
      </c>
      <c r="D33" s="104" t="s">
        <v>3175</v>
      </c>
      <c r="E33" s="104">
        <v>100</v>
      </c>
      <c r="G33" s="105" t="s">
        <v>8</v>
      </c>
      <c r="H33" s="105" t="s">
        <v>2381</v>
      </c>
      <c r="I33" s="105" t="s">
        <v>2686</v>
      </c>
      <c r="J33" s="105">
        <v>1</v>
      </c>
      <c r="K33" s="105">
        <v>0</v>
      </c>
    </row>
    <row r="34" spans="1:11" ht="24" x14ac:dyDescent="0.2">
      <c r="A34" s="104" t="s">
        <v>3176</v>
      </c>
      <c r="C34" s="104" t="s">
        <v>8</v>
      </c>
      <c r="D34" s="104" t="s">
        <v>3177</v>
      </c>
      <c r="E34" s="104">
        <v>50</v>
      </c>
      <c r="G34" s="105" t="s">
        <v>8</v>
      </c>
      <c r="H34" s="105" t="s">
        <v>2381</v>
      </c>
      <c r="I34" s="105" t="s">
        <v>2698</v>
      </c>
      <c r="J34" s="105">
        <v>1</v>
      </c>
      <c r="K34" s="105">
        <v>0</v>
      </c>
    </row>
    <row r="35" spans="1:11" ht="24" x14ac:dyDescent="0.2">
      <c r="A35" s="104" t="s">
        <v>3178</v>
      </c>
      <c r="C35" s="104" t="s">
        <v>3179</v>
      </c>
      <c r="D35" s="104" t="s">
        <v>3180</v>
      </c>
      <c r="E35" s="104">
        <v>0</v>
      </c>
      <c r="G35" s="105" t="s">
        <v>8</v>
      </c>
      <c r="H35" s="105" t="s">
        <v>2698</v>
      </c>
      <c r="I35" s="105" t="s">
        <v>2381</v>
      </c>
      <c r="J35" s="105">
        <v>0</v>
      </c>
      <c r="K35" s="105">
        <v>1</v>
      </c>
    </row>
    <row r="38" spans="1:11" x14ac:dyDescent="0.2">
      <c r="G38" s="1060" t="s">
        <v>3160</v>
      </c>
      <c r="H38" s="1060"/>
      <c r="I38" s="1060"/>
      <c r="J38" s="1060"/>
      <c r="K38" s="1060"/>
    </row>
    <row r="39" spans="1:11" x14ac:dyDescent="0.2">
      <c r="A39" s="102" t="s">
        <v>3181</v>
      </c>
      <c r="D39" s="102" t="s">
        <v>3182</v>
      </c>
      <c r="E39" s="102" t="s">
        <v>3183</v>
      </c>
      <c r="G39" s="105" t="s">
        <v>2380</v>
      </c>
      <c r="H39" s="1058" t="s">
        <v>3184</v>
      </c>
      <c r="I39" s="1058"/>
      <c r="J39" s="1058"/>
      <c r="K39" s="1058"/>
    </row>
    <row r="40" spans="1:11" x14ac:dyDescent="0.2">
      <c r="A40" s="104" t="s">
        <v>2365</v>
      </c>
      <c r="D40" s="105">
        <v>11</v>
      </c>
      <c r="E40" s="105" t="s">
        <v>10</v>
      </c>
      <c r="G40" s="105" t="s">
        <v>8</v>
      </c>
      <c r="H40" s="1058" t="s">
        <v>3185</v>
      </c>
      <c r="I40" s="1058"/>
      <c r="J40" s="1058"/>
      <c r="K40" s="1058"/>
    </row>
    <row r="41" spans="1:11" x14ac:dyDescent="0.2">
      <c r="A41" s="104"/>
      <c r="D41" s="105">
        <v>12</v>
      </c>
      <c r="E41" s="105" t="s">
        <v>10</v>
      </c>
      <c r="G41" s="105" t="s">
        <v>3179</v>
      </c>
      <c r="H41" s="1058" t="s">
        <v>3186</v>
      </c>
      <c r="I41" s="1058"/>
      <c r="J41" s="1058"/>
      <c r="K41" s="1058"/>
    </row>
    <row r="42" spans="1:11" x14ac:dyDescent="0.2">
      <c r="A42" s="104"/>
      <c r="D42" s="105">
        <v>13</v>
      </c>
      <c r="E42" s="105" t="s">
        <v>10</v>
      </c>
    </row>
    <row r="43" spans="1:11" x14ac:dyDescent="0.2">
      <c r="A43" s="104"/>
      <c r="D43" s="105">
        <v>14</v>
      </c>
      <c r="E43" s="105" t="s">
        <v>8</v>
      </c>
    </row>
    <row r="44" spans="1:11" ht="30" customHeight="1" x14ac:dyDescent="0.2">
      <c r="A44" s="104"/>
      <c r="D44" s="105">
        <v>15</v>
      </c>
      <c r="E44" s="105" t="s">
        <v>6</v>
      </c>
      <c r="G44" s="1060" t="s">
        <v>3187</v>
      </c>
      <c r="H44" s="1060"/>
      <c r="I44" s="1060"/>
    </row>
    <row r="45" spans="1:11" ht="28.5" customHeight="1" x14ac:dyDescent="0.2">
      <c r="A45" s="104"/>
      <c r="D45" s="105">
        <v>21</v>
      </c>
      <c r="E45" s="105" t="s">
        <v>10</v>
      </c>
      <c r="G45" s="109" t="s">
        <v>3188</v>
      </c>
      <c r="H45" s="109" t="s">
        <v>3189</v>
      </c>
      <c r="I45" s="109" t="s">
        <v>3190</v>
      </c>
    </row>
    <row r="46" spans="1:11" ht="24" customHeight="1" x14ac:dyDescent="0.2">
      <c r="A46" s="104"/>
      <c r="D46" s="105">
        <v>22</v>
      </c>
      <c r="E46" s="105" t="s">
        <v>10</v>
      </c>
      <c r="G46" s="1061" t="s">
        <v>3191</v>
      </c>
      <c r="H46" s="105" t="s">
        <v>2373</v>
      </c>
      <c r="I46" s="105">
        <v>15</v>
      </c>
    </row>
    <row r="47" spans="1:11" x14ac:dyDescent="0.2">
      <c r="D47" s="105">
        <v>23</v>
      </c>
      <c r="E47" s="105" t="s">
        <v>8</v>
      </c>
      <c r="G47" s="1063"/>
      <c r="H47" s="105" t="s">
        <v>3192</v>
      </c>
      <c r="I47" s="105">
        <v>0</v>
      </c>
    </row>
    <row r="48" spans="1:11" ht="36" customHeight="1" x14ac:dyDescent="0.2">
      <c r="A48" s="104"/>
      <c r="D48" s="105">
        <v>24</v>
      </c>
      <c r="E48" s="105" t="s">
        <v>6</v>
      </c>
      <c r="G48" s="1061" t="s">
        <v>3193</v>
      </c>
      <c r="H48" s="105" t="s">
        <v>2374</v>
      </c>
      <c r="I48" s="105">
        <v>15</v>
      </c>
    </row>
    <row r="49" spans="1:9" x14ac:dyDescent="0.2">
      <c r="A49" s="104"/>
      <c r="D49" s="105">
        <v>25</v>
      </c>
      <c r="E49" s="105" t="s">
        <v>6</v>
      </c>
      <c r="G49" s="1063"/>
      <c r="H49" s="105" t="s">
        <v>3194</v>
      </c>
      <c r="I49" s="105">
        <v>0</v>
      </c>
    </row>
    <row r="50" spans="1:9" x14ac:dyDescent="0.2">
      <c r="A50" s="104"/>
      <c r="D50" s="105">
        <v>31</v>
      </c>
      <c r="E50" s="105" t="s">
        <v>8</v>
      </c>
      <c r="G50" s="1061" t="s">
        <v>3195</v>
      </c>
      <c r="H50" s="105" t="s">
        <v>2375</v>
      </c>
      <c r="I50" s="105">
        <v>15</v>
      </c>
    </row>
    <row r="51" spans="1:9" x14ac:dyDescent="0.2">
      <c r="A51" s="104"/>
      <c r="D51" s="105">
        <v>32</v>
      </c>
      <c r="E51" s="105" t="s">
        <v>8</v>
      </c>
      <c r="G51" s="1063"/>
      <c r="H51" s="105" t="s">
        <v>3196</v>
      </c>
      <c r="I51" s="105">
        <v>0</v>
      </c>
    </row>
    <row r="52" spans="1:9" x14ac:dyDescent="0.2">
      <c r="D52" s="105">
        <v>33</v>
      </c>
      <c r="E52" s="105" t="s">
        <v>6</v>
      </c>
      <c r="G52" s="1061" t="s">
        <v>3197</v>
      </c>
      <c r="H52" s="105" t="s">
        <v>2376</v>
      </c>
      <c r="I52" s="105">
        <v>15</v>
      </c>
    </row>
    <row r="53" spans="1:9" x14ac:dyDescent="0.2">
      <c r="A53" s="102" t="s">
        <v>3198</v>
      </c>
      <c r="D53" s="105">
        <v>34</v>
      </c>
      <c r="E53" s="105" t="s">
        <v>6</v>
      </c>
      <c r="G53" s="1062"/>
      <c r="H53" s="105" t="s">
        <v>2473</v>
      </c>
      <c r="I53" s="105">
        <v>10</v>
      </c>
    </row>
    <row r="54" spans="1:9" x14ac:dyDescent="0.2">
      <c r="A54" s="104" t="s">
        <v>193</v>
      </c>
      <c r="D54" s="105">
        <v>35</v>
      </c>
      <c r="E54" s="105" t="s">
        <v>4</v>
      </c>
      <c r="G54" s="1063"/>
      <c r="H54" s="105" t="s">
        <v>3199</v>
      </c>
      <c r="I54" s="105">
        <v>0</v>
      </c>
    </row>
    <row r="55" spans="1:9" ht="48" customHeight="1" x14ac:dyDescent="0.2">
      <c r="A55" s="104" t="s">
        <v>3092</v>
      </c>
      <c r="D55" s="105">
        <v>41</v>
      </c>
      <c r="E55" s="105" t="s">
        <v>6</v>
      </c>
      <c r="G55" s="1061" t="s">
        <v>3200</v>
      </c>
      <c r="H55" s="105" t="s">
        <v>2377</v>
      </c>
      <c r="I55" s="105">
        <v>15</v>
      </c>
    </row>
    <row r="56" spans="1:9" x14ac:dyDescent="0.2">
      <c r="A56" s="104" t="s">
        <v>3127</v>
      </c>
      <c r="D56" s="105">
        <v>42</v>
      </c>
      <c r="E56" s="105" t="s">
        <v>6</v>
      </c>
      <c r="G56" s="1063"/>
      <c r="H56" s="105" t="s">
        <v>3201</v>
      </c>
      <c r="I56" s="105">
        <v>0</v>
      </c>
    </row>
    <row r="57" spans="1:9" ht="48" customHeight="1" x14ac:dyDescent="0.2">
      <c r="A57" s="104" t="s">
        <v>2297</v>
      </c>
      <c r="D57" s="105">
        <v>43</v>
      </c>
      <c r="E57" s="105" t="s">
        <v>4</v>
      </c>
      <c r="G57" s="1061" t="s">
        <v>3202</v>
      </c>
      <c r="H57" s="105" t="s">
        <v>2378</v>
      </c>
      <c r="I57" s="105">
        <v>15</v>
      </c>
    </row>
    <row r="58" spans="1:9" ht="36" x14ac:dyDescent="0.2">
      <c r="D58" s="105">
        <v>44</v>
      </c>
      <c r="E58" s="105" t="s">
        <v>4</v>
      </c>
      <c r="G58" s="1063"/>
      <c r="H58" s="105" t="s">
        <v>2625</v>
      </c>
      <c r="I58" s="105">
        <v>0</v>
      </c>
    </row>
    <row r="59" spans="1:9" ht="36" customHeight="1" x14ac:dyDescent="0.2">
      <c r="D59" s="105">
        <v>45</v>
      </c>
      <c r="E59" s="105" t="s">
        <v>4</v>
      </c>
      <c r="G59" s="1061" t="s">
        <v>3203</v>
      </c>
      <c r="H59" s="105" t="s">
        <v>2379</v>
      </c>
      <c r="I59" s="105">
        <v>10</v>
      </c>
    </row>
    <row r="60" spans="1:9" x14ac:dyDescent="0.2">
      <c r="A60" s="102" t="s">
        <v>3204</v>
      </c>
      <c r="D60" s="105">
        <v>51</v>
      </c>
      <c r="E60" s="105" t="s">
        <v>4</v>
      </c>
      <c r="G60" s="1062"/>
      <c r="H60" s="105" t="s">
        <v>3205</v>
      </c>
      <c r="I60" s="105">
        <v>5</v>
      </c>
    </row>
    <row r="61" spans="1:9" ht="48" x14ac:dyDescent="0.2">
      <c r="A61" s="104" t="s">
        <v>212</v>
      </c>
      <c r="D61" s="105">
        <v>52</v>
      </c>
      <c r="E61" s="105" t="s">
        <v>4</v>
      </c>
      <c r="G61" s="1063"/>
      <c r="H61" s="105" t="s">
        <v>3206</v>
      </c>
      <c r="I61" s="105">
        <v>0</v>
      </c>
    </row>
    <row r="62" spans="1:9" ht="72" x14ac:dyDescent="0.2">
      <c r="A62" s="104" t="s">
        <v>205</v>
      </c>
      <c r="D62" s="105">
        <v>53</v>
      </c>
      <c r="E62" s="105" t="s">
        <v>4</v>
      </c>
    </row>
    <row r="63" spans="1:9" ht="24" customHeight="1" x14ac:dyDescent="0.2">
      <c r="D63" s="105">
        <v>54</v>
      </c>
      <c r="E63" s="105" t="s">
        <v>4</v>
      </c>
      <c r="G63" s="1058" t="s">
        <v>3207</v>
      </c>
      <c r="H63" s="1058"/>
      <c r="I63" s="105">
        <f>I46+I48+I50+I52+I55+I57+I59</f>
        <v>100</v>
      </c>
    </row>
    <row r="64" spans="1:9" ht="24" x14ac:dyDescent="0.2">
      <c r="A64" s="102" t="s">
        <v>2303</v>
      </c>
      <c r="B64" s="102" t="s">
        <v>3208</v>
      </c>
      <c r="D64" s="105">
        <v>55</v>
      </c>
      <c r="E64" s="105" t="s">
        <v>4</v>
      </c>
    </row>
    <row r="65" spans="1:10" x14ac:dyDescent="0.2">
      <c r="A65" s="104" t="s">
        <v>2373</v>
      </c>
      <c r="B65" s="104">
        <v>15</v>
      </c>
    </row>
    <row r="66" spans="1:10" ht="36" x14ac:dyDescent="0.2">
      <c r="A66" s="104" t="s">
        <v>3192</v>
      </c>
      <c r="B66" s="104">
        <v>0</v>
      </c>
      <c r="G66" s="109" t="s">
        <v>3209</v>
      </c>
      <c r="H66" s="109" t="s">
        <v>3210</v>
      </c>
    </row>
    <row r="67" spans="1:10" ht="24" x14ac:dyDescent="0.2">
      <c r="G67" s="105" t="s">
        <v>2380</v>
      </c>
      <c r="H67" s="105" t="s">
        <v>3211</v>
      </c>
    </row>
    <row r="68" spans="1:10" ht="36" x14ac:dyDescent="0.2">
      <c r="A68" s="102" t="s">
        <v>3212</v>
      </c>
      <c r="B68" s="102" t="s">
        <v>3208</v>
      </c>
      <c r="D68" s="103" t="s">
        <v>3213</v>
      </c>
      <c r="G68" s="105" t="s">
        <v>8</v>
      </c>
      <c r="H68" s="105" t="s">
        <v>3214</v>
      </c>
    </row>
    <row r="69" spans="1:10" ht="24" x14ac:dyDescent="0.2">
      <c r="A69" s="104" t="s">
        <v>2374</v>
      </c>
      <c r="B69" s="104">
        <v>15</v>
      </c>
      <c r="D69" s="103" t="s">
        <v>2985</v>
      </c>
      <c r="G69" s="105" t="s">
        <v>3179</v>
      </c>
      <c r="H69" s="105" t="s">
        <v>3215</v>
      </c>
    </row>
    <row r="70" spans="1:10" x14ac:dyDescent="0.2">
      <c r="A70" s="104" t="s">
        <v>3194</v>
      </c>
      <c r="B70" s="104">
        <v>0</v>
      </c>
      <c r="D70" s="103" t="s">
        <v>2986</v>
      </c>
    </row>
    <row r="72" spans="1:10" ht="60" x14ac:dyDescent="0.2">
      <c r="A72" s="102" t="s">
        <v>2307</v>
      </c>
      <c r="B72" s="102" t="s">
        <v>3208</v>
      </c>
      <c r="G72" s="109" t="s">
        <v>3216</v>
      </c>
      <c r="H72" s="109" t="s">
        <v>3217</v>
      </c>
      <c r="I72" s="109" t="s">
        <v>3218</v>
      </c>
      <c r="J72" s="109" t="s">
        <v>3219</v>
      </c>
    </row>
    <row r="73" spans="1:10" ht="36" customHeight="1" x14ac:dyDescent="0.2">
      <c r="A73" s="104" t="s">
        <v>2375</v>
      </c>
      <c r="B73" s="104">
        <v>15</v>
      </c>
      <c r="G73" s="1061" t="s">
        <v>3220</v>
      </c>
      <c r="H73" s="105" t="s">
        <v>3221</v>
      </c>
      <c r="I73" s="105" t="s">
        <v>3222</v>
      </c>
      <c r="J73" s="105" t="s">
        <v>2911</v>
      </c>
    </row>
    <row r="74" spans="1:10" ht="24" x14ac:dyDescent="0.2">
      <c r="A74" s="104" t="s">
        <v>3196</v>
      </c>
      <c r="B74" s="104">
        <v>0</v>
      </c>
      <c r="G74" s="1062"/>
      <c r="H74" s="105" t="s">
        <v>3223</v>
      </c>
      <c r="I74" s="105" t="s">
        <v>3224</v>
      </c>
      <c r="J74" s="105" t="s">
        <v>3225</v>
      </c>
    </row>
    <row r="75" spans="1:10" x14ac:dyDescent="0.2">
      <c r="G75" s="1063"/>
      <c r="H75" s="105" t="s">
        <v>3226</v>
      </c>
      <c r="I75" s="105" t="s">
        <v>3227</v>
      </c>
      <c r="J75" s="105" t="s">
        <v>3225</v>
      </c>
    </row>
    <row r="76" spans="1:10" ht="36" customHeight="1" x14ac:dyDescent="0.2">
      <c r="A76" s="102" t="s">
        <v>2309</v>
      </c>
      <c r="B76" s="102" t="s">
        <v>3208</v>
      </c>
      <c r="G76" s="1061" t="s">
        <v>3228</v>
      </c>
      <c r="H76" s="105" t="s">
        <v>3221</v>
      </c>
      <c r="I76" s="105" t="s">
        <v>3229</v>
      </c>
      <c r="J76" s="105" t="s">
        <v>3225</v>
      </c>
    </row>
    <row r="77" spans="1:10" ht="24" x14ac:dyDescent="0.2">
      <c r="A77" s="104" t="s">
        <v>2376</v>
      </c>
      <c r="B77" s="104">
        <v>15</v>
      </c>
      <c r="G77" s="1062"/>
      <c r="H77" s="105" t="s">
        <v>3223</v>
      </c>
      <c r="I77" s="105" t="s">
        <v>3230</v>
      </c>
      <c r="J77" s="105" t="s">
        <v>3225</v>
      </c>
    </row>
    <row r="78" spans="1:10" x14ac:dyDescent="0.2">
      <c r="A78" s="104" t="s">
        <v>2473</v>
      </c>
      <c r="B78" s="104">
        <v>10</v>
      </c>
      <c r="G78" s="1063"/>
      <c r="H78" s="105" t="s">
        <v>3226</v>
      </c>
      <c r="I78" s="105" t="s">
        <v>3231</v>
      </c>
      <c r="J78" s="105" t="s">
        <v>3225</v>
      </c>
    </row>
    <row r="79" spans="1:10" ht="36" customHeight="1" x14ac:dyDescent="0.2">
      <c r="A79" s="104" t="s">
        <v>3199</v>
      </c>
      <c r="B79" s="104">
        <v>0</v>
      </c>
      <c r="G79" s="1061" t="s">
        <v>3232</v>
      </c>
      <c r="H79" s="105" t="s">
        <v>3221</v>
      </c>
      <c r="I79" s="105" t="s">
        <v>3233</v>
      </c>
      <c r="J79" s="105" t="s">
        <v>3225</v>
      </c>
    </row>
    <row r="80" spans="1:10" ht="24" x14ac:dyDescent="0.2">
      <c r="G80" s="1062"/>
      <c r="H80" s="105" t="s">
        <v>3223</v>
      </c>
      <c r="I80" s="105" t="s">
        <v>3234</v>
      </c>
      <c r="J80" s="105" t="s">
        <v>3225</v>
      </c>
    </row>
    <row r="81" spans="1:10" ht="37.5" customHeight="1" x14ac:dyDescent="0.2">
      <c r="A81" s="102" t="s">
        <v>3235</v>
      </c>
      <c r="B81" s="102" t="s">
        <v>3208</v>
      </c>
      <c r="G81" s="1063"/>
      <c r="H81" s="105" t="s">
        <v>3226</v>
      </c>
      <c r="I81" s="105" t="s">
        <v>3236</v>
      </c>
      <c r="J81" s="105" t="s">
        <v>3225</v>
      </c>
    </row>
    <row r="82" spans="1:10" x14ac:dyDescent="0.2">
      <c r="A82" s="104" t="s">
        <v>2377</v>
      </c>
      <c r="B82" s="104">
        <v>15</v>
      </c>
    </row>
    <row r="83" spans="1:10" x14ac:dyDescent="0.2">
      <c r="A83" s="104" t="s">
        <v>3201</v>
      </c>
      <c r="B83" s="104">
        <v>0</v>
      </c>
    </row>
    <row r="84" spans="1:10" ht="36" customHeight="1" x14ac:dyDescent="0.2"/>
    <row r="85" spans="1:10" ht="54" customHeight="1" x14ac:dyDescent="0.2">
      <c r="A85" s="102" t="s">
        <v>2313</v>
      </c>
      <c r="B85" s="102" t="s">
        <v>3208</v>
      </c>
    </row>
    <row r="86" spans="1:10" ht="36" x14ac:dyDescent="0.2">
      <c r="A86" s="104" t="s">
        <v>2378</v>
      </c>
      <c r="B86" s="104">
        <v>15</v>
      </c>
    </row>
    <row r="87" spans="1:10" ht="36" x14ac:dyDescent="0.2">
      <c r="A87" s="104" t="s">
        <v>2625</v>
      </c>
      <c r="B87" s="104">
        <v>0</v>
      </c>
    </row>
    <row r="89" spans="1:10" ht="36" customHeight="1" x14ac:dyDescent="0.2">
      <c r="A89" s="102" t="s">
        <v>3237</v>
      </c>
      <c r="B89" s="102" t="s">
        <v>3208</v>
      </c>
    </row>
    <row r="90" spans="1:10" x14ac:dyDescent="0.2">
      <c r="A90" s="104" t="s">
        <v>2379</v>
      </c>
      <c r="B90" s="104">
        <v>15</v>
      </c>
    </row>
    <row r="91" spans="1:10" x14ac:dyDescent="0.2">
      <c r="A91" s="104" t="s">
        <v>3205</v>
      </c>
      <c r="B91" s="104">
        <v>10</v>
      </c>
    </row>
    <row r="92" spans="1:10" x14ac:dyDescent="0.2">
      <c r="A92" s="104" t="s">
        <v>3206</v>
      </c>
      <c r="B92" s="104">
        <v>0</v>
      </c>
    </row>
    <row r="94" spans="1:10" x14ac:dyDescent="0.2">
      <c r="A94" s="102" t="s">
        <v>3238</v>
      </c>
    </row>
    <row r="95" spans="1:10" x14ac:dyDescent="0.2">
      <c r="A95" s="104" t="s">
        <v>197</v>
      </c>
    </row>
    <row r="96" spans="1:10" x14ac:dyDescent="0.2">
      <c r="A96" s="104" t="s">
        <v>269</v>
      </c>
    </row>
    <row r="98" spans="1:2" ht="24" x14ac:dyDescent="0.2">
      <c r="A98" s="102" t="s">
        <v>2295</v>
      </c>
    </row>
    <row r="99" spans="1:2" x14ac:dyDescent="0.2">
      <c r="A99" s="104" t="s">
        <v>378</v>
      </c>
    </row>
    <row r="100" spans="1:2" x14ac:dyDescent="0.2">
      <c r="A100" s="104" t="s">
        <v>1702</v>
      </c>
    </row>
    <row r="101" spans="1:2" x14ac:dyDescent="0.2">
      <c r="A101" s="104" t="s">
        <v>3239</v>
      </c>
    </row>
    <row r="102" spans="1:2" x14ac:dyDescent="0.2">
      <c r="A102" s="104" t="s">
        <v>2371</v>
      </c>
    </row>
    <row r="104" spans="1:2" x14ac:dyDescent="0.2">
      <c r="A104" s="102" t="s">
        <v>3183</v>
      </c>
    </row>
    <row r="105" spans="1:2" x14ac:dyDescent="0.2">
      <c r="A105" s="104" t="s">
        <v>4</v>
      </c>
      <c r="B105" s="111"/>
    </row>
    <row r="106" spans="1:2" x14ac:dyDescent="0.2">
      <c r="A106" s="104" t="s">
        <v>6</v>
      </c>
      <c r="B106" s="112"/>
    </row>
    <row r="107" spans="1:2" x14ac:dyDescent="0.2">
      <c r="A107" s="104" t="s">
        <v>8</v>
      </c>
      <c r="B107" s="113"/>
    </row>
    <row r="108" spans="1:2" x14ac:dyDescent="0.2">
      <c r="A108" s="104" t="s">
        <v>10</v>
      </c>
      <c r="B108" s="114"/>
    </row>
    <row r="110" spans="1:2" x14ac:dyDescent="0.2">
      <c r="A110" s="102" t="s">
        <v>3240</v>
      </c>
    </row>
    <row r="111" spans="1:2" x14ac:dyDescent="0.2">
      <c r="A111" s="104" t="s">
        <v>2381</v>
      </c>
    </row>
    <row r="112" spans="1:2" x14ac:dyDescent="0.2">
      <c r="A112" s="104" t="s">
        <v>2698</v>
      </c>
    </row>
    <row r="113" spans="1:1" x14ac:dyDescent="0.2">
      <c r="A113" s="104" t="s">
        <v>2686</v>
      </c>
    </row>
  </sheetData>
  <mergeCells count="18">
    <mergeCell ref="G79:G81"/>
    <mergeCell ref="G44:I44"/>
    <mergeCell ref="G46:G47"/>
    <mergeCell ref="G48:G49"/>
    <mergeCell ref="G50:G51"/>
    <mergeCell ref="G52:G54"/>
    <mergeCell ref="G55:G56"/>
    <mergeCell ref="G57:G58"/>
    <mergeCell ref="G59:G61"/>
    <mergeCell ref="G63:H63"/>
    <mergeCell ref="G73:G75"/>
    <mergeCell ref="G76:G78"/>
    <mergeCell ref="H41:K41"/>
    <mergeCell ref="C9:E9"/>
    <mergeCell ref="G26:K26"/>
    <mergeCell ref="G38:K38"/>
    <mergeCell ref="H39:K39"/>
    <mergeCell ref="H40:K40"/>
  </mergeCells>
  <conditionalFormatting sqref="E40:E64">
    <cfRule type="cellIs" dxfId="108" priority="1" operator="equal">
      <formula>"Extremo"</formula>
    </cfRule>
    <cfRule type="cellIs" dxfId="107" priority="2" operator="equal">
      <formula>"Alto"</formula>
    </cfRule>
    <cfRule type="cellIs" dxfId="106" priority="3" operator="equal">
      <formula>"Moderado"</formula>
    </cfRule>
    <cfRule type="cellIs" dxfId="105" priority="4" operator="equal">
      <formula>"Bajo"</formula>
    </cfRule>
  </conditionalFormatting>
  <dataValidations count="3">
    <dataValidation type="list" allowBlank="1" showInputMessage="1" showErrorMessage="1" sqref="L2:L24" xr:uid="{00000000-0002-0000-0C00-000000000000}">
      <formula1>T_Proceso</formula1>
    </dataValidation>
    <dataValidation type="list" allowBlank="1" showInputMessage="1" showErrorMessage="1" sqref="E40:E64" xr:uid="{00000000-0002-0000-0C00-000001000000}">
      <formula1>Nivel_R</formula1>
    </dataValidation>
    <dataValidation type="list" allowBlank="1" showInputMessage="1" showErrorMessage="1" sqref="E11:E29" xr:uid="{00000000-0002-0000-0C00-000002000000}">
      <formula1>RespuestaC</formula1>
    </dataValidation>
  </dataValidations>
  <pageMargins left="0.70866141732283472" right="0.70866141732283472" top="0.74803149606299213" bottom="0.74803149606299213" header="0.31496062992125984" footer="0.31496062992125984"/>
  <pageSetup orientation="portrait" horizontalDpi="4294967294" verticalDpi="4294967294" r:id="rId1"/>
  <headerFooter>
    <oddHeader>&amp;L&amp;G&amp;C
MATRIZ DE RIESGOS</oddHeader>
    <oddFooter>&amp;RCódigo:E-02-F-014
Versión: 5 
Fecha: Ver Isolución</oddFooter>
  </headerFooter>
  <legacyDrawing r:id="rId2"/>
  <legacyDrawingHF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J1000"/>
  <sheetViews>
    <sheetView topLeftCell="A28" zoomScale="85" zoomScaleNormal="85" workbookViewId="0">
      <selection activeCell="D28" sqref="D28:D50"/>
    </sheetView>
  </sheetViews>
  <sheetFormatPr baseColWidth="10" defaultColWidth="12.625" defaultRowHeight="15" customHeight="1" x14ac:dyDescent="0.2"/>
  <cols>
    <col min="1" max="2" width="9.375" customWidth="1"/>
    <col min="3" max="3" width="33.75" customWidth="1"/>
    <col min="4" max="4" width="51.375" customWidth="1"/>
    <col min="5" max="5" width="33.75" customWidth="1"/>
    <col min="6" max="6" width="9.375" customWidth="1"/>
    <col min="7" max="7" width="12" customWidth="1"/>
    <col min="8" max="8" width="20.375" bestFit="1" customWidth="1"/>
    <col min="9" max="9" width="9.375" customWidth="1"/>
    <col min="10" max="10" width="21.75" customWidth="1"/>
    <col min="11" max="28" width="9.375" customWidth="1"/>
  </cols>
  <sheetData>
    <row r="1" spans="2:10" ht="15" customHeight="1" x14ac:dyDescent="0.25">
      <c r="B1" s="176" t="s">
        <v>3241</v>
      </c>
      <c r="G1" s="176" t="s">
        <v>158</v>
      </c>
    </row>
    <row r="2" spans="2:10" x14ac:dyDescent="0.25">
      <c r="B2" s="52" t="s">
        <v>378</v>
      </c>
      <c r="G2" s="52" t="s">
        <v>652</v>
      </c>
      <c r="J2" s="176" t="s">
        <v>3242</v>
      </c>
    </row>
    <row r="3" spans="2:10" x14ac:dyDescent="0.25">
      <c r="B3" s="52" t="s">
        <v>1702</v>
      </c>
      <c r="G3" s="52" t="s">
        <v>188</v>
      </c>
      <c r="J3" s="191" t="s">
        <v>340</v>
      </c>
    </row>
    <row r="4" spans="2:10" x14ac:dyDescent="0.25">
      <c r="B4" s="52" t="s">
        <v>789</v>
      </c>
      <c r="G4" s="52" t="s">
        <v>276</v>
      </c>
      <c r="J4" s="191" t="s">
        <v>317</v>
      </c>
    </row>
    <row r="5" spans="2:10" x14ac:dyDescent="0.25">
      <c r="B5" s="52" t="s">
        <v>202</v>
      </c>
      <c r="G5" s="52" t="s">
        <v>652</v>
      </c>
      <c r="J5" s="191" t="s">
        <v>3243</v>
      </c>
    </row>
    <row r="6" spans="2:10" ht="15" customHeight="1" x14ac:dyDescent="0.2">
      <c r="J6" s="191" t="s">
        <v>629</v>
      </c>
    </row>
    <row r="7" spans="2:10" ht="15" customHeight="1" x14ac:dyDescent="0.25">
      <c r="G7" s="175" t="s">
        <v>3244</v>
      </c>
      <c r="J7" s="191" t="s">
        <v>3245</v>
      </c>
    </row>
    <row r="8" spans="2:10" x14ac:dyDescent="0.25">
      <c r="B8" s="52" t="s">
        <v>3246</v>
      </c>
      <c r="G8" s="52" t="s">
        <v>197</v>
      </c>
      <c r="J8" s="191" t="s">
        <v>3247</v>
      </c>
    </row>
    <row r="9" spans="2:10" x14ac:dyDescent="0.25">
      <c r="B9" s="52" t="s">
        <v>3248</v>
      </c>
      <c r="G9" s="52" t="s">
        <v>269</v>
      </c>
      <c r="J9" s="191" t="s">
        <v>3249</v>
      </c>
    </row>
    <row r="10" spans="2:10" x14ac:dyDescent="0.25">
      <c r="B10" s="52" t="s">
        <v>3250</v>
      </c>
      <c r="G10" s="52" t="s">
        <v>240</v>
      </c>
      <c r="J10" s="191" t="s">
        <v>3251</v>
      </c>
    </row>
    <row r="11" spans="2:10" ht="15" customHeight="1" x14ac:dyDescent="0.2">
      <c r="J11" s="191" t="s">
        <v>3252</v>
      </c>
    </row>
    <row r="12" spans="2:10" ht="15" customHeight="1" x14ac:dyDescent="0.25">
      <c r="B12" s="175" t="s">
        <v>3253</v>
      </c>
      <c r="G12" s="175" t="s">
        <v>3254</v>
      </c>
      <c r="J12" s="191" t="s">
        <v>3255</v>
      </c>
    </row>
    <row r="13" spans="2:10" x14ac:dyDescent="0.25">
      <c r="B13" s="52" t="s">
        <v>3256</v>
      </c>
      <c r="G13" s="52" t="s">
        <v>198</v>
      </c>
      <c r="J13" s="191" t="s">
        <v>3257</v>
      </c>
    </row>
    <row r="14" spans="2:10" x14ac:dyDescent="0.25">
      <c r="B14" s="52" t="s">
        <v>2069</v>
      </c>
      <c r="G14" s="52" t="s">
        <v>454</v>
      </c>
      <c r="J14" s="191" t="s">
        <v>213</v>
      </c>
    </row>
    <row r="15" spans="2:10" x14ac:dyDescent="0.25">
      <c r="B15" s="52" t="s">
        <v>3258</v>
      </c>
      <c r="J15" s="191" t="s">
        <v>3259</v>
      </c>
    </row>
    <row r="16" spans="2:10" x14ac:dyDescent="0.25">
      <c r="B16" s="52" t="s">
        <v>3260</v>
      </c>
      <c r="J16" s="191" t="s">
        <v>3261</v>
      </c>
    </row>
    <row r="17" spans="2:10" x14ac:dyDescent="0.25">
      <c r="B17" s="52" t="s">
        <v>3262</v>
      </c>
      <c r="G17" s="191" t="s">
        <v>3263</v>
      </c>
      <c r="J17" s="191" t="s">
        <v>3264</v>
      </c>
    </row>
    <row r="18" spans="2:10" x14ac:dyDescent="0.25">
      <c r="B18" s="52" t="s">
        <v>3265</v>
      </c>
      <c r="G18" s="191" t="s">
        <v>2070</v>
      </c>
      <c r="J18" s="191" t="s">
        <v>3266</v>
      </c>
    </row>
    <row r="19" spans="2:10" x14ac:dyDescent="0.25">
      <c r="B19" s="52" t="s">
        <v>3267</v>
      </c>
      <c r="J19" s="191" t="s">
        <v>3268</v>
      </c>
    </row>
    <row r="20" spans="2:10" ht="15" customHeight="1" x14ac:dyDescent="0.25">
      <c r="B20" s="52"/>
      <c r="J20" s="191" t="s">
        <v>206</v>
      </c>
    </row>
    <row r="21" spans="2:10" ht="15.75" customHeight="1" x14ac:dyDescent="0.2"/>
    <row r="22" spans="2:10" ht="15.75" customHeight="1" x14ac:dyDescent="0.25">
      <c r="B22" s="175" t="s">
        <v>3269</v>
      </c>
    </row>
    <row r="23" spans="2:10" ht="15.75" customHeight="1" x14ac:dyDescent="0.25">
      <c r="B23" s="52" t="s">
        <v>2990</v>
      </c>
    </row>
    <row r="24" spans="2:10" ht="15.75" customHeight="1" x14ac:dyDescent="0.25">
      <c r="B24" s="52" t="s">
        <v>2989</v>
      </c>
    </row>
    <row r="25" spans="2:10" ht="15.75" customHeight="1" x14ac:dyDescent="0.25">
      <c r="B25" s="52" t="s">
        <v>2992</v>
      </c>
    </row>
    <row r="26" spans="2:10" ht="15.75" customHeight="1" x14ac:dyDescent="0.2"/>
    <row r="27" spans="2:10" ht="15.75" customHeight="1" x14ac:dyDescent="0.2">
      <c r="B27" s="68" t="s">
        <v>3062</v>
      </c>
      <c r="C27" s="68" t="s">
        <v>79</v>
      </c>
      <c r="D27" s="68" t="s">
        <v>81</v>
      </c>
      <c r="E27" s="68" t="s">
        <v>83</v>
      </c>
      <c r="F27" s="68" t="s">
        <v>3063</v>
      </c>
      <c r="H27" s="102" t="s">
        <v>3181</v>
      </c>
    </row>
    <row r="28" spans="2:10" ht="54" customHeight="1" x14ac:dyDescent="0.2">
      <c r="B28" s="70" t="s">
        <v>193</v>
      </c>
      <c r="C28" s="72" t="s">
        <v>187</v>
      </c>
      <c r="D28" s="174" t="s">
        <v>3270</v>
      </c>
      <c r="E28" s="174" t="s">
        <v>3271</v>
      </c>
      <c r="F28" s="71" t="s">
        <v>3069</v>
      </c>
      <c r="H28" s="104" t="s">
        <v>193</v>
      </c>
    </row>
    <row r="29" spans="2:10" ht="78" customHeight="1" x14ac:dyDescent="0.2">
      <c r="B29" s="70" t="s">
        <v>193</v>
      </c>
      <c r="C29" s="72" t="s">
        <v>307</v>
      </c>
      <c r="D29" s="174" t="s">
        <v>3272</v>
      </c>
      <c r="E29" s="174" t="s">
        <v>3273</v>
      </c>
      <c r="F29" s="71" t="s">
        <v>3075</v>
      </c>
      <c r="H29" s="104" t="s">
        <v>311</v>
      </c>
    </row>
    <row r="30" spans="2:10" ht="47.25" customHeight="1" x14ac:dyDescent="0.2">
      <c r="B30" s="70" t="s">
        <v>193</v>
      </c>
      <c r="C30" s="72" t="s">
        <v>462</v>
      </c>
      <c r="D30" s="174" t="s">
        <v>3274</v>
      </c>
      <c r="E30" s="174" t="s">
        <v>3275</v>
      </c>
      <c r="F30" s="71" t="s">
        <v>3081</v>
      </c>
      <c r="H30" s="104" t="s">
        <v>1274</v>
      </c>
    </row>
    <row r="31" spans="2:10" ht="47.25" customHeight="1" x14ac:dyDescent="0.2">
      <c r="B31" s="70" t="s">
        <v>193</v>
      </c>
      <c r="C31" s="72" t="s">
        <v>528</v>
      </c>
      <c r="D31" s="174" t="s">
        <v>3276</v>
      </c>
      <c r="E31" s="174" t="s">
        <v>3277</v>
      </c>
      <c r="F31" s="71" t="s">
        <v>3086</v>
      </c>
      <c r="H31" s="104" t="s">
        <v>1295</v>
      </c>
    </row>
    <row r="32" spans="2:10" ht="63" customHeight="1" x14ac:dyDescent="0.2">
      <c r="B32" s="70" t="s">
        <v>193</v>
      </c>
      <c r="C32" s="72" t="s">
        <v>1734</v>
      </c>
      <c r="D32" s="174" t="s">
        <v>3278</v>
      </c>
      <c r="E32" s="174" t="s">
        <v>3279</v>
      </c>
      <c r="F32" s="71" t="s">
        <v>3091</v>
      </c>
      <c r="H32" s="104" t="s">
        <v>522</v>
      </c>
    </row>
    <row r="33" spans="2:10" ht="57" customHeight="1" x14ac:dyDescent="0.2">
      <c r="B33" s="70" t="s">
        <v>3092</v>
      </c>
      <c r="C33" s="72" t="s">
        <v>570</v>
      </c>
      <c r="D33" s="174" t="s">
        <v>3280</v>
      </c>
      <c r="E33" s="174" t="s">
        <v>3281</v>
      </c>
      <c r="F33" s="71" t="s">
        <v>3093</v>
      </c>
      <c r="H33" s="104" t="s">
        <v>420</v>
      </c>
    </row>
    <row r="34" spans="2:10" ht="53.25" customHeight="1" x14ac:dyDescent="0.2">
      <c r="B34" s="70" t="s">
        <v>3092</v>
      </c>
      <c r="C34" s="72" t="s">
        <v>1169</v>
      </c>
      <c r="D34" s="174" t="s">
        <v>3282</v>
      </c>
      <c r="E34" s="174" t="s">
        <v>3283</v>
      </c>
      <c r="F34" s="71" t="s">
        <v>3094</v>
      </c>
      <c r="H34" s="104" t="s">
        <v>398</v>
      </c>
    </row>
    <row r="35" spans="2:10" ht="33.75" customHeight="1" x14ac:dyDescent="0.2">
      <c r="B35" s="70" t="s">
        <v>3092</v>
      </c>
      <c r="C35" s="72" t="s">
        <v>880</v>
      </c>
      <c r="D35" s="174" t="s">
        <v>3284</v>
      </c>
      <c r="E35" s="174" t="s">
        <v>3285</v>
      </c>
      <c r="F35" s="71" t="s">
        <v>3097</v>
      </c>
      <c r="H35" s="104" t="s">
        <v>1138</v>
      </c>
    </row>
    <row r="36" spans="2:10" ht="33.75" customHeight="1" x14ac:dyDescent="0.2">
      <c r="B36" s="70" t="s">
        <v>3092</v>
      </c>
      <c r="C36" s="72" t="s">
        <v>804</v>
      </c>
      <c r="D36" s="174" t="s">
        <v>3286</v>
      </c>
      <c r="E36" s="174" t="s">
        <v>3287</v>
      </c>
      <c r="F36" s="71" t="s">
        <v>3104</v>
      </c>
      <c r="J36" s="104" t="s">
        <v>3288</v>
      </c>
    </row>
    <row r="37" spans="2:10" ht="33.75" customHeight="1" x14ac:dyDescent="0.2">
      <c r="B37" s="70" t="s">
        <v>3092</v>
      </c>
      <c r="C37" s="72" t="s">
        <v>1029</v>
      </c>
      <c r="D37" s="174" t="s">
        <v>3289</v>
      </c>
      <c r="E37" s="174" t="s">
        <v>3290</v>
      </c>
      <c r="F37" s="71" t="s">
        <v>3109</v>
      </c>
    </row>
    <row r="38" spans="2:10" ht="33.75" customHeight="1" x14ac:dyDescent="0.2">
      <c r="B38" s="70" t="s">
        <v>3092</v>
      </c>
      <c r="C38" s="72" t="s">
        <v>1206</v>
      </c>
      <c r="D38" s="174" t="s">
        <v>3291</v>
      </c>
      <c r="E38" s="174" t="s">
        <v>3292</v>
      </c>
      <c r="F38" s="71" t="s">
        <v>3113</v>
      </c>
    </row>
    <row r="39" spans="2:10" ht="33.75" customHeight="1" x14ac:dyDescent="0.2">
      <c r="B39" s="70" t="s">
        <v>3092</v>
      </c>
      <c r="C39" s="72" t="s">
        <v>840</v>
      </c>
      <c r="D39" s="174" t="s">
        <v>3293</v>
      </c>
      <c r="E39" s="174" t="s">
        <v>3294</v>
      </c>
      <c r="F39" s="71" t="s">
        <v>3118</v>
      </c>
    </row>
    <row r="40" spans="2:10" ht="33.75" customHeight="1" x14ac:dyDescent="0.2">
      <c r="B40" s="70" t="s">
        <v>3092</v>
      </c>
      <c r="C40" s="72" t="s">
        <v>714</v>
      </c>
      <c r="D40" s="174" t="s">
        <v>3295</v>
      </c>
      <c r="E40" s="174" t="s">
        <v>3296</v>
      </c>
      <c r="F40" s="71" t="s">
        <v>3123</v>
      </c>
    </row>
    <row r="41" spans="2:10" ht="33.75" customHeight="1" x14ac:dyDescent="0.2">
      <c r="B41" s="70" t="s">
        <v>3127</v>
      </c>
      <c r="C41" s="72" t="s">
        <v>1270</v>
      </c>
      <c r="D41" s="174" t="s">
        <v>3297</v>
      </c>
      <c r="E41" s="174" t="s">
        <v>3298</v>
      </c>
      <c r="F41" s="71" t="s">
        <v>3128</v>
      </c>
    </row>
    <row r="42" spans="2:10" ht="33.75" customHeight="1" x14ac:dyDescent="0.2">
      <c r="B42" s="70" t="s">
        <v>3127</v>
      </c>
      <c r="C42" s="72" t="s">
        <v>1325</v>
      </c>
      <c r="D42" s="174" t="s">
        <v>3299</v>
      </c>
      <c r="E42" s="174" t="s">
        <v>3300</v>
      </c>
      <c r="F42" s="71" t="s">
        <v>3130</v>
      </c>
    </row>
    <row r="43" spans="2:10" ht="33.75" customHeight="1" x14ac:dyDescent="0.2">
      <c r="B43" s="70" t="s">
        <v>3127</v>
      </c>
      <c r="C43" s="72" t="s">
        <v>1347</v>
      </c>
      <c r="D43" s="174" t="s">
        <v>3301</v>
      </c>
      <c r="E43" s="174" t="s">
        <v>3302</v>
      </c>
      <c r="F43" s="71" t="s">
        <v>3132</v>
      </c>
    </row>
    <row r="44" spans="2:10" ht="33.75" customHeight="1" x14ac:dyDescent="0.2">
      <c r="B44" s="70" t="s">
        <v>3127</v>
      </c>
      <c r="C44" s="72" t="s">
        <v>1378</v>
      </c>
      <c r="D44" s="174" t="s">
        <v>3303</v>
      </c>
      <c r="E44" s="174" t="s">
        <v>3304</v>
      </c>
      <c r="F44" s="71" t="s">
        <v>3136</v>
      </c>
    </row>
    <row r="45" spans="2:10" ht="33.75" customHeight="1" x14ac:dyDescent="0.2">
      <c r="B45" s="70" t="s">
        <v>3127</v>
      </c>
      <c r="C45" s="72" t="s">
        <v>1448</v>
      </c>
      <c r="D45" s="174" t="s">
        <v>3305</v>
      </c>
      <c r="E45" s="174" t="s">
        <v>3306</v>
      </c>
      <c r="F45" s="71" t="s">
        <v>3138</v>
      </c>
    </row>
    <row r="46" spans="2:10" ht="33.75" customHeight="1" x14ac:dyDescent="0.2">
      <c r="B46" s="70" t="s">
        <v>3127</v>
      </c>
      <c r="C46" s="72" t="s">
        <v>1512</v>
      </c>
      <c r="D46" s="174" t="s">
        <v>3307</v>
      </c>
      <c r="E46" s="174" t="s">
        <v>3308</v>
      </c>
      <c r="F46" s="71" t="s">
        <v>3142</v>
      </c>
    </row>
    <row r="47" spans="2:10" ht="33.75" customHeight="1" x14ac:dyDescent="0.2">
      <c r="B47" s="70" t="s">
        <v>3127</v>
      </c>
      <c r="C47" s="72" t="s">
        <v>1526</v>
      </c>
      <c r="D47" s="174" t="s">
        <v>3309</v>
      </c>
      <c r="E47" s="174" t="s">
        <v>3310</v>
      </c>
      <c r="F47" s="71" t="s">
        <v>3145</v>
      </c>
    </row>
    <row r="48" spans="2:10" ht="33.75" customHeight="1" x14ac:dyDescent="0.2">
      <c r="B48" s="70" t="s">
        <v>3127</v>
      </c>
      <c r="C48" s="72" t="s">
        <v>1576</v>
      </c>
      <c r="D48" s="174" t="s">
        <v>3311</v>
      </c>
      <c r="E48" s="174" t="s">
        <v>3312</v>
      </c>
      <c r="F48" s="71" t="s">
        <v>3148</v>
      </c>
    </row>
    <row r="49" spans="2:6" ht="33.75" customHeight="1" x14ac:dyDescent="0.2">
      <c r="B49" s="70" t="s">
        <v>2297</v>
      </c>
      <c r="C49" s="72" t="s">
        <v>1686</v>
      </c>
      <c r="D49" s="174" t="s">
        <v>3313</v>
      </c>
      <c r="E49" s="174" t="s">
        <v>3314</v>
      </c>
      <c r="F49" s="71" t="s">
        <v>3150</v>
      </c>
    </row>
    <row r="50" spans="2:6" ht="33.75" customHeight="1" x14ac:dyDescent="0.2">
      <c r="B50" s="70"/>
      <c r="C50" s="72" t="s">
        <v>3153</v>
      </c>
      <c r="D50" s="174"/>
      <c r="E50" s="174"/>
      <c r="F50" s="71" t="s">
        <v>3154</v>
      </c>
    </row>
    <row r="51" spans="2:6" ht="15.75" customHeight="1" x14ac:dyDescent="0.2"/>
    <row r="52" spans="2:6" ht="15.75" customHeight="1" x14ac:dyDescent="0.2"/>
    <row r="53" spans="2:6" ht="15.75" customHeight="1" x14ac:dyDescent="0.2"/>
    <row r="54" spans="2:6" ht="15.75" customHeight="1" x14ac:dyDescent="0.2"/>
    <row r="55" spans="2:6" ht="15.75" customHeight="1" x14ac:dyDescent="0.2"/>
    <row r="56" spans="2:6" ht="15.75" customHeight="1" x14ac:dyDescent="0.2"/>
    <row r="57" spans="2:6" ht="15.75" customHeight="1" x14ac:dyDescent="0.2"/>
    <row r="58" spans="2:6" ht="15.75" customHeight="1" x14ac:dyDescent="0.2"/>
    <row r="59" spans="2:6" ht="15.75" customHeight="1" x14ac:dyDescent="0.2"/>
    <row r="60" spans="2:6" ht="15.75" customHeight="1" x14ac:dyDescent="0.2"/>
    <row r="61" spans="2:6" ht="15.75" customHeight="1" x14ac:dyDescent="0.2"/>
    <row r="62" spans="2:6" ht="15.75" customHeight="1" x14ac:dyDescent="0.2"/>
    <row r="63" spans="2:6" ht="15.75" customHeight="1" x14ac:dyDescent="0.2"/>
    <row r="64" spans="2:6"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dataValidations count="1">
    <dataValidation type="list" allowBlank="1" showInputMessage="1" showErrorMessage="1" sqref="B28:B50" xr:uid="{00000000-0002-0000-0D00-000000000000}">
      <formula1>T_Proceso</formula1>
    </dataValidation>
  </dataValidations>
  <pageMargins left="0.70866141732283472" right="0.70866141732283472" top="0.74803149606299213" bottom="0.74803149606299213" header="0" footer="0"/>
  <pageSetup orientation="landscape" r:id="rId1"/>
  <headerFooter>
    <oddHeader>&amp;L&amp;G&amp;C
MATRIZ DE RIESGOS</oddHeader>
    <oddFooter>&amp;RCódigo:E-02-F-014
Versión: 5   
Fecha: Ver Isolución</oddFooter>
  </headerFooter>
  <legacyDrawing r:id="rId2"/>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11752-FA08-4C2B-A0FB-D249D3290F9F}">
  <dimension ref="A1:B93"/>
  <sheetViews>
    <sheetView workbookViewId="0">
      <selection activeCell="A18" sqref="A18:A39"/>
    </sheetView>
  </sheetViews>
  <sheetFormatPr baseColWidth="10" defaultColWidth="9" defaultRowHeight="14.25" x14ac:dyDescent="0.2"/>
  <cols>
    <col min="1" max="1" width="26.25" style="120" bestFit="1" customWidth="1"/>
    <col min="2" max="2" width="69.5" style="120" customWidth="1"/>
    <col min="3" max="16384" width="9" style="120"/>
  </cols>
  <sheetData>
    <row r="1" spans="1:2" ht="15" x14ac:dyDescent="0.25">
      <c r="A1" s="119" t="s">
        <v>3315</v>
      </c>
      <c r="B1" s="119" t="s">
        <v>3316</v>
      </c>
    </row>
    <row r="2" spans="1:2" ht="15" x14ac:dyDescent="0.25">
      <c r="A2" s="1066" t="s">
        <v>2994</v>
      </c>
      <c r="B2" s="121" t="s">
        <v>3317</v>
      </c>
    </row>
    <row r="3" spans="1:2" ht="15" x14ac:dyDescent="0.25">
      <c r="A3" s="1066"/>
      <c r="B3" s="121" t="s">
        <v>3318</v>
      </c>
    </row>
    <row r="4" spans="1:2" ht="15" x14ac:dyDescent="0.25">
      <c r="A4" s="1066"/>
      <c r="B4" s="122" t="s">
        <v>3319</v>
      </c>
    </row>
    <row r="5" spans="1:2" ht="15" x14ac:dyDescent="0.25">
      <c r="A5" s="1066"/>
      <c r="B5" s="122" t="s">
        <v>3320</v>
      </c>
    </row>
    <row r="6" spans="1:2" ht="15" x14ac:dyDescent="0.25">
      <c r="A6" s="1066"/>
      <c r="B6" s="122" t="s">
        <v>3321</v>
      </c>
    </row>
    <row r="7" spans="1:2" ht="15" x14ac:dyDescent="0.25">
      <c r="A7" s="1066"/>
      <c r="B7" s="122" t="s">
        <v>3322</v>
      </c>
    </row>
    <row r="8" spans="1:2" ht="15" x14ac:dyDescent="0.25">
      <c r="A8" s="1066"/>
      <c r="B8" s="122" t="s">
        <v>3323</v>
      </c>
    </row>
    <row r="9" spans="1:2" ht="15" x14ac:dyDescent="0.25">
      <c r="A9" s="1066"/>
      <c r="B9" s="122" t="s">
        <v>3324</v>
      </c>
    </row>
    <row r="10" spans="1:2" ht="15" customHeight="1" x14ac:dyDescent="0.2">
      <c r="A10" s="1066"/>
      <c r="B10" s="185" t="s">
        <v>3325</v>
      </c>
    </row>
    <row r="11" spans="1:2" ht="15" customHeight="1" x14ac:dyDescent="0.2">
      <c r="A11" s="1066"/>
      <c r="B11" s="185" t="s">
        <v>3326</v>
      </c>
    </row>
    <row r="12" spans="1:2" ht="15" x14ac:dyDescent="0.25">
      <c r="A12" s="1066"/>
      <c r="B12" s="122" t="s">
        <v>3327</v>
      </c>
    </row>
    <row r="13" spans="1:2" ht="15" x14ac:dyDescent="0.25">
      <c r="A13" s="1066"/>
      <c r="B13" s="122" t="s">
        <v>3328</v>
      </c>
    </row>
    <row r="14" spans="1:2" ht="15" x14ac:dyDescent="0.25">
      <c r="A14" s="1066"/>
      <c r="B14" s="122" t="s">
        <v>3329</v>
      </c>
    </row>
    <row r="15" spans="1:2" ht="15" x14ac:dyDescent="0.25">
      <c r="A15" s="1066"/>
      <c r="B15" s="122" t="s">
        <v>3330</v>
      </c>
    </row>
    <row r="16" spans="1:2" ht="15" x14ac:dyDescent="0.25">
      <c r="A16" s="1066"/>
      <c r="B16" s="122" t="s">
        <v>3331</v>
      </c>
    </row>
    <row r="17" spans="1:2" ht="15" x14ac:dyDescent="0.25">
      <c r="A17" s="1066"/>
      <c r="B17" s="122" t="s">
        <v>3332</v>
      </c>
    </row>
    <row r="18" spans="1:2" ht="15" x14ac:dyDescent="0.25">
      <c r="A18" s="1066" t="s">
        <v>2991</v>
      </c>
      <c r="B18" s="122" t="s">
        <v>3333</v>
      </c>
    </row>
    <row r="19" spans="1:2" ht="15" x14ac:dyDescent="0.25">
      <c r="A19" s="1066"/>
      <c r="B19" s="122" t="s">
        <v>3334</v>
      </c>
    </row>
    <row r="20" spans="1:2" ht="15" x14ac:dyDescent="0.25">
      <c r="A20" s="1066"/>
      <c r="B20" s="122" t="s">
        <v>3335</v>
      </c>
    </row>
    <row r="21" spans="1:2" ht="15" x14ac:dyDescent="0.25">
      <c r="A21" s="1066"/>
      <c r="B21" s="122" t="s">
        <v>3336</v>
      </c>
    </row>
    <row r="22" spans="1:2" ht="15" x14ac:dyDescent="0.25">
      <c r="A22" s="1066"/>
      <c r="B22" s="122" t="s">
        <v>3337</v>
      </c>
    </row>
    <row r="23" spans="1:2" ht="15" x14ac:dyDescent="0.25">
      <c r="A23" s="1066"/>
      <c r="B23" s="122" t="s">
        <v>3338</v>
      </c>
    </row>
    <row r="24" spans="1:2" ht="15" x14ac:dyDescent="0.25">
      <c r="A24" s="1066"/>
      <c r="B24" s="122" t="s">
        <v>3339</v>
      </c>
    </row>
    <row r="25" spans="1:2" ht="15" x14ac:dyDescent="0.25">
      <c r="A25" s="1066"/>
      <c r="B25" s="123" t="s">
        <v>3340</v>
      </c>
    </row>
    <row r="26" spans="1:2" ht="15" x14ac:dyDescent="0.25">
      <c r="A26" s="1066"/>
      <c r="B26" s="121" t="s">
        <v>3341</v>
      </c>
    </row>
    <row r="27" spans="1:2" ht="15" x14ac:dyDescent="0.25">
      <c r="A27" s="1066"/>
      <c r="B27" s="123" t="s">
        <v>3342</v>
      </c>
    </row>
    <row r="28" spans="1:2" ht="15" x14ac:dyDescent="0.25">
      <c r="A28" s="1066"/>
      <c r="B28" s="123" t="s">
        <v>3343</v>
      </c>
    </row>
    <row r="29" spans="1:2" ht="15" x14ac:dyDescent="0.25">
      <c r="A29" s="1066"/>
      <c r="B29" s="123" t="s">
        <v>3344</v>
      </c>
    </row>
    <row r="30" spans="1:2" ht="15" x14ac:dyDescent="0.25">
      <c r="A30" s="1066"/>
      <c r="B30" s="122" t="s">
        <v>3345</v>
      </c>
    </row>
    <row r="31" spans="1:2" ht="15" x14ac:dyDescent="0.25">
      <c r="A31" s="1066"/>
      <c r="B31" s="123" t="s">
        <v>3346</v>
      </c>
    </row>
    <row r="32" spans="1:2" ht="15" x14ac:dyDescent="0.25">
      <c r="A32" s="1066"/>
      <c r="B32" s="124" t="s">
        <v>3347</v>
      </c>
    </row>
    <row r="33" spans="1:2" ht="15" x14ac:dyDescent="0.25">
      <c r="A33" s="1066"/>
      <c r="B33" s="125" t="s">
        <v>3348</v>
      </c>
    </row>
    <row r="34" spans="1:2" ht="15" x14ac:dyDescent="0.25">
      <c r="A34" s="1066"/>
      <c r="B34" s="125" t="s">
        <v>3349</v>
      </c>
    </row>
    <row r="35" spans="1:2" ht="15" x14ac:dyDescent="0.25">
      <c r="A35" s="1066"/>
      <c r="B35" s="123" t="s">
        <v>3350</v>
      </c>
    </row>
    <row r="36" spans="1:2" ht="15" x14ac:dyDescent="0.25">
      <c r="A36" s="1066"/>
      <c r="B36" s="124" t="s">
        <v>3351</v>
      </c>
    </row>
    <row r="37" spans="1:2" ht="15" x14ac:dyDescent="0.25">
      <c r="A37" s="1066"/>
      <c r="B37" s="125" t="s">
        <v>3352</v>
      </c>
    </row>
    <row r="38" spans="1:2" ht="15" x14ac:dyDescent="0.25">
      <c r="A38" s="1066"/>
      <c r="B38" s="124" t="s">
        <v>3353</v>
      </c>
    </row>
    <row r="39" spans="1:2" ht="15" x14ac:dyDescent="0.25">
      <c r="A39" s="1066"/>
      <c r="B39" s="125" t="s">
        <v>3354</v>
      </c>
    </row>
    <row r="40" spans="1:2" ht="30.75" customHeight="1" x14ac:dyDescent="0.2">
      <c r="A40" s="1066" t="s">
        <v>3355</v>
      </c>
      <c r="B40" s="126" t="s">
        <v>3356</v>
      </c>
    </row>
    <row r="41" spans="1:2" ht="15" customHeight="1" x14ac:dyDescent="0.2">
      <c r="A41" s="1066"/>
      <c r="B41" s="126" t="s">
        <v>3357</v>
      </c>
    </row>
    <row r="42" spans="1:2" ht="15" x14ac:dyDescent="0.25">
      <c r="A42" s="1066"/>
      <c r="B42" s="125" t="s">
        <v>3358</v>
      </c>
    </row>
    <row r="43" spans="1:2" ht="30.75" customHeight="1" x14ac:dyDescent="0.25">
      <c r="A43" s="1064" t="s">
        <v>2998</v>
      </c>
      <c r="B43" s="125" t="s">
        <v>3359</v>
      </c>
    </row>
    <row r="44" spans="1:2" ht="15" x14ac:dyDescent="0.25">
      <c r="A44" s="1064"/>
      <c r="B44" s="125" t="s">
        <v>3360</v>
      </c>
    </row>
    <row r="45" spans="1:2" ht="15" x14ac:dyDescent="0.25">
      <c r="A45" s="1064"/>
      <c r="B45" s="125" t="s">
        <v>3361</v>
      </c>
    </row>
    <row r="46" spans="1:2" ht="15" x14ac:dyDescent="0.25">
      <c r="A46" s="1064"/>
      <c r="B46" s="125" t="s">
        <v>3362</v>
      </c>
    </row>
    <row r="47" spans="1:2" ht="15" x14ac:dyDescent="0.25">
      <c r="A47" s="1067" t="s">
        <v>2993</v>
      </c>
      <c r="B47" s="121" t="s">
        <v>3317</v>
      </c>
    </row>
    <row r="48" spans="1:2" ht="15" x14ac:dyDescent="0.25">
      <c r="A48" s="1067"/>
      <c r="B48" s="121" t="s">
        <v>3318</v>
      </c>
    </row>
    <row r="49" spans="1:2" ht="15" x14ac:dyDescent="0.25">
      <c r="A49" s="1067"/>
      <c r="B49" s="122" t="s">
        <v>3320</v>
      </c>
    </row>
    <row r="50" spans="1:2" ht="15" x14ac:dyDescent="0.25">
      <c r="A50" s="1067"/>
      <c r="B50" s="122" t="s">
        <v>3321</v>
      </c>
    </row>
    <row r="51" spans="1:2" ht="15" x14ac:dyDescent="0.25">
      <c r="A51" s="1067"/>
      <c r="B51" s="122" t="s">
        <v>3322</v>
      </c>
    </row>
    <row r="52" spans="1:2" ht="15" x14ac:dyDescent="0.25">
      <c r="A52" s="1067"/>
      <c r="B52" s="122" t="s">
        <v>3323</v>
      </c>
    </row>
    <row r="53" spans="1:2" ht="15" x14ac:dyDescent="0.25">
      <c r="A53" s="1067"/>
      <c r="B53" s="122" t="s">
        <v>3324</v>
      </c>
    </row>
    <row r="54" spans="1:2" x14ac:dyDescent="0.2">
      <c r="A54" s="1067"/>
      <c r="B54" s="185" t="s">
        <v>3325</v>
      </c>
    </row>
    <row r="55" spans="1:2" x14ac:dyDescent="0.2">
      <c r="A55" s="1067"/>
      <c r="B55" s="185" t="s">
        <v>3326</v>
      </c>
    </row>
    <row r="56" spans="1:2" ht="15" x14ac:dyDescent="0.25">
      <c r="A56" s="1067"/>
      <c r="B56" s="122" t="s">
        <v>3327</v>
      </c>
    </row>
    <row r="57" spans="1:2" ht="15" x14ac:dyDescent="0.25">
      <c r="A57" s="1067"/>
      <c r="B57" s="122" t="s">
        <v>3328</v>
      </c>
    </row>
    <row r="58" spans="1:2" ht="15" x14ac:dyDescent="0.25">
      <c r="A58" s="1067"/>
      <c r="B58" s="122" t="s">
        <v>3329</v>
      </c>
    </row>
    <row r="59" spans="1:2" ht="15" x14ac:dyDescent="0.25">
      <c r="A59" s="1067"/>
      <c r="B59" s="122" t="s">
        <v>3332</v>
      </c>
    </row>
    <row r="60" spans="1:2" ht="15" customHeight="1" x14ac:dyDescent="0.2">
      <c r="A60" s="1068" t="s">
        <v>3000</v>
      </c>
      <c r="B60" s="127" t="s">
        <v>2995</v>
      </c>
    </row>
    <row r="61" spans="1:2" ht="15" customHeight="1" x14ac:dyDescent="0.2">
      <c r="A61" s="1068"/>
      <c r="B61" s="127" t="s">
        <v>3363</v>
      </c>
    </row>
    <row r="62" spans="1:2" x14ac:dyDescent="0.2">
      <c r="A62" s="1064" t="s">
        <v>2997</v>
      </c>
      <c r="B62" s="128" t="s">
        <v>3364</v>
      </c>
    </row>
    <row r="63" spans="1:2" ht="15" x14ac:dyDescent="0.25">
      <c r="A63" s="1064"/>
      <c r="B63" s="123" t="s">
        <v>3365</v>
      </c>
    </row>
    <row r="64" spans="1:2" ht="15" x14ac:dyDescent="0.25">
      <c r="A64" s="1064"/>
      <c r="B64" s="123" t="s">
        <v>3366</v>
      </c>
    </row>
    <row r="65" spans="1:2" ht="15" x14ac:dyDescent="0.25">
      <c r="A65" s="1064"/>
      <c r="B65" s="123" t="s">
        <v>3367</v>
      </c>
    </row>
    <row r="66" spans="1:2" ht="15" x14ac:dyDescent="0.25">
      <c r="A66" s="1064"/>
      <c r="B66" s="123" t="s">
        <v>3368</v>
      </c>
    </row>
    <row r="67" spans="1:2" ht="15" x14ac:dyDescent="0.25">
      <c r="A67" s="1064"/>
      <c r="B67" s="123" t="s">
        <v>3369</v>
      </c>
    </row>
    <row r="68" spans="1:2" ht="15" x14ac:dyDescent="0.25">
      <c r="A68" s="1064"/>
      <c r="B68" s="123" t="s">
        <v>3370</v>
      </c>
    </row>
    <row r="69" spans="1:2" ht="15" x14ac:dyDescent="0.25">
      <c r="A69" s="1064"/>
      <c r="B69" s="123" t="s">
        <v>3371</v>
      </c>
    </row>
    <row r="70" spans="1:2" ht="15" x14ac:dyDescent="0.25">
      <c r="A70" s="1064"/>
      <c r="B70" s="123" t="s">
        <v>3372</v>
      </c>
    </row>
    <row r="71" spans="1:2" ht="15" x14ac:dyDescent="0.25">
      <c r="A71" s="1064"/>
      <c r="B71" s="123" t="s">
        <v>3373</v>
      </c>
    </row>
    <row r="72" spans="1:2" ht="15" x14ac:dyDescent="0.25">
      <c r="A72" s="1064"/>
      <c r="B72" s="123" t="s">
        <v>3374</v>
      </c>
    </row>
    <row r="73" spans="1:2" ht="76.5" customHeight="1" x14ac:dyDescent="0.25">
      <c r="A73" s="1064" t="s">
        <v>2997</v>
      </c>
      <c r="B73" s="123" t="s">
        <v>3375</v>
      </c>
    </row>
    <row r="74" spans="1:2" ht="15" x14ac:dyDescent="0.25">
      <c r="A74" s="1064"/>
      <c r="B74" s="123" t="s">
        <v>3376</v>
      </c>
    </row>
    <row r="75" spans="1:2" ht="15" x14ac:dyDescent="0.25">
      <c r="A75" s="1064"/>
      <c r="B75" s="123" t="s">
        <v>3377</v>
      </c>
    </row>
    <row r="76" spans="1:2" ht="15" x14ac:dyDescent="0.25">
      <c r="A76" s="1064"/>
      <c r="B76" s="123" t="s">
        <v>3378</v>
      </c>
    </row>
    <row r="77" spans="1:2" ht="15" x14ac:dyDescent="0.25">
      <c r="A77" s="1064"/>
      <c r="B77" s="123" t="s">
        <v>3379</v>
      </c>
    </row>
    <row r="78" spans="1:2" ht="15" x14ac:dyDescent="0.25">
      <c r="A78" s="1064"/>
      <c r="B78" s="123" t="s">
        <v>3380</v>
      </c>
    </row>
    <row r="79" spans="1:2" ht="15" x14ac:dyDescent="0.25">
      <c r="A79" s="1064"/>
      <c r="B79" s="123" t="s">
        <v>3381</v>
      </c>
    </row>
    <row r="80" spans="1:2" ht="15" x14ac:dyDescent="0.25">
      <c r="A80" s="1064"/>
      <c r="B80" s="123" t="s">
        <v>3382</v>
      </c>
    </row>
    <row r="81" spans="1:2" ht="15" x14ac:dyDescent="0.25">
      <c r="A81" s="1064"/>
      <c r="B81" s="123" t="s">
        <v>3383</v>
      </c>
    </row>
    <row r="82" spans="1:2" ht="15" x14ac:dyDescent="0.25">
      <c r="A82" s="1064"/>
      <c r="B82" s="123" t="s">
        <v>3384</v>
      </c>
    </row>
    <row r="83" spans="1:2" ht="15" x14ac:dyDescent="0.25">
      <c r="A83" s="1064"/>
      <c r="B83" s="123" t="s">
        <v>3385</v>
      </c>
    </row>
    <row r="84" spans="1:2" ht="15" x14ac:dyDescent="0.25">
      <c r="A84" s="1064"/>
      <c r="B84" s="123" t="s">
        <v>3386</v>
      </c>
    </row>
    <row r="85" spans="1:2" ht="15" x14ac:dyDescent="0.25">
      <c r="A85" s="1064"/>
      <c r="B85" s="123" t="s">
        <v>3387</v>
      </c>
    </row>
    <row r="86" spans="1:2" ht="15" x14ac:dyDescent="0.25">
      <c r="A86" s="1064"/>
      <c r="B86" s="123" t="s">
        <v>3388</v>
      </c>
    </row>
    <row r="87" spans="1:2" ht="15" x14ac:dyDescent="0.25">
      <c r="A87" s="1064"/>
      <c r="B87" s="123" t="s">
        <v>3389</v>
      </c>
    </row>
    <row r="88" spans="1:2" x14ac:dyDescent="0.2">
      <c r="A88" s="1065" t="s">
        <v>2999</v>
      </c>
      <c r="B88" s="129" t="s">
        <v>3390</v>
      </c>
    </row>
    <row r="89" spans="1:2" x14ac:dyDescent="0.2">
      <c r="A89" s="1065"/>
      <c r="B89" s="129" t="s">
        <v>3391</v>
      </c>
    </row>
    <row r="90" spans="1:2" x14ac:dyDescent="0.2">
      <c r="A90" s="1065"/>
      <c r="B90" s="129" t="s">
        <v>3392</v>
      </c>
    </row>
    <row r="91" spans="1:2" x14ac:dyDescent="0.2">
      <c r="A91" s="1065"/>
      <c r="B91" s="129" t="s">
        <v>3393</v>
      </c>
    </row>
    <row r="92" spans="1:2" x14ac:dyDescent="0.2">
      <c r="A92" s="1065"/>
      <c r="B92" s="129" t="s">
        <v>3394</v>
      </c>
    </row>
    <row r="93" spans="1:2" x14ac:dyDescent="0.2">
      <c r="A93" s="1065"/>
      <c r="B93" s="129" t="s">
        <v>3395</v>
      </c>
    </row>
  </sheetData>
  <mergeCells count="9">
    <mergeCell ref="A62:A72"/>
    <mergeCell ref="A73:A87"/>
    <mergeCell ref="A88:A93"/>
    <mergeCell ref="A2:A17"/>
    <mergeCell ref="A18:A39"/>
    <mergeCell ref="A40:A42"/>
    <mergeCell ref="A43:A46"/>
    <mergeCell ref="A47:A59"/>
    <mergeCell ref="A60:A61"/>
  </mergeCells>
  <pageMargins left="0.70866141732283472" right="0.70866141732283472" top="0.74803149606299213" bottom="0.74803149606299213" header="0.31496062992125984" footer="0.31496062992125984"/>
  <pageSetup orientation="portrait" horizontalDpi="4294967294" verticalDpi="4294967294" r:id="rId1"/>
  <headerFooter>
    <oddHeader>&amp;L&amp;G&amp;CMATRIZ DE RIESGOS</oddHeader>
    <oddFooter>&amp;RCódigo:E-02-F-014
Versión: 5   
Fecha: Ver Isolución</oddFooter>
  </headerFooter>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2060"/>
  </sheetPr>
  <dimension ref="A1:BD1000"/>
  <sheetViews>
    <sheetView zoomScale="40" zoomScaleNormal="40" workbookViewId="0">
      <selection activeCell="AQ15" sqref="AQ15"/>
    </sheetView>
  </sheetViews>
  <sheetFormatPr baseColWidth="10" defaultColWidth="12.625" defaultRowHeight="15" customHeight="1" x14ac:dyDescent="0.2"/>
  <cols>
    <col min="1" max="1" width="3.5" customWidth="1"/>
    <col min="2" max="2" width="12.375" customWidth="1"/>
    <col min="3" max="3" width="11.5" customWidth="1"/>
    <col min="4" max="4" width="14.125" customWidth="1"/>
    <col min="5" max="5" width="28.375" customWidth="1"/>
    <col min="6" max="6" width="16.625" customWidth="1"/>
    <col min="7" max="7" width="15.625" customWidth="1"/>
    <col min="8" max="8" width="14.5" customWidth="1"/>
    <col min="9" max="9" width="5.5" customWidth="1"/>
    <col min="10" max="10" width="23.875" customWidth="1"/>
    <col min="11" max="11" width="26.75" hidden="1" customWidth="1"/>
    <col min="12" max="12" width="15.375" customWidth="1"/>
    <col min="13" max="13" width="5.5" customWidth="1"/>
    <col min="14" max="14" width="14" customWidth="1"/>
    <col min="15" max="15" width="5.125" customWidth="1"/>
    <col min="16" max="16" width="27.125" customWidth="1"/>
    <col min="17" max="17" width="13.25" customWidth="1"/>
    <col min="18" max="18" width="6" customWidth="1"/>
    <col min="19" max="19" width="4.375" customWidth="1"/>
    <col min="20" max="20" width="4.875" customWidth="1"/>
    <col min="21" max="21" width="6.25" customWidth="1"/>
    <col min="22" max="22" width="5.875" customWidth="1"/>
    <col min="23" max="23" width="6.625" customWidth="1"/>
    <col min="24" max="24" width="33.5" hidden="1" customWidth="1"/>
    <col min="25" max="25" width="7.625" customWidth="1"/>
    <col min="26" max="26" width="9.125" customWidth="1"/>
    <col min="27" max="27" width="8.125" customWidth="1"/>
    <col min="28" max="28" width="8" customWidth="1"/>
    <col min="29" max="29" width="7.375" customWidth="1"/>
    <col min="30" max="30" width="6.375" customWidth="1"/>
    <col min="31" max="31" width="20.125" customWidth="1"/>
    <col min="32" max="32" width="16.5" customWidth="1"/>
    <col min="33" max="33" width="14.75" customWidth="1"/>
    <col min="34" max="34" width="13" customWidth="1"/>
    <col min="35" max="35" width="16.25" customWidth="1"/>
    <col min="36" max="36" width="18.375" customWidth="1"/>
    <col min="37" max="56" width="10" customWidth="1"/>
  </cols>
  <sheetData>
    <row r="1" spans="1:56" ht="16.5" customHeight="1" x14ac:dyDescent="0.3">
      <c r="A1" s="1074" t="s">
        <v>3396</v>
      </c>
      <c r="B1" s="1075"/>
      <c r="C1" s="1075"/>
      <c r="D1" s="1075"/>
      <c r="E1" s="1075"/>
      <c r="F1" s="1075"/>
      <c r="G1" s="1075"/>
      <c r="H1" s="1075"/>
      <c r="I1" s="1075"/>
      <c r="J1" s="1075"/>
      <c r="K1" s="1075"/>
      <c r="L1" s="1075"/>
      <c r="M1" s="1075"/>
      <c r="N1" s="1075"/>
      <c r="O1" s="1075"/>
      <c r="P1" s="1075"/>
      <c r="Q1" s="1075"/>
      <c r="R1" s="1075"/>
      <c r="S1" s="1075"/>
      <c r="T1" s="1075"/>
      <c r="U1" s="1075"/>
      <c r="V1" s="1075"/>
      <c r="W1" s="1075"/>
      <c r="X1" s="1075"/>
      <c r="Y1" s="1075"/>
      <c r="Z1" s="1075"/>
      <c r="AA1" s="1075"/>
      <c r="AB1" s="1075"/>
      <c r="AC1" s="1075"/>
      <c r="AD1" s="1075"/>
      <c r="AE1" s="1075"/>
      <c r="AF1" s="1075"/>
      <c r="AG1" s="1075"/>
      <c r="AH1" s="1075"/>
      <c r="AI1" s="1075"/>
      <c r="AJ1" s="1076"/>
      <c r="AK1" s="130"/>
      <c r="AL1" s="130"/>
      <c r="AM1" s="130"/>
      <c r="AN1" s="130"/>
      <c r="AO1" s="130"/>
      <c r="AP1" s="130"/>
      <c r="AQ1" s="130"/>
      <c r="AR1" s="130"/>
      <c r="AS1" s="130"/>
      <c r="AT1" s="130"/>
      <c r="AU1" s="130"/>
      <c r="AV1" s="130"/>
      <c r="AW1" s="130"/>
      <c r="AX1" s="130"/>
      <c r="AY1" s="130"/>
      <c r="AZ1" s="130"/>
      <c r="BA1" s="130"/>
      <c r="BB1" s="130"/>
      <c r="BC1" s="130"/>
      <c r="BD1" s="130"/>
    </row>
    <row r="2" spans="1:56" ht="24" customHeight="1" x14ac:dyDescent="0.3">
      <c r="A2" s="1077"/>
      <c r="B2" s="1078"/>
      <c r="C2" s="1078"/>
      <c r="D2" s="1078"/>
      <c r="E2" s="1078"/>
      <c r="F2" s="1078"/>
      <c r="G2" s="1078"/>
      <c r="H2" s="1078"/>
      <c r="I2" s="1078"/>
      <c r="J2" s="1078"/>
      <c r="K2" s="1078"/>
      <c r="L2" s="1078"/>
      <c r="M2" s="1078"/>
      <c r="N2" s="1078"/>
      <c r="O2" s="1078"/>
      <c r="P2" s="1078"/>
      <c r="Q2" s="1078"/>
      <c r="R2" s="1078"/>
      <c r="S2" s="1078"/>
      <c r="T2" s="1078"/>
      <c r="U2" s="1078"/>
      <c r="V2" s="1078"/>
      <c r="W2" s="1078"/>
      <c r="X2" s="1078"/>
      <c r="Y2" s="1078"/>
      <c r="Z2" s="1078"/>
      <c r="AA2" s="1078"/>
      <c r="AB2" s="1078"/>
      <c r="AC2" s="1078"/>
      <c r="AD2" s="1078"/>
      <c r="AE2" s="1078"/>
      <c r="AF2" s="1078"/>
      <c r="AG2" s="1078"/>
      <c r="AH2" s="1078"/>
      <c r="AI2" s="1078"/>
      <c r="AJ2" s="1079"/>
      <c r="AK2" s="130"/>
      <c r="AL2" s="130"/>
      <c r="AM2" s="130"/>
      <c r="AN2" s="130"/>
      <c r="AO2" s="130"/>
      <c r="AP2" s="130"/>
      <c r="AQ2" s="130"/>
      <c r="AR2" s="130"/>
      <c r="AS2" s="130"/>
      <c r="AT2" s="130"/>
      <c r="AU2" s="130"/>
      <c r="AV2" s="130"/>
      <c r="AW2" s="130"/>
      <c r="AX2" s="130"/>
      <c r="AY2" s="130"/>
      <c r="AZ2" s="130"/>
      <c r="BA2" s="130"/>
      <c r="BB2" s="130"/>
      <c r="BC2" s="130"/>
      <c r="BD2" s="130"/>
    </row>
    <row r="3" spans="1:56" ht="16.5" customHeight="1" x14ac:dyDescent="0.3">
      <c r="A3" s="171"/>
      <c r="B3" s="172"/>
      <c r="C3" s="171"/>
      <c r="D3" s="171"/>
      <c r="E3" s="130"/>
      <c r="F3" s="173"/>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row>
    <row r="4" spans="1:56" ht="26.25" customHeight="1" x14ac:dyDescent="0.3">
      <c r="A4" s="1069" t="s">
        <v>3397</v>
      </c>
      <c r="B4" s="1070"/>
      <c r="C4" s="1080"/>
      <c r="D4" s="1072"/>
      <c r="E4" s="1072"/>
      <c r="F4" s="1072"/>
      <c r="G4" s="1072"/>
      <c r="H4" s="1072"/>
      <c r="I4" s="1072"/>
      <c r="J4" s="1072"/>
      <c r="K4" s="1072"/>
      <c r="L4" s="1072"/>
      <c r="M4" s="1072"/>
      <c r="N4" s="1070"/>
      <c r="O4" s="1081"/>
      <c r="P4" s="781"/>
      <c r="Q4" s="781"/>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row>
    <row r="5" spans="1:56" ht="30" customHeight="1" x14ac:dyDescent="0.3">
      <c r="A5" s="1069" t="s">
        <v>3398</v>
      </c>
      <c r="B5" s="1070"/>
      <c r="C5" s="1080"/>
      <c r="D5" s="1072"/>
      <c r="E5" s="1072"/>
      <c r="F5" s="1072"/>
      <c r="G5" s="1072"/>
      <c r="H5" s="1072"/>
      <c r="I5" s="1072"/>
      <c r="J5" s="1072"/>
      <c r="K5" s="1072"/>
      <c r="L5" s="1072"/>
      <c r="M5" s="1072"/>
      <c r="N5" s="1070"/>
      <c r="O5" s="130"/>
      <c r="P5" s="130"/>
      <c r="Q5" s="130"/>
      <c r="R5" s="130"/>
      <c r="S5" s="130"/>
      <c r="T5" s="130"/>
      <c r="U5" s="130"/>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130"/>
      <c r="AT5" s="130"/>
      <c r="AU5" s="130"/>
      <c r="AV5" s="130"/>
      <c r="AW5" s="130"/>
      <c r="AX5" s="130"/>
      <c r="AY5" s="130"/>
      <c r="AZ5" s="130"/>
      <c r="BA5" s="130"/>
      <c r="BB5" s="130"/>
      <c r="BC5" s="130"/>
      <c r="BD5" s="130"/>
    </row>
    <row r="6" spans="1:56" ht="49.5" customHeight="1" x14ac:dyDescent="0.3">
      <c r="A6" s="1069" t="s">
        <v>3399</v>
      </c>
      <c r="B6" s="1070"/>
      <c r="C6" s="1071"/>
      <c r="D6" s="1072"/>
      <c r="E6" s="1072"/>
      <c r="F6" s="1072"/>
      <c r="G6" s="1072"/>
      <c r="H6" s="1072"/>
      <c r="I6" s="1072"/>
      <c r="J6" s="1072"/>
      <c r="K6" s="1072"/>
      <c r="L6" s="1072"/>
      <c r="M6" s="1072"/>
      <c r="N6" s="107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0"/>
      <c r="AW6" s="130"/>
      <c r="AX6" s="130"/>
      <c r="AY6" s="130"/>
      <c r="AZ6" s="130"/>
      <c r="BA6" s="130"/>
      <c r="BB6" s="130"/>
      <c r="BC6" s="130"/>
      <c r="BD6" s="130"/>
    </row>
    <row r="7" spans="1:56" ht="16.5" customHeight="1" x14ac:dyDescent="0.3">
      <c r="A7" s="1073" t="s">
        <v>133</v>
      </c>
      <c r="B7" s="1072"/>
      <c r="C7" s="1072"/>
      <c r="D7" s="1072"/>
      <c r="E7" s="1072"/>
      <c r="F7" s="1072"/>
      <c r="G7" s="1070"/>
      <c r="H7" s="1073" t="s">
        <v>134</v>
      </c>
      <c r="I7" s="1072"/>
      <c r="J7" s="1072"/>
      <c r="K7" s="1072"/>
      <c r="L7" s="1072"/>
      <c r="M7" s="1072"/>
      <c r="N7" s="1070"/>
      <c r="O7" s="1073" t="s">
        <v>135</v>
      </c>
      <c r="P7" s="1072"/>
      <c r="Q7" s="1072"/>
      <c r="R7" s="1072"/>
      <c r="S7" s="1072"/>
      <c r="T7" s="1072"/>
      <c r="U7" s="1072"/>
      <c r="V7" s="1072"/>
      <c r="W7" s="1070"/>
      <c r="X7" s="1073" t="s">
        <v>136</v>
      </c>
      <c r="Y7" s="1072"/>
      <c r="Z7" s="1072"/>
      <c r="AA7" s="1072"/>
      <c r="AB7" s="1072"/>
      <c r="AC7" s="1072"/>
      <c r="AD7" s="1070"/>
      <c r="AE7" s="1073" t="s">
        <v>3400</v>
      </c>
      <c r="AF7" s="1072"/>
      <c r="AG7" s="1072"/>
      <c r="AH7" s="1072"/>
      <c r="AI7" s="1072"/>
      <c r="AJ7" s="1070"/>
      <c r="AK7" s="130"/>
      <c r="AL7" s="130"/>
      <c r="AM7" s="130"/>
      <c r="AN7" s="130"/>
      <c r="AO7" s="130"/>
      <c r="AP7" s="130"/>
      <c r="AQ7" s="130"/>
      <c r="AR7" s="130"/>
      <c r="AS7" s="130"/>
      <c r="AT7" s="130"/>
      <c r="AU7" s="130"/>
      <c r="AV7" s="130"/>
      <c r="AW7" s="130"/>
      <c r="AX7" s="130"/>
      <c r="AY7" s="130"/>
      <c r="AZ7" s="130"/>
      <c r="BA7" s="130"/>
      <c r="BB7" s="130"/>
      <c r="BC7" s="130"/>
      <c r="BD7" s="130"/>
    </row>
    <row r="8" spans="1:56" ht="16.5" customHeight="1" x14ac:dyDescent="0.3">
      <c r="A8" s="1088" t="s">
        <v>171</v>
      </c>
      <c r="B8" s="1089" t="s">
        <v>1</v>
      </c>
      <c r="C8" s="1086" t="s">
        <v>86</v>
      </c>
      <c r="D8" s="1086" t="s">
        <v>88</v>
      </c>
      <c r="E8" s="1090" t="s">
        <v>90</v>
      </c>
      <c r="F8" s="1082" t="s">
        <v>92</v>
      </c>
      <c r="G8" s="1086" t="s">
        <v>155</v>
      </c>
      <c r="H8" s="1086" t="s">
        <v>156</v>
      </c>
      <c r="I8" s="1085" t="s">
        <v>157</v>
      </c>
      <c r="J8" s="1082" t="s">
        <v>158</v>
      </c>
      <c r="K8" s="1082" t="s">
        <v>159</v>
      </c>
      <c r="L8" s="1084" t="s">
        <v>160</v>
      </c>
      <c r="M8" s="1085" t="s">
        <v>157</v>
      </c>
      <c r="N8" s="1086" t="s">
        <v>100</v>
      </c>
      <c r="O8" s="1087" t="s">
        <v>161</v>
      </c>
      <c r="P8" s="1082" t="s">
        <v>102</v>
      </c>
      <c r="Q8" s="1082" t="s">
        <v>104</v>
      </c>
      <c r="R8" s="1091" t="s">
        <v>162</v>
      </c>
      <c r="S8" s="1072"/>
      <c r="T8" s="1072"/>
      <c r="U8" s="1072"/>
      <c r="V8" s="1072"/>
      <c r="W8" s="1070"/>
      <c r="X8" s="1087" t="s">
        <v>163</v>
      </c>
      <c r="Y8" s="1087" t="s">
        <v>164</v>
      </c>
      <c r="Z8" s="1087" t="s">
        <v>157</v>
      </c>
      <c r="AA8" s="1087" t="s">
        <v>165</v>
      </c>
      <c r="AB8" s="1087" t="s">
        <v>157</v>
      </c>
      <c r="AC8" s="1087" t="s">
        <v>166</v>
      </c>
      <c r="AD8" s="1087" t="s">
        <v>120</v>
      </c>
      <c r="AE8" s="1082" t="s">
        <v>3400</v>
      </c>
      <c r="AF8" s="1082" t="s">
        <v>169</v>
      </c>
      <c r="AG8" s="1082" t="s">
        <v>170</v>
      </c>
      <c r="AH8" s="1082" t="s">
        <v>3401</v>
      </c>
      <c r="AI8" s="1082" t="s">
        <v>3402</v>
      </c>
      <c r="AJ8" s="1082" t="s">
        <v>2988</v>
      </c>
      <c r="AK8" s="130"/>
      <c r="AL8" s="130"/>
      <c r="AM8" s="130"/>
      <c r="AN8" s="130"/>
      <c r="AO8" s="130"/>
      <c r="AP8" s="130"/>
      <c r="AQ8" s="130"/>
      <c r="AR8" s="130"/>
      <c r="AS8" s="130"/>
      <c r="AT8" s="130"/>
      <c r="AU8" s="130"/>
      <c r="AV8" s="130"/>
      <c r="AW8" s="130"/>
      <c r="AX8" s="130"/>
      <c r="AY8" s="130"/>
      <c r="AZ8" s="130"/>
      <c r="BA8" s="130"/>
      <c r="BB8" s="130"/>
      <c r="BC8" s="130"/>
      <c r="BD8" s="130"/>
    </row>
    <row r="9" spans="1:56" ht="94.5" customHeight="1" x14ac:dyDescent="0.2">
      <c r="A9" s="1083"/>
      <c r="B9" s="1083"/>
      <c r="C9" s="1083"/>
      <c r="D9" s="1083"/>
      <c r="E9" s="1083"/>
      <c r="F9" s="1083"/>
      <c r="G9" s="1083"/>
      <c r="H9" s="1083"/>
      <c r="I9" s="1077"/>
      <c r="J9" s="1083"/>
      <c r="K9" s="1083"/>
      <c r="L9" s="1077"/>
      <c r="M9" s="1077"/>
      <c r="N9" s="1083"/>
      <c r="O9" s="1083"/>
      <c r="P9" s="1083"/>
      <c r="Q9" s="1083"/>
      <c r="R9" s="2" t="s">
        <v>174</v>
      </c>
      <c r="S9" s="2" t="s">
        <v>175</v>
      </c>
      <c r="T9" s="2" t="s">
        <v>176</v>
      </c>
      <c r="U9" s="2" t="s">
        <v>177</v>
      </c>
      <c r="V9" s="2" t="s">
        <v>178</v>
      </c>
      <c r="W9" s="2" t="s">
        <v>179</v>
      </c>
      <c r="X9" s="1083"/>
      <c r="Y9" s="1083"/>
      <c r="Z9" s="1083"/>
      <c r="AA9" s="1083"/>
      <c r="AB9" s="1083"/>
      <c r="AC9" s="1083"/>
      <c r="AD9" s="1083"/>
      <c r="AE9" s="1083"/>
      <c r="AF9" s="1083"/>
      <c r="AG9" s="1083"/>
      <c r="AH9" s="1083"/>
      <c r="AI9" s="1083"/>
      <c r="AJ9" s="1083"/>
      <c r="AK9" s="131"/>
      <c r="AL9" s="131"/>
      <c r="AM9" s="131"/>
      <c r="AN9" s="131"/>
      <c r="AO9" s="131"/>
      <c r="AP9" s="131"/>
      <c r="AQ9" s="131"/>
      <c r="AR9" s="131"/>
      <c r="AS9" s="131"/>
      <c r="AT9" s="131"/>
      <c r="AU9" s="131"/>
      <c r="AV9" s="131"/>
      <c r="AW9" s="131"/>
      <c r="AX9" s="131"/>
      <c r="AY9" s="131"/>
      <c r="AZ9" s="131"/>
      <c r="BA9" s="131"/>
      <c r="BB9" s="131"/>
      <c r="BC9" s="131"/>
      <c r="BD9" s="131"/>
    </row>
    <row r="10" spans="1:56" ht="167.25" customHeight="1" x14ac:dyDescent="0.2">
      <c r="A10" s="1095">
        <v>1</v>
      </c>
      <c r="B10" s="1096" t="s">
        <v>276</v>
      </c>
      <c r="C10" s="1096"/>
      <c r="D10" s="1096"/>
      <c r="E10" s="1096"/>
      <c r="F10" s="1096" t="s">
        <v>1819</v>
      </c>
      <c r="G10" s="1095">
        <v>501</v>
      </c>
      <c r="H10" s="1097" t="str">
        <f>IF(G10&lt;=0,"",IF(G10&lt;=2,"Muy Baja",IF(G10&lt;=24,"Baja",IF(G10&lt;=500,"Media",IF(G10&lt;=5000,"Alta","Muy Alta")))))</f>
        <v>Alta</v>
      </c>
      <c r="I10" s="1094">
        <f>IF(H10="","",IF(H10="Muy Baja",0.2,IF(H10="Baja",0.4,IF(H10="Media",0.6,IF(H10="Alta",0.8,IF(H10="Muy Alta",1,))))))</f>
        <v>0.8</v>
      </c>
      <c r="J10" s="1094" t="s">
        <v>248</v>
      </c>
      <c r="K10" s="1094" t="str">
        <f>IF(NOT(ISERROR(MATCH(J10,'Tabla Impacto'!$B$222:$B$224,0))),'Tabla Impacto'!$F$224&amp;"Por favor no seleccionar los criterios de impacto(Afectación Económica o presupuestal y Pérdida Reputacional)",J10)</f>
        <v xml:space="preserve">     El riesgo afecta la imagen de la entidad con algunos usuarios de relevancia frente al logro de los objetivos</v>
      </c>
      <c r="L10" s="1097" t="str">
        <f>IF(OR(K10='Tabla Impacto'!$C$12,K10='Tabla Impacto'!$D$12),"Leve",IF(OR(K10='Tabla Impacto'!$C$13,K10='Tabla Impacto'!$D$13),"Menor",IF(OR(K10='Tabla Impacto'!$C$14,K10='Tabla Impacto'!$D$14),"Moderado",IF(OR(K10='Tabla Impacto'!$C$15,K10='Tabla Impacto'!$D$15),"Mayor",IF(OR(K10='Tabla Impacto'!$C$16,K10='Tabla Impacto'!$D$16),"Catastrófico","")))))</f>
        <v>Moderado</v>
      </c>
      <c r="M10" s="1094">
        <f>IF(L10="","",IF(L10="Leve",0.2,IF(L10="Menor",0.4,IF(L10="Moderado",0.6,IF(L10="Mayor",0.8,IF(L10="Catastrófico",1,))))))</f>
        <v>0.6</v>
      </c>
      <c r="N10" s="1092"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Alto</v>
      </c>
      <c r="O10" s="3">
        <v>1</v>
      </c>
      <c r="P10" s="11" t="s">
        <v>3403</v>
      </c>
      <c r="Q10" s="3" t="str">
        <f t="shared" ref="Q10:Q69" si="0">IF(OR(R10="Preventivo",R10="Detectivo"),"Probabilidad",IF(R10="Correctivo","Impacto",""))</f>
        <v>Probabilidad</v>
      </c>
      <c r="R10" s="9" t="s">
        <v>269</v>
      </c>
      <c r="S10" s="9" t="s">
        <v>454</v>
      </c>
      <c r="T10" s="4" t="str">
        <f t="shared" ref="T10:T69" si="1">IF(AND(R10="Preventivo",S10="Automático"),"50%",IF(AND(R10="Preventivo",S10="Manual"),"40%",IF(AND(R10="Detectivo",S10="Automático"),"40%",IF(AND(R10="Detectivo",S10="Manual"),"30%",IF(AND(R10="Correctivo",S10="Automático"),"35%",IF(AND(R10="Correctivo",S10="Manual"),"25%",""))))))</f>
        <v>40%</v>
      </c>
      <c r="U10" s="9"/>
      <c r="V10" s="9"/>
      <c r="W10" s="9"/>
      <c r="X10" s="5">
        <f>IFERROR(IF(Q10="Probabilidad",(I10-(+I10*T10)),IF(Q10="Impacto",I10,"")),"")</f>
        <v>0.48</v>
      </c>
      <c r="Y10" s="6" t="str">
        <f t="shared" ref="Y10:Y69" si="2">IFERROR(IF(X10="","",IF(X10&lt;=0.2,"Muy Baja",IF(X10&lt;=0.4,"Baja",IF(X10&lt;=0.6,"Media",IF(X10&lt;=0.8,"Alta","Muy Alta"))))),"")</f>
        <v>Media</v>
      </c>
      <c r="Z10" s="7">
        <f t="shared" ref="Z10:Z69" si="3">+X10</f>
        <v>0.48</v>
      </c>
      <c r="AA10" s="6" t="str">
        <f t="shared" ref="AA10:AA69" si="4">IFERROR(IF(AB10="","",IF(AB10&lt;=0.2,"Leve",IF(AB10&lt;=0.4,"Menor",IF(AB10&lt;=0.6,"Moderado",IF(AB10&lt;=0.8,"Mayor","Catastrófico"))))),"")</f>
        <v>Moderado</v>
      </c>
      <c r="AB10" s="7">
        <f>IFERROR(IF(Q10="Impacto",(M10-(+M10*T10)),IF(Q10="Probabilidad",M10,"")),"")</f>
        <v>0.6</v>
      </c>
      <c r="AC10" s="8" t="str">
        <f t="shared" ref="AC10:AC69" si="5">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0"/>
      <c r="AE10" s="18"/>
      <c r="AF10" s="3"/>
      <c r="AG10" s="17"/>
      <c r="AH10" s="17"/>
      <c r="AI10" s="18"/>
      <c r="AJ10" s="3"/>
      <c r="AK10" s="132"/>
      <c r="AL10" s="132"/>
      <c r="AM10" s="132"/>
      <c r="AN10" s="132"/>
      <c r="AO10" s="132"/>
      <c r="AP10" s="132"/>
      <c r="AQ10" s="132"/>
      <c r="AR10" s="132"/>
      <c r="AS10" s="132"/>
      <c r="AT10" s="132"/>
      <c r="AU10" s="132"/>
      <c r="AV10" s="132"/>
      <c r="AW10" s="132"/>
      <c r="AX10" s="132"/>
      <c r="AY10" s="132"/>
      <c r="AZ10" s="132"/>
      <c r="BA10" s="132"/>
      <c r="BB10" s="132"/>
      <c r="BC10" s="132"/>
      <c r="BD10" s="132"/>
    </row>
    <row r="11" spans="1:56" ht="151.5" customHeight="1" x14ac:dyDescent="0.3">
      <c r="A11" s="1093"/>
      <c r="B11" s="1093"/>
      <c r="C11" s="1093"/>
      <c r="D11" s="1093"/>
      <c r="E11" s="1093"/>
      <c r="F11" s="1093"/>
      <c r="G11" s="1093"/>
      <c r="H11" s="1093"/>
      <c r="I11" s="1093"/>
      <c r="J11" s="1093"/>
      <c r="K11" s="1093"/>
      <c r="L11" s="1093"/>
      <c r="M11" s="1093"/>
      <c r="N11" s="1093"/>
      <c r="O11" s="3">
        <v>2</v>
      </c>
      <c r="P11" s="11"/>
      <c r="Q11" s="3" t="str">
        <f t="shared" si="0"/>
        <v>Impacto</v>
      </c>
      <c r="R11" s="9" t="s">
        <v>240</v>
      </c>
      <c r="S11" s="9" t="s">
        <v>454</v>
      </c>
      <c r="T11" s="4" t="str">
        <f t="shared" si="1"/>
        <v>35%</v>
      </c>
      <c r="U11" s="9"/>
      <c r="V11" s="9"/>
      <c r="W11" s="9"/>
      <c r="X11" s="5">
        <f>IFERROR(IF(AND(Q10="Probabilidad",Q11="Probabilidad"),(Z10-(+Z10*T11)),IF(Q11="Probabilidad",(I10-(+I10*T11)),IF(Q11="Impacto",Z10,""))),"")</f>
        <v>0.48</v>
      </c>
      <c r="Y11" s="6" t="str">
        <f t="shared" si="2"/>
        <v>Media</v>
      </c>
      <c r="Z11" s="7">
        <f t="shared" si="3"/>
        <v>0.48</v>
      </c>
      <c r="AA11" s="6" t="str">
        <f t="shared" si="4"/>
        <v>Menor</v>
      </c>
      <c r="AB11" s="7">
        <f>IFERROR(IF(AND(Q10="Impacto",Q11="Impacto"),(AB10-(+AB10*T11)),IF(Q11="Impacto",($M$10-(+$M$10*T11)),IF(Q11="Probabilidad",AB10,""))),"")</f>
        <v>0.39</v>
      </c>
      <c r="AC11" s="8" t="str">
        <f t="shared" si="5"/>
        <v>Moderado</v>
      </c>
      <c r="AD11" s="10"/>
      <c r="AE11" s="18"/>
      <c r="AF11" s="3"/>
      <c r="AG11" s="17"/>
      <c r="AH11" s="17"/>
      <c r="AI11" s="18"/>
      <c r="AJ11" s="3"/>
      <c r="AK11" s="130"/>
      <c r="AL11" s="130"/>
      <c r="AM11" s="130"/>
      <c r="AN11" s="130"/>
      <c r="AO11" s="130"/>
      <c r="AP11" s="130"/>
      <c r="AQ11" s="130"/>
      <c r="AR11" s="130"/>
      <c r="AS11" s="130"/>
      <c r="AT11" s="130"/>
      <c r="AU11" s="130"/>
      <c r="AV11" s="130"/>
      <c r="AW11" s="130"/>
      <c r="AX11" s="130"/>
      <c r="AY11" s="130"/>
      <c r="AZ11" s="130"/>
      <c r="BA11" s="130"/>
      <c r="BB11" s="130"/>
      <c r="BC11" s="130"/>
      <c r="BD11" s="130"/>
    </row>
    <row r="12" spans="1:56" ht="151.5" customHeight="1" x14ac:dyDescent="0.3">
      <c r="A12" s="1093"/>
      <c r="B12" s="1093"/>
      <c r="C12" s="1093"/>
      <c r="D12" s="1093"/>
      <c r="E12" s="1093"/>
      <c r="F12" s="1093"/>
      <c r="G12" s="1093"/>
      <c r="H12" s="1093"/>
      <c r="I12" s="1093"/>
      <c r="J12" s="1093"/>
      <c r="K12" s="1093"/>
      <c r="L12" s="1093"/>
      <c r="M12" s="1093"/>
      <c r="N12" s="1093"/>
      <c r="O12" s="3">
        <v>3</v>
      </c>
      <c r="P12" s="12"/>
      <c r="Q12" s="3" t="str">
        <f t="shared" si="0"/>
        <v>Probabilidad</v>
      </c>
      <c r="R12" s="9" t="s">
        <v>197</v>
      </c>
      <c r="S12" s="9" t="s">
        <v>198</v>
      </c>
      <c r="T12" s="4" t="str">
        <f t="shared" si="1"/>
        <v>40%</v>
      </c>
      <c r="U12" s="9"/>
      <c r="V12" s="9"/>
      <c r="W12" s="9"/>
      <c r="X12" s="5">
        <f>IFERROR(IF(AND(Q11="Probabilidad",Q12="Probabilidad"),(Z11-(+Z11*T12)),IF(AND(Q11="Impacto",Q12="Probabilidad"),(Z10-(+Z10*T12)),IF(Q12="Impacto",Z11,""))),"")</f>
        <v>0.28799999999999998</v>
      </c>
      <c r="Y12" s="6" t="str">
        <f t="shared" si="2"/>
        <v>Baja</v>
      </c>
      <c r="Z12" s="7">
        <f t="shared" si="3"/>
        <v>0.28799999999999998</v>
      </c>
      <c r="AA12" s="6" t="str">
        <f t="shared" si="4"/>
        <v>Menor</v>
      </c>
      <c r="AB12" s="7">
        <f>IFERROR(IF(AND(Q11="Impacto",Q12="Impacto"),(AB11-(+AB11*T12)),IF(AND(Q11="Probabilidad",Q12="Impacto"),(AB10-(+AB10*T12)),IF(Q12="Probabilidad",AB11,""))),"")</f>
        <v>0.39</v>
      </c>
      <c r="AC12" s="8" t="str">
        <f t="shared" si="5"/>
        <v>Moderado</v>
      </c>
      <c r="AD12" s="10"/>
      <c r="AE12" s="18"/>
      <c r="AF12" s="3"/>
      <c r="AG12" s="17"/>
      <c r="AH12" s="17"/>
      <c r="AI12" s="18"/>
      <c r="AJ12" s="3"/>
      <c r="AK12" s="130"/>
      <c r="AL12" s="130"/>
      <c r="AM12" s="130"/>
      <c r="AN12" s="130"/>
      <c r="AO12" s="130"/>
      <c r="AP12" s="130"/>
      <c r="AQ12" s="130"/>
      <c r="AR12" s="130"/>
      <c r="AS12" s="130"/>
      <c r="AT12" s="130"/>
      <c r="AU12" s="130"/>
      <c r="AV12" s="130"/>
      <c r="AW12" s="130"/>
      <c r="AX12" s="130"/>
      <c r="AY12" s="130"/>
      <c r="AZ12" s="130"/>
      <c r="BA12" s="130"/>
      <c r="BB12" s="130"/>
      <c r="BC12" s="130"/>
      <c r="BD12" s="130"/>
    </row>
    <row r="13" spans="1:56" ht="151.5" customHeight="1" x14ac:dyDescent="0.3">
      <c r="A13" s="1093"/>
      <c r="B13" s="1093"/>
      <c r="C13" s="1093"/>
      <c r="D13" s="1093"/>
      <c r="E13" s="1093"/>
      <c r="F13" s="1093"/>
      <c r="G13" s="1093"/>
      <c r="H13" s="1093"/>
      <c r="I13" s="1093"/>
      <c r="J13" s="1093"/>
      <c r="K13" s="1093"/>
      <c r="L13" s="1093"/>
      <c r="M13" s="1093"/>
      <c r="N13" s="1093"/>
      <c r="O13" s="3">
        <v>4</v>
      </c>
      <c r="P13" s="11"/>
      <c r="Q13" s="3" t="str">
        <f t="shared" si="0"/>
        <v/>
      </c>
      <c r="R13" s="9"/>
      <c r="S13" s="9"/>
      <c r="T13" s="4" t="str">
        <f t="shared" si="1"/>
        <v/>
      </c>
      <c r="U13" s="9"/>
      <c r="V13" s="9"/>
      <c r="W13" s="9"/>
      <c r="X13" s="5" t="str">
        <f>IFERROR(IF(AND(Q12="Probabilidad",Q13="Probabilidad"),(Z12-(+Z12*T13)),IF(AND(Q12="Impacto",Q13="Probabilidad"),(Z11-(+Z11*T13)),IF(Q13="Impacto",Z12,""))),"")</f>
        <v/>
      </c>
      <c r="Y13" s="6" t="str">
        <f t="shared" si="2"/>
        <v/>
      </c>
      <c r="Z13" s="7" t="str">
        <f t="shared" si="3"/>
        <v/>
      </c>
      <c r="AA13" s="6" t="str">
        <f t="shared" si="4"/>
        <v/>
      </c>
      <c r="AB13" s="7" t="str">
        <f>IFERROR(IF(AND(Q12="Impacto",Q13="Impacto"),(AB12-(+AB12*T13)),IF(AND(Q12="Probabilidad",Q13="Impacto"),(AB11-(+AB11*T13)),IF(Q13="Probabilidad",AB12,""))),"")</f>
        <v/>
      </c>
      <c r="AC13" s="8" t="str">
        <f t="shared" si="5"/>
        <v/>
      </c>
      <c r="AD13" s="10"/>
      <c r="AE13" s="18"/>
      <c r="AF13" s="3"/>
      <c r="AG13" s="17"/>
      <c r="AH13" s="17"/>
      <c r="AI13" s="18"/>
      <c r="AJ13" s="3"/>
      <c r="AK13" s="130"/>
      <c r="AL13" s="130"/>
      <c r="AM13" s="130"/>
      <c r="AN13" s="130"/>
      <c r="AO13" s="130"/>
      <c r="AP13" s="130"/>
      <c r="AQ13" s="130"/>
      <c r="AR13" s="130"/>
      <c r="AS13" s="130"/>
      <c r="AT13" s="130"/>
      <c r="AU13" s="130"/>
      <c r="AV13" s="130"/>
      <c r="AW13" s="130"/>
      <c r="AX13" s="130"/>
      <c r="AY13" s="130"/>
      <c r="AZ13" s="130"/>
      <c r="BA13" s="130"/>
      <c r="BB13" s="130"/>
      <c r="BC13" s="130"/>
      <c r="BD13" s="130"/>
    </row>
    <row r="14" spans="1:56" ht="151.5" customHeight="1" x14ac:dyDescent="0.3">
      <c r="A14" s="1093"/>
      <c r="B14" s="1093"/>
      <c r="C14" s="1093"/>
      <c r="D14" s="1093"/>
      <c r="E14" s="1093"/>
      <c r="F14" s="1093"/>
      <c r="G14" s="1093"/>
      <c r="H14" s="1093"/>
      <c r="I14" s="1093"/>
      <c r="J14" s="1093"/>
      <c r="K14" s="1093"/>
      <c r="L14" s="1093"/>
      <c r="M14" s="1093"/>
      <c r="N14" s="1093"/>
      <c r="O14" s="3">
        <v>5</v>
      </c>
      <c r="P14" s="11"/>
      <c r="Q14" s="3" t="str">
        <f t="shared" si="0"/>
        <v/>
      </c>
      <c r="R14" s="9"/>
      <c r="S14" s="9"/>
      <c r="T14" s="4" t="str">
        <f t="shared" si="1"/>
        <v/>
      </c>
      <c r="U14" s="9"/>
      <c r="V14" s="9"/>
      <c r="W14" s="9"/>
      <c r="X14" s="5" t="str">
        <f>IFERROR(IF(AND(Q13="Probabilidad",Q14="Probabilidad"),(Z13-(+Z13*T14)),IF(AND(Q13="Impacto",Q14="Probabilidad"),(Z12-(+Z12*T14)),IF(Q14="Impacto",Z13,""))),"")</f>
        <v/>
      </c>
      <c r="Y14" s="6" t="str">
        <f t="shared" si="2"/>
        <v/>
      </c>
      <c r="Z14" s="7" t="str">
        <f t="shared" si="3"/>
        <v/>
      </c>
      <c r="AA14" s="6" t="str">
        <f t="shared" si="4"/>
        <v/>
      </c>
      <c r="AB14" s="7" t="str">
        <f>IFERROR(IF(AND(Q13="Impacto",Q14="Impacto"),(AB13-(+AB13*T14)),IF(AND(Q13="Probabilidad",Q14="Impacto"),(AB12-(+AB12*T14)),IF(Q14="Probabilidad",AB13,""))),"")</f>
        <v/>
      </c>
      <c r="AC14" s="8" t="str">
        <f t="shared" si="5"/>
        <v/>
      </c>
      <c r="AD14" s="10"/>
      <c r="AE14" s="18"/>
      <c r="AF14" s="3"/>
      <c r="AG14" s="17"/>
      <c r="AH14" s="17"/>
      <c r="AI14" s="18"/>
      <c r="AJ14" s="3"/>
      <c r="AK14" s="130"/>
      <c r="AL14" s="130"/>
      <c r="AM14" s="130"/>
      <c r="AN14" s="130"/>
      <c r="AO14" s="130"/>
      <c r="AP14" s="130"/>
      <c r="AQ14" s="130"/>
      <c r="AR14" s="130"/>
      <c r="AS14" s="130"/>
      <c r="AT14" s="130"/>
      <c r="AU14" s="130"/>
      <c r="AV14" s="130"/>
      <c r="AW14" s="130"/>
      <c r="AX14" s="130"/>
      <c r="AY14" s="130"/>
      <c r="AZ14" s="130"/>
      <c r="BA14" s="130"/>
      <c r="BB14" s="130"/>
      <c r="BC14" s="130"/>
      <c r="BD14" s="130"/>
    </row>
    <row r="15" spans="1:56" ht="151.5" customHeight="1" x14ac:dyDescent="0.3">
      <c r="A15" s="1083"/>
      <c r="B15" s="1083"/>
      <c r="C15" s="1083"/>
      <c r="D15" s="1083"/>
      <c r="E15" s="1083"/>
      <c r="F15" s="1083"/>
      <c r="G15" s="1083"/>
      <c r="H15" s="1083"/>
      <c r="I15" s="1083"/>
      <c r="J15" s="1083"/>
      <c r="K15" s="1083"/>
      <c r="L15" s="1083"/>
      <c r="M15" s="1083"/>
      <c r="N15" s="1083"/>
      <c r="O15" s="3">
        <v>6</v>
      </c>
      <c r="P15" s="11"/>
      <c r="Q15" s="3" t="str">
        <f t="shared" si="0"/>
        <v/>
      </c>
      <c r="R15" s="9"/>
      <c r="S15" s="9"/>
      <c r="T15" s="4" t="str">
        <f t="shared" si="1"/>
        <v/>
      </c>
      <c r="U15" s="9"/>
      <c r="V15" s="9"/>
      <c r="W15" s="9"/>
      <c r="X15" s="5" t="str">
        <f>IFERROR(IF(AND(Q14="Probabilidad",Q15="Probabilidad"),(Z14-(+Z14*T15)),IF(AND(Q14="Impacto",Q15="Probabilidad"),(Z13-(+Z13*T15)),IF(Q15="Impacto",Z14,""))),"")</f>
        <v/>
      </c>
      <c r="Y15" s="6" t="str">
        <f t="shared" si="2"/>
        <v/>
      </c>
      <c r="Z15" s="7" t="str">
        <f t="shared" si="3"/>
        <v/>
      </c>
      <c r="AA15" s="6" t="str">
        <f t="shared" si="4"/>
        <v/>
      </c>
      <c r="AB15" s="7" t="str">
        <f>IFERROR(IF(AND(Q14="Impacto",Q15="Impacto"),(AB14-(+AB14*T15)),IF(AND(Q14="Probabilidad",Q15="Impacto"),(AB13-(+AB13*T15)),IF(Q15="Probabilidad",AB14,""))),"")</f>
        <v/>
      </c>
      <c r="AC15" s="8" t="str">
        <f t="shared" si="5"/>
        <v/>
      </c>
      <c r="AD15" s="10"/>
      <c r="AE15" s="18"/>
      <c r="AF15" s="3"/>
      <c r="AG15" s="17"/>
      <c r="AH15" s="17"/>
      <c r="AI15" s="18"/>
      <c r="AJ15" s="3"/>
      <c r="AK15" s="130"/>
      <c r="AL15" s="130"/>
      <c r="AM15" s="130"/>
      <c r="AN15" s="130"/>
      <c r="AO15" s="130"/>
      <c r="AP15" s="130"/>
      <c r="AQ15" s="130"/>
      <c r="AR15" s="130"/>
      <c r="AS15" s="130"/>
      <c r="AT15" s="130"/>
      <c r="AU15" s="130"/>
      <c r="AV15" s="130"/>
      <c r="AW15" s="130"/>
      <c r="AX15" s="130"/>
      <c r="AY15" s="130"/>
      <c r="AZ15" s="130"/>
      <c r="BA15" s="130"/>
      <c r="BB15" s="130"/>
      <c r="BC15" s="130"/>
      <c r="BD15" s="130"/>
    </row>
    <row r="16" spans="1:56" ht="151.5" customHeight="1" x14ac:dyDescent="0.3">
      <c r="A16" s="1095">
        <v>2</v>
      </c>
      <c r="B16" s="1096"/>
      <c r="C16" s="1096"/>
      <c r="D16" s="1096"/>
      <c r="E16" s="1096"/>
      <c r="F16" s="1096"/>
      <c r="G16" s="1095"/>
      <c r="H16" s="1097" t="str">
        <f>IF(G16&lt;=0,"",IF(G16&lt;=2,"Muy Baja",IF(G16&lt;=24,"Baja",IF(G16&lt;=500,"Media",IF(G16&lt;=5000,"Alta","Muy Alta")))))</f>
        <v/>
      </c>
      <c r="I16" s="1094" t="str">
        <f>IF(H16="","",IF(H16="Muy Baja",0.2,IF(H16="Baja",0.4,IF(H16="Media",0.6,IF(H16="Alta",0.8,IF(H16="Muy Alta",1,))))))</f>
        <v/>
      </c>
      <c r="J16" s="1094"/>
      <c r="K16" s="1094" t="str">
        <f>IF(NOT(ISERROR(MATCH(J16,'Tabla Impacto'!$B$222:$B$224,0))),'Tabla Impacto'!$F$224&amp;"Por favor no seleccionar los criterios de impacto(Afectación Económica o presupuestal y Pérdida Reputacional)",J16)</f>
        <v>❌Por favor no seleccionar los criterios de impacto(Afectación Económica o presupuestal y Pérdida Reputacional)</v>
      </c>
      <c r="L16" s="1097" t="str">
        <f>IF(OR(K16='Tabla Impacto'!$C$12,K16='Tabla Impacto'!$D$12),"Leve",IF(OR(K16='Tabla Impacto'!$C$13,K16='Tabla Impacto'!$D$13),"Menor",IF(OR(K16='Tabla Impacto'!$C$14,K16='Tabla Impacto'!$D$14),"Moderado",IF(OR(K16='Tabla Impacto'!$C$15,K16='Tabla Impacto'!$D$15),"Mayor",IF(OR(K16='Tabla Impacto'!$C$16,K16='Tabla Impacto'!$D$16),"Catastrófico","")))))</f>
        <v/>
      </c>
      <c r="M16" s="1094" t="str">
        <f>IF(L16="","",IF(L16="Leve",0.2,IF(L16="Menor",0.4,IF(L16="Moderado",0.6,IF(L16="Mayor",0.8,IF(L16="Catastrófico",1,))))))</f>
        <v/>
      </c>
      <c r="N16" s="1092" t="str">
        <f>IF(OR(AND(H16="Muy Baja",L16="Leve"),AND(H16="Muy Baja",L16="Menor"),AND(H16="Baja",L16="Leve")),"Bajo",IF(OR(AND(H16="Muy baja",L16="Moderado"),AND(H16="Baja",L16="Menor"),AND(H16="Baja",L16="Moderado"),AND(H16="Media",L16="Leve"),AND(H16="Media",L16="Menor"),AND(H16="Media",L16="Moderado"),AND(H16="Alta",L16="Leve"),AND(H16="Alta",L16="Menor")),"Moderado",IF(OR(AND(H16="Muy Baja",L16="Mayor"),AND(H16="Baja",L16="Mayor"),AND(H16="Media",L16="Mayor"),AND(H16="Alta",L16="Moderado"),AND(H16="Alta",L16="Mayor"),AND(H16="Muy Alta",L16="Leve"),AND(H16="Muy Alta",L16="Menor"),AND(H16="Muy Alta",L16="Moderado"),AND(H16="Muy Alta",L16="Mayor")),"Alto",IF(OR(AND(H16="Muy Baja",L16="Catastrófico"),AND(H16="Baja",L16="Catastrófico"),AND(H16="Media",L16="Catastrófico"),AND(H16="Alta",L16="Catastrófico"),AND(H16="Muy Alta",L16="Catastrófico")),"Extremo",""))))</f>
        <v/>
      </c>
      <c r="O16" s="3">
        <v>1</v>
      </c>
      <c r="P16" s="11"/>
      <c r="Q16" s="3" t="str">
        <f t="shared" si="0"/>
        <v/>
      </c>
      <c r="R16" s="9"/>
      <c r="S16" s="9"/>
      <c r="T16" s="4" t="str">
        <f t="shared" si="1"/>
        <v/>
      </c>
      <c r="U16" s="9"/>
      <c r="V16" s="9"/>
      <c r="W16" s="9"/>
      <c r="X16" s="5" t="str">
        <f>IFERROR(IF(Q16="Probabilidad",(I16-(+I16*T16)),IF(Q16="Impacto",I16,"")),"")</f>
        <v/>
      </c>
      <c r="Y16" s="6" t="str">
        <f t="shared" si="2"/>
        <v/>
      </c>
      <c r="Z16" s="7" t="str">
        <f t="shared" si="3"/>
        <v/>
      </c>
      <c r="AA16" s="6" t="str">
        <f t="shared" si="4"/>
        <v/>
      </c>
      <c r="AB16" s="7" t="str">
        <f>IFERROR(IF(Q16="Impacto",(M16-(+M16*T16)),IF(Q16="Probabilidad",M16,"")),"")</f>
        <v/>
      </c>
      <c r="AC16" s="8" t="str">
        <f t="shared" si="5"/>
        <v/>
      </c>
      <c r="AD16" s="10"/>
      <c r="AE16" s="18"/>
      <c r="AF16" s="3"/>
      <c r="AG16" s="17"/>
      <c r="AH16" s="17"/>
      <c r="AI16" s="18"/>
      <c r="AJ16" s="3"/>
      <c r="AK16" s="130"/>
      <c r="AL16" s="130"/>
      <c r="AM16" s="130"/>
      <c r="AN16" s="130"/>
      <c r="AO16" s="130"/>
      <c r="AP16" s="130"/>
      <c r="AQ16" s="130"/>
      <c r="AR16" s="130"/>
      <c r="AS16" s="130"/>
      <c r="AT16" s="130"/>
      <c r="AU16" s="130"/>
      <c r="AV16" s="130"/>
      <c r="AW16" s="130"/>
      <c r="AX16" s="130"/>
      <c r="AY16" s="130"/>
      <c r="AZ16" s="130"/>
      <c r="BA16" s="130"/>
      <c r="BB16" s="130"/>
      <c r="BC16" s="130"/>
      <c r="BD16" s="130"/>
    </row>
    <row r="17" spans="1:56" ht="151.5" customHeight="1" x14ac:dyDescent="0.3">
      <c r="A17" s="1093"/>
      <c r="B17" s="1093"/>
      <c r="C17" s="1093"/>
      <c r="D17" s="1093"/>
      <c r="E17" s="1093"/>
      <c r="F17" s="1093"/>
      <c r="G17" s="1093"/>
      <c r="H17" s="1093"/>
      <c r="I17" s="1093"/>
      <c r="J17" s="1093"/>
      <c r="K17" s="1093"/>
      <c r="L17" s="1093"/>
      <c r="M17" s="1093"/>
      <c r="N17" s="1093"/>
      <c r="O17" s="3">
        <v>2</v>
      </c>
      <c r="P17" s="11"/>
      <c r="Q17" s="3" t="str">
        <f t="shared" si="0"/>
        <v/>
      </c>
      <c r="R17" s="9"/>
      <c r="S17" s="9"/>
      <c r="T17" s="4" t="str">
        <f t="shared" si="1"/>
        <v/>
      </c>
      <c r="U17" s="9"/>
      <c r="V17" s="9"/>
      <c r="W17" s="9"/>
      <c r="X17" s="5" t="str">
        <f>IFERROR(IF(AND(Q16="Probabilidad",Q17="Probabilidad"),(Z16-(+Z16*T17)),IF(Q17="Probabilidad",(I16-(+I16*T17)),IF(Q17="Impacto",Z16,""))),"")</f>
        <v/>
      </c>
      <c r="Y17" s="6" t="str">
        <f t="shared" si="2"/>
        <v/>
      </c>
      <c r="Z17" s="7" t="str">
        <f t="shared" si="3"/>
        <v/>
      </c>
      <c r="AA17" s="6" t="str">
        <f t="shared" si="4"/>
        <v/>
      </c>
      <c r="AB17" s="7" t="str">
        <f>IFERROR(IF(AND(Q16="Impacto",Q17="Impacto"),(AB10-(+AB10*T17)),IF(Q17="Impacto",($M$16-(+$M$16*T17)),IF(Q17="Probabilidad",AB10,""))),"")</f>
        <v/>
      </c>
      <c r="AC17" s="8" t="str">
        <f t="shared" si="5"/>
        <v/>
      </c>
      <c r="AD17" s="10"/>
      <c r="AE17" s="18"/>
      <c r="AF17" s="3"/>
      <c r="AG17" s="17"/>
      <c r="AH17" s="17"/>
      <c r="AI17" s="18"/>
      <c r="AJ17" s="3"/>
      <c r="AK17" s="130"/>
      <c r="AL17" s="130"/>
      <c r="AM17" s="130"/>
      <c r="AN17" s="130"/>
      <c r="AO17" s="130"/>
      <c r="AP17" s="130"/>
      <c r="AQ17" s="130"/>
      <c r="AR17" s="130"/>
      <c r="AS17" s="130"/>
      <c r="AT17" s="130"/>
      <c r="AU17" s="130"/>
      <c r="AV17" s="130"/>
      <c r="AW17" s="130"/>
      <c r="AX17" s="130"/>
      <c r="AY17" s="130"/>
      <c r="AZ17" s="130"/>
      <c r="BA17" s="130"/>
      <c r="BB17" s="130"/>
      <c r="BC17" s="130"/>
      <c r="BD17" s="130"/>
    </row>
    <row r="18" spans="1:56" ht="151.5" customHeight="1" x14ac:dyDescent="0.3">
      <c r="A18" s="1093"/>
      <c r="B18" s="1093"/>
      <c r="C18" s="1093"/>
      <c r="D18" s="1093"/>
      <c r="E18" s="1093"/>
      <c r="F18" s="1093"/>
      <c r="G18" s="1093"/>
      <c r="H18" s="1093"/>
      <c r="I18" s="1093"/>
      <c r="J18" s="1093"/>
      <c r="K18" s="1093"/>
      <c r="L18" s="1093"/>
      <c r="M18" s="1093"/>
      <c r="N18" s="1093"/>
      <c r="O18" s="3">
        <v>3</v>
      </c>
      <c r="P18" s="12"/>
      <c r="Q18" s="3" t="str">
        <f t="shared" si="0"/>
        <v/>
      </c>
      <c r="R18" s="9"/>
      <c r="S18" s="9"/>
      <c r="T18" s="4" t="str">
        <f t="shared" si="1"/>
        <v/>
      </c>
      <c r="U18" s="9"/>
      <c r="V18" s="9"/>
      <c r="W18" s="9"/>
      <c r="X18" s="5" t="str">
        <f>IFERROR(IF(AND(Q17="Probabilidad",Q18="Probabilidad"),(Z17-(+Z17*T18)),IF(AND(Q17="Impacto",Q18="Probabilidad"),(Z16-(+Z16*T18)),IF(Q18="Impacto",Z17,""))),"")</f>
        <v/>
      </c>
      <c r="Y18" s="6" t="str">
        <f t="shared" si="2"/>
        <v/>
      </c>
      <c r="Z18" s="7" t="str">
        <f t="shared" si="3"/>
        <v/>
      </c>
      <c r="AA18" s="6" t="str">
        <f t="shared" si="4"/>
        <v/>
      </c>
      <c r="AB18" s="7" t="str">
        <f>IFERROR(IF(AND(Q17="Impacto",Q18="Impacto"),(AB17-(+AB17*T18)),IF(AND(Q17="Probabilidad",Q18="Impacto"),(AB16-(+AB16*T18)),IF(Q18="Probabilidad",AB17,""))),"")</f>
        <v/>
      </c>
      <c r="AC18" s="8" t="str">
        <f t="shared" si="5"/>
        <v/>
      </c>
      <c r="AD18" s="10"/>
      <c r="AE18" s="18"/>
      <c r="AF18" s="3"/>
      <c r="AG18" s="17"/>
      <c r="AH18" s="17"/>
      <c r="AI18" s="18"/>
      <c r="AJ18" s="3"/>
      <c r="AK18" s="130"/>
      <c r="AL18" s="130"/>
      <c r="AM18" s="130"/>
      <c r="AN18" s="130"/>
      <c r="AO18" s="130"/>
      <c r="AP18" s="130"/>
      <c r="AQ18" s="130"/>
      <c r="AR18" s="130"/>
      <c r="AS18" s="130"/>
      <c r="AT18" s="130"/>
      <c r="AU18" s="130"/>
      <c r="AV18" s="130"/>
      <c r="AW18" s="130"/>
      <c r="AX18" s="130"/>
      <c r="AY18" s="130"/>
      <c r="AZ18" s="130"/>
      <c r="BA18" s="130"/>
      <c r="BB18" s="130"/>
      <c r="BC18" s="130"/>
      <c r="BD18" s="130"/>
    </row>
    <row r="19" spans="1:56" ht="151.5" customHeight="1" x14ac:dyDescent="0.3">
      <c r="A19" s="1093"/>
      <c r="B19" s="1093"/>
      <c r="C19" s="1093"/>
      <c r="D19" s="1093"/>
      <c r="E19" s="1093"/>
      <c r="F19" s="1093"/>
      <c r="G19" s="1093"/>
      <c r="H19" s="1093"/>
      <c r="I19" s="1093"/>
      <c r="J19" s="1093"/>
      <c r="K19" s="1093"/>
      <c r="L19" s="1093"/>
      <c r="M19" s="1093"/>
      <c r="N19" s="1093"/>
      <c r="O19" s="3">
        <v>4</v>
      </c>
      <c r="P19" s="11"/>
      <c r="Q19" s="3" t="str">
        <f t="shared" si="0"/>
        <v/>
      </c>
      <c r="R19" s="9"/>
      <c r="S19" s="9"/>
      <c r="T19" s="4" t="str">
        <f t="shared" si="1"/>
        <v/>
      </c>
      <c r="U19" s="9"/>
      <c r="V19" s="9"/>
      <c r="W19" s="9"/>
      <c r="X19" s="5" t="str">
        <f>IFERROR(IF(AND(Q18="Probabilidad",Q19="Probabilidad"),(Z18-(+Z18*T19)),IF(AND(Q18="Impacto",Q19="Probabilidad"),(Z17-(+Z17*T19)),IF(Q19="Impacto",Z18,""))),"")</f>
        <v/>
      </c>
      <c r="Y19" s="6" t="str">
        <f t="shared" si="2"/>
        <v/>
      </c>
      <c r="Z19" s="7" t="str">
        <f t="shared" si="3"/>
        <v/>
      </c>
      <c r="AA19" s="6" t="str">
        <f t="shared" si="4"/>
        <v/>
      </c>
      <c r="AB19" s="7" t="str">
        <f>IFERROR(IF(AND(Q18="Impacto",Q19="Impacto"),(AB18-(+AB18*T19)),IF(AND(Q18="Probabilidad",Q19="Impacto"),(AB17-(+AB17*T19)),IF(Q19="Probabilidad",AB18,""))),"")</f>
        <v/>
      </c>
      <c r="AC19" s="8" t="str">
        <f t="shared" si="5"/>
        <v/>
      </c>
      <c r="AD19" s="10"/>
      <c r="AE19" s="18"/>
      <c r="AF19" s="3"/>
      <c r="AG19" s="17"/>
      <c r="AH19" s="17"/>
      <c r="AI19" s="18"/>
      <c r="AJ19" s="3"/>
      <c r="AK19" s="130"/>
      <c r="AL19" s="130"/>
      <c r="AM19" s="130"/>
      <c r="AN19" s="130"/>
      <c r="AO19" s="130"/>
      <c r="AP19" s="130"/>
      <c r="AQ19" s="130"/>
      <c r="AR19" s="130"/>
      <c r="AS19" s="130"/>
      <c r="AT19" s="130"/>
      <c r="AU19" s="130"/>
      <c r="AV19" s="130"/>
      <c r="AW19" s="130"/>
      <c r="AX19" s="130"/>
      <c r="AY19" s="130"/>
      <c r="AZ19" s="130"/>
      <c r="BA19" s="130"/>
      <c r="BB19" s="130"/>
      <c r="BC19" s="130"/>
      <c r="BD19" s="130"/>
    </row>
    <row r="20" spans="1:56" ht="151.5" customHeight="1" x14ac:dyDescent="0.3">
      <c r="A20" s="1093"/>
      <c r="B20" s="1093"/>
      <c r="C20" s="1093"/>
      <c r="D20" s="1093"/>
      <c r="E20" s="1093"/>
      <c r="F20" s="1093"/>
      <c r="G20" s="1093"/>
      <c r="H20" s="1093"/>
      <c r="I20" s="1093"/>
      <c r="J20" s="1093"/>
      <c r="K20" s="1093"/>
      <c r="L20" s="1093"/>
      <c r="M20" s="1093"/>
      <c r="N20" s="1093"/>
      <c r="O20" s="3">
        <v>5</v>
      </c>
      <c r="P20" s="11"/>
      <c r="Q20" s="3" t="str">
        <f t="shared" si="0"/>
        <v/>
      </c>
      <c r="R20" s="9"/>
      <c r="S20" s="9"/>
      <c r="T20" s="4" t="str">
        <f t="shared" si="1"/>
        <v/>
      </c>
      <c r="U20" s="9"/>
      <c r="V20" s="9"/>
      <c r="W20" s="9"/>
      <c r="X20" s="5" t="str">
        <f>IFERROR(IF(AND(Q19="Probabilidad",Q20="Probabilidad"),(Z19-(+Z19*T20)),IF(AND(Q19="Impacto",Q20="Probabilidad"),(Z18-(+Z18*T20)),IF(Q20="Impacto",Z19,""))),"")</f>
        <v/>
      </c>
      <c r="Y20" s="6" t="str">
        <f t="shared" si="2"/>
        <v/>
      </c>
      <c r="Z20" s="7" t="str">
        <f t="shared" si="3"/>
        <v/>
      </c>
      <c r="AA20" s="6" t="str">
        <f t="shared" si="4"/>
        <v/>
      </c>
      <c r="AB20" s="7" t="str">
        <f>IFERROR(IF(AND(Q19="Impacto",Q20="Impacto"),(AB19-(+AB19*T20)),IF(AND(Q19="Probabilidad",Q20="Impacto"),(AB18-(+AB18*T20)),IF(Q20="Probabilidad",AB19,""))),"")</f>
        <v/>
      </c>
      <c r="AC20" s="8" t="str">
        <f t="shared" si="5"/>
        <v/>
      </c>
      <c r="AD20" s="10"/>
      <c r="AE20" s="18"/>
      <c r="AF20" s="3"/>
      <c r="AG20" s="17"/>
      <c r="AH20" s="17"/>
      <c r="AI20" s="18"/>
      <c r="AJ20" s="3"/>
      <c r="AK20" s="130"/>
      <c r="AL20" s="130"/>
      <c r="AM20" s="130"/>
      <c r="AN20" s="130"/>
      <c r="AO20" s="130"/>
      <c r="AP20" s="130"/>
      <c r="AQ20" s="130"/>
      <c r="AR20" s="130"/>
      <c r="AS20" s="130"/>
      <c r="AT20" s="130"/>
      <c r="AU20" s="130"/>
      <c r="AV20" s="130"/>
      <c r="AW20" s="130"/>
      <c r="AX20" s="130"/>
      <c r="AY20" s="130"/>
      <c r="AZ20" s="130"/>
      <c r="BA20" s="130"/>
      <c r="BB20" s="130"/>
      <c r="BC20" s="130"/>
      <c r="BD20" s="130"/>
    </row>
    <row r="21" spans="1:56" ht="151.5" customHeight="1" x14ac:dyDescent="0.3">
      <c r="A21" s="1083"/>
      <c r="B21" s="1083"/>
      <c r="C21" s="1083"/>
      <c r="D21" s="1083"/>
      <c r="E21" s="1083"/>
      <c r="F21" s="1083"/>
      <c r="G21" s="1083"/>
      <c r="H21" s="1083"/>
      <c r="I21" s="1083"/>
      <c r="J21" s="1083"/>
      <c r="K21" s="1083"/>
      <c r="L21" s="1083"/>
      <c r="M21" s="1083"/>
      <c r="N21" s="1083"/>
      <c r="O21" s="3">
        <v>6</v>
      </c>
      <c r="P21" s="11"/>
      <c r="Q21" s="3" t="str">
        <f t="shared" si="0"/>
        <v/>
      </c>
      <c r="R21" s="9"/>
      <c r="S21" s="9"/>
      <c r="T21" s="4" t="str">
        <f t="shared" si="1"/>
        <v/>
      </c>
      <c r="U21" s="9"/>
      <c r="V21" s="9"/>
      <c r="W21" s="9"/>
      <c r="X21" s="5" t="str">
        <f>IFERROR(IF(AND(Q20="Probabilidad",Q21="Probabilidad"),(Z20-(+Z20*T21)),IF(AND(Q20="Impacto",Q21="Probabilidad"),(Z19-(+Z19*T21)),IF(Q21="Impacto",Z20,""))),"")</f>
        <v/>
      </c>
      <c r="Y21" s="6" t="str">
        <f t="shared" si="2"/>
        <v/>
      </c>
      <c r="Z21" s="7" t="str">
        <f t="shared" si="3"/>
        <v/>
      </c>
      <c r="AA21" s="6" t="str">
        <f t="shared" si="4"/>
        <v/>
      </c>
      <c r="AB21" s="7" t="str">
        <f>IFERROR(IF(AND(Q20="Impacto",Q21="Impacto"),(AB20-(+AB20*T21)),IF(AND(Q20="Probabilidad",Q21="Impacto"),(AB19-(+AB19*T21)),IF(Q21="Probabilidad",AB20,""))),"")</f>
        <v/>
      </c>
      <c r="AC21" s="8" t="str">
        <f t="shared" si="5"/>
        <v/>
      </c>
      <c r="AD21" s="10"/>
      <c r="AE21" s="18"/>
      <c r="AF21" s="3"/>
      <c r="AG21" s="17"/>
      <c r="AH21" s="17"/>
      <c r="AI21" s="18"/>
      <c r="AJ21" s="3"/>
      <c r="AK21" s="130"/>
      <c r="AL21" s="130"/>
      <c r="AM21" s="130"/>
      <c r="AN21" s="130"/>
      <c r="AO21" s="130"/>
      <c r="AP21" s="130"/>
      <c r="AQ21" s="130"/>
      <c r="AR21" s="130"/>
      <c r="AS21" s="130"/>
      <c r="AT21" s="130"/>
      <c r="AU21" s="130"/>
      <c r="AV21" s="130"/>
      <c r="AW21" s="130"/>
      <c r="AX21" s="130"/>
      <c r="AY21" s="130"/>
      <c r="AZ21" s="130"/>
      <c r="BA21" s="130"/>
      <c r="BB21" s="130"/>
      <c r="BC21" s="130"/>
      <c r="BD21" s="130"/>
    </row>
    <row r="22" spans="1:56" ht="151.5" customHeight="1" x14ac:dyDescent="0.3">
      <c r="A22" s="1095">
        <v>3</v>
      </c>
      <c r="B22" s="1096"/>
      <c r="C22" s="1096"/>
      <c r="D22" s="1096"/>
      <c r="E22" s="1096"/>
      <c r="F22" s="1096"/>
      <c r="G22" s="1095"/>
      <c r="H22" s="1097" t="str">
        <f>IF(G22&lt;=0,"",IF(G22&lt;=2,"Muy Baja",IF(G22&lt;=24,"Baja",IF(G22&lt;=500,"Media",IF(G22&lt;=5000,"Alta","Muy Alta")))))</f>
        <v/>
      </c>
      <c r="I22" s="1094" t="str">
        <f>IF(H22="","",IF(H22="Muy Baja",0.2,IF(H22="Baja",0.4,IF(H22="Media",0.6,IF(H22="Alta",0.8,IF(H22="Muy Alta",1,))))))</f>
        <v/>
      </c>
      <c r="J22" s="1094"/>
      <c r="K22" s="1094" t="str">
        <f>IF(NOT(ISERROR(MATCH(J22,'Tabla Impacto'!$B$222:$B$224,0))),'Tabla Impacto'!$F$224&amp;"Por favor no seleccionar los criterios de impacto(Afectación Económica o presupuestal y Pérdida Reputacional)",J22)</f>
        <v>❌Por favor no seleccionar los criterios de impacto(Afectación Económica o presupuestal y Pérdida Reputacional)</v>
      </c>
      <c r="L22" s="1097" t="str">
        <f>IF(OR(K22='Tabla Impacto'!$C$12,K22='Tabla Impacto'!$D$12),"Leve",IF(OR(K22='Tabla Impacto'!$C$13,K22='Tabla Impacto'!$D$13),"Menor",IF(OR(K22='Tabla Impacto'!$C$14,K22='Tabla Impacto'!$D$14),"Moderado",IF(OR(K22='Tabla Impacto'!$C$15,K22='Tabla Impacto'!$D$15),"Mayor",IF(OR(K22='Tabla Impacto'!$C$16,K22='Tabla Impacto'!$D$16),"Catastrófico","")))))</f>
        <v/>
      </c>
      <c r="M22" s="1094" t="str">
        <f>IF(L22="","",IF(L22="Leve",0.2,IF(L22="Menor",0.4,IF(L22="Moderado",0.6,IF(L22="Mayor",0.8,IF(L22="Catastrófico",1,))))))</f>
        <v/>
      </c>
      <c r="N22" s="1092" t="str">
        <f>IF(OR(AND(H22="Muy Baja",L22="Leve"),AND(H22="Muy Baja",L22="Menor"),AND(H22="Baja",L22="Leve")),"Bajo",IF(OR(AND(H22="Muy baja",L22="Moderado"),AND(H22="Baja",L22="Menor"),AND(H22="Baja",L22="Moderado"),AND(H22="Media",L22="Leve"),AND(H22="Media",L22="Menor"),AND(H22="Media",L22="Moderado"),AND(H22="Alta",L22="Leve"),AND(H22="Alta",L22="Menor")),"Moderado",IF(OR(AND(H22="Muy Baja",L22="Mayor"),AND(H22="Baja",L22="Mayor"),AND(H22="Media",L22="Mayor"),AND(H22="Alta",L22="Moderado"),AND(H22="Alta",L22="Mayor"),AND(H22="Muy Alta",L22="Leve"),AND(H22="Muy Alta",L22="Menor"),AND(H22="Muy Alta",L22="Moderado"),AND(H22="Muy Alta",L22="Mayor")),"Alto",IF(OR(AND(H22="Muy Baja",L22="Catastrófico"),AND(H22="Baja",L22="Catastrófico"),AND(H22="Media",L22="Catastrófico"),AND(H22="Alta",L22="Catastrófico"),AND(H22="Muy Alta",L22="Catastrófico")),"Extremo",""))))</f>
        <v/>
      </c>
      <c r="O22" s="3">
        <v>1</v>
      </c>
      <c r="P22" s="11"/>
      <c r="Q22" s="3" t="str">
        <f t="shared" si="0"/>
        <v/>
      </c>
      <c r="R22" s="9"/>
      <c r="S22" s="9"/>
      <c r="T22" s="4" t="str">
        <f t="shared" si="1"/>
        <v/>
      </c>
      <c r="U22" s="9"/>
      <c r="V22" s="9"/>
      <c r="W22" s="9"/>
      <c r="X22" s="5" t="str">
        <f>IFERROR(IF(Q22="Probabilidad",(I22-(+I22*T22)),IF(Q22="Impacto",I22,"")),"")</f>
        <v/>
      </c>
      <c r="Y22" s="6" t="str">
        <f t="shared" si="2"/>
        <v/>
      </c>
      <c r="Z22" s="7" t="str">
        <f t="shared" si="3"/>
        <v/>
      </c>
      <c r="AA22" s="6" t="str">
        <f t="shared" si="4"/>
        <v/>
      </c>
      <c r="AB22" s="7" t="str">
        <f>IFERROR(IF(Q22="Impacto",(M22-(+M22*T22)),IF(Q22="Probabilidad",M22,"")),"")</f>
        <v/>
      </c>
      <c r="AC22" s="8" t="str">
        <f t="shared" si="5"/>
        <v/>
      </c>
      <c r="AD22" s="10"/>
      <c r="AE22" s="18"/>
      <c r="AF22" s="3"/>
      <c r="AG22" s="17"/>
      <c r="AH22" s="17"/>
      <c r="AI22" s="18"/>
      <c r="AJ22" s="3"/>
      <c r="AK22" s="130"/>
      <c r="AL22" s="130"/>
      <c r="AM22" s="130"/>
      <c r="AN22" s="130"/>
      <c r="AO22" s="130"/>
      <c r="AP22" s="130"/>
      <c r="AQ22" s="130"/>
      <c r="AR22" s="130"/>
      <c r="AS22" s="130"/>
      <c r="AT22" s="130"/>
      <c r="AU22" s="130"/>
      <c r="AV22" s="130"/>
      <c r="AW22" s="130"/>
      <c r="AX22" s="130"/>
      <c r="AY22" s="130"/>
      <c r="AZ22" s="130"/>
      <c r="BA22" s="130"/>
      <c r="BB22" s="130"/>
      <c r="BC22" s="130"/>
      <c r="BD22" s="130"/>
    </row>
    <row r="23" spans="1:56" ht="151.5" customHeight="1" x14ac:dyDescent="0.3">
      <c r="A23" s="1093"/>
      <c r="B23" s="1093"/>
      <c r="C23" s="1093"/>
      <c r="D23" s="1093"/>
      <c r="E23" s="1093"/>
      <c r="F23" s="1093"/>
      <c r="G23" s="1093"/>
      <c r="H23" s="1093"/>
      <c r="I23" s="1093"/>
      <c r="J23" s="1093"/>
      <c r="K23" s="1093"/>
      <c r="L23" s="1093"/>
      <c r="M23" s="1093"/>
      <c r="N23" s="1093"/>
      <c r="O23" s="3">
        <v>2</v>
      </c>
      <c r="P23" s="11"/>
      <c r="Q23" s="3" t="str">
        <f t="shared" si="0"/>
        <v/>
      </c>
      <c r="R23" s="9"/>
      <c r="S23" s="9"/>
      <c r="T23" s="4" t="str">
        <f t="shared" si="1"/>
        <v/>
      </c>
      <c r="U23" s="9"/>
      <c r="V23" s="9"/>
      <c r="W23" s="9"/>
      <c r="X23" s="13" t="str">
        <f>IFERROR(IF(AND(Q22="Probabilidad",Q23="Probabilidad"),(Z22-(+Z22*T23)),IF(Q23="Probabilidad",(I22-(+I22*T23)),IF(Q23="Impacto",Z22,""))),"")</f>
        <v/>
      </c>
      <c r="Y23" s="6" t="str">
        <f t="shared" si="2"/>
        <v/>
      </c>
      <c r="Z23" s="7" t="str">
        <f t="shared" si="3"/>
        <v/>
      </c>
      <c r="AA23" s="6" t="str">
        <f t="shared" si="4"/>
        <v/>
      </c>
      <c r="AB23" s="7" t="str">
        <f>IFERROR(IF(AND(Q22="Impacto",Q23="Impacto"),(AB16-(+AB16*T23)),IF(Q23="Impacto",($M$22-(+$M$22*T23)),IF(Q23="Probabilidad",AB16,""))),"")</f>
        <v/>
      </c>
      <c r="AC23" s="8" t="str">
        <f t="shared" si="5"/>
        <v/>
      </c>
      <c r="AD23" s="10"/>
      <c r="AE23" s="18"/>
      <c r="AF23" s="3"/>
      <c r="AG23" s="17"/>
      <c r="AH23" s="17"/>
      <c r="AI23" s="18"/>
      <c r="AJ23" s="3"/>
      <c r="AK23" s="130"/>
      <c r="AL23" s="130"/>
      <c r="AM23" s="130"/>
      <c r="AN23" s="130"/>
      <c r="AO23" s="130"/>
      <c r="AP23" s="130"/>
      <c r="AQ23" s="130"/>
      <c r="AR23" s="130"/>
      <c r="AS23" s="130"/>
      <c r="AT23" s="130"/>
      <c r="AU23" s="130"/>
      <c r="AV23" s="130"/>
      <c r="AW23" s="130"/>
      <c r="AX23" s="130"/>
      <c r="AY23" s="130"/>
      <c r="AZ23" s="130"/>
      <c r="BA23" s="130"/>
      <c r="BB23" s="130"/>
      <c r="BC23" s="130"/>
      <c r="BD23" s="130"/>
    </row>
    <row r="24" spans="1:56" ht="151.5" customHeight="1" x14ac:dyDescent="0.3">
      <c r="A24" s="1093"/>
      <c r="B24" s="1093"/>
      <c r="C24" s="1093"/>
      <c r="D24" s="1093"/>
      <c r="E24" s="1093"/>
      <c r="F24" s="1093"/>
      <c r="G24" s="1093"/>
      <c r="H24" s="1093"/>
      <c r="I24" s="1093"/>
      <c r="J24" s="1093"/>
      <c r="K24" s="1093"/>
      <c r="L24" s="1093"/>
      <c r="M24" s="1093"/>
      <c r="N24" s="1093"/>
      <c r="O24" s="3">
        <v>3</v>
      </c>
      <c r="P24" s="12"/>
      <c r="Q24" s="3" t="str">
        <f t="shared" si="0"/>
        <v/>
      </c>
      <c r="R24" s="9"/>
      <c r="S24" s="9"/>
      <c r="T24" s="4" t="str">
        <f t="shared" si="1"/>
        <v/>
      </c>
      <c r="U24" s="9"/>
      <c r="V24" s="9"/>
      <c r="W24" s="9"/>
      <c r="X24" s="5" t="str">
        <f>IFERROR(IF(AND(Q23="Probabilidad",Q24="Probabilidad"),(Z23-(+Z23*T24)),IF(AND(Q23="Impacto",Q24="Probabilidad"),(Z22-(+Z22*T24)),IF(Q24="Impacto",Z23,""))),"")</f>
        <v/>
      </c>
      <c r="Y24" s="6" t="str">
        <f t="shared" si="2"/>
        <v/>
      </c>
      <c r="Z24" s="7" t="str">
        <f t="shared" si="3"/>
        <v/>
      </c>
      <c r="AA24" s="6" t="str">
        <f t="shared" si="4"/>
        <v/>
      </c>
      <c r="AB24" s="7" t="str">
        <f>IFERROR(IF(AND(Q23="Impacto",Q24="Impacto"),(AB23-(+AB23*T24)),IF(AND(Q23="Probabilidad",Q24="Impacto"),(AB22-(+AB22*T24)),IF(Q24="Probabilidad",AB23,""))),"")</f>
        <v/>
      </c>
      <c r="AC24" s="8" t="str">
        <f t="shared" si="5"/>
        <v/>
      </c>
      <c r="AD24" s="10"/>
      <c r="AE24" s="18"/>
      <c r="AF24" s="3"/>
      <c r="AG24" s="17"/>
      <c r="AH24" s="17"/>
      <c r="AI24" s="18"/>
      <c r="AJ24" s="3"/>
      <c r="AK24" s="130"/>
      <c r="AL24" s="130"/>
      <c r="AM24" s="130"/>
      <c r="AN24" s="130"/>
      <c r="AO24" s="130"/>
      <c r="AP24" s="130"/>
      <c r="AQ24" s="130"/>
      <c r="AR24" s="130"/>
      <c r="AS24" s="130"/>
      <c r="AT24" s="130"/>
      <c r="AU24" s="130"/>
      <c r="AV24" s="130"/>
      <c r="AW24" s="130"/>
      <c r="AX24" s="130"/>
      <c r="AY24" s="130"/>
      <c r="AZ24" s="130"/>
      <c r="BA24" s="130"/>
      <c r="BB24" s="130"/>
      <c r="BC24" s="130"/>
      <c r="BD24" s="130"/>
    </row>
    <row r="25" spans="1:56" ht="151.5" customHeight="1" x14ac:dyDescent="0.3">
      <c r="A25" s="1093"/>
      <c r="B25" s="1093"/>
      <c r="C25" s="1093"/>
      <c r="D25" s="1093"/>
      <c r="E25" s="1093"/>
      <c r="F25" s="1093"/>
      <c r="G25" s="1093"/>
      <c r="H25" s="1093"/>
      <c r="I25" s="1093"/>
      <c r="J25" s="1093"/>
      <c r="K25" s="1093"/>
      <c r="L25" s="1093"/>
      <c r="M25" s="1093"/>
      <c r="N25" s="1093"/>
      <c r="O25" s="3">
        <v>4</v>
      </c>
      <c r="P25" s="11"/>
      <c r="Q25" s="3" t="str">
        <f t="shared" si="0"/>
        <v/>
      </c>
      <c r="R25" s="9"/>
      <c r="S25" s="9"/>
      <c r="T25" s="4" t="str">
        <f t="shared" si="1"/>
        <v/>
      </c>
      <c r="U25" s="9"/>
      <c r="V25" s="9"/>
      <c r="W25" s="9"/>
      <c r="X25" s="5" t="str">
        <f>IFERROR(IF(AND(Q24="Probabilidad",Q25="Probabilidad"),(Z24-(+Z24*T25)),IF(AND(Q24="Impacto",Q25="Probabilidad"),(Z23-(+Z23*T25)),IF(Q25="Impacto",Z24,""))),"")</f>
        <v/>
      </c>
      <c r="Y25" s="6" t="str">
        <f t="shared" si="2"/>
        <v/>
      </c>
      <c r="Z25" s="7" t="str">
        <f t="shared" si="3"/>
        <v/>
      </c>
      <c r="AA25" s="6" t="str">
        <f t="shared" si="4"/>
        <v/>
      </c>
      <c r="AB25" s="7" t="str">
        <f>IFERROR(IF(AND(Q24="Impacto",Q25="Impacto"),(AB24-(+AB24*T25)),IF(AND(Q24="Probabilidad",Q25="Impacto"),(AB23-(+AB23*T25)),IF(Q25="Probabilidad",AB24,""))),"")</f>
        <v/>
      </c>
      <c r="AC25" s="8" t="str">
        <f t="shared" si="5"/>
        <v/>
      </c>
      <c r="AD25" s="10"/>
      <c r="AE25" s="18"/>
      <c r="AF25" s="3"/>
      <c r="AG25" s="17"/>
      <c r="AH25" s="17"/>
      <c r="AI25" s="18"/>
      <c r="AJ25" s="3"/>
      <c r="AK25" s="130"/>
      <c r="AL25" s="130"/>
      <c r="AM25" s="130"/>
      <c r="AN25" s="130"/>
      <c r="AO25" s="130"/>
      <c r="AP25" s="130"/>
      <c r="AQ25" s="130"/>
      <c r="AR25" s="130"/>
      <c r="AS25" s="130"/>
      <c r="AT25" s="130"/>
      <c r="AU25" s="130"/>
      <c r="AV25" s="130"/>
      <c r="AW25" s="130"/>
      <c r="AX25" s="130"/>
      <c r="AY25" s="130"/>
      <c r="AZ25" s="130"/>
      <c r="BA25" s="130"/>
      <c r="BB25" s="130"/>
      <c r="BC25" s="130"/>
      <c r="BD25" s="130"/>
    </row>
    <row r="26" spans="1:56" ht="151.5" customHeight="1" x14ac:dyDescent="0.3">
      <c r="A26" s="1093"/>
      <c r="B26" s="1093"/>
      <c r="C26" s="1093"/>
      <c r="D26" s="1093"/>
      <c r="E26" s="1093"/>
      <c r="F26" s="1093"/>
      <c r="G26" s="1093"/>
      <c r="H26" s="1093"/>
      <c r="I26" s="1093"/>
      <c r="J26" s="1093"/>
      <c r="K26" s="1093"/>
      <c r="L26" s="1093"/>
      <c r="M26" s="1093"/>
      <c r="N26" s="1093"/>
      <c r="O26" s="3">
        <v>5</v>
      </c>
      <c r="P26" s="11"/>
      <c r="Q26" s="3" t="str">
        <f t="shared" si="0"/>
        <v/>
      </c>
      <c r="R26" s="9"/>
      <c r="S26" s="9"/>
      <c r="T26" s="4" t="str">
        <f t="shared" si="1"/>
        <v/>
      </c>
      <c r="U26" s="9"/>
      <c r="V26" s="9"/>
      <c r="W26" s="9"/>
      <c r="X26" s="5" t="str">
        <f>IFERROR(IF(AND(Q25="Probabilidad",Q26="Probabilidad"),(Z25-(+Z25*T26)),IF(AND(Q25="Impacto",Q26="Probabilidad"),(Z24-(+Z24*T26)),IF(Q26="Impacto",Z25,""))),"")</f>
        <v/>
      </c>
      <c r="Y26" s="6" t="str">
        <f t="shared" si="2"/>
        <v/>
      </c>
      <c r="Z26" s="7" t="str">
        <f t="shared" si="3"/>
        <v/>
      </c>
      <c r="AA26" s="6" t="str">
        <f t="shared" si="4"/>
        <v/>
      </c>
      <c r="AB26" s="7" t="str">
        <f>IFERROR(IF(AND(Q25="Impacto",Q26="Impacto"),(AB25-(+AB25*T26)),IF(AND(Q25="Probabilidad",Q26="Impacto"),(AB24-(+AB24*T26)),IF(Q26="Probabilidad",AB25,""))),"")</f>
        <v/>
      </c>
      <c r="AC26" s="8" t="str">
        <f t="shared" si="5"/>
        <v/>
      </c>
      <c r="AD26" s="10"/>
      <c r="AE26" s="18"/>
      <c r="AF26" s="3"/>
      <c r="AG26" s="17"/>
      <c r="AH26" s="17"/>
      <c r="AI26" s="18"/>
      <c r="AJ26" s="3"/>
      <c r="AK26" s="130"/>
      <c r="AL26" s="130"/>
      <c r="AM26" s="130"/>
      <c r="AN26" s="130"/>
      <c r="AO26" s="130"/>
      <c r="AP26" s="130"/>
      <c r="AQ26" s="130"/>
      <c r="AR26" s="130"/>
      <c r="AS26" s="130"/>
      <c r="AT26" s="130"/>
      <c r="AU26" s="130"/>
      <c r="AV26" s="130"/>
      <c r="AW26" s="130"/>
      <c r="AX26" s="130"/>
      <c r="AY26" s="130"/>
      <c r="AZ26" s="130"/>
      <c r="BA26" s="130"/>
      <c r="BB26" s="130"/>
      <c r="BC26" s="130"/>
      <c r="BD26" s="130"/>
    </row>
    <row r="27" spans="1:56" ht="151.5" customHeight="1" x14ac:dyDescent="0.3">
      <c r="A27" s="1083"/>
      <c r="B27" s="1083"/>
      <c r="C27" s="1083"/>
      <c r="D27" s="1083"/>
      <c r="E27" s="1083"/>
      <c r="F27" s="1083"/>
      <c r="G27" s="1083"/>
      <c r="H27" s="1083"/>
      <c r="I27" s="1083"/>
      <c r="J27" s="1083"/>
      <c r="K27" s="1083"/>
      <c r="L27" s="1083"/>
      <c r="M27" s="1083"/>
      <c r="N27" s="1083"/>
      <c r="O27" s="3">
        <v>6</v>
      </c>
      <c r="P27" s="11"/>
      <c r="Q27" s="3" t="str">
        <f t="shared" si="0"/>
        <v/>
      </c>
      <c r="R27" s="9"/>
      <c r="S27" s="9"/>
      <c r="T27" s="4" t="str">
        <f t="shared" si="1"/>
        <v/>
      </c>
      <c r="U27" s="9"/>
      <c r="V27" s="9"/>
      <c r="W27" s="9"/>
      <c r="X27" s="5" t="str">
        <f>IFERROR(IF(AND(Q26="Probabilidad",Q27="Probabilidad"),(Z26-(+Z26*T27)),IF(AND(Q26="Impacto",Q27="Probabilidad"),(Z25-(+Z25*T27)),IF(Q27="Impacto",Z26,""))),"")</f>
        <v/>
      </c>
      <c r="Y27" s="6" t="str">
        <f t="shared" si="2"/>
        <v/>
      </c>
      <c r="Z27" s="7" t="str">
        <f t="shared" si="3"/>
        <v/>
      </c>
      <c r="AA27" s="6" t="str">
        <f t="shared" si="4"/>
        <v/>
      </c>
      <c r="AB27" s="7" t="str">
        <f>IFERROR(IF(AND(Q26="Impacto",Q27="Impacto"),(AB26-(+AB26*T27)),IF(AND(Q26="Probabilidad",Q27="Impacto"),(AB25-(+AB25*T27)),IF(Q27="Probabilidad",AB26,""))),"")</f>
        <v/>
      </c>
      <c r="AC27" s="8" t="str">
        <f t="shared" si="5"/>
        <v/>
      </c>
      <c r="AD27" s="10"/>
      <c r="AE27" s="18"/>
      <c r="AF27" s="3"/>
      <c r="AG27" s="17"/>
      <c r="AH27" s="17"/>
      <c r="AI27" s="18"/>
      <c r="AJ27" s="3"/>
      <c r="AK27" s="130"/>
      <c r="AL27" s="130"/>
      <c r="AM27" s="130"/>
      <c r="AN27" s="130"/>
      <c r="AO27" s="130"/>
      <c r="AP27" s="130"/>
      <c r="AQ27" s="130"/>
      <c r="AR27" s="130"/>
      <c r="AS27" s="130"/>
      <c r="AT27" s="130"/>
      <c r="AU27" s="130"/>
      <c r="AV27" s="130"/>
      <c r="AW27" s="130"/>
      <c r="AX27" s="130"/>
      <c r="AY27" s="130"/>
      <c r="AZ27" s="130"/>
      <c r="BA27" s="130"/>
      <c r="BB27" s="130"/>
      <c r="BC27" s="130"/>
      <c r="BD27" s="130"/>
    </row>
    <row r="28" spans="1:56" ht="151.5" customHeight="1" x14ac:dyDescent="0.3">
      <c r="A28" s="1095">
        <v>4</v>
      </c>
      <c r="B28" s="1096"/>
      <c r="C28" s="1096"/>
      <c r="D28" s="1096"/>
      <c r="E28" s="1096"/>
      <c r="F28" s="1096"/>
      <c r="G28" s="1095"/>
      <c r="H28" s="1097" t="str">
        <f>IF(G28&lt;=0,"",IF(G28&lt;=2,"Muy Baja",IF(G28&lt;=24,"Baja",IF(G28&lt;=500,"Media",IF(G28&lt;=5000,"Alta","Muy Alta")))))</f>
        <v/>
      </c>
      <c r="I28" s="1094" t="str">
        <f>IF(H28="","",IF(H28="Muy Baja",0.2,IF(H28="Baja",0.4,IF(H28="Media",0.6,IF(H28="Alta",0.8,IF(H28="Muy Alta",1,))))))</f>
        <v/>
      </c>
      <c r="J28" s="1094"/>
      <c r="K28" s="1094" t="str">
        <f>IF(NOT(ISERROR(MATCH(J28,'Tabla Impacto'!$B$222:$B$224,0))),'Tabla Impacto'!$F$224&amp;"Por favor no seleccionar los criterios de impacto(Afectación Económica o presupuestal y Pérdida Reputacional)",J28)</f>
        <v>❌Por favor no seleccionar los criterios de impacto(Afectación Económica o presupuestal y Pérdida Reputacional)</v>
      </c>
      <c r="L28" s="1097" t="str">
        <f>IF(OR(K28='Tabla Impacto'!$C$12,K28='Tabla Impacto'!$D$12),"Leve",IF(OR(K28='Tabla Impacto'!$C$13,K28='Tabla Impacto'!$D$13),"Menor",IF(OR(K28='Tabla Impacto'!$C$14,K28='Tabla Impacto'!$D$14),"Moderado",IF(OR(K28='Tabla Impacto'!$C$15,K28='Tabla Impacto'!$D$15),"Mayor",IF(OR(K28='Tabla Impacto'!$C$16,K28='Tabla Impacto'!$D$16),"Catastrófico","")))))</f>
        <v/>
      </c>
      <c r="M28" s="1094" t="str">
        <f>IF(L28="","",IF(L28="Leve",0.2,IF(L28="Menor",0.4,IF(L28="Moderado",0.6,IF(L28="Mayor",0.8,IF(L28="Catastrófico",1,))))))</f>
        <v/>
      </c>
      <c r="N28" s="1092" t="str">
        <f>IF(OR(AND(H28="Muy Baja",L28="Leve"),AND(H28="Muy Baja",L28="Menor"),AND(H28="Baja",L28="Leve")),"Bajo",IF(OR(AND(H28="Muy baja",L28="Moderado"),AND(H28="Baja",L28="Menor"),AND(H28="Baja",L28="Moderado"),AND(H28="Media",L28="Leve"),AND(H28="Media",L28="Menor"),AND(H28="Media",L28="Moderado"),AND(H28="Alta",L28="Leve"),AND(H28="Alta",L28="Menor")),"Moderado",IF(OR(AND(H28="Muy Baja",L28="Mayor"),AND(H28="Baja",L28="Mayor"),AND(H28="Media",L28="Mayor"),AND(H28="Alta",L28="Moderado"),AND(H28="Alta",L28="Mayor"),AND(H28="Muy Alta",L28="Leve"),AND(H28="Muy Alta",L28="Menor"),AND(H28="Muy Alta",L28="Moderado"),AND(H28="Muy Alta",L28="Mayor")),"Alto",IF(OR(AND(H28="Muy Baja",L28="Catastrófico"),AND(H28="Baja",L28="Catastrófico"),AND(H28="Media",L28="Catastrófico"),AND(H28="Alta",L28="Catastrófico"),AND(H28="Muy Alta",L28="Catastrófico")),"Extremo",""))))</f>
        <v/>
      </c>
      <c r="O28" s="3">
        <v>1</v>
      </c>
      <c r="P28" s="11"/>
      <c r="Q28" s="3" t="str">
        <f t="shared" si="0"/>
        <v/>
      </c>
      <c r="R28" s="9"/>
      <c r="S28" s="9"/>
      <c r="T28" s="4" t="str">
        <f t="shared" si="1"/>
        <v/>
      </c>
      <c r="U28" s="9"/>
      <c r="V28" s="9"/>
      <c r="W28" s="9"/>
      <c r="X28" s="5" t="str">
        <f>IFERROR(IF(Q28="Probabilidad",(I28-(+I28*T28)),IF(Q28="Impacto",I28,"")),"")</f>
        <v/>
      </c>
      <c r="Y28" s="6" t="str">
        <f t="shared" si="2"/>
        <v/>
      </c>
      <c r="Z28" s="7" t="str">
        <f t="shared" si="3"/>
        <v/>
      </c>
      <c r="AA28" s="6" t="str">
        <f t="shared" si="4"/>
        <v/>
      </c>
      <c r="AB28" s="7" t="str">
        <f>IFERROR(IF(Q28="Impacto",(M28-(+M28*T28)),IF(Q28="Probabilidad",M28,"")),"")</f>
        <v/>
      </c>
      <c r="AC28" s="8" t="str">
        <f t="shared" si="5"/>
        <v/>
      </c>
      <c r="AD28" s="10"/>
      <c r="AE28" s="18"/>
      <c r="AF28" s="3"/>
      <c r="AG28" s="17"/>
      <c r="AH28" s="17"/>
      <c r="AI28" s="18"/>
      <c r="AJ28" s="3"/>
      <c r="AK28" s="130"/>
      <c r="AL28" s="130"/>
      <c r="AM28" s="130"/>
      <c r="AN28" s="130"/>
      <c r="AO28" s="130"/>
      <c r="AP28" s="130"/>
      <c r="AQ28" s="130"/>
      <c r="AR28" s="130"/>
      <c r="AS28" s="130"/>
      <c r="AT28" s="130"/>
      <c r="AU28" s="130"/>
      <c r="AV28" s="130"/>
      <c r="AW28" s="130"/>
      <c r="AX28" s="130"/>
      <c r="AY28" s="130"/>
      <c r="AZ28" s="130"/>
      <c r="BA28" s="130"/>
      <c r="BB28" s="130"/>
      <c r="BC28" s="130"/>
      <c r="BD28" s="130"/>
    </row>
    <row r="29" spans="1:56" ht="151.5" customHeight="1" x14ac:dyDescent="0.3">
      <c r="A29" s="1093"/>
      <c r="B29" s="1093"/>
      <c r="C29" s="1093"/>
      <c r="D29" s="1093"/>
      <c r="E29" s="1093"/>
      <c r="F29" s="1093"/>
      <c r="G29" s="1093"/>
      <c r="H29" s="1093"/>
      <c r="I29" s="1093"/>
      <c r="J29" s="1093"/>
      <c r="K29" s="1093"/>
      <c r="L29" s="1093"/>
      <c r="M29" s="1093"/>
      <c r="N29" s="1093"/>
      <c r="O29" s="3">
        <v>2</v>
      </c>
      <c r="P29" s="11"/>
      <c r="Q29" s="3" t="str">
        <f t="shared" si="0"/>
        <v/>
      </c>
      <c r="R29" s="9"/>
      <c r="S29" s="9"/>
      <c r="T29" s="4" t="str">
        <f t="shared" si="1"/>
        <v/>
      </c>
      <c r="U29" s="9"/>
      <c r="V29" s="9"/>
      <c r="W29" s="9"/>
      <c r="X29" s="5" t="str">
        <f>IFERROR(IF(AND(Q28="Probabilidad",Q29="Probabilidad"),(Z28-(+Z28*T29)),IF(Q29="Probabilidad",(I28-(+I28*T29)),IF(Q29="Impacto",Z28,""))),"")</f>
        <v/>
      </c>
      <c r="Y29" s="6" t="str">
        <f t="shared" si="2"/>
        <v/>
      </c>
      <c r="Z29" s="7" t="str">
        <f t="shared" si="3"/>
        <v/>
      </c>
      <c r="AA29" s="6" t="str">
        <f t="shared" si="4"/>
        <v/>
      </c>
      <c r="AB29" s="7" t="str">
        <f>IFERROR(IF(AND(Q28="Impacto",Q29="Impacto"),(AB22-(+AB22*T29)),IF(Q29="Impacto",($M$28-(+$M$28*T29)),IF(Q29="Probabilidad",AB22,""))),"")</f>
        <v/>
      </c>
      <c r="AC29" s="8" t="str">
        <f t="shared" si="5"/>
        <v/>
      </c>
      <c r="AD29" s="10"/>
      <c r="AE29" s="18"/>
      <c r="AF29" s="3"/>
      <c r="AG29" s="17"/>
      <c r="AH29" s="17"/>
      <c r="AI29" s="18"/>
      <c r="AJ29" s="3"/>
      <c r="AK29" s="130"/>
      <c r="AL29" s="130"/>
      <c r="AM29" s="130"/>
      <c r="AN29" s="130"/>
      <c r="AO29" s="130"/>
      <c r="AP29" s="130"/>
      <c r="AQ29" s="130"/>
      <c r="AR29" s="130"/>
      <c r="AS29" s="130"/>
      <c r="AT29" s="130"/>
      <c r="AU29" s="130"/>
      <c r="AV29" s="130"/>
      <c r="AW29" s="130"/>
      <c r="AX29" s="130"/>
      <c r="AY29" s="130"/>
      <c r="AZ29" s="130"/>
      <c r="BA29" s="130"/>
      <c r="BB29" s="130"/>
      <c r="BC29" s="130"/>
      <c r="BD29" s="130"/>
    </row>
    <row r="30" spans="1:56" ht="151.5" customHeight="1" x14ac:dyDescent="0.3">
      <c r="A30" s="1093"/>
      <c r="B30" s="1093"/>
      <c r="C30" s="1093"/>
      <c r="D30" s="1093"/>
      <c r="E30" s="1093"/>
      <c r="F30" s="1093"/>
      <c r="G30" s="1093"/>
      <c r="H30" s="1093"/>
      <c r="I30" s="1093"/>
      <c r="J30" s="1093"/>
      <c r="K30" s="1093"/>
      <c r="L30" s="1093"/>
      <c r="M30" s="1093"/>
      <c r="N30" s="1093"/>
      <c r="O30" s="3">
        <v>3</v>
      </c>
      <c r="P30" s="12"/>
      <c r="Q30" s="3" t="str">
        <f t="shared" si="0"/>
        <v/>
      </c>
      <c r="R30" s="9"/>
      <c r="S30" s="9"/>
      <c r="T30" s="4" t="str">
        <f t="shared" si="1"/>
        <v/>
      </c>
      <c r="U30" s="9"/>
      <c r="V30" s="9"/>
      <c r="W30" s="9"/>
      <c r="X30" s="5" t="str">
        <f>IFERROR(IF(AND(Q29="Probabilidad",Q30="Probabilidad"),(Z29-(+Z29*T30)),IF(AND(Q29="Impacto",Q30="Probabilidad"),(Z28-(+Z28*T30)),IF(Q30="Impacto",Z29,""))),"")</f>
        <v/>
      </c>
      <c r="Y30" s="6" t="str">
        <f t="shared" si="2"/>
        <v/>
      </c>
      <c r="Z30" s="7" t="str">
        <f t="shared" si="3"/>
        <v/>
      </c>
      <c r="AA30" s="6" t="str">
        <f t="shared" si="4"/>
        <v/>
      </c>
      <c r="AB30" s="7" t="str">
        <f>IFERROR(IF(AND(Q29="Impacto",Q30="Impacto"),(AB29-(+AB29*T30)),IF(AND(Q29="Probabilidad",Q30="Impacto"),(AB28-(+AB28*T30)),IF(Q30="Probabilidad",AB29,""))),"")</f>
        <v/>
      </c>
      <c r="AC30" s="8" t="str">
        <f t="shared" si="5"/>
        <v/>
      </c>
      <c r="AD30" s="10"/>
      <c r="AE30" s="18"/>
      <c r="AF30" s="3"/>
      <c r="AG30" s="17"/>
      <c r="AH30" s="17"/>
      <c r="AI30" s="18"/>
      <c r="AJ30" s="3"/>
      <c r="AK30" s="130"/>
      <c r="AL30" s="130"/>
      <c r="AM30" s="130"/>
      <c r="AN30" s="130"/>
      <c r="AO30" s="130"/>
      <c r="AP30" s="130"/>
      <c r="AQ30" s="130"/>
      <c r="AR30" s="130"/>
      <c r="AS30" s="130"/>
      <c r="AT30" s="130"/>
      <c r="AU30" s="130"/>
      <c r="AV30" s="130"/>
      <c r="AW30" s="130"/>
      <c r="AX30" s="130"/>
      <c r="AY30" s="130"/>
      <c r="AZ30" s="130"/>
      <c r="BA30" s="130"/>
      <c r="BB30" s="130"/>
      <c r="BC30" s="130"/>
      <c r="BD30" s="130"/>
    </row>
    <row r="31" spans="1:56" ht="151.5" customHeight="1" x14ac:dyDescent="0.3">
      <c r="A31" s="1093"/>
      <c r="B31" s="1093"/>
      <c r="C31" s="1093"/>
      <c r="D31" s="1093"/>
      <c r="E31" s="1093"/>
      <c r="F31" s="1093"/>
      <c r="G31" s="1093"/>
      <c r="H31" s="1093"/>
      <c r="I31" s="1093"/>
      <c r="J31" s="1093"/>
      <c r="K31" s="1093"/>
      <c r="L31" s="1093"/>
      <c r="M31" s="1093"/>
      <c r="N31" s="1093"/>
      <c r="O31" s="3">
        <v>4</v>
      </c>
      <c r="P31" s="11"/>
      <c r="Q31" s="3" t="str">
        <f t="shared" si="0"/>
        <v/>
      </c>
      <c r="R31" s="9"/>
      <c r="S31" s="9"/>
      <c r="T31" s="4" t="str">
        <f t="shared" si="1"/>
        <v/>
      </c>
      <c r="U31" s="9"/>
      <c r="V31" s="9"/>
      <c r="W31" s="9"/>
      <c r="X31" s="5" t="str">
        <f>IFERROR(IF(AND(Q30="Probabilidad",Q31="Probabilidad"),(Z30-(+Z30*T31)),IF(AND(Q30="Impacto",Q31="Probabilidad"),(Z29-(+Z29*T31)),IF(Q31="Impacto",Z30,""))),"")</f>
        <v/>
      </c>
      <c r="Y31" s="6" t="str">
        <f t="shared" si="2"/>
        <v/>
      </c>
      <c r="Z31" s="7" t="str">
        <f t="shared" si="3"/>
        <v/>
      </c>
      <c r="AA31" s="6" t="str">
        <f t="shared" si="4"/>
        <v/>
      </c>
      <c r="AB31" s="7" t="str">
        <f>IFERROR(IF(AND(Q30="Impacto",Q31="Impacto"),(AB30-(+AB30*T31)),IF(AND(Q30="Probabilidad",Q31="Impacto"),(AB29-(+AB29*T31)),IF(Q31="Probabilidad",AB30,""))),"")</f>
        <v/>
      </c>
      <c r="AC31" s="8" t="str">
        <f t="shared" si="5"/>
        <v/>
      </c>
      <c r="AD31" s="10"/>
      <c r="AE31" s="18"/>
      <c r="AF31" s="3"/>
      <c r="AG31" s="17"/>
      <c r="AH31" s="17"/>
      <c r="AI31" s="18"/>
      <c r="AJ31" s="3"/>
      <c r="AK31" s="130"/>
      <c r="AL31" s="130"/>
      <c r="AM31" s="130"/>
      <c r="AN31" s="130"/>
      <c r="AO31" s="130"/>
      <c r="AP31" s="130"/>
      <c r="AQ31" s="130"/>
      <c r="AR31" s="130"/>
      <c r="AS31" s="130"/>
      <c r="AT31" s="130"/>
      <c r="AU31" s="130"/>
      <c r="AV31" s="130"/>
      <c r="AW31" s="130"/>
      <c r="AX31" s="130"/>
      <c r="AY31" s="130"/>
      <c r="AZ31" s="130"/>
      <c r="BA31" s="130"/>
      <c r="BB31" s="130"/>
      <c r="BC31" s="130"/>
      <c r="BD31" s="130"/>
    </row>
    <row r="32" spans="1:56" ht="151.5" customHeight="1" x14ac:dyDescent="0.3">
      <c r="A32" s="1093"/>
      <c r="B32" s="1093"/>
      <c r="C32" s="1093"/>
      <c r="D32" s="1093"/>
      <c r="E32" s="1093"/>
      <c r="F32" s="1093"/>
      <c r="G32" s="1093"/>
      <c r="H32" s="1093"/>
      <c r="I32" s="1093"/>
      <c r="J32" s="1093"/>
      <c r="K32" s="1093"/>
      <c r="L32" s="1093"/>
      <c r="M32" s="1093"/>
      <c r="N32" s="1093"/>
      <c r="O32" s="3">
        <v>5</v>
      </c>
      <c r="P32" s="11"/>
      <c r="Q32" s="3" t="str">
        <f t="shared" si="0"/>
        <v/>
      </c>
      <c r="R32" s="9"/>
      <c r="S32" s="9"/>
      <c r="T32" s="4" t="str">
        <f t="shared" si="1"/>
        <v/>
      </c>
      <c r="U32" s="9"/>
      <c r="V32" s="9"/>
      <c r="W32" s="9"/>
      <c r="X32" s="13" t="str">
        <f>IFERROR(IF(AND(Q31="Probabilidad",Q32="Probabilidad"),(Z31-(+Z31*T32)),IF(AND(Q31="Impacto",Q32="Probabilidad"),(Z30-(+Z30*T32)),IF(Q32="Impacto",Z31,""))),"")</f>
        <v/>
      </c>
      <c r="Y32" s="6" t="str">
        <f t="shared" si="2"/>
        <v/>
      </c>
      <c r="Z32" s="7" t="str">
        <f t="shared" si="3"/>
        <v/>
      </c>
      <c r="AA32" s="6" t="str">
        <f t="shared" si="4"/>
        <v/>
      </c>
      <c r="AB32" s="7" t="str">
        <f>IFERROR(IF(AND(Q31="Impacto",Q32="Impacto"),(AB31-(+AB31*T32)),IF(AND(Q31="Probabilidad",Q32="Impacto"),(AB30-(+AB30*T32)),IF(Q32="Probabilidad",AB31,""))),"")</f>
        <v/>
      </c>
      <c r="AC32" s="8" t="str">
        <f t="shared" si="5"/>
        <v/>
      </c>
      <c r="AD32" s="10"/>
      <c r="AE32" s="18"/>
      <c r="AF32" s="3"/>
      <c r="AG32" s="17"/>
      <c r="AH32" s="17"/>
      <c r="AI32" s="18"/>
      <c r="AJ32" s="3"/>
      <c r="AK32" s="130"/>
      <c r="AL32" s="130"/>
      <c r="AM32" s="130"/>
      <c r="AN32" s="130"/>
      <c r="AO32" s="130"/>
      <c r="AP32" s="130"/>
      <c r="AQ32" s="130"/>
      <c r="AR32" s="130"/>
      <c r="AS32" s="130"/>
      <c r="AT32" s="130"/>
      <c r="AU32" s="130"/>
      <c r="AV32" s="130"/>
      <c r="AW32" s="130"/>
      <c r="AX32" s="130"/>
      <c r="AY32" s="130"/>
      <c r="AZ32" s="130"/>
      <c r="BA32" s="130"/>
      <c r="BB32" s="130"/>
      <c r="BC32" s="130"/>
      <c r="BD32" s="130"/>
    </row>
    <row r="33" spans="1:56" ht="151.5" customHeight="1" x14ac:dyDescent="0.3">
      <c r="A33" s="1083"/>
      <c r="B33" s="1083"/>
      <c r="C33" s="1083"/>
      <c r="D33" s="1083"/>
      <c r="E33" s="1083"/>
      <c r="F33" s="1083"/>
      <c r="G33" s="1083"/>
      <c r="H33" s="1083"/>
      <c r="I33" s="1083"/>
      <c r="J33" s="1083"/>
      <c r="K33" s="1083"/>
      <c r="L33" s="1083"/>
      <c r="M33" s="1083"/>
      <c r="N33" s="1083"/>
      <c r="O33" s="3">
        <v>6</v>
      </c>
      <c r="P33" s="11"/>
      <c r="Q33" s="3" t="str">
        <f t="shared" si="0"/>
        <v/>
      </c>
      <c r="R33" s="9"/>
      <c r="S33" s="9"/>
      <c r="T33" s="4" t="str">
        <f t="shared" si="1"/>
        <v/>
      </c>
      <c r="U33" s="9"/>
      <c r="V33" s="9"/>
      <c r="W33" s="9"/>
      <c r="X33" s="5" t="str">
        <f>IFERROR(IF(AND(Q32="Probabilidad",Q33="Probabilidad"),(Z32-(+Z32*T33)),IF(AND(Q32="Impacto",Q33="Probabilidad"),(Z31-(+Z31*T33)),IF(Q33="Impacto",Z32,""))),"")</f>
        <v/>
      </c>
      <c r="Y33" s="6" t="str">
        <f t="shared" si="2"/>
        <v/>
      </c>
      <c r="Z33" s="7" t="str">
        <f t="shared" si="3"/>
        <v/>
      </c>
      <c r="AA33" s="6" t="str">
        <f t="shared" si="4"/>
        <v/>
      </c>
      <c r="AB33" s="7" t="str">
        <f>IFERROR(IF(AND(Q32="Impacto",Q33="Impacto"),(AB32-(+AB32*T33)),IF(AND(Q32="Probabilidad",Q33="Impacto"),(AB31-(+AB31*T33)),IF(Q33="Probabilidad",AB32,""))),"")</f>
        <v/>
      </c>
      <c r="AC33" s="8" t="str">
        <f t="shared" si="5"/>
        <v/>
      </c>
      <c r="AD33" s="10"/>
      <c r="AE33" s="18"/>
      <c r="AF33" s="3"/>
      <c r="AG33" s="17"/>
      <c r="AH33" s="17"/>
      <c r="AI33" s="18"/>
      <c r="AJ33" s="3"/>
      <c r="AK33" s="130"/>
      <c r="AL33" s="130"/>
      <c r="AM33" s="130"/>
      <c r="AN33" s="130"/>
      <c r="AO33" s="130"/>
      <c r="AP33" s="130"/>
      <c r="AQ33" s="130"/>
      <c r="AR33" s="130"/>
      <c r="AS33" s="130"/>
      <c r="AT33" s="130"/>
      <c r="AU33" s="130"/>
      <c r="AV33" s="130"/>
      <c r="AW33" s="130"/>
      <c r="AX33" s="130"/>
      <c r="AY33" s="130"/>
      <c r="AZ33" s="130"/>
      <c r="BA33" s="130"/>
      <c r="BB33" s="130"/>
      <c r="BC33" s="130"/>
      <c r="BD33" s="130"/>
    </row>
    <row r="34" spans="1:56" ht="151.5" customHeight="1" x14ac:dyDescent="0.3">
      <c r="A34" s="1095">
        <v>5</v>
      </c>
      <c r="B34" s="1096"/>
      <c r="C34" s="1096"/>
      <c r="D34" s="1096"/>
      <c r="E34" s="1096"/>
      <c r="F34" s="1096"/>
      <c r="G34" s="1095"/>
      <c r="H34" s="1097" t="str">
        <f>IF(G34&lt;=0,"",IF(G34&lt;=2,"Muy Baja",IF(G34&lt;=24,"Baja",IF(G34&lt;=500,"Media",IF(G34&lt;=5000,"Alta","Muy Alta")))))</f>
        <v/>
      </c>
      <c r="I34" s="1094" t="str">
        <f>IF(H34="","",IF(H34="Muy Baja",0.2,IF(H34="Baja",0.4,IF(H34="Media",0.6,IF(H34="Alta",0.8,IF(H34="Muy Alta",1,))))))</f>
        <v/>
      </c>
      <c r="J34" s="1094"/>
      <c r="K34" s="1094" t="str">
        <f>IF(NOT(ISERROR(MATCH(J34,'Tabla Impacto'!$B$222:$B$224,0))),'Tabla Impacto'!$F$224&amp;"Por favor no seleccionar los criterios de impacto(Afectación Económica o presupuestal y Pérdida Reputacional)",J34)</f>
        <v>❌Por favor no seleccionar los criterios de impacto(Afectación Económica o presupuestal y Pérdida Reputacional)</v>
      </c>
      <c r="L34" s="1097" t="str">
        <f>IF(OR(K34='Tabla Impacto'!$C$12,K34='Tabla Impacto'!$D$12),"Leve",IF(OR(K34='Tabla Impacto'!$C$13,K34='Tabla Impacto'!$D$13),"Menor",IF(OR(K34='Tabla Impacto'!$C$14,K34='Tabla Impacto'!$D$14),"Moderado",IF(OR(K34='Tabla Impacto'!$C$15,K34='Tabla Impacto'!$D$15),"Mayor",IF(OR(K34='Tabla Impacto'!$C$16,K34='Tabla Impacto'!$D$16),"Catastrófico","")))))</f>
        <v/>
      </c>
      <c r="M34" s="1094" t="str">
        <f>IF(L34="","",IF(L34="Leve",0.2,IF(L34="Menor",0.4,IF(L34="Moderado",0.6,IF(L34="Mayor",0.8,IF(L34="Catastrófico",1,))))))</f>
        <v/>
      </c>
      <c r="N34" s="1092" t="str">
        <f>IF(OR(AND(H34="Muy Baja",L34="Leve"),AND(H34="Muy Baja",L34="Menor"),AND(H34="Baja",L34="Leve")),"Bajo",IF(OR(AND(H34="Muy baja",L34="Moderado"),AND(H34="Baja",L34="Menor"),AND(H34="Baja",L34="Moderado"),AND(H34="Media",L34="Leve"),AND(H34="Media",L34="Menor"),AND(H34="Media",L34="Moderado"),AND(H34="Alta",L34="Leve"),AND(H34="Alta",L34="Menor")),"Moderado",IF(OR(AND(H34="Muy Baja",L34="Mayor"),AND(H34="Baja",L34="Mayor"),AND(H34="Media",L34="Mayor"),AND(H34="Alta",L34="Moderado"),AND(H34="Alta",L34="Mayor"),AND(H34="Muy Alta",L34="Leve"),AND(H34="Muy Alta",L34="Menor"),AND(H34="Muy Alta",L34="Moderado"),AND(H34="Muy Alta",L34="Mayor")),"Alto",IF(OR(AND(H34="Muy Baja",L34="Catastrófico"),AND(H34="Baja",L34="Catastrófico"),AND(H34="Media",L34="Catastrófico"),AND(H34="Alta",L34="Catastrófico"),AND(H34="Muy Alta",L34="Catastrófico")),"Extremo",""))))</f>
        <v/>
      </c>
      <c r="O34" s="3">
        <v>1</v>
      </c>
      <c r="P34" s="11"/>
      <c r="Q34" s="3" t="str">
        <f t="shared" si="0"/>
        <v/>
      </c>
      <c r="R34" s="9"/>
      <c r="S34" s="9"/>
      <c r="T34" s="4" t="str">
        <f t="shared" si="1"/>
        <v/>
      </c>
      <c r="U34" s="9"/>
      <c r="V34" s="9"/>
      <c r="W34" s="9"/>
      <c r="X34" s="5" t="str">
        <f>IFERROR(IF(Q34="Probabilidad",(I34-(+I34*T34)),IF(Q34="Impacto",I34,"")),"")</f>
        <v/>
      </c>
      <c r="Y34" s="6" t="str">
        <f t="shared" si="2"/>
        <v/>
      </c>
      <c r="Z34" s="7" t="str">
        <f t="shared" si="3"/>
        <v/>
      </c>
      <c r="AA34" s="6" t="str">
        <f t="shared" si="4"/>
        <v/>
      </c>
      <c r="AB34" s="7" t="str">
        <f>IFERROR(IF(Q34="Impacto",(M34-(+M34*T34)),IF(Q34="Probabilidad",M34,"")),"")</f>
        <v/>
      </c>
      <c r="AC34" s="8" t="str">
        <f t="shared" si="5"/>
        <v/>
      </c>
      <c r="AD34" s="10"/>
      <c r="AE34" s="18"/>
      <c r="AF34" s="3"/>
      <c r="AG34" s="17"/>
      <c r="AH34" s="17"/>
      <c r="AI34" s="18"/>
      <c r="AJ34" s="3"/>
      <c r="AK34" s="130"/>
      <c r="AL34" s="130"/>
      <c r="AM34" s="130"/>
      <c r="AN34" s="130"/>
      <c r="AO34" s="130"/>
      <c r="AP34" s="130"/>
      <c r="AQ34" s="130"/>
      <c r="AR34" s="130"/>
      <c r="AS34" s="130"/>
      <c r="AT34" s="130"/>
      <c r="AU34" s="130"/>
      <c r="AV34" s="130"/>
      <c r="AW34" s="130"/>
      <c r="AX34" s="130"/>
      <c r="AY34" s="130"/>
      <c r="AZ34" s="130"/>
      <c r="BA34" s="130"/>
      <c r="BB34" s="130"/>
      <c r="BC34" s="130"/>
      <c r="BD34" s="130"/>
    </row>
    <row r="35" spans="1:56" ht="151.5" customHeight="1" x14ac:dyDescent="0.3">
      <c r="A35" s="1093"/>
      <c r="B35" s="1093"/>
      <c r="C35" s="1093"/>
      <c r="D35" s="1093"/>
      <c r="E35" s="1093"/>
      <c r="F35" s="1093"/>
      <c r="G35" s="1093"/>
      <c r="H35" s="1093"/>
      <c r="I35" s="1093"/>
      <c r="J35" s="1093"/>
      <c r="K35" s="1093"/>
      <c r="L35" s="1093"/>
      <c r="M35" s="1093"/>
      <c r="N35" s="1093"/>
      <c r="O35" s="3">
        <v>2</v>
      </c>
      <c r="P35" s="11"/>
      <c r="Q35" s="3" t="str">
        <f t="shared" si="0"/>
        <v/>
      </c>
      <c r="R35" s="9"/>
      <c r="S35" s="9"/>
      <c r="T35" s="4" t="str">
        <f t="shared" si="1"/>
        <v/>
      </c>
      <c r="U35" s="9"/>
      <c r="V35" s="9"/>
      <c r="W35" s="9"/>
      <c r="X35" s="5" t="str">
        <f>IFERROR(IF(AND(Q34="Probabilidad",Q35="Probabilidad"),(Z34-(+Z34*T35)),IF(Q35="Probabilidad",(I34-(+I34*T35)),IF(Q35="Impacto",Z34,""))),"")</f>
        <v/>
      </c>
      <c r="Y35" s="6" t="str">
        <f t="shared" si="2"/>
        <v/>
      </c>
      <c r="Z35" s="7" t="str">
        <f t="shared" si="3"/>
        <v/>
      </c>
      <c r="AA35" s="6" t="str">
        <f t="shared" si="4"/>
        <v/>
      </c>
      <c r="AB35" s="7" t="str">
        <f>IFERROR(IF(AND(Q34="Impacto",Q35="Impacto"),(AB28-(+AB28*T35)),IF(Q35="Impacto",($M$34-(+$M$34*T35)),IF(Q35="Probabilidad",AB28,""))),"")</f>
        <v/>
      </c>
      <c r="AC35" s="8" t="str">
        <f t="shared" si="5"/>
        <v/>
      </c>
      <c r="AD35" s="10"/>
      <c r="AE35" s="18"/>
      <c r="AF35" s="3"/>
      <c r="AG35" s="17"/>
      <c r="AH35" s="17"/>
      <c r="AI35" s="18"/>
      <c r="AJ35" s="3"/>
      <c r="AK35" s="130"/>
      <c r="AL35" s="130"/>
      <c r="AM35" s="130"/>
      <c r="AN35" s="130"/>
      <c r="AO35" s="130"/>
      <c r="AP35" s="130"/>
      <c r="AQ35" s="130"/>
      <c r="AR35" s="130"/>
      <c r="AS35" s="130"/>
      <c r="AT35" s="130"/>
      <c r="AU35" s="130"/>
      <c r="AV35" s="130"/>
      <c r="AW35" s="130"/>
      <c r="AX35" s="130"/>
      <c r="AY35" s="130"/>
      <c r="AZ35" s="130"/>
      <c r="BA35" s="130"/>
      <c r="BB35" s="130"/>
      <c r="BC35" s="130"/>
      <c r="BD35" s="130"/>
    </row>
    <row r="36" spans="1:56" ht="151.5" customHeight="1" x14ac:dyDescent="0.3">
      <c r="A36" s="1093"/>
      <c r="B36" s="1093"/>
      <c r="C36" s="1093"/>
      <c r="D36" s="1093"/>
      <c r="E36" s="1093"/>
      <c r="F36" s="1093"/>
      <c r="G36" s="1093"/>
      <c r="H36" s="1093"/>
      <c r="I36" s="1093"/>
      <c r="J36" s="1093"/>
      <c r="K36" s="1093"/>
      <c r="L36" s="1093"/>
      <c r="M36" s="1093"/>
      <c r="N36" s="1093"/>
      <c r="O36" s="3">
        <v>3</v>
      </c>
      <c r="P36" s="12"/>
      <c r="Q36" s="3" t="str">
        <f t="shared" si="0"/>
        <v/>
      </c>
      <c r="R36" s="9"/>
      <c r="S36" s="9"/>
      <c r="T36" s="4" t="str">
        <f t="shared" si="1"/>
        <v/>
      </c>
      <c r="U36" s="9"/>
      <c r="V36" s="9"/>
      <c r="W36" s="9"/>
      <c r="X36" s="5" t="str">
        <f>IFERROR(IF(AND(Q35="Probabilidad",Q36="Probabilidad"),(Z35-(+Z35*T36)),IF(AND(Q35="Impacto",Q36="Probabilidad"),(Z34-(+Z34*T36)),IF(Q36="Impacto",Z35,""))),"")</f>
        <v/>
      </c>
      <c r="Y36" s="6" t="str">
        <f t="shared" si="2"/>
        <v/>
      </c>
      <c r="Z36" s="7" t="str">
        <f t="shared" si="3"/>
        <v/>
      </c>
      <c r="AA36" s="6" t="str">
        <f t="shared" si="4"/>
        <v/>
      </c>
      <c r="AB36" s="7" t="str">
        <f>IFERROR(IF(AND(Q35="Impacto",Q36="Impacto"),(AB35-(+AB35*T36)),IF(AND(Q35="Probabilidad",Q36="Impacto"),(AB34-(+AB34*T36)),IF(Q36="Probabilidad",AB35,""))),"")</f>
        <v/>
      </c>
      <c r="AC36" s="8" t="str">
        <f t="shared" si="5"/>
        <v/>
      </c>
      <c r="AD36" s="10"/>
      <c r="AE36" s="18"/>
      <c r="AF36" s="3"/>
      <c r="AG36" s="17"/>
      <c r="AH36" s="17"/>
      <c r="AI36" s="18"/>
      <c r="AJ36" s="3"/>
      <c r="AK36" s="130"/>
      <c r="AL36" s="130"/>
      <c r="AM36" s="130"/>
      <c r="AN36" s="130"/>
      <c r="AO36" s="130"/>
      <c r="AP36" s="130"/>
      <c r="AQ36" s="130"/>
      <c r="AR36" s="130"/>
      <c r="AS36" s="130"/>
      <c r="AT36" s="130"/>
      <c r="AU36" s="130"/>
      <c r="AV36" s="130"/>
      <c r="AW36" s="130"/>
      <c r="AX36" s="130"/>
      <c r="AY36" s="130"/>
      <c r="AZ36" s="130"/>
      <c r="BA36" s="130"/>
      <c r="BB36" s="130"/>
      <c r="BC36" s="130"/>
      <c r="BD36" s="130"/>
    </row>
    <row r="37" spans="1:56" ht="151.5" customHeight="1" x14ac:dyDescent="0.3">
      <c r="A37" s="1093"/>
      <c r="B37" s="1093"/>
      <c r="C37" s="1093"/>
      <c r="D37" s="1093"/>
      <c r="E37" s="1093"/>
      <c r="F37" s="1093"/>
      <c r="G37" s="1093"/>
      <c r="H37" s="1093"/>
      <c r="I37" s="1093"/>
      <c r="J37" s="1093"/>
      <c r="K37" s="1093"/>
      <c r="L37" s="1093"/>
      <c r="M37" s="1093"/>
      <c r="N37" s="1093"/>
      <c r="O37" s="3">
        <v>4</v>
      </c>
      <c r="P37" s="11"/>
      <c r="Q37" s="3" t="str">
        <f t="shared" si="0"/>
        <v/>
      </c>
      <c r="R37" s="9"/>
      <c r="S37" s="9"/>
      <c r="T37" s="4" t="str">
        <f t="shared" si="1"/>
        <v/>
      </c>
      <c r="U37" s="9"/>
      <c r="V37" s="9"/>
      <c r="W37" s="9"/>
      <c r="X37" s="5" t="str">
        <f>IFERROR(IF(AND(Q36="Probabilidad",Q37="Probabilidad"),(Z36-(+Z36*T37)),IF(AND(Q36="Impacto",Q37="Probabilidad"),(Z35-(+Z35*T37)),IF(Q37="Impacto",Z36,""))),"")</f>
        <v/>
      </c>
      <c r="Y37" s="6" t="str">
        <f t="shared" si="2"/>
        <v/>
      </c>
      <c r="Z37" s="7" t="str">
        <f t="shared" si="3"/>
        <v/>
      </c>
      <c r="AA37" s="6" t="str">
        <f t="shared" si="4"/>
        <v/>
      </c>
      <c r="AB37" s="7" t="str">
        <f>IFERROR(IF(AND(Q36="Impacto",Q37="Impacto"),(AB36-(+AB36*T37)),IF(AND(Q36="Probabilidad",Q37="Impacto"),(AB35-(+AB35*T37)),IF(Q37="Probabilidad",AB36,""))),"")</f>
        <v/>
      </c>
      <c r="AC37" s="8" t="str">
        <f t="shared" si="5"/>
        <v/>
      </c>
      <c r="AD37" s="10"/>
      <c r="AE37" s="18"/>
      <c r="AF37" s="3"/>
      <c r="AG37" s="17"/>
      <c r="AH37" s="17"/>
      <c r="AI37" s="18"/>
      <c r="AJ37" s="3"/>
      <c r="AK37" s="130"/>
      <c r="AL37" s="130"/>
      <c r="AM37" s="130"/>
      <c r="AN37" s="130"/>
      <c r="AO37" s="130"/>
      <c r="AP37" s="130"/>
      <c r="AQ37" s="130"/>
      <c r="AR37" s="130"/>
      <c r="AS37" s="130"/>
      <c r="AT37" s="130"/>
      <c r="AU37" s="130"/>
      <c r="AV37" s="130"/>
      <c r="AW37" s="130"/>
      <c r="AX37" s="130"/>
      <c r="AY37" s="130"/>
      <c r="AZ37" s="130"/>
      <c r="BA37" s="130"/>
      <c r="BB37" s="130"/>
      <c r="BC37" s="130"/>
      <c r="BD37" s="130"/>
    </row>
    <row r="38" spans="1:56" ht="151.5" customHeight="1" x14ac:dyDescent="0.3">
      <c r="A38" s="1093"/>
      <c r="B38" s="1093"/>
      <c r="C38" s="1093"/>
      <c r="D38" s="1093"/>
      <c r="E38" s="1093"/>
      <c r="F38" s="1093"/>
      <c r="G38" s="1093"/>
      <c r="H38" s="1093"/>
      <c r="I38" s="1093"/>
      <c r="J38" s="1093"/>
      <c r="K38" s="1093"/>
      <c r="L38" s="1093"/>
      <c r="M38" s="1093"/>
      <c r="N38" s="1093"/>
      <c r="O38" s="3">
        <v>5</v>
      </c>
      <c r="P38" s="11"/>
      <c r="Q38" s="3" t="str">
        <f t="shared" si="0"/>
        <v/>
      </c>
      <c r="R38" s="9"/>
      <c r="S38" s="9"/>
      <c r="T38" s="4" t="str">
        <f t="shared" si="1"/>
        <v/>
      </c>
      <c r="U38" s="9"/>
      <c r="V38" s="9"/>
      <c r="W38" s="9"/>
      <c r="X38" s="5" t="str">
        <f>IFERROR(IF(AND(Q37="Probabilidad",Q38="Probabilidad"),(Z37-(+Z37*T38)),IF(AND(Q37="Impacto",Q38="Probabilidad"),(Z36-(+Z36*T38)),IF(Q38="Impacto",Z37,""))),"")</f>
        <v/>
      </c>
      <c r="Y38" s="6" t="str">
        <f t="shared" si="2"/>
        <v/>
      </c>
      <c r="Z38" s="7" t="str">
        <f t="shared" si="3"/>
        <v/>
      </c>
      <c r="AA38" s="6" t="str">
        <f t="shared" si="4"/>
        <v/>
      </c>
      <c r="AB38" s="7" t="str">
        <f>IFERROR(IF(AND(Q37="Impacto",Q38="Impacto"),(AB37-(+AB37*T38)),IF(AND(Q37="Probabilidad",Q38="Impacto"),(AB36-(+AB36*T38)),IF(Q38="Probabilidad",AB37,""))),"")</f>
        <v/>
      </c>
      <c r="AC38" s="8" t="str">
        <f t="shared" si="5"/>
        <v/>
      </c>
      <c r="AD38" s="10"/>
      <c r="AE38" s="18"/>
      <c r="AF38" s="3"/>
      <c r="AG38" s="17"/>
      <c r="AH38" s="17"/>
      <c r="AI38" s="18"/>
      <c r="AJ38" s="3"/>
      <c r="AK38" s="130"/>
      <c r="AL38" s="130"/>
      <c r="AM38" s="130"/>
      <c r="AN38" s="130"/>
      <c r="AO38" s="130"/>
      <c r="AP38" s="130"/>
      <c r="AQ38" s="130"/>
      <c r="AR38" s="130"/>
      <c r="AS38" s="130"/>
      <c r="AT38" s="130"/>
      <c r="AU38" s="130"/>
      <c r="AV38" s="130"/>
      <c r="AW38" s="130"/>
      <c r="AX38" s="130"/>
      <c r="AY38" s="130"/>
      <c r="AZ38" s="130"/>
      <c r="BA38" s="130"/>
      <c r="BB38" s="130"/>
      <c r="BC38" s="130"/>
      <c r="BD38" s="130"/>
    </row>
    <row r="39" spans="1:56" ht="151.5" customHeight="1" x14ac:dyDescent="0.3">
      <c r="A39" s="1083"/>
      <c r="B39" s="1083"/>
      <c r="C39" s="1083"/>
      <c r="D39" s="1083"/>
      <c r="E39" s="1083"/>
      <c r="F39" s="1083"/>
      <c r="G39" s="1083"/>
      <c r="H39" s="1083"/>
      <c r="I39" s="1083"/>
      <c r="J39" s="1083"/>
      <c r="K39" s="1083"/>
      <c r="L39" s="1083"/>
      <c r="M39" s="1083"/>
      <c r="N39" s="1083"/>
      <c r="O39" s="3">
        <v>6</v>
      </c>
      <c r="P39" s="11"/>
      <c r="Q39" s="3" t="str">
        <f t="shared" si="0"/>
        <v/>
      </c>
      <c r="R39" s="9"/>
      <c r="S39" s="9"/>
      <c r="T39" s="4" t="str">
        <f t="shared" si="1"/>
        <v/>
      </c>
      <c r="U39" s="9"/>
      <c r="V39" s="9"/>
      <c r="W39" s="9"/>
      <c r="X39" s="5" t="str">
        <f>IFERROR(IF(AND(Q38="Probabilidad",Q39="Probabilidad"),(Z38-(+Z38*T39)),IF(AND(Q38="Impacto",Q39="Probabilidad"),(Z37-(+Z37*T39)),IF(Q39="Impacto",Z38,""))),"")</f>
        <v/>
      </c>
      <c r="Y39" s="6" t="str">
        <f t="shared" si="2"/>
        <v/>
      </c>
      <c r="Z39" s="7" t="str">
        <f t="shared" si="3"/>
        <v/>
      </c>
      <c r="AA39" s="6" t="str">
        <f t="shared" si="4"/>
        <v/>
      </c>
      <c r="AB39" s="7" t="str">
        <f>IFERROR(IF(AND(Q38="Impacto",Q39="Impacto"),(AB38-(+AB38*T39)),IF(AND(Q38="Probabilidad",Q39="Impacto"),(AB37-(+AB37*T39)),IF(Q39="Probabilidad",AB38,""))),"")</f>
        <v/>
      </c>
      <c r="AC39" s="8" t="str">
        <f t="shared" si="5"/>
        <v/>
      </c>
      <c r="AD39" s="10"/>
      <c r="AE39" s="18"/>
      <c r="AF39" s="3"/>
      <c r="AG39" s="17"/>
      <c r="AH39" s="17"/>
      <c r="AI39" s="18"/>
      <c r="AJ39" s="3"/>
      <c r="AK39" s="130"/>
      <c r="AL39" s="130"/>
      <c r="AM39" s="130"/>
      <c r="AN39" s="130"/>
      <c r="AO39" s="130"/>
      <c r="AP39" s="130"/>
      <c r="AQ39" s="130"/>
      <c r="AR39" s="130"/>
      <c r="AS39" s="130"/>
      <c r="AT39" s="130"/>
      <c r="AU39" s="130"/>
      <c r="AV39" s="130"/>
      <c r="AW39" s="130"/>
      <c r="AX39" s="130"/>
      <c r="AY39" s="130"/>
      <c r="AZ39" s="130"/>
      <c r="BA39" s="130"/>
      <c r="BB39" s="130"/>
      <c r="BC39" s="130"/>
      <c r="BD39" s="130"/>
    </row>
    <row r="40" spans="1:56" ht="151.5" customHeight="1" x14ac:dyDescent="0.3">
      <c r="A40" s="1095">
        <v>6</v>
      </c>
      <c r="B40" s="1096"/>
      <c r="C40" s="1096"/>
      <c r="D40" s="1096"/>
      <c r="E40" s="1096"/>
      <c r="F40" s="1096"/>
      <c r="G40" s="1095"/>
      <c r="H40" s="1097" t="str">
        <f>IF(G40&lt;=0,"",IF(G40&lt;=2,"Muy Baja",IF(G40&lt;=24,"Baja",IF(G40&lt;=500,"Media",IF(G40&lt;=5000,"Alta","Muy Alta")))))</f>
        <v/>
      </c>
      <c r="I40" s="1094" t="str">
        <f>IF(H40="","",IF(H40="Muy Baja",0.2,IF(H40="Baja",0.4,IF(H40="Media",0.6,IF(H40="Alta",0.8,IF(H40="Muy Alta",1,))))))</f>
        <v/>
      </c>
      <c r="J40" s="1094"/>
      <c r="K40" s="1094" t="str">
        <f>IF(NOT(ISERROR(MATCH(J40,'Tabla Impacto'!$B$222:$B$224,0))),'Tabla Impacto'!$F$224&amp;"Por favor no seleccionar los criterios de impacto(Afectación Económica o presupuestal y Pérdida Reputacional)",J40)</f>
        <v>❌Por favor no seleccionar los criterios de impacto(Afectación Económica o presupuestal y Pérdida Reputacional)</v>
      </c>
      <c r="L40" s="1097" t="str">
        <f>IF(OR(K40='Tabla Impacto'!$C$12,K40='Tabla Impacto'!$D$12),"Leve",IF(OR(K40='Tabla Impacto'!$C$13,K40='Tabla Impacto'!$D$13),"Menor",IF(OR(K40='Tabla Impacto'!$C$14,K40='Tabla Impacto'!$D$14),"Moderado",IF(OR(K40='Tabla Impacto'!$C$15,K40='Tabla Impacto'!$D$15),"Mayor",IF(OR(K40='Tabla Impacto'!$C$16,K40='Tabla Impacto'!$D$16),"Catastrófico","")))))</f>
        <v/>
      </c>
      <c r="M40" s="1094" t="str">
        <f>IF(L40="","",IF(L40="Leve",0.2,IF(L40="Menor",0.4,IF(L40="Moderado",0.6,IF(L40="Mayor",0.8,IF(L40="Catastrófico",1,))))))</f>
        <v/>
      </c>
      <c r="N40" s="1092" t="str">
        <f>IF(OR(AND(H40="Muy Baja",L40="Leve"),AND(H40="Muy Baja",L40="Menor"),AND(H40="Baja",L40="Leve")),"Bajo",IF(OR(AND(H40="Muy baja",L40="Moderado"),AND(H40="Baja",L40="Menor"),AND(H40="Baja",L40="Moderado"),AND(H40="Media",L40="Leve"),AND(H40="Media",L40="Menor"),AND(H40="Media",L40="Moderado"),AND(H40="Alta",L40="Leve"),AND(H40="Alta",L40="Menor")),"Moderado",IF(OR(AND(H40="Muy Baja",L40="Mayor"),AND(H40="Baja",L40="Mayor"),AND(H40="Media",L40="Mayor"),AND(H40="Alta",L40="Moderado"),AND(H40="Alta",L40="Mayor"),AND(H40="Muy Alta",L40="Leve"),AND(H40="Muy Alta",L40="Menor"),AND(H40="Muy Alta",L40="Moderado"),AND(H40="Muy Alta",L40="Mayor")),"Alto",IF(OR(AND(H40="Muy Baja",L40="Catastrófico"),AND(H40="Baja",L40="Catastrófico"),AND(H40="Media",L40="Catastrófico"),AND(H40="Alta",L40="Catastrófico"),AND(H40="Muy Alta",L40="Catastrófico")),"Extremo",""))))</f>
        <v/>
      </c>
      <c r="O40" s="3">
        <v>1</v>
      </c>
      <c r="P40" s="11"/>
      <c r="Q40" s="3" t="str">
        <f t="shared" si="0"/>
        <v/>
      </c>
      <c r="R40" s="9"/>
      <c r="S40" s="9"/>
      <c r="T40" s="4" t="str">
        <f t="shared" si="1"/>
        <v/>
      </c>
      <c r="U40" s="9"/>
      <c r="V40" s="9"/>
      <c r="W40" s="9"/>
      <c r="X40" s="5" t="str">
        <f>IFERROR(IF(Q40="Probabilidad",(I40-(+I40*T40)),IF(Q40="Impacto",I40,"")),"")</f>
        <v/>
      </c>
      <c r="Y40" s="6" t="str">
        <f t="shared" si="2"/>
        <v/>
      </c>
      <c r="Z40" s="7" t="str">
        <f t="shared" si="3"/>
        <v/>
      </c>
      <c r="AA40" s="6" t="str">
        <f t="shared" si="4"/>
        <v/>
      </c>
      <c r="AB40" s="7" t="str">
        <f>IFERROR(IF(Q40="Impacto",(M40-(+M40*T40)),IF(Q40="Probabilidad",M40,"")),"")</f>
        <v/>
      </c>
      <c r="AC40" s="8" t="str">
        <f t="shared" si="5"/>
        <v/>
      </c>
      <c r="AD40" s="10"/>
      <c r="AE40" s="18"/>
      <c r="AF40" s="3"/>
      <c r="AG40" s="17"/>
      <c r="AH40" s="17"/>
      <c r="AI40" s="18"/>
      <c r="AJ40" s="3"/>
      <c r="AK40" s="130"/>
      <c r="AL40" s="130"/>
      <c r="AM40" s="130"/>
      <c r="AN40" s="130"/>
      <c r="AO40" s="130"/>
      <c r="AP40" s="130"/>
      <c r="AQ40" s="130"/>
      <c r="AR40" s="130"/>
      <c r="AS40" s="130"/>
      <c r="AT40" s="130"/>
      <c r="AU40" s="130"/>
      <c r="AV40" s="130"/>
      <c r="AW40" s="130"/>
      <c r="AX40" s="130"/>
      <c r="AY40" s="130"/>
      <c r="AZ40" s="130"/>
      <c r="BA40" s="130"/>
      <c r="BB40" s="130"/>
      <c r="BC40" s="130"/>
      <c r="BD40" s="130"/>
    </row>
    <row r="41" spans="1:56" ht="151.5" customHeight="1" x14ac:dyDescent="0.3">
      <c r="A41" s="1093"/>
      <c r="B41" s="1093"/>
      <c r="C41" s="1093"/>
      <c r="D41" s="1093"/>
      <c r="E41" s="1093"/>
      <c r="F41" s="1093"/>
      <c r="G41" s="1093"/>
      <c r="H41" s="1093"/>
      <c r="I41" s="1093"/>
      <c r="J41" s="1093"/>
      <c r="K41" s="1093"/>
      <c r="L41" s="1093"/>
      <c r="M41" s="1093"/>
      <c r="N41" s="1093"/>
      <c r="O41" s="3">
        <v>2</v>
      </c>
      <c r="P41" s="11"/>
      <c r="Q41" s="3" t="str">
        <f t="shared" si="0"/>
        <v/>
      </c>
      <c r="R41" s="9"/>
      <c r="S41" s="9"/>
      <c r="T41" s="4" t="str">
        <f t="shared" si="1"/>
        <v/>
      </c>
      <c r="U41" s="9"/>
      <c r="V41" s="9"/>
      <c r="W41" s="9"/>
      <c r="X41" s="5" t="str">
        <f>IFERROR(IF(AND(Q40="Probabilidad",Q41="Probabilidad"),(Z40-(+Z40*T41)),IF(Q41="Probabilidad",(I40-(+I40*T41)),IF(Q41="Impacto",Z40,""))),"")</f>
        <v/>
      </c>
      <c r="Y41" s="6" t="str">
        <f t="shared" si="2"/>
        <v/>
      </c>
      <c r="Z41" s="7" t="str">
        <f t="shared" si="3"/>
        <v/>
      </c>
      <c r="AA41" s="6" t="str">
        <f t="shared" si="4"/>
        <v/>
      </c>
      <c r="AB41" s="7" t="str">
        <f>IFERROR(IF(AND(Q40="Impacto",Q41="Impacto"),(AB34-(+AB34*T41)),IF(Q41="Impacto",($M$40-(+$M$40*T41)),IF(Q41="Probabilidad",AB34,""))),"")</f>
        <v/>
      </c>
      <c r="AC41" s="8" t="str">
        <f t="shared" si="5"/>
        <v/>
      </c>
      <c r="AD41" s="10"/>
      <c r="AE41" s="18"/>
      <c r="AF41" s="3"/>
      <c r="AG41" s="17"/>
      <c r="AH41" s="17"/>
      <c r="AI41" s="18"/>
      <c r="AJ41" s="3"/>
      <c r="AK41" s="130"/>
      <c r="AL41" s="130"/>
      <c r="AM41" s="130"/>
      <c r="AN41" s="130"/>
      <c r="AO41" s="130"/>
      <c r="AP41" s="130"/>
      <c r="AQ41" s="130"/>
      <c r="AR41" s="130"/>
      <c r="AS41" s="130"/>
      <c r="AT41" s="130"/>
      <c r="AU41" s="130"/>
      <c r="AV41" s="130"/>
      <c r="AW41" s="130"/>
      <c r="AX41" s="130"/>
      <c r="AY41" s="130"/>
      <c r="AZ41" s="130"/>
      <c r="BA41" s="130"/>
      <c r="BB41" s="130"/>
      <c r="BC41" s="130"/>
      <c r="BD41" s="130"/>
    </row>
    <row r="42" spans="1:56" ht="151.5" customHeight="1" x14ac:dyDescent="0.3">
      <c r="A42" s="1093"/>
      <c r="B42" s="1093"/>
      <c r="C42" s="1093"/>
      <c r="D42" s="1093"/>
      <c r="E42" s="1093"/>
      <c r="F42" s="1093"/>
      <c r="G42" s="1093"/>
      <c r="H42" s="1093"/>
      <c r="I42" s="1093"/>
      <c r="J42" s="1093"/>
      <c r="K42" s="1093"/>
      <c r="L42" s="1093"/>
      <c r="M42" s="1093"/>
      <c r="N42" s="1093"/>
      <c r="O42" s="3">
        <v>3</v>
      </c>
      <c r="P42" s="12"/>
      <c r="Q42" s="3" t="str">
        <f t="shared" si="0"/>
        <v/>
      </c>
      <c r="R42" s="9"/>
      <c r="S42" s="9"/>
      <c r="T42" s="4" t="str">
        <f t="shared" si="1"/>
        <v/>
      </c>
      <c r="U42" s="9"/>
      <c r="V42" s="9"/>
      <c r="W42" s="9"/>
      <c r="X42" s="5" t="str">
        <f>IFERROR(IF(AND(Q41="Probabilidad",Q42="Probabilidad"),(Z41-(+Z41*T42)),IF(AND(Q41="Impacto",Q42="Probabilidad"),(Z40-(+Z40*T42)),IF(Q42="Impacto",Z41,""))),"")</f>
        <v/>
      </c>
      <c r="Y42" s="6" t="str">
        <f t="shared" si="2"/>
        <v/>
      </c>
      <c r="Z42" s="7" t="str">
        <f t="shared" si="3"/>
        <v/>
      </c>
      <c r="AA42" s="6" t="str">
        <f t="shared" si="4"/>
        <v/>
      </c>
      <c r="AB42" s="7" t="str">
        <f>IFERROR(IF(AND(Q41="Impacto",Q42="Impacto"),(AB41-(+AB41*T42)),IF(AND(Q41="Probabilidad",Q42="Impacto"),(AB40-(+AB40*T42)),IF(Q42="Probabilidad",AB41,""))),"")</f>
        <v/>
      </c>
      <c r="AC42" s="8" t="str">
        <f t="shared" si="5"/>
        <v/>
      </c>
      <c r="AD42" s="10"/>
      <c r="AE42" s="18"/>
      <c r="AF42" s="3"/>
      <c r="AG42" s="17"/>
      <c r="AH42" s="17"/>
      <c r="AI42" s="18"/>
      <c r="AJ42" s="3"/>
      <c r="AK42" s="130"/>
      <c r="AL42" s="130"/>
      <c r="AM42" s="130"/>
      <c r="AN42" s="130"/>
      <c r="AO42" s="130"/>
      <c r="AP42" s="130"/>
      <c r="AQ42" s="130"/>
      <c r="AR42" s="130"/>
      <c r="AS42" s="130"/>
      <c r="AT42" s="130"/>
      <c r="AU42" s="130"/>
      <c r="AV42" s="130"/>
      <c r="AW42" s="130"/>
      <c r="AX42" s="130"/>
      <c r="AY42" s="130"/>
      <c r="AZ42" s="130"/>
      <c r="BA42" s="130"/>
      <c r="BB42" s="130"/>
      <c r="BC42" s="130"/>
      <c r="BD42" s="130"/>
    </row>
    <row r="43" spans="1:56" ht="151.5" customHeight="1" x14ac:dyDescent="0.3">
      <c r="A43" s="1093"/>
      <c r="B43" s="1093"/>
      <c r="C43" s="1093"/>
      <c r="D43" s="1093"/>
      <c r="E43" s="1093"/>
      <c r="F43" s="1093"/>
      <c r="G43" s="1093"/>
      <c r="H43" s="1093"/>
      <c r="I43" s="1093"/>
      <c r="J43" s="1093"/>
      <c r="K43" s="1093"/>
      <c r="L43" s="1093"/>
      <c r="M43" s="1093"/>
      <c r="N43" s="1093"/>
      <c r="O43" s="3">
        <v>4</v>
      </c>
      <c r="P43" s="11"/>
      <c r="Q43" s="3" t="str">
        <f t="shared" si="0"/>
        <v/>
      </c>
      <c r="R43" s="9"/>
      <c r="S43" s="9"/>
      <c r="T43" s="4" t="str">
        <f t="shared" si="1"/>
        <v/>
      </c>
      <c r="U43" s="9"/>
      <c r="V43" s="9"/>
      <c r="W43" s="9"/>
      <c r="X43" s="5" t="str">
        <f>IFERROR(IF(AND(Q42="Probabilidad",Q43="Probabilidad"),(Z42-(+Z42*T43)),IF(AND(Q42="Impacto",Q43="Probabilidad"),(Z41-(+Z41*T43)),IF(Q43="Impacto",Z42,""))),"")</f>
        <v/>
      </c>
      <c r="Y43" s="6" t="str">
        <f t="shared" si="2"/>
        <v/>
      </c>
      <c r="Z43" s="7" t="str">
        <f t="shared" si="3"/>
        <v/>
      </c>
      <c r="AA43" s="6" t="str">
        <f t="shared" si="4"/>
        <v/>
      </c>
      <c r="AB43" s="7" t="str">
        <f>IFERROR(IF(AND(Q42="Impacto",Q43="Impacto"),(AB42-(+AB42*T43)),IF(AND(Q42="Probabilidad",Q43="Impacto"),(AB41-(+AB41*T43)),IF(Q43="Probabilidad",AB42,""))),"")</f>
        <v/>
      </c>
      <c r="AC43" s="8" t="str">
        <f t="shared" si="5"/>
        <v/>
      </c>
      <c r="AD43" s="10"/>
      <c r="AE43" s="18"/>
      <c r="AF43" s="3"/>
      <c r="AG43" s="17"/>
      <c r="AH43" s="17"/>
      <c r="AI43" s="18"/>
      <c r="AJ43" s="3"/>
      <c r="AK43" s="130"/>
      <c r="AL43" s="130"/>
      <c r="AM43" s="130"/>
      <c r="AN43" s="130"/>
      <c r="AO43" s="130"/>
      <c r="AP43" s="130"/>
      <c r="AQ43" s="130"/>
      <c r="AR43" s="130"/>
      <c r="AS43" s="130"/>
      <c r="AT43" s="130"/>
      <c r="AU43" s="130"/>
      <c r="AV43" s="130"/>
      <c r="AW43" s="130"/>
      <c r="AX43" s="130"/>
      <c r="AY43" s="130"/>
      <c r="AZ43" s="130"/>
      <c r="BA43" s="130"/>
      <c r="BB43" s="130"/>
      <c r="BC43" s="130"/>
      <c r="BD43" s="130"/>
    </row>
    <row r="44" spans="1:56" ht="151.5" customHeight="1" x14ac:dyDescent="0.3">
      <c r="A44" s="1093"/>
      <c r="B44" s="1093"/>
      <c r="C44" s="1093"/>
      <c r="D44" s="1093"/>
      <c r="E44" s="1093"/>
      <c r="F44" s="1093"/>
      <c r="G44" s="1093"/>
      <c r="H44" s="1093"/>
      <c r="I44" s="1093"/>
      <c r="J44" s="1093"/>
      <c r="K44" s="1093"/>
      <c r="L44" s="1093"/>
      <c r="M44" s="1093"/>
      <c r="N44" s="1093"/>
      <c r="O44" s="3">
        <v>5</v>
      </c>
      <c r="P44" s="11"/>
      <c r="Q44" s="3" t="str">
        <f t="shared" si="0"/>
        <v/>
      </c>
      <c r="R44" s="9"/>
      <c r="S44" s="9"/>
      <c r="T44" s="4" t="str">
        <f t="shared" si="1"/>
        <v/>
      </c>
      <c r="U44" s="9"/>
      <c r="V44" s="9"/>
      <c r="W44" s="9"/>
      <c r="X44" s="5" t="str">
        <f>IFERROR(IF(AND(Q43="Probabilidad",Q44="Probabilidad"),(Z43-(+Z43*T44)),IF(AND(Q43="Impacto",Q44="Probabilidad"),(Z42-(+Z42*T44)),IF(Q44="Impacto",Z43,""))),"")</f>
        <v/>
      </c>
      <c r="Y44" s="6" t="str">
        <f t="shared" si="2"/>
        <v/>
      </c>
      <c r="Z44" s="7" t="str">
        <f t="shared" si="3"/>
        <v/>
      </c>
      <c r="AA44" s="6" t="str">
        <f t="shared" si="4"/>
        <v/>
      </c>
      <c r="AB44" s="7" t="str">
        <f>IFERROR(IF(AND(Q43="Impacto",Q44="Impacto"),(AB43-(+AB43*T44)),IF(AND(Q43="Probabilidad",Q44="Impacto"),(AB42-(+AB42*T44)),IF(Q44="Probabilidad",AB43,""))),"")</f>
        <v/>
      </c>
      <c r="AC44" s="8" t="str">
        <f t="shared" si="5"/>
        <v/>
      </c>
      <c r="AD44" s="10"/>
      <c r="AE44" s="18"/>
      <c r="AF44" s="3"/>
      <c r="AG44" s="17"/>
      <c r="AH44" s="17"/>
      <c r="AI44" s="18"/>
      <c r="AJ44" s="3"/>
      <c r="AK44" s="130"/>
      <c r="AL44" s="130"/>
      <c r="AM44" s="130"/>
      <c r="AN44" s="130"/>
      <c r="AO44" s="130"/>
      <c r="AP44" s="130"/>
      <c r="AQ44" s="130"/>
      <c r="AR44" s="130"/>
      <c r="AS44" s="130"/>
      <c r="AT44" s="130"/>
      <c r="AU44" s="130"/>
      <c r="AV44" s="130"/>
      <c r="AW44" s="130"/>
      <c r="AX44" s="130"/>
      <c r="AY44" s="130"/>
      <c r="AZ44" s="130"/>
      <c r="BA44" s="130"/>
      <c r="BB44" s="130"/>
      <c r="BC44" s="130"/>
      <c r="BD44" s="130"/>
    </row>
    <row r="45" spans="1:56" ht="151.5" customHeight="1" x14ac:dyDescent="0.3">
      <c r="A45" s="1083"/>
      <c r="B45" s="1083"/>
      <c r="C45" s="1083"/>
      <c r="D45" s="1083"/>
      <c r="E45" s="1083"/>
      <c r="F45" s="1083"/>
      <c r="G45" s="1083"/>
      <c r="H45" s="1083"/>
      <c r="I45" s="1083"/>
      <c r="J45" s="1083"/>
      <c r="K45" s="1083"/>
      <c r="L45" s="1083"/>
      <c r="M45" s="1083"/>
      <c r="N45" s="1083"/>
      <c r="O45" s="3">
        <v>6</v>
      </c>
      <c r="P45" s="11"/>
      <c r="Q45" s="3" t="str">
        <f t="shared" si="0"/>
        <v/>
      </c>
      <c r="R45" s="9"/>
      <c r="S45" s="9"/>
      <c r="T45" s="4" t="str">
        <f t="shared" si="1"/>
        <v/>
      </c>
      <c r="U45" s="9"/>
      <c r="V45" s="9"/>
      <c r="W45" s="9"/>
      <c r="X45" s="5" t="str">
        <f>IFERROR(IF(AND(Q44="Probabilidad",Q45="Probabilidad"),(Z44-(+Z44*T45)),IF(AND(Q44="Impacto",Q45="Probabilidad"),(Z43-(+Z43*T45)),IF(Q45="Impacto",Z44,""))),"")</f>
        <v/>
      </c>
      <c r="Y45" s="6" t="str">
        <f t="shared" si="2"/>
        <v/>
      </c>
      <c r="Z45" s="7" t="str">
        <f t="shared" si="3"/>
        <v/>
      </c>
      <c r="AA45" s="6" t="str">
        <f t="shared" si="4"/>
        <v/>
      </c>
      <c r="AB45" s="7" t="str">
        <f>IFERROR(IF(AND(Q44="Impacto",Q45="Impacto"),(AB44-(+AB44*T45)),IF(AND(Q44="Probabilidad",Q45="Impacto"),(AB43-(+AB43*T45)),IF(Q45="Probabilidad",AB44,""))),"")</f>
        <v/>
      </c>
      <c r="AC45" s="8" t="str">
        <f t="shared" si="5"/>
        <v/>
      </c>
      <c r="AD45" s="10"/>
      <c r="AE45" s="18"/>
      <c r="AF45" s="3"/>
      <c r="AG45" s="17"/>
      <c r="AH45" s="17"/>
      <c r="AI45" s="18"/>
      <c r="AJ45" s="3"/>
      <c r="AK45" s="130"/>
      <c r="AL45" s="130"/>
      <c r="AM45" s="130"/>
      <c r="AN45" s="130"/>
      <c r="AO45" s="130"/>
      <c r="AP45" s="130"/>
      <c r="AQ45" s="130"/>
      <c r="AR45" s="130"/>
      <c r="AS45" s="130"/>
      <c r="AT45" s="130"/>
      <c r="AU45" s="130"/>
      <c r="AV45" s="130"/>
      <c r="AW45" s="130"/>
      <c r="AX45" s="130"/>
      <c r="AY45" s="130"/>
      <c r="AZ45" s="130"/>
      <c r="BA45" s="130"/>
      <c r="BB45" s="130"/>
      <c r="BC45" s="130"/>
      <c r="BD45" s="130"/>
    </row>
    <row r="46" spans="1:56" ht="151.5" customHeight="1" x14ac:dyDescent="0.3">
      <c r="A46" s="1095">
        <v>7</v>
      </c>
      <c r="B46" s="1096"/>
      <c r="C46" s="1096"/>
      <c r="D46" s="1096"/>
      <c r="E46" s="1096"/>
      <c r="F46" s="1096"/>
      <c r="G46" s="1095"/>
      <c r="H46" s="1097" t="str">
        <f>IF(G46&lt;=0,"",IF(G46&lt;=2,"Muy Baja",IF(G46&lt;=24,"Baja",IF(G46&lt;=500,"Media",IF(G46&lt;=5000,"Alta","Muy Alta")))))</f>
        <v/>
      </c>
      <c r="I46" s="1094" t="str">
        <f>IF(H46="","",IF(H46="Muy Baja",0.2,IF(H46="Baja",0.4,IF(H46="Media",0.6,IF(H46="Alta",0.8,IF(H46="Muy Alta",1,))))))</f>
        <v/>
      </c>
      <c r="J46" s="1094"/>
      <c r="K46" s="1094" t="str">
        <f>IF(NOT(ISERROR(MATCH(J46,'Tabla Impacto'!$B$222:$B$224,0))),'Tabla Impacto'!$F$224&amp;"Por favor no seleccionar los criterios de impacto(Afectación Económica o presupuestal y Pérdida Reputacional)",J46)</f>
        <v>❌Por favor no seleccionar los criterios de impacto(Afectación Económica o presupuestal y Pérdida Reputacional)</v>
      </c>
      <c r="L46" s="1097" t="str">
        <f>IF(OR(K46='Tabla Impacto'!$C$12,K46='Tabla Impacto'!$D$12),"Leve",IF(OR(K46='Tabla Impacto'!$C$13,K46='Tabla Impacto'!$D$13),"Menor",IF(OR(K46='Tabla Impacto'!$C$14,K46='Tabla Impacto'!$D$14),"Moderado",IF(OR(K46='Tabla Impacto'!$C$15,K46='Tabla Impacto'!$D$15),"Mayor",IF(OR(K46='Tabla Impacto'!$C$16,K46='Tabla Impacto'!$D$16),"Catastrófico","")))))</f>
        <v/>
      </c>
      <c r="M46" s="1094" t="str">
        <f>IF(L46="","",IF(L46="Leve",0.2,IF(L46="Menor",0.4,IF(L46="Moderado",0.6,IF(L46="Mayor",0.8,IF(L46="Catastrófico",1,))))))</f>
        <v/>
      </c>
      <c r="N46" s="1092" t="str">
        <f>IF(OR(AND(H46="Muy Baja",L46="Leve"),AND(H46="Muy Baja",L46="Menor"),AND(H46="Baja",L46="Leve")),"Bajo",IF(OR(AND(H46="Muy baja",L46="Moderado"),AND(H46="Baja",L46="Menor"),AND(H46="Baja",L46="Moderado"),AND(H46="Media",L46="Leve"),AND(H46="Media",L46="Menor"),AND(H46="Media",L46="Moderado"),AND(H46="Alta",L46="Leve"),AND(H46="Alta",L46="Menor")),"Moderado",IF(OR(AND(H46="Muy Baja",L46="Mayor"),AND(H46="Baja",L46="Mayor"),AND(H46="Media",L46="Mayor"),AND(H46="Alta",L46="Moderado"),AND(H46="Alta",L46="Mayor"),AND(H46="Muy Alta",L46="Leve"),AND(H46="Muy Alta",L46="Menor"),AND(H46="Muy Alta",L46="Moderado"),AND(H46="Muy Alta",L46="Mayor")),"Alto",IF(OR(AND(H46="Muy Baja",L46="Catastrófico"),AND(H46="Baja",L46="Catastrófico"),AND(H46="Media",L46="Catastrófico"),AND(H46="Alta",L46="Catastrófico"),AND(H46="Muy Alta",L46="Catastrófico")),"Extremo",""))))</f>
        <v/>
      </c>
      <c r="O46" s="3">
        <v>1</v>
      </c>
      <c r="P46" s="11"/>
      <c r="Q46" s="3" t="str">
        <f t="shared" si="0"/>
        <v/>
      </c>
      <c r="R46" s="9"/>
      <c r="S46" s="9"/>
      <c r="T46" s="4" t="str">
        <f t="shared" si="1"/>
        <v/>
      </c>
      <c r="U46" s="9"/>
      <c r="V46" s="9"/>
      <c r="W46" s="9"/>
      <c r="X46" s="5" t="str">
        <f>IFERROR(IF(Q46="Probabilidad",(I46-(+I46*T46)),IF(Q46="Impacto",I46,"")),"")</f>
        <v/>
      </c>
      <c r="Y46" s="6" t="str">
        <f t="shared" si="2"/>
        <v/>
      </c>
      <c r="Z46" s="7" t="str">
        <f t="shared" si="3"/>
        <v/>
      </c>
      <c r="AA46" s="6" t="str">
        <f t="shared" si="4"/>
        <v/>
      </c>
      <c r="AB46" s="7" t="str">
        <f>IFERROR(IF(Q46="Impacto",(M46-(+M46*T46)),IF(Q46="Probabilidad",M46,"")),"")</f>
        <v/>
      </c>
      <c r="AC46" s="8" t="str">
        <f t="shared" si="5"/>
        <v/>
      </c>
      <c r="AD46" s="10"/>
      <c r="AE46" s="18"/>
      <c r="AF46" s="3"/>
      <c r="AG46" s="17"/>
      <c r="AH46" s="17"/>
      <c r="AI46" s="18"/>
      <c r="AJ46" s="3"/>
      <c r="AK46" s="130"/>
      <c r="AL46" s="130"/>
      <c r="AM46" s="130"/>
      <c r="AN46" s="130"/>
      <c r="AO46" s="130"/>
      <c r="AP46" s="130"/>
      <c r="AQ46" s="130"/>
      <c r="AR46" s="130"/>
      <c r="AS46" s="130"/>
      <c r="AT46" s="130"/>
      <c r="AU46" s="130"/>
      <c r="AV46" s="130"/>
      <c r="AW46" s="130"/>
      <c r="AX46" s="130"/>
      <c r="AY46" s="130"/>
      <c r="AZ46" s="130"/>
      <c r="BA46" s="130"/>
      <c r="BB46" s="130"/>
      <c r="BC46" s="130"/>
      <c r="BD46" s="130"/>
    </row>
    <row r="47" spans="1:56" ht="151.5" customHeight="1" x14ac:dyDescent="0.3">
      <c r="A47" s="1093"/>
      <c r="B47" s="1093"/>
      <c r="C47" s="1093"/>
      <c r="D47" s="1093"/>
      <c r="E47" s="1093"/>
      <c r="F47" s="1093"/>
      <c r="G47" s="1093"/>
      <c r="H47" s="1093"/>
      <c r="I47" s="1093"/>
      <c r="J47" s="1093"/>
      <c r="K47" s="1093"/>
      <c r="L47" s="1093"/>
      <c r="M47" s="1093"/>
      <c r="N47" s="1093"/>
      <c r="O47" s="3">
        <v>2</v>
      </c>
      <c r="P47" s="11"/>
      <c r="Q47" s="3" t="str">
        <f t="shared" si="0"/>
        <v/>
      </c>
      <c r="R47" s="9"/>
      <c r="S47" s="9"/>
      <c r="T47" s="4" t="str">
        <f t="shared" si="1"/>
        <v/>
      </c>
      <c r="U47" s="9"/>
      <c r="V47" s="9"/>
      <c r="W47" s="9"/>
      <c r="X47" s="5" t="str">
        <f>IFERROR(IF(AND(Q46="Probabilidad",Q47="Probabilidad"),(Z46-(+Z46*T47)),IF(Q47="Probabilidad",(I46-(+I46*T47)),IF(Q47="Impacto",Z46,""))),"")</f>
        <v/>
      </c>
      <c r="Y47" s="6" t="str">
        <f t="shared" si="2"/>
        <v/>
      </c>
      <c r="Z47" s="7" t="str">
        <f t="shared" si="3"/>
        <v/>
      </c>
      <c r="AA47" s="6" t="str">
        <f t="shared" si="4"/>
        <v/>
      </c>
      <c r="AB47" s="7" t="str">
        <f>IFERROR(IF(AND(Q46="Impacto",Q47="Impacto"),(AB40-(+AB40*T47)),IF(Q47="Impacto",($M$46-(+$M$46*T47)),IF(Q47="Probabilidad",AB40,""))),"")</f>
        <v/>
      </c>
      <c r="AC47" s="8" t="str">
        <f t="shared" si="5"/>
        <v/>
      </c>
      <c r="AD47" s="10"/>
      <c r="AE47" s="18"/>
      <c r="AF47" s="3"/>
      <c r="AG47" s="17"/>
      <c r="AH47" s="17"/>
      <c r="AI47" s="18"/>
      <c r="AJ47" s="3"/>
      <c r="AK47" s="130"/>
      <c r="AL47" s="130"/>
      <c r="AM47" s="130"/>
      <c r="AN47" s="130"/>
      <c r="AO47" s="130"/>
      <c r="AP47" s="130"/>
      <c r="AQ47" s="130"/>
      <c r="AR47" s="130"/>
      <c r="AS47" s="130"/>
      <c r="AT47" s="130"/>
      <c r="AU47" s="130"/>
      <c r="AV47" s="130"/>
      <c r="AW47" s="130"/>
      <c r="AX47" s="130"/>
      <c r="AY47" s="130"/>
      <c r="AZ47" s="130"/>
      <c r="BA47" s="130"/>
      <c r="BB47" s="130"/>
      <c r="BC47" s="130"/>
      <c r="BD47" s="130"/>
    </row>
    <row r="48" spans="1:56" ht="151.5" customHeight="1" x14ac:dyDescent="0.3">
      <c r="A48" s="1093"/>
      <c r="B48" s="1093"/>
      <c r="C48" s="1093"/>
      <c r="D48" s="1093"/>
      <c r="E48" s="1093"/>
      <c r="F48" s="1093"/>
      <c r="G48" s="1093"/>
      <c r="H48" s="1093"/>
      <c r="I48" s="1093"/>
      <c r="J48" s="1093"/>
      <c r="K48" s="1093"/>
      <c r="L48" s="1093"/>
      <c r="M48" s="1093"/>
      <c r="N48" s="1093"/>
      <c r="O48" s="3">
        <v>3</v>
      </c>
      <c r="P48" s="12"/>
      <c r="Q48" s="3" t="str">
        <f t="shared" si="0"/>
        <v/>
      </c>
      <c r="R48" s="9"/>
      <c r="S48" s="9"/>
      <c r="T48" s="4" t="str">
        <f t="shared" si="1"/>
        <v/>
      </c>
      <c r="U48" s="9"/>
      <c r="V48" s="9"/>
      <c r="W48" s="9"/>
      <c r="X48" s="5" t="str">
        <f>IFERROR(IF(AND(Q47="Probabilidad",Q48="Probabilidad"),(Z47-(+Z47*T48)),IF(AND(Q47="Impacto",Q48="Probabilidad"),(Z46-(+Z46*T48)),IF(Q48="Impacto",Z47,""))),"")</f>
        <v/>
      </c>
      <c r="Y48" s="6" t="str">
        <f t="shared" si="2"/>
        <v/>
      </c>
      <c r="Z48" s="7" t="str">
        <f t="shared" si="3"/>
        <v/>
      </c>
      <c r="AA48" s="6" t="str">
        <f t="shared" si="4"/>
        <v/>
      </c>
      <c r="AB48" s="7" t="str">
        <f>IFERROR(IF(AND(Q47="Impacto",Q48="Impacto"),(AB47-(+AB47*T48)),IF(AND(Q47="Probabilidad",Q48="Impacto"),(AB46-(+AB46*T48)),IF(Q48="Probabilidad",AB47,""))),"")</f>
        <v/>
      </c>
      <c r="AC48" s="8" t="str">
        <f t="shared" si="5"/>
        <v/>
      </c>
      <c r="AD48" s="10"/>
      <c r="AE48" s="18"/>
      <c r="AF48" s="3"/>
      <c r="AG48" s="17"/>
      <c r="AH48" s="17"/>
      <c r="AI48" s="18"/>
      <c r="AJ48" s="3"/>
      <c r="AK48" s="130"/>
      <c r="AL48" s="130"/>
      <c r="AM48" s="130"/>
      <c r="AN48" s="130"/>
      <c r="AO48" s="130"/>
      <c r="AP48" s="130"/>
      <c r="AQ48" s="130"/>
      <c r="AR48" s="130"/>
      <c r="AS48" s="130"/>
      <c r="AT48" s="130"/>
      <c r="AU48" s="130"/>
      <c r="AV48" s="130"/>
      <c r="AW48" s="130"/>
      <c r="AX48" s="130"/>
      <c r="AY48" s="130"/>
      <c r="AZ48" s="130"/>
      <c r="BA48" s="130"/>
      <c r="BB48" s="130"/>
      <c r="BC48" s="130"/>
      <c r="BD48" s="130"/>
    </row>
    <row r="49" spans="1:56" ht="151.5" customHeight="1" x14ac:dyDescent="0.3">
      <c r="A49" s="1093"/>
      <c r="B49" s="1093"/>
      <c r="C49" s="1093"/>
      <c r="D49" s="1093"/>
      <c r="E49" s="1093"/>
      <c r="F49" s="1093"/>
      <c r="G49" s="1093"/>
      <c r="H49" s="1093"/>
      <c r="I49" s="1093"/>
      <c r="J49" s="1093"/>
      <c r="K49" s="1093"/>
      <c r="L49" s="1093"/>
      <c r="M49" s="1093"/>
      <c r="N49" s="1093"/>
      <c r="O49" s="3">
        <v>4</v>
      </c>
      <c r="P49" s="11"/>
      <c r="Q49" s="3" t="str">
        <f t="shared" si="0"/>
        <v/>
      </c>
      <c r="R49" s="9"/>
      <c r="S49" s="9"/>
      <c r="T49" s="4" t="str">
        <f t="shared" si="1"/>
        <v/>
      </c>
      <c r="U49" s="9"/>
      <c r="V49" s="9"/>
      <c r="W49" s="9"/>
      <c r="X49" s="5" t="str">
        <f>IFERROR(IF(AND(Q48="Probabilidad",Q49="Probabilidad"),(Z48-(+Z48*T49)),IF(AND(Q48="Impacto",Q49="Probabilidad"),(Z47-(+Z47*T49)),IF(Q49="Impacto",Z48,""))),"")</f>
        <v/>
      </c>
      <c r="Y49" s="6" t="str">
        <f t="shared" si="2"/>
        <v/>
      </c>
      <c r="Z49" s="7" t="str">
        <f t="shared" si="3"/>
        <v/>
      </c>
      <c r="AA49" s="6" t="str">
        <f t="shared" si="4"/>
        <v/>
      </c>
      <c r="AB49" s="7" t="str">
        <f>IFERROR(IF(AND(Q48="Impacto",Q49="Impacto"),(AB48-(+AB48*T49)),IF(AND(Q48="Probabilidad",Q49="Impacto"),(AB47-(+AB47*T49)),IF(Q49="Probabilidad",AB48,""))),"")</f>
        <v/>
      </c>
      <c r="AC49" s="8" t="str">
        <f t="shared" si="5"/>
        <v/>
      </c>
      <c r="AD49" s="10"/>
      <c r="AE49" s="18"/>
      <c r="AF49" s="3"/>
      <c r="AG49" s="17"/>
      <c r="AH49" s="17"/>
      <c r="AI49" s="18"/>
      <c r="AJ49" s="3"/>
      <c r="AK49" s="130"/>
      <c r="AL49" s="130"/>
      <c r="AM49" s="130"/>
      <c r="AN49" s="130"/>
      <c r="AO49" s="130"/>
      <c r="AP49" s="130"/>
      <c r="AQ49" s="130"/>
      <c r="AR49" s="130"/>
      <c r="AS49" s="130"/>
      <c r="AT49" s="130"/>
      <c r="AU49" s="130"/>
      <c r="AV49" s="130"/>
      <c r="AW49" s="130"/>
      <c r="AX49" s="130"/>
      <c r="AY49" s="130"/>
      <c r="AZ49" s="130"/>
      <c r="BA49" s="130"/>
      <c r="BB49" s="130"/>
      <c r="BC49" s="130"/>
      <c r="BD49" s="130"/>
    </row>
    <row r="50" spans="1:56" ht="151.5" customHeight="1" x14ac:dyDescent="0.3">
      <c r="A50" s="1093"/>
      <c r="B50" s="1093"/>
      <c r="C50" s="1093"/>
      <c r="D50" s="1093"/>
      <c r="E50" s="1093"/>
      <c r="F50" s="1093"/>
      <c r="G50" s="1093"/>
      <c r="H50" s="1093"/>
      <c r="I50" s="1093"/>
      <c r="J50" s="1093"/>
      <c r="K50" s="1093"/>
      <c r="L50" s="1093"/>
      <c r="M50" s="1093"/>
      <c r="N50" s="1093"/>
      <c r="O50" s="3">
        <v>5</v>
      </c>
      <c r="P50" s="11"/>
      <c r="Q50" s="3" t="str">
        <f t="shared" si="0"/>
        <v/>
      </c>
      <c r="R50" s="9"/>
      <c r="S50" s="9"/>
      <c r="T50" s="4" t="str">
        <f t="shared" si="1"/>
        <v/>
      </c>
      <c r="U50" s="9"/>
      <c r="V50" s="9"/>
      <c r="W50" s="9"/>
      <c r="X50" s="5" t="str">
        <f>IFERROR(IF(AND(Q49="Probabilidad",Q50="Probabilidad"),(Z49-(+Z49*T50)),IF(AND(Q49="Impacto",Q50="Probabilidad"),(Z48-(+Z48*T50)),IF(Q50="Impacto",Z49,""))),"")</f>
        <v/>
      </c>
      <c r="Y50" s="6" t="str">
        <f t="shared" si="2"/>
        <v/>
      </c>
      <c r="Z50" s="7" t="str">
        <f t="shared" si="3"/>
        <v/>
      </c>
      <c r="AA50" s="6" t="str">
        <f t="shared" si="4"/>
        <v/>
      </c>
      <c r="AB50" s="7" t="str">
        <f>IFERROR(IF(AND(Q49="Impacto",Q50="Impacto"),(AB49-(+AB49*T50)),IF(AND(Q49="Probabilidad",Q50="Impacto"),(AB48-(+AB48*T50)),IF(Q50="Probabilidad",AB49,""))),"")</f>
        <v/>
      </c>
      <c r="AC50" s="8" t="str">
        <f t="shared" si="5"/>
        <v/>
      </c>
      <c r="AD50" s="10"/>
      <c r="AE50" s="18"/>
      <c r="AF50" s="3"/>
      <c r="AG50" s="17"/>
      <c r="AH50" s="17"/>
      <c r="AI50" s="18"/>
      <c r="AJ50" s="3"/>
      <c r="AK50" s="130"/>
      <c r="AL50" s="130"/>
      <c r="AM50" s="130"/>
      <c r="AN50" s="130"/>
      <c r="AO50" s="130"/>
      <c r="AP50" s="130"/>
      <c r="AQ50" s="130"/>
      <c r="AR50" s="130"/>
      <c r="AS50" s="130"/>
      <c r="AT50" s="130"/>
      <c r="AU50" s="130"/>
      <c r="AV50" s="130"/>
      <c r="AW50" s="130"/>
      <c r="AX50" s="130"/>
      <c r="AY50" s="130"/>
      <c r="AZ50" s="130"/>
      <c r="BA50" s="130"/>
      <c r="BB50" s="130"/>
      <c r="BC50" s="130"/>
      <c r="BD50" s="130"/>
    </row>
    <row r="51" spans="1:56" ht="151.5" customHeight="1" x14ac:dyDescent="0.3">
      <c r="A51" s="1083"/>
      <c r="B51" s="1083"/>
      <c r="C51" s="1083"/>
      <c r="D51" s="1083"/>
      <c r="E51" s="1083"/>
      <c r="F51" s="1083"/>
      <c r="G51" s="1083"/>
      <c r="H51" s="1083"/>
      <c r="I51" s="1083"/>
      <c r="J51" s="1083"/>
      <c r="K51" s="1083"/>
      <c r="L51" s="1083"/>
      <c r="M51" s="1083"/>
      <c r="N51" s="1083"/>
      <c r="O51" s="3">
        <v>6</v>
      </c>
      <c r="P51" s="11"/>
      <c r="Q51" s="3" t="str">
        <f t="shared" si="0"/>
        <v/>
      </c>
      <c r="R51" s="9"/>
      <c r="S51" s="9"/>
      <c r="T51" s="4" t="str">
        <f t="shared" si="1"/>
        <v/>
      </c>
      <c r="U51" s="9"/>
      <c r="V51" s="9"/>
      <c r="W51" s="9"/>
      <c r="X51" s="5" t="str">
        <f>IFERROR(IF(AND(Q50="Probabilidad",Q51="Probabilidad"),(Z50-(+Z50*T51)),IF(AND(Q50="Impacto",Q51="Probabilidad"),(Z49-(+Z49*T51)),IF(Q51="Impacto",Z50,""))),"")</f>
        <v/>
      </c>
      <c r="Y51" s="6" t="str">
        <f t="shared" si="2"/>
        <v/>
      </c>
      <c r="Z51" s="7" t="str">
        <f t="shared" si="3"/>
        <v/>
      </c>
      <c r="AA51" s="6" t="str">
        <f t="shared" si="4"/>
        <v/>
      </c>
      <c r="AB51" s="7" t="str">
        <f>IFERROR(IF(AND(Q50="Impacto",Q51="Impacto"),(AB50-(+AB50*T51)),IF(AND(Q50="Probabilidad",Q51="Impacto"),(AB49-(+AB49*T51)),IF(Q51="Probabilidad",AB50,""))),"")</f>
        <v/>
      </c>
      <c r="AC51" s="8" t="str">
        <f t="shared" si="5"/>
        <v/>
      </c>
      <c r="AD51" s="10"/>
      <c r="AE51" s="18"/>
      <c r="AF51" s="3"/>
      <c r="AG51" s="17"/>
      <c r="AH51" s="17"/>
      <c r="AI51" s="18"/>
      <c r="AJ51" s="3"/>
      <c r="AK51" s="130"/>
      <c r="AL51" s="130"/>
      <c r="AM51" s="130"/>
      <c r="AN51" s="130"/>
      <c r="AO51" s="130"/>
      <c r="AP51" s="130"/>
      <c r="AQ51" s="130"/>
      <c r="AR51" s="130"/>
      <c r="AS51" s="130"/>
      <c r="AT51" s="130"/>
      <c r="AU51" s="130"/>
      <c r="AV51" s="130"/>
      <c r="AW51" s="130"/>
      <c r="AX51" s="130"/>
      <c r="AY51" s="130"/>
      <c r="AZ51" s="130"/>
      <c r="BA51" s="130"/>
      <c r="BB51" s="130"/>
      <c r="BC51" s="130"/>
      <c r="BD51" s="130"/>
    </row>
    <row r="52" spans="1:56" ht="151.5" customHeight="1" x14ac:dyDescent="0.3">
      <c r="A52" s="1095">
        <v>8</v>
      </c>
      <c r="B52" s="1096"/>
      <c r="C52" s="1096"/>
      <c r="D52" s="1096"/>
      <c r="E52" s="1096"/>
      <c r="F52" s="1096"/>
      <c r="G52" s="1095"/>
      <c r="H52" s="1097" t="str">
        <f>IF(G52&lt;=0,"",IF(G52&lt;=2,"Muy Baja",IF(G52&lt;=24,"Baja",IF(G52&lt;=500,"Media",IF(G52&lt;=5000,"Alta","Muy Alta")))))</f>
        <v/>
      </c>
      <c r="I52" s="1094" t="str">
        <f>IF(H52="","",IF(H52="Muy Baja",0.2,IF(H52="Baja",0.4,IF(H52="Media",0.6,IF(H52="Alta",0.8,IF(H52="Muy Alta",1,))))))</f>
        <v/>
      </c>
      <c r="J52" s="1094"/>
      <c r="K52" s="1094" t="str">
        <f>IF(NOT(ISERROR(MATCH(J52,'Tabla Impacto'!$B$222:$B$224,0))),'Tabla Impacto'!$F$224&amp;"Por favor no seleccionar los criterios de impacto(Afectación Económica o presupuestal y Pérdida Reputacional)",J52)</f>
        <v>❌Por favor no seleccionar los criterios de impacto(Afectación Económica o presupuestal y Pérdida Reputacional)</v>
      </c>
      <c r="L52" s="1097" t="str">
        <f>IF(OR(K52='Tabla Impacto'!$C$12,K52='Tabla Impacto'!$D$12),"Leve",IF(OR(K52='Tabla Impacto'!$C$13,K52='Tabla Impacto'!$D$13),"Menor",IF(OR(K52='Tabla Impacto'!$C$14,K52='Tabla Impacto'!$D$14),"Moderado",IF(OR(K52='Tabla Impacto'!$C$15,K52='Tabla Impacto'!$D$15),"Mayor",IF(OR(K52='Tabla Impacto'!$C$16,K52='Tabla Impacto'!$D$16),"Catastrófico","")))))</f>
        <v/>
      </c>
      <c r="M52" s="1094" t="str">
        <f>IF(L52="","",IF(L52="Leve",0.2,IF(L52="Menor",0.4,IF(L52="Moderado",0.6,IF(L52="Mayor",0.8,IF(L52="Catastrófico",1,))))))</f>
        <v/>
      </c>
      <c r="N52" s="1092" t="str">
        <f>IF(OR(AND(H52="Muy Baja",L52="Leve"),AND(H52="Muy Baja",L52="Menor"),AND(H52="Baja",L52="Leve")),"Bajo",IF(OR(AND(H52="Muy baja",L52="Moderado"),AND(H52="Baja",L52="Menor"),AND(H52="Baja",L52="Moderado"),AND(H52="Media",L52="Leve"),AND(H52="Media",L52="Menor"),AND(H52="Media",L52="Moderado"),AND(H52="Alta",L52="Leve"),AND(H52="Alta",L52="Menor")),"Moderado",IF(OR(AND(H52="Muy Baja",L52="Mayor"),AND(H52="Baja",L52="Mayor"),AND(H52="Media",L52="Mayor"),AND(H52="Alta",L52="Moderado"),AND(H52="Alta",L52="Mayor"),AND(H52="Muy Alta",L52="Leve"),AND(H52="Muy Alta",L52="Menor"),AND(H52="Muy Alta",L52="Moderado"),AND(H52="Muy Alta",L52="Mayor")),"Alto",IF(OR(AND(H52="Muy Baja",L52="Catastrófico"),AND(H52="Baja",L52="Catastrófico"),AND(H52="Media",L52="Catastrófico"),AND(H52="Alta",L52="Catastrófico"),AND(H52="Muy Alta",L52="Catastrófico")),"Extremo",""))))</f>
        <v/>
      </c>
      <c r="O52" s="3">
        <v>1</v>
      </c>
      <c r="P52" s="11"/>
      <c r="Q52" s="3" t="str">
        <f t="shared" si="0"/>
        <v/>
      </c>
      <c r="R52" s="9"/>
      <c r="S52" s="9"/>
      <c r="T52" s="4" t="str">
        <f t="shared" si="1"/>
        <v/>
      </c>
      <c r="U52" s="9"/>
      <c r="V52" s="9"/>
      <c r="W52" s="9"/>
      <c r="X52" s="5" t="str">
        <f>IFERROR(IF(Q52="Probabilidad",(I52-(+I52*T52)),IF(Q52="Impacto",I52,"")),"")</f>
        <v/>
      </c>
      <c r="Y52" s="6" t="str">
        <f t="shared" si="2"/>
        <v/>
      </c>
      <c r="Z52" s="7" t="str">
        <f t="shared" si="3"/>
        <v/>
      </c>
      <c r="AA52" s="6" t="str">
        <f t="shared" si="4"/>
        <v/>
      </c>
      <c r="AB52" s="7" t="str">
        <f>IFERROR(IF(Q52="Impacto",(M52-(+M52*T52)),IF(Q52="Probabilidad",M52,"")),"")</f>
        <v/>
      </c>
      <c r="AC52" s="8" t="str">
        <f t="shared" si="5"/>
        <v/>
      </c>
      <c r="AD52" s="10"/>
      <c r="AE52" s="18"/>
      <c r="AF52" s="3"/>
      <c r="AG52" s="17"/>
      <c r="AH52" s="17"/>
      <c r="AI52" s="18"/>
      <c r="AJ52" s="3"/>
      <c r="AK52" s="130"/>
      <c r="AL52" s="130"/>
      <c r="AM52" s="130"/>
      <c r="AN52" s="130"/>
      <c r="AO52" s="130"/>
      <c r="AP52" s="130"/>
      <c r="AQ52" s="130"/>
      <c r="AR52" s="130"/>
      <c r="AS52" s="130"/>
      <c r="AT52" s="130"/>
      <c r="AU52" s="130"/>
      <c r="AV52" s="130"/>
      <c r="AW52" s="130"/>
      <c r="AX52" s="130"/>
      <c r="AY52" s="130"/>
      <c r="AZ52" s="130"/>
      <c r="BA52" s="130"/>
      <c r="BB52" s="130"/>
      <c r="BC52" s="130"/>
      <c r="BD52" s="130"/>
    </row>
    <row r="53" spans="1:56" ht="151.5" customHeight="1" x14ac:dyDescent="0.3">
      <c r="A53" s="1093"/>
      <c r="B53" s="1093"/>
      <c r="C53" s="1093"/>
      <c r="D53" s="1093"/>
      <c r="E53" s="1093"/>
      <c r="F53" s="1093"/>
      <c r="G53" s="1093"/>
      <c r="H53" s="1093"/>
      <c r="I53" s="1093"/>
      <c r="J53" s="1093"/>
      <c r="K53" s="1093"/>
      <c r="L53" s="1093"/>
      <c r="M53" s="1093"/>
      <c r="N53" s="1093"/>
      <c r="O53" s="3">
        <v>2</v>
      </c>
      <c r="P53" s="11"/>
      <c r="Q53" s="3" t="str">
        <f t="shared" si="0"/>
        <v/>
      </c>
      <c r="R53" s="9"/>
      <c r="S53" s="9"/>
      <c r="T53" s="4" t="str">
        <f t="shared" si="1"/>
        <v/>
      </c>
      <c r="U53" s="9"/>
      <c r="V53" s="9"/>
      <c r="W53" s="9"/>
      <c r="X53" s="5" t="str">
        <f>IFERROR(IF(AND(Q52="Probabilidad",Q53="Probabilidad"),(Z52-(+Z52*T53)),IF(Q53="Probabilidad",(I52-(+I52*T53)),IF(Q53="Impacto",Z52,""))),"")</f>
        <v/>
      </c>
      <c r="Y53" s="6" t="str">
        <f t="shared" si="2"/>
        <v/>
      </c>
      <c r="Z53" s="7" t="str">
        <f t="shared" si="3"/>
        <v/>
      </c>
      <c r="AA53" s="6" t="str">
        <f t="shared" si="4"/>
        <v/>
      </c>
      <c r="AB53" s="7" t="str">
        <f>IFERROR(IF(AND(Q52="Impacto",Q53="Impacto"),(AB46-(+AB46*T53)),IF(Q53="Impacto",($M$52-(+$M$52*T53)),IF(Q53="Probabilidad",AB46,""))),"")</f>
        <v/>
      </c>
      <c r="AC53" s="8" t="str">
        <f t="shared" si="5"/>
        <v/>
      </c>
      <c r="AD53" s="10"/>
      <c r="AE53" s="18"/>
      <c r="AF53" s="3"/>
      <c r="AG53" s="17"/>
      <c r="AH53" s="17"/>
      <c r="AI53" s="18"/>
      <c r="AJ53" s="3"/>
      <c r="AK53" s="130"/>
      <c r="AL53" s="130"/>
      <c r="AM53" s="130"/>
      <c r="AN53" s="130"/>
      <c r="AO53" s="130"/>
      <c r="AP53" s="130"/>
      <c r="AQ53" s="130"/>
      <c r="AR53" s="130"/>
      <c r="AS53" s="130"/>
      <c r="AT53" s="130"/>
      <c r="AU53" s="130"/>
      <c r="AV53" s="130"/>
      <c r="AW53" s="130"/>
      <c r="AX53" s="130"/>
      <c r="AY53" s="130"/>
      <c r="AZ53" s="130"/>
      <c r="BA53" s="130"/>
      <c r="BB53" s="130"/>
      <c r="BC53" s="130"/>
      <c r="BD53" s="130"/>
    </row>
    <row r="54" spans="1:56" ht="151.5" customHeight="1" x14ac:dyDescent="0.3">
      <c r="A54" s="1093"/>
      <c r="B54" s="1093"/>
      <c r="C54" s="1093"/>
      <c r="D54" s="1093"/>
      <c r="E54" s="1093"/>
      <c r="F54" s="1093"/>
      <c r="G54" s="1093"/>
      <c r="H54" s="1093"/>
      <c r="I54" s="1093"/>
      <c r="J54" s="1093"/>
      <c r="K54" s="1093"/>
      <c r="L54" s="1093"/>
      <c r="M54" s="1093"/>
      <c r="N54" s="1093"/>
      <c r="O54" s="3">
        <v>3</v>
      </c>
      <c r="P54" s="12"/>
      <c r="Q54" s="3" t="str">
        <f t="shared" si="0"/>
        <v/>
      </c>
      <c r="R54" s="9"/>
      <c r="S54" s="9"/>
      <c r="T54" s="4" t="str">
        <f t="shared" si="1"/>
        <v/>
      </c>
      <c r="U54" s="9"/>
      <c r="V54" s="9"/>
      <c r="W54" s="9"/>
      <c r="X54" s="5" t="str">
        <f>IFERROR(IF(AND(Q53="Probabilidad",Q54="Probabilidad"),(Z53-(+Z53*T54)),IF(AND(Q53="Impacto",Q54="Probabilidad"),(Z52-(+Z52*T54)),IF(Q54="Impacto",Z53,""))),"")</f>
        <v/>
      </c>
      <c r="Y54" s="6" t="str">
        <f t="shared" si="2"/>
        <v/>
      </c>
      <c r="Z54" s="7" t="str">
        <f t="shared" si="3"/>
        <v/>
      </c>
      <c r="AA54" s="6" t="str">
        <f t="shared" si="4"/>
        <v/>
      </c>
      <c r="AB54" s="7" t="str">
        <f>IFERROR(IF(AND(Q53="Impacto",Q54="Impacto"),(AB53-(+AB53*T54)),IF(AND(Q53="Probabilidad",Q54="Impacto"),(AB52-(+AB52*T54)),IF(Q54="Probabilidad",AB53,""))),"")</f>
        <v/>
      </c>
      <c r="AC54" s="8" t="str">
        <f t="shared" si="5"/>
        <v/>
      </c>
      <c r="AD54" s="10"/>
      <c r="AE54" s="18"/>
      <c r="AF54" s="3"/>
      <c r="AG54" s="17"/>
      <c r="AH54" s="17"/>
      <c r="AI54" s="18"/>
      <c r="AJ54" s="3"/>
      <c r="AK54" s="130"/>
      <c r="AL54" s="130"/>
      <c r="AM54" s="130"/>
      <c r="AN54" s="130"/>
      <c r="AO54" s="130"/>
      <c r="AP54" s="130"/>
      <c r="AQ54" s="130"/>
      <c r="AR54" s="130"/>
      <c r="AS54" s="130"/>
      <c r="AT54" s="130"/>
      <c r="AU54" s="130"/>
      <c r="AV54" s="130"/>
      <c r="AW54" s="130"/>
      <c r="AX54" s="130"/>
      <c r="AY54" s="130"/>
      <c r="AZ54" s="130"/>
      <c r="BA54" s="130"/>
      <c r="BB54" s="130"/>
      <c r="BC54" s="130"/>
      <c r="BD54" s="130"/>
    </row>
    <row r="55" spans="1:56" ht="151.5" customHeight="1" x14ac:dyDescent="0.3">
      <c r="A55" s="1093"/>
      <c r="B55" s="1093"/>
      <c r="C55" s="1093"/>
      <c r="D55" s="1093"/>
      <c r="E55" s="1093"/>
      <c r="F55" s="1093"/>
      <c r="G55" s="1093"/>
      <c r="H55" s="1093"/>
      <c r="I55" s="1093"/>
      <c r="J55" s="1093"/>
      <c r="K55" s="1093"/>
      <c r="L55" s="1093"/>
      <c r="M55" s="1093"/>
      <c r="N55" s="1093"/>
      <c r="O55" s="3">
        <v>4</v>
      </c>
      <c r="P55" s="11"/>
      <c r="Q55" s="3" t="str">
        <f t="shared" si="0"/>
        <v/>
      </c>
      <c r="R55" s="9"/>
      <c r="S55" s="9"/>
      <c r="T55" s="4" t="str">
        <f t="shared" si="1"/>
        <v/>
      </c>
      <c r="U55" s="9"/>
      <c r="V55" s="9"/>
      <c r="W55" s="9"/>
      <c r="X55" s="5" t="str">
        <f>IFERROR(IF(AND(Q54="Probabilidad",Q55="Probabilidad"),(Z54-(+Z54*T55)),IF(AND(Q54="Impacto",Q55="Probabilidad"),(Z53-(+Z53*T55)),IF(Q55="Impacto",Z54,""))),"")</f>
        <v/>
      </c>
      <c r="Y55" s="6" t="str">
        <f t="shared" si="2"/>
        <v/>
      </c>
      <c r="Z55" s="7" t="str">
        <f t="shared" si="3"/>
        <v/>
      </c>
      <c r="AA55" s="6" t="str">
        <f t="shared" si="4"/>
        <v/>
      </c>
      <c r="AB55" s="7" t="str">
        <f>IFERROR(IF(AND(Q54="Impacto",Q55="Impacto"),(AB54-(+AB54*T55)),IF(AND(Q54="Probabilidad",Q55="Impacto"),(AB53-(+AB53*T55)),IF(Q55="Probabilidad",AB54,""))),"")</f>
        <v/>
      </c>
      <c r="AC55" s="8" t="str">
        <f t="shared" si="5"/>
        <v/>
      </c>
      <c r="AD55" s="10"/>
      <c r="AE55" s="18"/>
      <c r="AF55" s="3"/>
      <c r="AG55" s="17"/>
      <c r="AH55" s="17"/>
      <c r="AI55" s="18"/>
      <c r="AJ55" s="3"/>
      <c r="AK55" s="130"/>
      <c r="AL55" s="130"/>
      <c r="AM55" s="130"/>
      <c r="AN55" s="130"/>
      <c r="AO55" s="130"/>
      <c r="AP55" s="130"/>
      <c r="AQ55" s="130"/>
      <c r="AR55" s="130"/>
      <c r="AS55" s="130"/>
      <c r="AT55" s="130"/>
      <c r="AU55" s="130"/>
      <c r="AV55" s="130"/>
      <c r="AW55" s="130"/>
      <c r="AX55" s="130"/>
      <c r="AY55" s="130"/>
      <c r="AZ55" s="130"/>
      <c r="BA55" s="130"/>
      <c r="BB55" s="130"/>
      <c r="BC55" s="130"/>
      <c r="BD55" s="130"/>
    </row>
    <row r="56" spans="1:56" ht="151.5" customHeight="1" x14ac:dyDescent="0.3">
      <c r="A56" s="1093"/>
      <c r="B56" s="1093"/>
      <c r="C56" s="1093"/>
      <c r="D56" s="1093"/>
      <c r="E56" s="1093"/>
      <c r="F56" s="1093"/>
      <c r="G56" s="1093"/>
      <c r="H56" s="1093"/>
      <c r="I56" s="1093"/>
      <c r="J56" s="1093"/>
      <c r="K56" s="1093"/>
      <c r="L56" s="1093"/>
      <c r="M56" s="1093"/>
      <c r="N56" s="1093"/>
      <c r="O56" s="3">
        <v>5</v>
      </c>
      <c r="P56" s="11"/>
      <c r="Q56" s="3" t="str">
        <f t="shared" si="0"/>
        <v/>
      </c>
      <c r="R56" s="9"/>
      <c r="S56" s="9"/>
      <c r="T56" s="4" t="str">
        <f t="shared" si="1"/>
        <v/>
      </c>
      <c r="U56" s="9"/>
      <c r="V56" s="9"/>
      <c r="W56" s="9"/>
      <c r="X56" s="5" t="str">
        <f>IFERROR(IF(AND(Q55="Probabilidad",Q56="Probabilidad"),(Z55-(+Z55*T56)),IF(AND(Q55="Impacto",Q56="Probabilidad"),(Z54-(+Z54*T56)),IF(Q56="Impacto",Z55,""))),"")</f>
        <v/>
      </c>
      <c r="Y56" s="6" t="str">
        <f t="shared" si="2"/>
        <v/>
      </c>
      <c r="Z56" s="7" t="str">
        <f t="shared" si="3"/>
        <v/>
      </c>
      <c r="AA56" s="6" t="str">
        <f t="shared" si="4"/>
        <v/>
      </c>
      <c r="AB56" s="7" t="str">
        <f>IFERROR(IF(AND(Q55="Impacto",Q56="Impacto"),(AB55-(+AB55*T56)),IF(AND(Q55="Probabilidad",Q56="Impacto"),(AB54-(+AB54*T56)),IF(Q56="Probabilidad",AB55,""))),"")</f>
        <v/>
      </c>
      <c r="AC56" s="8" t="str">
        <f t="shared" si="5"/>
        <v/>
      </c>
      <c r="AD56" s="10"/>
      <c r="AE56" s="18"/>
      <c r="AF56" s="3"/>
      <c r="AG56" s="17"/>
      <c r="AH56" s="17"/>
      <c r="AI56" s="18"/>
      <c r="AJ56" s="3"/>
      <c r="AK56" s="130"/>
      <c r="AL56" s="130"/>
      <c r="AM56" s="130"/>
      <c r="AN56" s="130"/>
      <c r="AO56" s="130"/>
      <c r="AP56" s="130"/>
      <c r="AQ56" s="130"/>
      <c r="AR56" s="130"/>
      <c r="AS56" s="130"/>
      <c r="AT56" s="130"/>
      <c r="AU56" s="130"/>
      <c r="AV56" s="130"/>
      <c r="AW56" s="130"/>
      <c r="AX56" s="130"/>
      <c r="AY56" s="130"/>
      <c r="AZ56" s="130"/>
      <c r="BA56" s="130"/>
      <c r="BB56" s="130"/>
      <c r="BC56" s="130"/>
      <c r="BD56" s="130"/>
    </row>
    <row r="57" spans="1:56" ht="151.5" customHeight="1" x14ac:dyDescent="0.3">
      <c r="A57" s="1083"/>
      <c r="B57" s="1083"/>
      <c r="C57" s="1083"/>
      <c r="D57" s="1083"/>
      <c r="E57" s="1083"/>
      <c r="F57" s="1083"/>
      <c r="G57" s="1083"/>
      <c r="H57" s="1083"/>
      <c r="I57" s="1083"/>
      <c r="J57" s="1083"/>
      <c r="K57" s="1083"/>
      <c r="L57" s="1083"/>
      <c r="M57" s="1083"/>
      <c r="N57" s="1083"/>
      <c r="O57" s="3">
        <v>6</v>
      </c>
      <c r="P57" s="11"/>
      <c r="Q57" s="3" t="str">
        <f t="shared" si="0"/>
        <v/>
      </c>
      <c r="R57" s="9"/>
      <c r="S57" s="9"/>
      <c r="T57" s="4" t="str">
        <f t="shared" si="1"/>
        <v/>
      </c>
      <c r="U57" s="9"/>
      <c r="V57" s="9"/>
      <c r="W57" s="9"/>
      <c r="X57" s="5" t="str">
        <f>IFERROR(IF(AND(Q56="Probabilidad",Q57="Probabilidad"),(Z56-(+Z56*T57)),IF(AND(Q56="Impacto",Q57="Probabilidad"),(Z55-(+Z55*T57)),IF(Q57="Impacto",Z56,""))),"")</f>
        <v/>
      </c>
      <c r="Y57" s="6" t="str">
        <f t="shared" si="2"/>
        <v/>
      </c>
      <c r="Z57" s="7" t="str">
        <f t="shared" si="3"/>
        <v/>
      </c>
      <c r="AA57" s="6" t="str">
        <f t="shared" si="4"/>
        <v/>
      </c>
      <c r="AB57" s="7" t="str">
        <f>IFERROR(IF(AND(Q56="Impacto",Q57="Impacto"),(AB56-(+AB56*T57)),IF(AND(Q56="Probabilidad",Q57="Impacto"),(AB55-(+AB55*T57)),IF(Q57="Probabilidad",AB56,""))),"")</f>
        <v/>
      </c>
      <c r="AC57" s="8" t="str">
        <f t="shared" si="5"/>
        <v/>
      </c>
      <c r="AD57" s="10"/>
      <c r="AE57" s="18"/>
      <c r="AF57" s="3"/>
      <c r="AG57" s="17"/>
      <c r="AH57" s="17"/>
      <c r="AI57" s="18"/>
      <c r="AJ57" s="3"/>
      <c r="AK57" s="130"/>
      <c r="AL57" s="130"/>
      <c r="AM57" s="130"/>
      <c r="AN57" s="130"/>
      <c r="AO57" s="130"/>
      <c r="AP57" s="130"/>
      <c r="AQ57" s="130"/>
      <c r="AR57" s="130"/>
      <c r="AS57" s="130"/>
      <c r="AT57" s="130"/>
      <c r="AU57" s="130"/>
      <c r="AV57" s="130"/>
      <c r="AW57" s="130"/>
      <c r="AX57" s="130"/>
      <c r="AY57" s="130"/>
      <c r="AZ57" s="130"/>
      <c r="BA57" s="130"/>
      <c r="BB57" s="130"/>
      <c r="BC57" s="130"/>
      <c r="BD57" s="130"/>
    </row>
    <row r="58" spans="1:56" ht="151.5" customHeight="1" x14ac:dyDescent="0.3">
      <c r="A58" s="1095">
        <v>9</v>
      </c>
      <c r="B58" s="1096"/>
      <c r="C58" s="1096"/>
      <c r="D58" s="1096"/>
      <c r="E58" s="1096"/>
      <c r="F58" s="1096"/>
      <c r="G58" s="1095"/>
      <c r="H58" s="1097" t="str">
        <f>IF(G58&lt;=0,"",IF(G58&lt;=2,"Muy Baja",IF(G58&lt;=24,"Baja",IF(G58&lt;=500,"Media",IF(G58&lt;=5000,"Alta","Muy Alta")))))</f>
        <v/>
      </c>
      <c r="I58" s="1094" t="str">
        <f>IF(H58="","",IF(H58="Muy Baja",0.2,IF(H58="Baja",0.4,IF(H58="Media",0.6,IF(H58="Alta",0.8,IF(H58="Muy Alta",1,))))))</f>
        <v/>
      </c>
      <c r="J58" s="1094"/>
      <c r="K58" s="1094" t="str">
        <f>IF(NOT(ISERROR(MATCH(J58,'Tabla Impacto'!$B$222:$B$224,0))),'Tabla Impacto'!$F$224&amp;"Por favor no seleccionar los criterios de impacto(Afectación Económica o presupuestal y Pérdida Reputacional)",J58)</f>
        <v>❌Por favor no seleccionar los criterios de impacto(Afectación Económica o presupuestal y Pérdida Reputacional)</v>
      </c>
      <c r="L58" s="1097" t="str">
        <f>IF(OR(K58='Tabla Impacto'!$C$12,K58='Tabla Impacto'!$D$12),"Leve",IF(OR(K58='Tabla Impacto'!$C$13,K58='Tabla Impacto'!$D$13),"Menor",IF(OR(K58='Tabla Impacto'!$C$14,K58='Tabla Impacto'!$D$14),"Moderado",IF(OR(K58='Tabla Impacto'!$C$15,K58='Tabla Impacto'!$D$15),"Mayor",IF(OR(K58='Tabla Impacto'!$C$16,K58='Tabla Impacto'!$D$16),"Catastrófico","")))))</f>
        <v/>
      </c>
      <c r="M58" s="1094" t="str">
        <f>IF(L58="","",IF(L58="Leve",0.2,IF(L58="Menor",0.4,IF(L58="Moderado",0.6,IF(L58="Mayor",0.8,IF(L58="Catastrófico",1,))))))</f>
        <v/>
      </c>
      <c r="N58" s="1092" t="str">
        <f>IF(OR(AND(H58="Muy Baja",L58="Leve"),AND(H58="Muy Baja",L58="Menor"),AND(H58="Baja",L58="Leve")),"Bajo",IF(OR(AND(H58="Muy baja",L58="Moderado"),AND(H58="Baja",L58="Menor"),AND(H58="Baja",L58="Moderado"),AND(H58="Media",L58="Leve"),AND(H58="Media",L58="Menor"),AND(H58="Media",L58="Moderado"),AND(H58="Alta",L58="Leve"),AND(H58="Alta",L58="Menor")),"Moderado",IF(OR(AND(H58="Muy Baja",L58="Mayor"),AND(H58="Baja",L58="Mayor"),AND(H58="Media",L58="Mayor"),AND(H58="Alta",L58="Moderado"),AND(H58="Alta",L58="Mayor"),AND(H58="Muy Alta",L58="Leve"),AND(H58="Muy Alta",L58="Menor"),AND(H58="Muy Alta",L58="Moderado"),AND(H58="Muy Alta",L58="Mayor")),"Alto",IF(OR(AND(H58="Muy Baja",L58="Catastrófico"),AND(H58="Baja",L58="Catastrófico"),AND(H58="Media",L58="Catastrófico"),AND(H58="Alta",L58="Catastrófico"),AND(H58="Muy Alta",L58="Catastrófico")),"Extremo",""))))</f>
        <v/>
      </c>
      <c r="O58" s="3">
        <v>1</v>
      </c>
      <c r="P58" s="11"/>
      <c r="Q58" s="3" t="str">
        <f t="shared" si="0"/>
        <v/>
      </c>
      <c r="R58" s="9"/>
      <c r="S58" s="9"/>
      <c r="T58" s="4" t="str">
        <f t="shared" si="1"/>
        <v/>
      </c>
      <c r="U58" s="9"/>
      <c r="V58" s="9"/>
      <c r="W58" s="9"/>
      <c r="X58" s="5" t="str">
        <f>IFERROR(IF(Q58="Probabilidad",(I58-(+I58*T58)),IF(Q58="Impacto",I58,"")),"")</f>
        <v/>
      </c>
      <c r="Y58" s="6" t="str">
        <f t="shared" si="2"/>
        <v/>
      </c>
      <c r="Z58" s="7" t="str">
        <f t="shared" si="3"/>
        <v/>
      </c>
      <c r="AA58" s="6" t="str">
        <f t="shared" si="4"/>
        <v/>
      </c>
      <c r="AB58" s="7" t="str">
        <f>IFERROR(IF(Q58="Impacto",(M58-(+M58*T58)),IF(Q58="Probabilidad",M58,"")),"")</f>
        <v/>
      </c>
      <c r="AC58" s="8" t="str">
        <f t="shared" si="5"/>
        <v/>
      </c>
      <c r="AD58" s="10"/>
      <c r="AE58" s="18"/>
      <c r="AF58" s="3"/>
      <c r="AG58" s="17"/>
      <c r="AH58" s="17"/>
      <c r="AI58" s="18"/>
      <c r="AJ58" s="3"/>
      <c r="AK58" s="130"/>
      <c r="AL58" s="130"/>
      <c r="AM58" s="130"/>
      <c r="AN58" s="130"/>
      <c r="AO58" s="130"/>
      <c r="AP58" s="130"/>
      <c r="AQ58" s="130"/>
      <c r="AR58" s="130"/>
      <c r="AS58" s="130"/>
      <c r="AT58" s="130"/>
      <c r="AU58" s="130"/>
      <c r="AV58" s="130"/>
      <c r="AW58" s="130"/>
      <c r="AX58" s="130"/>
      <c r="AY58" s="130"/>
      <c r="AZ58" s="130"/>
      <c r="BA58" s="130"/>
      <c r="BB58" s="130"/>
      <c r="BC58" s="130"/>
      <c r="BD58" s="130"/>
    </row>
    <row r="59" spans="1:56" ht="151.5" customHeight="1" x14ac:dyDescent="0.3">
      <c r="A59" s="1093"/>
      <c r="B59" s="1093"/>
      <c r="C59" s="1093"/>
      <c r="D59" s="1093"/>
      <c r="E59" s="1093"/>
      <c r="F59" s="1093"/>
      <c r="G59" s="1093"/>
      <c r="H59" s="1093"/>
      <c r="I59" s="1093"/>
      <c r="J59" s="1093"/>
      <c r="K59" s="1093"/>
      <c r="L59" s="1093"/>
      <c r="M59" s="1093"/>
      <c r="N59" s="1093"/>
      <c r="O59" s="3">
        <v>2</v>
      </c>
      <c r="P59" s="11"/>
      <c r="Q59" s="3" t="str">
        <f t="shared" si="0"/>
        <v/>
      </c>
      <c r="R59" s="9"/>
      <c r="S59" s="9"/>
      <c r="T59" s="4" t="str">
        <f t="shared" si="1"/>
        <v/>
      </c>
      <c r="U59" s="9"/>
      <c r="V59" s="9"/>
      <c r="W59" s="9"/>
      <c r="X59" s="5" t="str">
        <f>IFERROR(IF(AND(Q58="Probabilidad",Q59="Probabilidad"),(Z58-(+Z58*T59)),IF(Q59="Probabilidad",(I58-(+I58*T59)),IF(Q59="Impacto",Z58,""))),"")</f>
        <v/>
      </c>
      <c r="Y59" s="6" t="str">
        <f t="shared" si="2"/>
        <v/>
      </c>
      <c r="Z59" s="7" t="str">
        <f t="shared" si="3"/>
        <v/>
      </c>
      <c r="AA59" s="6" t="str">
        <f t="shared" si="4"/>
        <v/>
      </c>
      <c r="AB59" s="7" t="str">
        <f>IFERROR(IF(AND(Q58="Impacto",Q59="Impacto"),(AB52-(+AB52*T59)),IF(Q59="Impacto",($M$58-(+$M$58*T59)),IF(Q59="Probabilidad",AB52,""))),"")</f>
        <v/>
      </c>
      <c r="AC59" s="8" t="str">
        <f t="shared" si="5"/>
        <v/>
      </c>
      <c r="AD59" s="10"/>
      <c r="AE59" s="18"/>
      <c r="AF59" s="3"/>
      <c r="AG59" s="17"/>
      <c r="AH59" s="17"/>
      <c r="AI59" s="18"/>
      <c r="AJ59" s="3"/>
      <c r="AK59" s="130"/>
      <c r="AL59" s="130"/>
      <c r="AM59" s="130"/>
      <c r="AN59" s="130"/>
      <c r="AO59" s="130"/>
      <c r="AP59" s="130"/>
      <c r="AQ59" s="130"/>
      <c r="AR59" s="130"/>
      <c r="AS59" s="130"/>
      <c r="AT59" s="130"/>
      <c r="AU59" s="130"/>
      <c r="AV59" s="130"/>
      <c r="AW59" s="130"/>
      <c r="AX59" s="130"/>
      <c r="AY59" s="130"/>
      <c r="AZ59" s="130"/>
      <c r="BA59" s="130"/>
      <c r="BB59" s="130"/>
      <c r="BC59" s="130"/>
      <c r="BD59" s="130"/>
    </row>
    <row r="60" spans="1:56" ht="151.5" customHeight="1" x14ac:dyDescent="0.3">
      <c r="A60" s="1093"/>
      <c r="B60" s="1093"/>
      <c r="C60" s="1093"/>
      <c r="D60" s="1093"/>
      <c r="E60" s="1093"/>
      <c r="F60" s="1093"/>
      <c r="G60" s="1093"/>
      <c r="H60" s="1093"/>
      <c r="I60" s="1093"/>
      <c r="J60" s="1093"/>
      <c r="K60" s="1093"/>
      <c r="L60" s="1093"/>
      <c r="M60" s="1093"/>
      <c r="N60" s="1093"/>
      <c r="O60" s="3">
        <v>3</v>
      </c>
      <c r="P60" s="12"/>
      <c r="Q60" s="3" t="str">
        <f t="shared" si="0"/>
        <v/>
      </c>
      <c r="R60" s="9"/>
      <c r="S60" s="9"/>
      <c r="T60" s="4" t="str">
        <f t="shared" si="1"/>
        <v/>
      </c>
      <c r="U60" s="9"/>
      <c r="V60" s="9"/>
      <c r="W60" s="9"/>
      <c r="X60" s="5" t="str">
        <f>IFERROR(IF(AND(Q59="Probabilidad",Q60="Probabilidad"),(Z59-(+Z59*T60)),IF(AND(Q59="Impacto",Q60="Probabilidad"),(Z58-(+Z58*T60)),IF(Q60="Impacto",Z59,""))),"")</f>
        <v/>
      </c>
      <c r="Y60" s="6" t="str">
        <f t="shared" si="2"/>
        <v/>
      </c>
      <c r="Z60" s="7" t="str">
        <f t="shared" si="3"/>
        <v/>
      </c>
      <c r="AA60" s="6" t="str">
        <f t="shared" si="4"/>
        <v/>
      </c>
      <c r="AB60" s="7" t="str">
        <f>IFERROR(IF(AND(Q59="Impacto",Q60="Impacto"),(AB59-(+AB59*T60)),IF(AND(Q59="Probabilidad",Q60="Impacto"),(AB58-(+AB58*T60)),IF(Q60="Probabilidad",AB59,""))),"")</f>
        <v/>
      </c>
      <c r="AC60" s="8" t="str">
        <f t="shared" si="5"/>
        <v/>
      </c>
      <c r="AD60" s="10"/>
      <c r="AE60" s="18"/>
      <c r="AF60" s="3"/>
      <c r="AG60" s="17"/>
      <c r="AH60" s="17"/>
      <c r="AI60" s="18"/>
      <c r="AJ60" s="3"/>
      <c r="AK60" s="130"/>
      <c r="AL60" s="130"/>
      <c r="AM60" s="130"/>
      <c r="AN60" s="130"/>
      <c r="AO60" s="130"/>
      <c r="AP60" s="130"/>
      <c r="AQ60" s="130"/>
      <c r="AR60" s="130"/>
      <c r="AS60" s="130"/>
      <c r="AT60" s="130"/>
      <c r="AU60" s="130"/>
      <c r="AV60" s="130"/>
      <c r="AW60" s="130"/>
      <c r="AX60" s="130"/>
      <c r="AY60" s="130"/>
      <c r="AZ60" s="130"/>
      <c r="BA60" s="130"/>
      <c r="BB60" s="130"/>
      <c r="BC60" s="130"/>
      <c r="BD60" s="130"/>
    </row>
    <row r="61" spans="1:56" ht="151.5" customHeight="1" x14ac:dyDescent="0.3">
      <c r="A61" s="1093"/>
      <c r="B61" s="1093"/>
      <c r="C61" s="1093"/>
      <c r="D61" s="1093"/>
      <c r="E61" s="1093"/>
      <c r="F61" s="1093"/>
      <c r="G61" s="1093"/>
      <c r="H61" s="1093"/>
      <c r="I61" s="1093"/>
      <c r="J61" s="1093"/>
      <c r="K61" s="1093"/>
      <c r="L61" s="1093"/>
      <c r="M61" s="1093"/>
      <c r="N61" s="1093"/>
      <c r="O61" s="3">
        <v>4</v>
      </c>
      <c r="P61" s="11"/>
      <c r="Q61" s="3" t="str">
        <f t="shared" si="0"/>
        <v/>
      </c>
      <c r="R61" s="9"/>
      <c r="S61" s="9"/>
      <c r="T61" s="4" t="str">
        <f t="shared" si="1"/>
        <v/>
      </c>
      <c r="U61" s="9"/>
      <c r="V61" s="9"/>
      <c r="W61" s="9"/>
      <c r="X61" s="5" t="str">
        <f>IFERROR(IF(AND(Q60="Probabilidad",Q61="Probabilidad"),(Z60-(+Z60*T61)),IF(AND(Q60="Impacto",Q61="Probabilidad"),(Z59-(+Z59*T61)),IF(Q61="Impacto",Z60,""))),"")</f>
        <v/>
      </c>
      <c r="Y61" s="6" t="str">
        <f t="shared" si="2"/>
        <v/>
      </c>
      <c r="Z61" s="7" t="str">
        <f t="shared" si="3"/>
        <v/>
      </c>
      <c r="AA61" s="6" t="str">
        <f t="shared" si="4"/>
        <v/>
      </c>
      <c r="AB61" s="7" t="str">
        <f>IFERROR(IF(AND(Q60="Impacto",Q61="Impacto"),(AB60-(+AB60*T61)),IF(AND(Q60="Probabilidad",Q61="Impacto"),(AB59-(+AB59*T61)),IF(Q61="Probabilidad",AB60,""))),"")</f>
        <v/>
      </c>
      <c r="AC61" s="8" t="str">
        <f t="shared" si="5"/>
        <v/>
      </c>
      <c r="AD61" s="10"/>
      <c r="AE61" s="18"/>
      <c r="AF61" s="3"/>
      <c r="AG61" s="17"/>
      <c r="AH61" s="17"/>
      <c r="AI61" s="18"/>
      <c r="AJ61" s="3"/>
      <c r="AK61" s="130"/>
      <c r="AL61" s="130"/>
      <c r="AM61" s="130"/>
      <c r="AN61" s="130"/>
      <c r="AO61" s="130"/>
      <c r="AP61" s="130"/>
      <c r="AQ61" s="130"/>
      <c r="AR61" s="130"/>
      <c r="AS61" s="130"/>
      <c r="AT61" s="130"/>
      <c r="AU61" s="130"/>
      <c r="AV61" s="130"/>
      <c r="AW61" s="130"/>
      <c r="AX61" s="130"/>
      <c r="AY61" s="130"/>
      <c r="AZ61" s="130"/>
      <c r="BA61" s="130"/>
      <c r="BB61" s="130"/>
      <c r="BC61" s="130"/>
      <c r="BD61" s="130"/>
    </row>
    <row r="62" spans="1:56" ht="151.5" customHeight="1" x14ac:dyDescent="0.3">
      <c r="A62" s="1093"/>
      <c r="B62" s="1093"/>
      <c r="C62" s="1093"/>
      <c r="D62" s="1093"/>
      <c r="E62" s="1093"/>
      <c r="F62" s="1093"/>
      <c r="G62" s="1093"/>
      <c r="H62" s="1093"/>
      <c r="I62" s="1093"/>
      <c r="J62" s="1093"/>
      <c r="K62" s="1093"/>
      <c r="L62" s="1093"/>
      <c r="M62" s="1093"/>
      <c r="N62" s="1093"/>
      <c r="O62" s="3">
        <v>5</v>
      </c>
      <c r="P62" s="11"/>
      <c r="Q62" s="3" t="str">
        <f t="shared" si="0"/>
        <v/>
      </c>
      <c r="R62" s="9"/>
      <c r="S62" s="9"/>
      <c r="T62" s="4" t="str">
        <f t="shared" si="1"/>
        <v/>
      </c>
      <c r="U62" s="9"/>
      <c r="V62" s="9"/>
      <c r="W62" s="9"/>
      <c r="X62" s="5" t="str">
        <f>IFERROR(IF(AND(Q61="Probabilidad",Q62="Probabilidad"),(Z61-(+Z61*T62)),IF(AND(Q61="Impacto",Q62="Probabilidad"),(Z60-(+Z60*T62)),IF(Q62="Impacto",Z61,""))),"")</f>
        <v/>
      </c>
      <c r="Y62" s="6" t="str">
        <f t="shared" si="2"/>
        <v/>
      </c>
      <c r="Z62" s="7" t="str">
        <f t="shared" si="3"/>
        <v/>
      </c>
      <c r="AA62" s="6" t="str">
        <f t="shared" si="4"/>
        <v/>
      </c>
      <c r="AB62" s="7" t="str">
        <f>IFERROR(IF(AND(Q61="Impacto",Q62="Impacto"),(AB61-(+AB61*T62)),IF(AND(Q61="Probabilidad",Q62="Impacto"),(AB60-(+AB60*T62)),IF(Q62="Probabilidad",AB61,""))),"")</f>
        <v/>
      </c>
      <c r="AC62" s="8" t="str">
        <f t="shared" si="5"/>
        <v/>
      </c>
      <c r="AD62" s="10"/>
      <c r="AE62" s="18"/>
      <c r="AF62" s="3"/>
      <c r="AG62" s="17"/>
      <c r="AH62" s="17"/>
      <c r="AI62" s="18"/>
      <c r="AJ62" s="3"/>
      <c r="AK62" s="130"/>
      <c r="AL62" s="130"/>
      <c r="AM62" s="130"/>
      <c r="AN62" s="130"/>
      <c r="AO62" s="130"/>
      <c r="AP62" s="130"/>
      <c r="AQ62" s="130"/>
      <c r="AR62" s="130"/>
      <c r="AS62" s="130"/>
      <c r="AT62" s="130"/>
      <c r="AU62" s="130"/>
      <c r="AV62" s="130"/>
      <c r="AW62" s="130"/>
      <c r="AX62" s="130"/>
      <c r="AY62" s="130"/>
      <c r="AZ62" s="130"/>
      <c r="BA62" s="130"/>
      <c r="BB62" s="130"/>
      <c r="BC62" s="130"/>
      <c r="BD62" s="130"/>
    </row>
    <row r="63" spans="1:56" ht="151.5" customHeight="1" x14ac:dyDescent="0.3">
      <c r="A63" s="1083"/>
      <c r="B63" s="1083"/>
      <c r="C63" s="1083"/>
      <c r="D63" s="1083"/>
      <c r="E63" s="1083"/>
      <c r="F63" s="1083"/>
      <c r="G63" s="1083"/>
      <c r="H63" s="1083"/>
      <c r="I63" s="1083"/>
      <c r="J63" s="1083"/>
      <c r="K63" s="1083"/>
      <c r="L63" s="1083"/>
      <c r="M63" s="1083"/>
      <c r="N63" s="1083"/>
      <c r="O63" s="3">
        <v>6</v>
      </c>
      <c r="P63" s="11"/>
      <c r="Q63" s="3" t="str">
        <f t="shared" si="0"/>
        <v/>
      </c>
      <c r="R63" s="9"/>
      <c r="S63" s="9"/>
      <c r="T63" s="4" t="str">
        <f t="shared" si="1"/>
        <v/>
      </c>
      <c r="U63" s="9"/>
      <c r="V63" s="9"/>
      <c r="W63" s="9"/>
      <c r="X63" s="5" t="str">
        <f>IFERROR(IF(AND(Q62="Probabilidad",Q63="Probabilidad"),(Z62-(+Z62*T63)),IF(AND(Q62="Impacto",Q63="Probabilidad"),(Z61-(+Z61*T63)),IF(Q63="Impacto",Z62,""))),"")</f>
        <v/>
      </c>
      <c r="Y63" s="6" t="str">
        <f t="shared" si="2"/>
        <v/>
      </c>
      <c r="Z63" s="7" t="str">
        <f t="shared" si="3"/>
        <v/>
      </c>
      <c r="AA63" s="6" t="str">
        <f t="shared" si="4"/>
        <v/>
      </c>
      <c r="AB63" s="7" t="str">
        <f>IFERROR(IF(AND(Q62="Impacto",Q63="Impacto"),(AB62-(+AB62*T63)),IF(AND(Q62="Probabilidad",Q63="Impacto"),(AB61-(+AB61*T63)),IF(Q63="Probabilidad",AB62,""))),"")</f>
        <v/>
      </c>
      <c r="AC63" s="8" t="str">
        <f t="shared" si="5"/>
        <v/>
      </c>
      <c r="AD63" s="10"/>
      <c r="AE63" s="18"/>
      <c r="AF63" s="3"/>
      <c r="AG63" s="17"/>
      <c r="AH63" s="17"/>
      <c r="AI63" s="18"/>
      <c r="AJ63" s="3"/>
      <c r="AK63" s="130"/>
      <c r="AL63" s="130"/>
      <c r="AM63" s="130"/>
      <c r="AN63" s="130"/>
      <c r="AO63" s="130"/>
      <c r="AP63" s="130"/>
      <c r="AQ63" s="130"/>
      <c r="AR63" s="130"/>
      <c r="AS63" s="130"/>
      <c r="AT63" s="130"/>
      <c r="AU63" s="130"/>
      <c r="AV63" s="130"/>
      <c r="AW63" s="130"/>
      <c r="AX63" s="130"/>
      <c r="AY63" s="130"/>
      <c r="AZ63" s="130"/>
      <c r="BA63" s="130"/>
      <c r="BB63" s="130"/>
      <c r="BC63" s="130"/>
      <c r="BD63" s="130"/>
    </row>
    <row r="64" spans="1:56" ht="151.5" customHeight="1" x14ac:dyDescent="0.3">
      <c r="A64" s="1095">
        <v>10</v>
      </c>
      <c r="B64" s="1096"/>
      <c r="C64" s="1096"/>
      <c r="D64" s="1096"/>
      <c r="E64" s="1096"/>
      <c r="F64" s="1096"/>
      <c r="G64" s="1095"/>
      <c r="H64" s="1097" t="str">
        <f>IF(G64&lt;=0,"",IF(G64&lt;=2,"Muy Baja",IF(G64&lt;=24,"Baja",IF(G64&lt;=500,"Media",IF(G64&lt;=5000,"Alta","Muy Alta")))))</f>
        <v/>
      </c>
      <c r="I64" s="1094" t="str">
        <f>IF(H64="","",IF(H64="Muy Baja",0.2,IF(H64="Baja",0.4,IF(H64="Media",0.6,IF(H64="Alta",0.8,IF(H64="Muy Alta",1,))))))</f>
        <v/>
      </c>
      <c r="J64" s="1094"/>
      <c r="K64" s="1094" t="str">
        <f>IF(NOT(ISERROR(MATCH(J64,'Tabla Impacto'!$B$222:$B$224,0))),'Tabla Impacto'!$F$224&amp;"Por favor no seleccionar los criterios de impacto(Afectación Económica o presupuestal y Pérdida Reputacional)",J64)</f>
        <v>❌Por favor no seleccionar los criterios de impacto(Afectación Económica o presupuestal y Pérdida Reputacional)</v>
      </c>
      <c r="L64" s="1097" t="str">
        <f>IF(OR(K64='Tabla Impacto'!$C$12,K64='Tabla Impacto'!$D$12),"Leve",IF(OR(K64='Tabla Impacto'!$C$13,K64='Tabla Impacto'!$D$13),"Menor",IF(OR(K64='Tabla Impacto'!$C$14,K64='Tabla Impacto'!$D$14),"Moderado",IF(OR(K64='Tabla Impacto'!$C$15,K64='Tabla Impacto'!$D$15),"Mayor",IF(OR(K64='Tabla Impacto'!$C$16,K64='Tabla Impacto'!$D$16),"Catastrófico","")))))</f>
        <v/>
      </c>
      <c r="M64" s="1094" t="str">
        <f>IF(L64="","",IF(L64="Leve",0.2,IF(L64="Menor",0.4,IF(L64="Moderado",0.6,IF(L64="Mayor",0.8,IF(L64="Catastrófico",1,))))))</f>
        <v/>
      </c>
      <c r="N64" s="1092" t="str">
        <f>IF(OR(AND(H64="Muy Baja",L64="Leve"),AND(H64="Muy Baja",L64="Menor"),AND(H64="Baja",L64="Leve")),"Bajo",IF(OR(AND(H64="Muy baja",L64="Moderado"),AND(H64="Baja",L64="Menor"),AND(H64="Baja",L64="Moderado"),AND(H64="Media",L64="Leve"),AND(H64="Media",L64="Menor"),AND(H64="Media",L64="Moderado"),AND(H64="Alta",L64="Leve"),AND(H64="Alta",L64="Menor")),"Moderado",IF(OR(AND(H64="Muy Baja",L64="Mayor"),AND(H64="Baja",L64="Mayor"),AND(H64="Media",L64="Mayor"),AND(H64="Alta",L64="Moderado"),AND(H64="Alta",L64="Mayor"),AND(H64="Muy Alta",L64="Leve"),AND(H64="Muy Alta",L64="Menor"),AND(H64="Muy Alta",L64="Moderado"),AND(H64="Muy Alta",L64="Mayor")),"Alto",IF(OR(AND(H64="Muy Baja",L64="Catastrófico"),AND(H64="Baja",L64="Catastrófico"),AND(H64="Media",L64="Catastrófico"),AND(H64="Alta",L64="Catastrófico"),AND(H64="Muy Alta",L64="Catastrófico")),"Extremo",""))))</f>
        <v/>
      </c>
      <c r="O64" s="3">
        <v>1</v>
      </c>
      <c r="P64" s="11"/>
      <c r="Q64" s="3" t="str">
        <f t="shared" si="0"/>
        <v/>
      </c>
      <c r="R64" s="9"/>
      <c r="S64" s="9"/>
      <c r="T64" s="4" t="str">
        <f t="shared" si="1"/>
        <v/>
      </c>
      <c r="U64" s="9"/>
      <c r="V64" s="9"/>
      <c r="W64" s="9"/>
      <c r="X64" s="5" t="str">
        <f>IFERROR(IF(Q64="Probabilidad",(I64-(+I64*T64)),IF(Q64="Impacto",I64,"")),"")</f>
        <v/>
      </c>
      <c r="Y64" s="6" t="str">
        <f t="shared" si="2"/>
        <v/>
      </c>
      <c r="Z64" s="7" t="str">
        <f t="shared" si="3"/>
        <v/>
      </c>
      <c r="AA64" s="6" t="str">
        <f t="shared" si="4"/>
        <v/>
      </c>
      <c r="AB64" s="7" t="str">
        <f>IFERROR(IF(Q64="Impacto",(M64-(+M64*T64)),IF(Q64="Probabilidad",M64,"")),"")</f>
        <v/>
      </c>
      <c r="AC64" s="8" t="str">
        <f t="shared" si="5"/>
        <v/>
      </c>
      <c r="AD64" s="10"/>
      <c r="AE64" s="18"/>
      <c r="AF64" s="3"/>
      <c r="AG64" s="17"/>
      <c r="AH64" s="17"/>
      <c r="AI64" s="18"/>
      <c r="AJ64" s="3"/>
      <c r="AK64" s="130"/>
      <c r="AL64" s="130"/>
      <c r="AM64" s="130"/>
      <c r="AN64" s="130"/>
      <c r="AO64" s="130"/>
      <c r="AP64" s="130"/>
      <c r="AQ64" s="130"/>
      <c r="AR64" s="130"/>
      <c r="AS64" s="130"/>
      <c r="AT64" s="130"/>
      <c r="AU64" s="130"/>
      <c r="AV64" s="130"/>
      <c r="AW64" s="130"/>
      <c r="AX64" s="130"/>
      <c r="AY64" s="130"/>
      <c r="AZ64" s="130"/>
      <c r="BA64" s="130"/>
      <c r="BB64" s="130"/>
      <c r="BC64" s="130"/>
      <c r="BD64" s="130"/>
    </row>
    <row r="65" spans="1:56" ht="151.5" customHeight="1" x14ac:dyDescent="0.3">
      <c r="A65" s="1093"/>
      <c r="B65" s="1093"/>
      <c r="C65" s="1093"/>
      <c r="D65" s="1093"/>
      <c r="E65" s="1093"/>
      <c r="F65" s="1093"/>
      <c r="G65" s="1093"/>
      <c r="H65" s="1093"/>
      <c r="I65" s="1093"/>
      <c r="J65" s="1093"/>
      <c r="K65" s="1093"/>
      <c r="L65" s="1093"/>
      <c r="M65" s="1093"/>
      <c r="N65" s="1093"/>
      <c r="O65" s="3">
        <v>2</v>
      </c>
      <c r="P65" s="11"/>
      <c r="Q65" s="3" t="str">
        <f t="shared" si="0"/>
        <v/>
      </c>
      <c r="R65" s="9"/>
      <c r="S65" s="9"/>
      <c r="T65" s="4" t="str">
        <f t="shared" si="1"/>
        <v/>
      </c>
      <c r="U65" s="9"/>
      <c r="V65" s="9"/>
      <c r="W65" s="9"/>
      <c r="X65" s="5" t="str">
        <f>IFERROR(IF(AND(Q64="Probabilidad",Q65="Probabilidad"),(Z64-(+Z64*T65)),IF(Q65="Probabilidad",(I64-(+I64*T65)),IF(Q65="Impacto",Z64,""))),"")</f>
        <v/>
      </c>
      <c r="Y65" s="6" t="str">
        <f t="shared" si="2"/>
        <v/>
      </c>
      <c r="Z65" s="7" t="str">
        <f t="shared" si="3"/>
        <v/>
      </c>
      <c r="AA65" s="6" t="str">
        <f t="shared" si="4"/>
        <v/>
      </c>
      <c r="AB65" s="7" t="str">
        <f>IFERROR(IF(AND(Q64="Impacto",Q65="Impacto"),(AB58-(+AB58*T65)),IF(Q65="Impacto",($M$64-(+$M$64*T65)),IF(Q65="Probabilidad",AB58,""))),"")</f>
        <v/>
      </c>
      <c r="AC65" s="8" t="str">
        <f t="shared" si="5"/>
        <v/>
      </c>
      <c r="AD65" s="10"/>
      <c r="AE65" s="18"/>
      <c r="AF65" s="3"/>
      <c r="AG65" s="17"/>
      <c r="AH65" s="17"/>
      <c r="AI65" s="18"/>
      <c r="AJ65" s="3"/>
      <c r="AK65" s="1"/>
      <c r="AL65" s="1"/>
      <c r="AM65" s="1"/>
      <c r="AN65" s="1"/>
      <c r="AO65" s="1"/>
      <c r="AP65" s="1"/>
      <c r="AQ65" s="1"/>
      <c r="AR65" s="1"/>
      <c r="AS65" s="1"/>
      <c r="AT65" s="1"/>
      <c r="AU65" s="1"/>
      <c r="AV65" s="1"/>
      <c r="AW65" s="1"/>
      <c r="AX65" s="1"/>
      <c r="AY65" s="1"/>
      <c r="AZ65" s="1"/>
      <c r="BA65" s="1"/>
      <c r="BB65" s="1"/>
      <c r="BC65" s="1"/>
      <c r="BD65" s="1"/>
    </row>
    <row r="66" spans="1:56" ht="151.5" customHeight="1" x14ac:dyDescent="0.3">
      <c r="A66" s="1093"/>
      <c r="B66" s="1093"/>
      <c r="C66" s="1093"/>
      <c r="D66" s="1093"/>
      <c r="E66" s="1093"/>
      <c r="F66" s="1093"/>
      <c r="G66" s="1093"/>
      <c r="H66" s="1093"/>
      <c r="I66" s="1093"/>
      <c r="J66" s="1093"/>
      <c r="K66" s="1093"/>
      <c r="L66" s="1093"/>
      <c r="M66" s="1093"/>
      <c r="N66" s="1093"/>
      <c r="O66" s="3">
        <v>3</v>
      </c>
      <c r="P66" s="12"/>
      <c r="Q66" s="3" t="str">
        <f t="shared" si="0"/>
        <v/>
      </c>
      <c r="R66" s="9"/>
      <c r="S66" s="9"/>
      <c r="T66" s="4" t="str">
        <f t="shared" si="1"/>
        <v/>
      </c>
      <c r="U66" s="9"/>
      <c r="V66" s="9"/>
      <c r="W66" s="9"/>
      <c r="X66" s="5" t="str">
        <f>IFERROR(IF(AND(Q65="Probabilidad",Q66="Probabilidad"),(Z65-(+Z65*T66)),IF(AND(Q65="Impacto",Q66="Probabilidad"),(Z64-(+Z64*T66)),IF(Q66="Impacto",Z65,""))),"")</f>
        <v/>
      </c>
      <c r="Y66" s="6" t="str">
        <f t="shared" si="2"/>
        <v/>
      </c>
      <c r="Z66" s="7" t="str">
        <f t="shared" si="3"/>
        <v/>
      </c>
      <c r="AA66" s="6" t="str">
        <f t="shared" si="4"/>
        <v/>
      </c>
      <c r="AB66" s="7" t="str">
        <f>IFERROR(IF(AND(Q65="Impacto",Q66="Impacto"),(AB65-(+AB65*T66)),IF(AND(Q65="Probabilidad",Q66="Impacto"),(AB64-(+AB64*T66)),IF(Q66="Probabilidad",AB65,""))),"")</f>
        <v/>
      </c>
      <c r="AC66" s="8" t="str">
        <f t="shared" si="5"/>
        <v/>
      </c>
      <c r="AD66" s="10"/>
      <c r="AE66" s="18"/>
      <c r="AF66" s="3"/>
      <c r="AG66" s="17"/>
      <c r="AH66" s="17"/>
      <c r="AI66" s="18"/>
      <c r="AJ66" s="3"/>
      <c r="AK66" s="1"/>
      <c r="AL66" s="1"/>
      <c r="AM66" s="1"/>
      <c r="AN66" s="1"/>
      <c r="AO66" s="1"/>
      <c r="AP66" s="1"/>
      <c r="AQ66" s="1"/>
      <c r="AR66" s="1"/>
      <c r="AS66" s="1"/>
      <c r="AT66" s="1"/>
      <c r="AU66" s="1"/>
      <c r="AV66" s="1"/>
      <c r="AW66" s="1"/>
      <c r="AX66" s="1"/>
      <c r="AY66" s="1"/>
      <c r="AZ66" s="1"/>
      <c r="BA66" s="1"/>
      <c r="BB66" s="1"/>
      <c r="BC66" s="1"/>
      <c r="BD66" s="1"/>
    </row>
    <row r="67" spans="1:56" ht="151.5" customHeight="1" x14ac:dyDescent="0.3">
      <c r="A67" s="1093"/>
      <c r="B67" s="1093"/>
      <c r="C67" s="1093"/>
      <c r="D67" s="1093"/>
      <c r="E67" s="1093"/>
      <c r="F67" s="1093"/>
      <c r="G67" s="1093"/>
      <c r="H67" s="1093"/>
      <c r="I67" s="1093"/>
      <c r="J67" s="1093"/>
      <c r="K67" s="1093"/>
      <c r="L67" s="1093"/>
      <c r="M67" s="1093"/>
      <c r="N67" s="1093"/>
      <c r="O67" s="3">
        <v>4</v>
      </c>
      <c r="P67" s="11"/>
      <c r="Q67" s="3" t="str">
        <f t="shared" si="0"/>
        <v/>
      </c>
      <c r="R67" s="9"/>
      <c r="S67" s="9"/>
      <c r="T67" s="4" t="str">
        <f t="shared" si="1"/>
        <v/>
      </c>
      <c r="U67" s="9"/>
      <c r="V67" s="9"/>
      <c r="W67" s="9"/>
      <c r="X67" s="5" t="str">
        <f>IFERROR(IF(AND(Q66="Probabilidad",Q67="Probabilidad"),(Z66-(+Z66*T67)),IF(AND(Q66="Impacto",Q67="Probabilidad"),(Z65-(+Z65*T67)),IF(Q67="Impacto",Z66,""))),"")</f>
        <v/>
      </c>
      <c r="Y67" s="6" t="str">
        <f t="shared" si="2"/>
        <v/>
      </c>
      <c r="Z67" s="7" t="str">
        <f t="shared" si="3"/>
        <v/>
      </c>
      <c r="AA67" s="6" t="str">
        <f t="shared" si="4"/>
        <v/>
      </c>
      <c r="AB67" s="7" t="str">
        <f>IFERROR(IF(AND(Q66="Impacto",Q67="Impacto"),(AB66-(+AB66*T67)),IF(AND(Q66="Probabilidad",Q67="Impacto"),(AB65-(+AB65*T67)),IF(Q67="Probabilidad",AB66,""))),"")</f>
        <v/>
      </c>
      <c r="AC67" s="8" t="str">
        <f t="shared" si="5"/>
        <v/>
      </c>
      <c r="AD67" s="10"/>
      <c r="AE67" s="18"/>
      <c r="AF67" s="3"/>
      <c r="AG67" s="17"/>
      <c r="AH67" s="17"/>
      <c r="AI67" s="18"/>
      <c r="AJ67" s="3"/>
      <c r="AK67" s="1"/>
      <c r="AL67" s="1"/>
      <c r="AM67" s="1"/>
      <c r="AN67" s="1"/>
      <c r="AO67" s="1"/>
      <c r="AP67" s="1"/>
      <c r="AQ67" s="1"/>
      <c r="AR67" s="1"/>
      <c r="AS67" s="1"/>
      <c r="AT67" s="1"/>
      <c r="AU67" s="1"/>
      <c r="AV67" s="1"/>
      <c r="AW67" s="1"/>
      <c r="AX67" s="1"/>
      <c r="AY67" s="1"/>
      <c r="AZ67" s="1"/>
      <c r="BA67" s="1"/>
      <c r="BB67" s="1"/>
      <c r="BC67" s="1"/>
      <c r="BD67" s="1"/>
    </row>
    <row r="68" spans="1:56" ht="151.5" customHeight="1" x14ac:dyDescent="0.3">
      <c r="A68" s="1093"/>
      <c r="B68" s="1093"/>
      <c r="C68" s="1093"/>
      <c r="D68" s="1093"/>
      <c r="E68" s="1093"/>
      <c r="F68" s="1093"/>
      <c r="G68" s="1093"/>
      <c r="H68" s="1093"/>
      <c r="I68" s="1093"/>
      <c r="J68" s="1093"/>
      <c r="K68" s="1093"/>
      <c r="L68" s="1093"/>
      <c r="M68" s="1093"/>
      <c r="N68" s="1093"/>
      <c r="O68" s="3">
        <v>5</v>
      </c>
      <c r="P68" s="11"/>
      <c r="Q68" s="3" t="str">
        <f t="shared" si="0"/>
        <v/>
      </c>
      <c r="R68" s="9"/>
      <c r="S68" s="9"/>
      <c r="T68" s="4" t="str">
        <f t="shared" si="1"/>
        <v/>
      </c>
      <c r="U68" s="9"/>
      <c r="V68" s="9"/>
      <c r="W68" s="9"/>
      <c r="X68" s="5" t="str">
        <f>IFERROR(IF(AND(Q67="Probabilidad",Q68="Probabilidad"),(Z67-(+Z67*T68)),IF(AND(Q67="Impacto",Q68="Probabilidad"),(Z66-(+Z66*T68)),IF(Q68="Impacto",Z67,""))),"")</f>
        <v/>
      </c>
      <c r="Y68" s="6" t="str">
        <f t="shared" si="2"/>
        <v/>
      </c>
      <c r="Z68" s="7" t="str">
        <f t="shared" si="3"/>
        <v/>
      </c>
      <c r="AA68" s="6" t="str">
        <f t="shared" si="4"/>
        <v/>
      </c>
      <c r="AB68" s="7" t="str">
        <f>IFERROR(IF(AND(Q67="Impacto",Q68="Impacto"),(AB67-(+AB67*T68)),IF(AND(Q67="Probabilidad",Q68="Impacto"),(AB66-(+AB66*T68)),IF(Q68="Probabilidad",AB67,""))),"")</f>
        <v/>
      </c>
      <c r="AC68" s="8" t="str">
        <f t="shared" si="5"/>
        <v/>
      </c>
      <c r="AD68" s="10"/>
      <c r="AE68" s="18"/>
      <c r="AF68" s="3"/>
      <c r="AG68" s="17"/>
      <c r="AH68" s="17"/>
      <c r="AI68" s="18"/>
      <c r="AJ68" s="3"/>
      <c r="AK68" s="1"/>
      <c r="AL68" s="1"/>
      <c r="AM68" s="1"/>
      <c r="AN68" s="1"/>
      <c r="AO68" s="1"/>
      <c r="AP68" s="1"/>
      <c r="AQ68" s="1"/>
      <c r="AR68" s="1"/>
      <c r="AS68" s="1"/>
      <c r="AT68" s="1"/>
      <c r="AU68" s="1"/>
      <c r="AV68" s="1"/>
      <c r="AW68" s="1"/>
      <c r="AX68" s="1"/>
      <c r="AY68" s="1"/>
      <c r="AZ68" s="1"/>
      <c r="BA68" s="1"/>
      <c r="BB68" s="1"/>
      <c r="BC68" s="1"/>
      <c r="BD68" s="1"/>
    </row>
    <row r="69" spans="1:56" ht="151.5" customHeight="1" x14ac:dyDescent="0.3">
      <c r="A69" s="1083"/>
      <c r="B69" s="1083"/>
      <c r="C69" s="1083"/>
      <c r="D69" s="1083"/>
      <c r="E69" s="1083"/>
      <c r="F69" s="1083"/>
      <c r="G69" s="1083"/>
      <c r="H69" s="1083"/>
      <c r="I69" s="1083"/>
      <c r="J69" s="1083"/>
      <c r="K69" s="1083"/>
      <c r="L69" s="1083"/>
      <c r="M69" s="1083"/>
      <c r="N69" s="1083"/>
      <c r="O69" s="3">
        <v>6</v>
      </c>
      <c r="P69" s="11"/>
      <c r="Q69" s="3" t="str">
        <f t="shared" si="0"/>
        <v/>
      </c>
      <c r="R69" s="9"/>
      <c r="S69" s="9"/>
      <c r="T69" s="4" t="str">
        <f t="shared" si="1"/>
        <v/>
      </c>
      <c r="U69" s="9"/>
      <c r="V69" s="9"/>
      <c r="W69" s="9"/>
      <c r="X69" s="5" t="str">
        <f>IFERROR(IF(AND(Q68="Probabilidad",Q69="Probabilidad"),(Z68-(+Z68*T69)),IF(AND(Q68="Impacto",Q69="Probabilidad"),(Z67-(+Z67*T69)),IF(Q69="Impacto",Z68,""))),"")</f>
        <v/>
      </c>
      <c r="Y69" s="6" t="str">
        <f t="shared" si="2"/>
        <v/>
      </c>
      <c r="Z69" s="7" t="str">
        <f t="shared" si="3"/>
        <v/>
      </c>
      <c r="AA69" s="6" t="str">
        <f t="shared" si="4"/>
        <v/>
      </c>
      <c r="AB69" s="7" t="str">
        <f>IFERROR(IF(AND(Q68="Impacto",Q69="Impacto"),(AB68-(+AB68*T69)),IF(AND(Q68="Probabilidad",Q69="Impacto"),(AB67-(+AB67*T69)),IF(Q69="Probabilidad",AB68,""))),"")</f>
        <v/>
      </c>
      <c r="AC69" s="8" t="str">
        <f t="shared" si="5"/>
        <v/>
      </c>
      <c r="AD69" s="10"/>
      <c r="AE69" s="18"/>
      <c r="AF69" s="3"/>
      <c r="AG69" s="17"/>
      <c r="AH69" s="17"/>
      <c r="AI69" s="18"/>
      <c r="AJ69" s="3"/>
      <c r="AK69" s="1"/>
      <c r="AL69" s="1"/>
      <c r="AM69" s="1"/>
      <c r="AN69" s="1"/>
      <c r="AO69" s="1"/>
      <c r="AP69" s="1"/>
      <c r="AQ69" s="1"/>
      <c r="AR69" s="1"/>
      <c r="AS69" s="1"/>
      <c r="AT69" s="1"/>
      <c r="AU69" s="1"/>
      <c r="AV69" s="1"/>
      <c r="AW69" s="1"/>
      <c r="AX69" s="1"/>
      <c r="AY69" s="1"/>
      <c r="AZ69" s="1"/>
      <c r="BA69" s="1"/>
      <c r="BB69" s="1"/>
      <c r="BC69" s="1"/>
      <c r="BD69" s="1"/>
    </row>
    <row r="70" spans="1:56" ht="49.5" customHeight="1" x14ac:dyDescent="0.3">
      <c r="A70" s="3"/>
      <c r="B70" s="1098" t="s">
        <v>2257</v>
      </c>
      <c r="C70" s="1072"/>
      <c r="D70" s="1072"/>
      <c r="E70" s="1072"/>
      <c r="F70" s="1072"/>
      <c r="G70" s="1072"/>
      <c r="H70" s="1072"/>
      <c r="I70" s="1072"/>
      <c r="J70" s="1072"/>
      <c r="K70" s="1072"/>
      <c r="L70" s="1072"/>
      <c r="M70" s="1072"/>
      <c r="N70" s="1072"/>
      <c r="O70" s="1072"/>
      <c r="P70" s="1072"/>
      <c r="Q70" s="1072"/>
      <c r="R70" s="1072"/>
      <c r="S70" s="1072"/>
      <c r="T70" s="1072"/>
      <c r="U70" s="1072"/>
      <c r="V70" s="1072"/>
      <c r="W70" s="1072"/>
      <c r="X70" s="1072"/>
      <c r="Y70" s="1072"/>
      <c r="Z70" s="1072"/>
      <c r="AA70" s="1072"/>
      <c r="AB70" s="1072"/>
      <c r="AC70" s="1072"/>
      <c r="AD70" s="1072"/>
      <c r="AE70" s="1072"/>
      <c r="AF70" s="1072"/>
      <c r="AG70" s="1072"/>
      <c r="AH70" s="1072"/>
      <c r="AI70" s="1072"/>
      <c r="AJ70" s="1070"/>
      <c r="AK70" s="1"/>
      <c r="AL70" s="1"/>
      <c r="AM70" s="1"/>
      <c r="AN70" s="1"/>
      <c r="AO70" s="1"/>
      <c r="AP70" s="1"/>
      <c r="AQ70" s="1"/>
      <c r="AR70" s="1"/>
      <c r="AS70" s="1"/>
      <c r="AT70" s="1"/>
      <c r="AU70" s="1"/>
      <c r="AV70" s="1"/>
      <c r="AW70" s="1"/>
      <c r="AX70" s="1"/>
      <c r="AY70" s="1"/>
      <c r="AZ70" s="1"/>
      <c r="BA70" s="1"/>
      <c r="BB70" s="1"/>
      <c r="BC70" s="1"/>
      <c r="BD70" s="1"/>
    </row>
    <row r="71" spans="1:56" ht="16.5" customHeight="1" x14ac:dyDescent="0.3">
      <c r="A71" s="14"/>
      <c r="B71" s="14"/>
      <c r="C71" s="14"/>
      <c r="D71" s="14"/>
      <c r="E71" s="1"/>
      <c r="F71" s="15"/>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row>
    <row r="72" spans="1:56" ht="16.5" customHeight="1" x14ac:dyDescent="0.3">
      <c r="A72" s="1"/>
      <c r="B72" s="16" t="s">
        <v>2258</v>
      </c>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row>
    <row r="73" spans="1:56" ht="16.5" customHeight="1" x14ac:dyDescent="0.3">
      <c r="A73" s="14"/>
      <c r="B73" s="14"/>
      <c r="C73" s="14"/>
      <c r="D73" s="14"/>
      <c r="E73" s="1"/>
      <c r="F73" s="15"/>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row>
    <row r="74" spans="1:56" ht="16.5" customHeight="1" x14ac:dyDescent="0.3">
      <c r="A74" s="14"/>
      <c r="B74" s="14"/>
      <c r="C74" s="14"/>
      <c r="D74" s="14"/>
      <c r="E74" s="1"/>
      <c r="F74" s="15"/>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row>
    <row r="75" spans="1:56" ht="16.5" customHeight="1" x14ac:dyDescent="0.3">
      <c r="A75" s="14"/>
      <c r="B75" s="14"/>
      <c r="C75" s="14"/>
      <c r="D75" s="14"/>
      <c r="E75" s="1"/>
      <c r="F75" s="15"/>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row>
    <row r="76" spans="1:56" ht="16.5" customHeight="1" x14ac:dyDescent="0.3">
      <c r="A76" s="14"/>
      <c r="B76" s="14"/>
      <c r="C76" s="14"/>
      <c r="D76" s="14"/>
      <c r="E76" s="1"/>
      <c r="F76" s="15"/>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row>
    <row r="77" spans="1:56" ht="16.5" customHeight="1" x14ac:dyDescent="0.3">
      <c r="A77" s="14"/>
      <c r="B77" s="14"/>
      <c r="C77" s="14"/>
      <c r="D77" s="14"/>
      <c r="E77" s="1"/>
      <c r="F77" s="15"/>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row>
    <row r="78" spans="1:56" ht="16.5" customHeight="1" x14ac:dyDescent="0.3">
      <c r="A78" s="14"/>
      <c r="B78" s="14"/>
      <c r="C78" s="14"/>
      <c r="D78" s="14"/>
      <c r="E78" s="1"/>
      <c r="F78" s="15"/>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row>
    <row r="79" spans="1:56" ht="16.5" customHeight="1" x14ac:dyDescent="0.3">
      <c r="A79" s="14"/>
      <c r="B79" s="14"/>
      <c r="C79" s="14"/>
      <c r="D79" s="14"/>
      <c r="E79" s="1"/>
      <c r="F79" s="15"/>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row>
    <row r="80" spans="1:56" ht="16.5" customHeight="1" x14ac:dyDescent="0.3">
      <c r="A80" s="14"/>
      <c r="B80" s="14"/>
      <c r="C80" s="14"/>
      <c r="D80" s="14"/>
      <c r="E80" s="1"/>
      <c r="F80" s="15"/>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row>
    <row r="81" spans="1:56" ht="16.5" customHeight="1" x14ac:dyDescent="0.3">
      <c r="A81" s="14"/>
      <c r="B81" s="14"/>
      <c r="C81" s="14"/>
      <c r="D81" s="14"/>
      <c r="E81" s="1"/>
      <c r="F81" s="15"/>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row>
    <row r="82" spans="1:56" ht="16.5" customHeight="1" x14ac:dyDescent="0.3">
      <c r="A82" s="14"/>
      <c r="B82" s="14"/>
      <c r="C82" s="14"/>
      <c r="D82" s="14"/>
      <c r="E82" s="1"/>
      <c r="F82" s="15"/>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row>
    <row r="83" spans="1:56" ht="16.5" customHeight="1" x14ac:dyDescent="0.3">
      <c r="A83" s="14"/>
      <c r="B83" s="14"/>
      <c r="C83" s="14"/>
      <c r="D83" s="14"/>
      <c r="E83" s="1"/>
      <c r="F83" s="15"/>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row>
    <row r="84" spans="1:56" ht="16.5" customHeight="1" x14ac:dyDescent="0.3">
      <c r="A84" s="14"/>
      <c r="B84" s="14"/>
      <c r="C84" s="14"/>
      <c r="D84" s="14"/>
      <c r="E84" s="1"/>
      <c r="F84" s="15"/>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row>
    <row r="85" spans="1:56" ht="16.5" customHeight="1" x14ac:dyDescent="0.3">
      <c r="A85" s="14"/>
      <c r="B85" s="14"/>
      <c r="C85" s="14"/>
      <c r="D85" s="14"/>
      <c r="E85" s="1"/>
      <c r="F85" s="15"/>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row>
    <row r="86" spans="1:56" ht="16.5" customHeight="1" x14ac:dyDescent="0.3">
      <c r="A86" s="14"/>
      <c r="B86" s="14"/>
      <c r="C86" s="14"/>
      <c r="D86" s="14"/>
      <c r="E86" s="1"/>
      <c r="F86" s="15"/>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row>
    <row r="87" spans="1:56" ht="16.5" customHeight="1" x14ac:dyDescent="0.3">
      <c r="A87" s="14"/>
      <c r="B87" s="14"/>
      <c r="C87" s="14"/>
      <c r="D87" s="14"/>
      <c r="E87" s="1"/>
      <c r="F87" s="15"/>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row>
    <row r="88" spans="1:56" ht="16.5" customHeight="1" x14ac:dyDescent="0.3">
      <c r="A88" s="14"/>
      <c r="B88" s="14"/>
      <c r="C88" s="14"/>
      <c r="D88" s="14"/>
      <c r="E88" s="1"/>
      <c r="F88" s="15"/>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row>
    <row r="89" spans="1:56" ht="16.5" customHeight="1" x14ac:dyDescent="0.3">
      <c r="A89" s="14"/>
      <c r="B89" s="14"/>
      <c r="C89" s="14"/>
      <c r="D89" s="14"/>
      <c r="E89" s="1"/>
      <c r="F89" s="15"/>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row>
    <row r="90" spans="1:56" ht="16.5" customHeight="1" x14ac:dyDescent="0.3">
      <c r="A90" s="14"/>
      <c r="B90" s="14"/>
      <c r="C90" s="14"/>
      <c r="D90" s="14"/>
      <c r="E90" s="1"/>
      <c r="F90" s="15"/>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row>
    <row r="91" spans="1:56" ht="16.5" customHeight="1" x14ac:dyDescent="0.3">
      <c r="A91" s="14"/>
      <c r="B91" s="14"/>
      <c r="C91" s="14"/>
      <c r="D91" s="14"/>
      <c r="E91" s="1"/>
      <c r="F91" s="15"/>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row>
    <row r="92" spans="1:56" ht="16.5" customHeight="1" x14ac:dyDescent="0.3">
      <c r="A92" s="14"/>
      <c r="B92" s="14"/>
      <c r="C92" s="14"/>
      <c r="D92" s="14"/>
      <c r="E92" s="1"/>
      <c r="F92" s="15"/>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row>
    <row r="93" spans="1:56" ht="16.5" customHeight="1" x14ac:dyDescent="0.3">
      <c r="A93" s="14"/>
      <c r="B93" s="14"/>
      <c r="C93" s="14"/>
      <c r="D93" s="14"/>
      <c r="E93" s="1"/>
      <c r="F93" s="15"/>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row>
    <row r="94" spans="1:56" ht="16.5" customHeight="1" x14ac:dyDescent="0.3">
      <c r="A94" s="14"/>
      <c r="B94" s="14"/>
      <c r="C94" s="14"/>
      <c r="D94" s="14"/>
      <c r="E94" s="1"/>
      <c r="F94" s="15"/>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row>
    <row r="95" spans="1:56" ht="16.5" customHeight="1" x14ac:dyDescent="0.3">
      <c r="A95" s="14"/>
      <c r="B95" s="14"/>
      <c r="C95" s="14"/>
      <c r="D95" s="14"/>
      <c r="E95" s="1"/>
      <c r="F95" s="15"/>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row>
    <row r="96" spans="1:56" ht="16.5" customHeight="1" x14ac:dyDescent="0.3">
      <c r="A96" s="14"/>
      <c r="B96" s="14"/>
      <c r="C96" s="14"/>
      <c r="D96" s="14"/>
      <c r="E96" s="1"/>
      <c r="F96" s="15"/>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row>
    <row r="97" spans="1:56" ht="16.5" customHeight="1" x14ac:dyDescent="0.3">
      <c r="A97" s="14"/>
      <c r="B97" s="14"/>
      <c r="C97" s="14"/>
      <c r="D97" s="14"/>
      <c r="E97" s="1"/>
      <c r="F97" s="15"/>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row>
    <row r="98" spans="1:56" ht="16.5" customHeight="1" x14ac:dyDescent="0.3">
      <c r="A98" s="14"/>
      <c r="B98" s="14"/>
      <c r="C98" s="14"/>
      <c r="D98" s="14"/>
      <c r="E98" s="1"/>
      <c r="F98" s="15"/>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row>
    <row r="99" spans="1:56" ht="16.5" customHeight="1" x14ac:dyDescent="0.3">
      <c r="A99" s="14"/>
      <c r="B99" s="14"/>
      <c r="C99" s="14"/>
      <c r="D99" s="14"/>
      <c r="E99" s="1"/>
      <c r="F99" s="15"/>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row>
    <row r="100" spans="1:56" ht="16.5" customHeight="1" x14ac:dyDescent="0.3">
      <c r="A100" s="14"/>
      <c r="B100" s="14"/>
      <c r="C100" s="14"/>
      <c r="D100" s="14"/>
      <c r="E100" s="1"/>
      <c r="F100" s="15"/>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row>
    <row r="101" spans="1:56" ht="16.5" customHeight="1" x14ac:dyDescent="0.3">
      <c r="A101" s="14"/>
      <c r="B101" s="14"/>
      <c r="C101" s="14"/>
      <c r="D101" s="14"/>
      <c r="E101" s="1"/>
      <c r="F101" s="15"/>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row>
    <row r="102" spans="1:56" ht="16.5" customHeight="1" x14ac:dyDescent="0.3">
      <c r="A102" s="14"/>
      <c r="B102" s="14"/>
      <c r="C102" s="14"/>
      <c r="D102" s="14"/>
      <c r="E102" s="1"/>
      <c r="F102" s="15"/>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row>
    <row r="103" spans="1:56" ht="16.5" customHeight="1" x14ac:dyDescent="0.3">
      <c r="A103" s="14"/>
      <c r="B103" s="14"/>
      <c r="C103" s="14"/>
      <c r="D103" s="14"/>
      <c r="E103" s="1"/>
      <c r="F103" s="15"/>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row>
    <row r="104" spans="1:56" ht="16.5" customHeight="1" x14ac:dyDescent="0.3">
      <c r="A104" s="14"/>
      <c r="B104" s="14"/>
      <c r="C104" s="14"/>
      <c r="D104" s="14"/>
      <c r="E104" s="1"/>
      <c r="F104" s="15"/>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row>
    <row r="105" spans="1:56" ht="16.5" customHeight="1" x14ac:dyDescent="0.3">
      <c r="A105" s="14"/>
      <c r="B105" s="14"/>
      <c r="C105" s="14"/>
      <c r="D105" s="14"/>
      <c r="E105" s="1"/>
      <c r="F105" s="15"/>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row>
    <row r="106" spans="1:56" ht="16.5" customHeight="1" x14ac:dyDescent="0.3">
      <c r="A106" s="14"/>
      <c r="B106" s="14"/>
      <c r="C106" s="14"/>
      <c r="D106" s="14"/>
      <c r="E106" s="1"/>
      <c r="F106" s="15"/>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row>
    <row r="107" spans="1:56" ht="16.5" customHeight="1" x14ac:dyDescent="0.3">
      <c r="A107" s="14"/>
      <c r="B107" s="14"/>
      <c r="C107" s="14"/>
      <c r="D107" s="14"/>
      <c r="E107" s="1"/>
      <c r="F107" s="15"/>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row>
    <row r="108" spans="1:56" ht="16.5" customHeight="1" x14ac:dyDescent="0.3">
      <c r="A108" s="14"/>
      <c r="B108" s="14"/>
      <c r="C108" s="14"/>
      <c r="D108" s="14"/>
      <c r="E108" s="1"/>
      <c r="F108" s="15"/>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row>
    <row r="109" spans="1:56" ht="16.5" customHeight="1" x14ac:dyDescent="0.3">
      <c r="A109" s="14"/>
      <c r="B109" s="14"/>
      <c r="C109" s="14"/>
      <c r="D109" s="14"/>
      <c r="E109" s="1"/>
      <c r="F109" s="15"/>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row>
    <row r="110" spans="1:56" ht="16.5" customHeight="1" x14ac:dyDescent="0.3">
      <c r="A110" s="14"/>
      <c r="B110" s="14"/>
      <c r="C110" s="14"/>
      <c r="D110" s="14"/>
      <c r="E110" s="1"/>
      <c r="F110" s="15"/>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row>
    <row r="111" spans="1:56" ht="16.5" customHeight="1" x14ac:dyDescent="0.3">
      <c r="A111" s="14"/>
      <c r="B111" s="14"/>
      <c r="C111" s="14"/>
      <c r="D111" s="14"/>
      <c r="E111" s="1"/>
      <c r="F111" s="15"/>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row>
    <row r="112" spans="1:56" ht="16.5" customHeight="1" x14ac:dyDescent="0.3">
      <c r="A112" s="14"/>
      <c r="B112" s="14"/>
      <c r="C112" s="14"/>
      <c r="D112" s="14"/>
      <c r="E112" s="1"/>
      <c r="F112" s="15"/>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row>
    <row r="113" spans="1:56" ht="16.5" customHeight="1" x14ac:dyDescent="0.3">
      <c r="A113" s="14"/>
      <c r="B113" s="14"/>
      <c r="C113" s="14"/>
      <c r="D113" s="14"/>
      <c r="E113" s="1"/>
      <c r="F113" s="15"/>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row>
    <row r="114" spans="1:56" ht="16.5" customHeight="1" x14ac:dyDescent="0.3">
      <c r="A114" s="14"/>
      <c r="B114" s="14"/>
      <c r="C114" s="14"/>
      <c r="D114" s="14"/>
      <c r="E114" s="1"/>
      <c r="F114" s="15"/>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row>
    <row r="115" spans="1:56" ht="16.5" customHeight="1" x14ac:dyDescent="0.3">
      <c r="A115" s="14"/>
      <c r="B115" s="14"/>
      <c r="C115" s="14"/>
      <c r="D115" s="14"/>
      <c r="E115" s="1"/>
      <c r="F115" s="15"/>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row>
    <row r="116" spans="1:56" ht="16.5" customHeight="1" x14ac:dyDescent="0.3">
      <c r="A116" s="14"/>
      <c r="B116" s="14"/>
      <c r="C116" s="14"/>
      <c r="D116" s="14"/>
      <c r="E116" s="1"/>
      <c r="F116" s="15"/>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row>
    <row r="117" spans="1:56" ht="16.5" customHeight="1" x14ac:dyDescent="0.3">
      <c r="A117" s="14"/>
      <c r="B117" s="14"/>
      <c r="C117" s="14"/>
      <c r="D117" s="14"/>
      <c r="E117" s="1"/>
      <c r="F117" s="15"/>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row>
    <row r="118" spans="1:56" ht="16.5" customHeight="1" x14ac:dyDescent="0.3">
      <c r="A118" s="14"/>
      <c r="B118" s="14"/>
      <c r="C118" s="14"/>
      <c r="D118" s="14"/>
      <c r="E118" s="1"/>
      <c r="F118" s="15"/>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row>
    <row r="119" spans="1:56" ht="16.5" customHeight="1" x14ac:dyDescent="0.3">
      <c r="A119" s="14"/>
      <c r="B119" s="14"/>
      <c r="C119" s="14"/>
      <c r="D119" s="14"/>
      <c r="E119" s="1"/>
      <c r="F119" s="15"/>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row>
    <row r="120" spans="1:56" ht="16.5" customHeight="1" x14ac:dyDescent="0.3">
      <c r="A120" s="14"/>
      <c r="B120" s="14"/>
      <c r="C120" s="14"/>
      <c r="D120" s="14"/>
      <c r="E120" s="1"/>
      <c r="F120" s="15"/>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row>
    <row r="121" spans="1:56" ht="16.5" customHeight="1" x14ac:dyDescent="0.3">
      <c r="A121" s="14"/>
      <c r="B121" s="14"/>
      <c r="C121" s="14"/>
      <c r="D121" s="14"/>
      <c r="E121" s="1"/>
      <c r="F121" s="15"/>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row>
    <row r="122" spans="1:56" ht="16.5" customHeight="1" x14ac:dyDescent="0.3">
      <c r="A122" s="14"/>
      <c r="B122" s="14"/>
      <c r="C122" s="14"/>
      <c r="D122" s="14"/>
      <c r="E122" s="1"/>
      <c r="F122" s="15"/>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row>
    <row r="123" spans="1:56" ht="16.5" customHeight="1" x14ac:dyDescent="0.3">
      <c r="A123" s="14"/>
      <c r="B123" s="14"/>
      <c r="C123" s="14"/>
      <c r="D123" s="14"/>
      <c r="E123" s="1"/>
      <c r="F123" s="15"/>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row>
    <row r="124" spans="1:56" ht="16.5" customHeight="1" x14ac:dyDescent="0.3">
      <c r="A124" s="14"/>
      <c r="B124" s="14"/>
      <c r="C124" s="14"/>
      <c r="D124" s="14"/>
      <c r="E124" s="1"/>
      <c r="F124" s="15"/>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row>
    <row r="125" spans="1:56" ht="16.5" customHeight="1" x14ac:dyDescent="0.3">
      <c r="A125" s="14"/>
      <c r="B125" s="14"/>
      <c r="C125" s="14"/>
      <c r="D125" s="14"/>
      <c r="E125" s="1"/>
      <c r="F125" s="15"/>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row>
    <row r="126" spans="1:56" ht="16.5" customHeight="1" x14ac:dyDescent="0.3">
      <c r="A126" s="14"/>
      <c r="B126" s="14"/>
      <c r="C126" s="14"/>
      <c r="D126" s="14"/>
      <c r="E126" s="1"/>
      <c r="F126" s="15"/>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row>
    <row r="127" spans="1:56" ht="16.5" customHeight="1" x14ac:dyDescent="0.3">
      <c r="A127" s="14"/>
      <c r="B127" s="14"/>
      <c r="C127" s="14"/>
      <c r="D127" s="14"/>
      <c r="E127" s="1"/>
      <c r="F127" s="15"/>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row>
    <row r="128" spans="1:56" ht="16.5" customHeight="1" x14ac:dyDescent="0.3">
      <c r="A128" s="14"/>
      <c r="B128" s="14"/>
      <c r="C128" s="14"/>
      <c r="D128" s="14"/>
      <c r="E128" s="1"/>
      <c r="F128" s="15"/>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row>
    <row r="129" spans="1:56" ht="16.5" customHeight="1" x14ac:dyDescent="0.3">
      <c r="A129" s="14"/>
      <c r="B129" s="14"/>
      <c r="C129" s="14"/>
      <c r="D129" s="14"/>
      <c r="E129" s="1"/>
      <c r="F129" s="15"/>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row>
    <row r="130" spans="1:56" ht="16.5" customHeight="1" x14ac:dyDescent="0.3">
      <c r="A130" s="14"/>
      <c r="B130" s="14"/>
      <c r="C130" s="14"/>
      <c r="D130" s="14"/>
      <c r="E130" s="1"/>
      <c r="F130" s="15"/>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row>
    <row r="131" spans="1:56" ht="16.5" customHeight="1" x14ac:dyDescent="0.3">
      <c r="A131" s="14"/>
      <c r="B131" s="14"/>
      <c r="C131" s="14"/>
      <c r="D131" s="14"/>
      <c r="E131" s="1"/>
      <c r="F131" s="15"/>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row>
    <row r="132" spans="1:56" ht="16.5" customHeight="1" x14ac:dyDescent="0.3">
      <c r="A132" s="14"/>
      <c r="B132" s="14"/>
      <c r="C132" s="14"/>
      <c r="D132" s="14"/>
      <c r="E132" s="1"/>
      <c r="F132" s="15"/>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row>
    <row r="133" spans="1:56" ht="16.5" customHeight="1" x14ac:dyDescent="0.3">
      <c r="A133" s="14"/>
      <c r="B133" s="14"/>
      <c r="C133" s="14"/>
      <c r="D133" s="14"/>
      <c r="E133" s="1"/>
      <c r="F133" s="15"/>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row>
    <row r="134" spans="1:56" ht="16.5" customHeight="1" x14ac:dyDescent="0.3">
      <c r="A134" s="14"/>
      <c r="B134" s="14"/>
      <c r="C134" s="14"/>
      <c r="D134" s="14"/>
      <c r="E134" s="1"/>
      <c r="F134" s="15"/>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row>
    <row r="135" spans="1:56" ht="16.5" customHeight="1" x14ac:dyDescent="0.3">
      <c r="A135" s="14"/>
      <c r="B135" s="14"/>
      <c r="C135" s="14"/>
      <c r="D135" s="14"/>
      <c r="E135" s="1"/>
      <c r="F135" s="15"/>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row>
    <row r="136" spans="1:56" ht="16.5" customHeight="1" x14ac:dyDescent="0.3">
      <c r="A136" s="14"/>
      <c r="B136" s="14"/>
      <c r="C136" s="14"/>
      <c r="D136" s="14"/>
      <c r="E136" s="1"/>
      <c r="F136" s="15"/>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row>
    <row r="137" spans="1:56" ht="16.5" customHeight="1" x14ac:dyDescent="0.3">
      <c r="A137" s="14"/>
      <c r="B137" s="14"/>
      <c r="C137" s="14"/>
      <c r="D137" s="14"/>
      <c r="E137" s="1"/>
      <c r="F137" s="15"/>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row>
    <row r="138" spans="1:56" ht="16.5" customHeight="1" x14ac:dyDescent="0.3">
      <c r="A138" s="14"/>
      <c r="B138" s="14"/>
      <c r="C138" s="14"/>
      <c r="D138" s="14"/>
      <c r="E138" s="1"/>
      <c r="F138" s="15"/>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row>
    <row r="139" spans="1:56" ht="16.5" customHeight="1" x14ac:dyDescent="0.3">
      <c r="A139" s="14"/>
      <c r="B139" s="14"/>
      <c r="C139" s="14"/>
      <c r="D139" s="14"/>
      <c r="E139" s="1"/>
      <c r="F139" s="15"/>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row>
    <row r="140" spans="1:56" ht="16.5" customHeight="1" x14ac:dyDescent="0.3">
      <c r="A140" s="14"/>
      <c r="B140" s="14"/>
      <c r="C140" s="14"/>
      <c r="D140" s="14"/>
      <c r="E140" s="1"/>
      <c r="F140" s="15"/>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row>
    <row r="141" spans="1:56" ht="16.5" customHeight="1" x14ac:dyDescent="0.3">
      <c r="A141" s="14"/>
      <c r="B141" s="14"/>
      <c r="C141" s="14"/>
      <c r="D141" s="14"/>
      <c r="E141" s="1"/>
      <c r="F141" s="15"/>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row>
    <row r="142" spans="1:56" ht="16.5" customHeight="1" x14ac:dyDescent="0.3">
      <c r="A142" s="14"/>
      <c r="B142" s="14"/>
      <c r="C142" s="14"/>
      <c r="D142" s="14"/>
      <c r="E142" s="1"/>
      <c r="F142" s="15"/>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row>
    <row r="143" spans="1:56" ht="16.5" customHeight="1" x14ac:dyDescent="0.3">
      <c r="A143" s="14"/>
      <c r="B143" s="14"/>
      <c r="C143" s="14"/>
      <c r="D143" s="14"/>
      <c r="E143" s="1"/>
      <c r="F143" s="15"/>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row>
    <row r="144" spans="1:56" ht="16.5" customHeight="1" x14ac:dyDescent="0.3">
      <c r="A144" s="14"/>
      <c r="B144" s="14"/>
      <c r="C144" s="14"/>
      <c r="D144" s="14"/>
      <c r="E144" s="1"/>
      <c r="F144" s="15"/>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row>
    <row r="145" spans="1:56" ht="16.5" customHeight="1" x14ac:dyDescent="0.3">
      <c r="A145" s="14"/>
      <c r="B145" s="14"/>
      <c r="C145" s="14"/>
      <c r="D145" s="14"/>
      <c r="E145" s="1"/>
      <c r="F145" s="15"/>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row>
    <row r="146" spans="1:56" ht="16.5" customHeight="1" x14ac:dyDescent="0.3">
      <c r="A146" s="14"/>
      <c r="B146" s="14"/>
      <c r="C146" s="14"/>
      <c r="D146" s="14"/>
      <c r="E146" s="1"/>
      <c r="F146" s="15"/>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row>
    <row r="147" spans="1:56" ht="16.5" customHeight="1" x14ac:dyDescent="0.3">
      <c r="A147" s="14"/>
      <c r="B147" s="14"/>
      <c r="C147" s="14"/>
      <c r="D147" s="14"/>
      <c r="E147" s="1"/>
      <c r="F147" s="15"/>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row>
    <row r="148" spans="1:56" ht="16.5" customHeight="1" x14ac:dyDescent="0.3">
      <c r="A148" s="14"/>
      <c r="B148" s="14"/>
      <c r="C148" s="14"/>
      <c r="D148" s="14"/>
      <c r="E148" s="1"/>
      <c r="F148" s="15"/>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row>
    <row r="149" spans="1:56" ht="16.5" customHeight="1" x14ac:dyDescent="0.3">
      <c r="A149" s="14"/>
      <c r="B149" s="14"/>
      <c r="C149" s="14"/>
      <c r="D149" s="14"/>
      <c r="E149" s="1"/>
      <c r="F149" s="15"/>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row>
    <row r="150" spans="1:56" ht="16.5" customHeight="1" x14ac:dyDescent="0.3">
      <c r="A150" s="14"/>
      <c r="B150" s="14"/>
      <c r="C150" s="14"/>
      <c r="D150" s="14"/>
      <c r="E150" s="1"/>
      <c r="F150" s="15"/>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row>
    <row r="151" spans="1:56" ht="16.5" customHeight="1" x14ac:dyDescent="0.3">
      <c r="A151" s="14"/>
      <c r="B151" s="14"/>
      <c r="C151" s="14"/>
      <c r="D151" s="14"/>
      <c r="E151" s="1"/>
      <c r="F151" s="15"/>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row>
    <row r="152" spans="1:56" ht="16.5" customHeight="1" x14ac:dyDescent="0.3">
      <c r="A152" s="14"/>
      <c r="B152" s="14"/>
      <c r="C152" s="14"/>
      <c r="D152" s="14"/>
      <c r="E152" s="1"/>
      <c r="F152" s="15"/>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row>
    <row r="153" spans="1:56" ht="16.5" customHeight="1" x14ac:dyDescent="0.3">
      <c r="A153" s="14"/>
      <c r="B153" s="14"/>
      <c r="C153" s="14"/>
      <c r="D153" s="14"/>
      <c r="E153" s="1"/>
      <c r="F153" s="15"/>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row>
    <row r="154" spans="1:56" ht="16.5" customHeight="1" x14ac:dyDescent="0.3">
      <c r="A154" s="14"/>
      <c r="B154" s="14"/>
      <c r="C154" s="14"/>
      <c r="D154" s="14"/>
      <c r="E154" s="1"/>
      <c r="F154" s="15"/>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row>
    <row r="155" spans="1:56" ht="16.5" customHeight="1" x14ac:dyDescent="0.3">
      <c r="A155" s="14"/>
      <c r="B155" s="14"/>
      <c r="C155" s="14"/>
      <c r="D155" s="14"/>
      <c r="E155" s="1"/>
      <c r="F155" s="15"/>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row>
    <row r="156" spans="1:56" ht="16.5" customHeight="1" x14ac:dyDescent="0.3">
      <c r="A156" s="14"/>
      <c r="B156" s="14"/>
      <c r="C156" s="14"/>
      <c r="D156" s="14"/>
      <c r="E156" s="1"/>
      <c r="F156" s="15"/>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row>
    <row r="157" spans="1:56" ht="16.5" customHeight="1" x14ac:dyDescent="0.3">
      <c r="A157" s="14"/>
      <c r="B157" s="14"/>
      <c r="C157" s="14"/>
      <c r="D157" s="14"/>
      <c r="E157" s="1"/>
      <c r="F157" s="15"/>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row>
    <row r="158" spans="1:56" ht="16.5" customHeight="1" x14ac:dyDescent="0.3">
      <c r="A158" s="14"/>
      <c r="B158" s="14"/>
      <c r="C158" s="14"/>
      <c r="D158" s="14"/>
      <c r="E158" s="1"/>
      <c r="F158" s="15"/>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row>
    <row r="159" spans="1:56" ht="16.5" customHeight="1" x14ac:dyDescent="0.3">
      <c r="A159" s="14"/>
      <c r="B159" s="14"/>
      <c r="C159" s="14"/>
      <c r="D159" s="14"/>
      <c r="E159" s="1"/>
      <c r="F159" s="15"/>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row>
    <row r="160" spans="1:56" ht="16.5" customHeight="1" x14ac:dyDescent="0.3">
      <c r="A160" s="14"/>
      <c r="B160" s="14"/>
      <c r="C160" s="14"/>
      <c r="D160" s="14"/>
      <c r="E160" s="1"/>
      <c r="F160" s="15"/>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row>
    <row r="161" spans="1:56" ht="16.5" customHeight="1" x14ac:dyDescent="0.3">
      <c r="A161" s="14"/>
      <c r="B161" s="14"/>
      <c r="C161" s="14"/>
      <c r="D161" s="14"/>
      <c r="E161" s="1"/>
      <c r="F161" s="15"/>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row>
    <row r="162" spans="1:56" ht="16.5" customHeight="1" x14ac:dyDescent="0.3">
      <c r="A162" s="14"/>
      <c r="B162" s="14"/>
      <c r="C162" s="14"/>
      <c r="D162" s="14"/>
      <c r="E162" s="1"/>
      <c r="F162" s="15"/>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row>
    <row r="163" spans="1:56" ht="16.5" customHeight="1" x14ac:dyDescent="0.3">
      <c r="A163" s="14"/>
      <c r="B163" s="14"/>
      <c r="C163" s="14"/>
      <c r="D163" s="14"/>
      <c r="E163" s="1"/>
      <c r="F163" s="15"/>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row>
    <row r="164" spans="1:56" ht="16.5" customHeight="1" x14ac:dyDescent="0.3">
      <c r="A164" s="14"/>
      <c r="B164" s="14"/>
      <c r="C164" s="14"/>
      <c r="D164" s="14"/>
      <c r="E164" s="1"/>
      <c r="F164" s="15"/>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row>
    <row r="165" spans="1:56" ht="16.5" customHeight="1" x14ac:dyDescent="0.3">
      <c r="A165" s="14"/>
      <c r="B165" s="14"/>
      <c r="C165" s="14"/>
      <c r="D165" s="14"/>
      <c r="E165" s="1"/>
      <c r="F165" s="15"/>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row>
    <row r="166" spans="1:56" ht="16.5" customHeight="1" x14ac:dyDescent="0.3">
      <c r="A166" s="14"/>
      <c r="B166" s="14"/>
      <c r="C166" s="14"/>
      <c r="D166" s="14"/>
      <c r="E166" s="1"/>
      <c r="F166" s="15"/>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row>
    <row r="167" spans="1:56" ht="16.5" customHeight="1" x14ac:dyDescent="0.3">
      <c r="A167" s="14"/>
      <c r="B167" s="14"/>
      <c r="C167" s="14"/>
      <c r="D167" s="14"/>
      <c r="E167" s="1"/>
      <c r="F167" s="15"/>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row>
    <row r="168" spans="1:56" ht="16.5" customHeight="1" x14ac:dyDescent="0.3">
      <c r="A168" s="14"/>
      <c r="B168" s="14"/>
      <c r="C168" s="14"/>
      <c r="D168" s="14"/>
      <c r="E168" s="1"/>
      <c r="F168" s="15"/>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row>
    <row r="169" spans="1:56" ht="16.5" customHeight="1" x14ac:dyDescent="0.3">
      <c r="A169" s="14"/>
      <c r="B169" s="14"/>
      <c r="C169" s="14"/>
      <c r="D169" s="14"/>
      <c r="E169" s="1"/>
      <c r="F169" s="15"/>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row>
    <row r="170" spans="1:56" ht="16.5" customHeight="1" x14ac:dyDescent="0.3">
      <c r="A170" s="14"/>
      <c r="B170" s="14"/>
      <c r="C170" s="14"/>
      <c r="D170" s="14"/>
      <c r="E170" s="1"/>
      <c r="F170" s="15"/>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row>
    <row r="171" spans="1:56" ht="16.5" customHeight="1" x14ac:dyDescent="0.3">
      <c r="A171" s="14"/>
      <c r="B171" s="14"/>
      <c r="C171" s="14"/>
      <c r="D171" s="14"/>
      <c r="E171" s="1"/>
      <c r="F171" s="15"/>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row>
    <row r="172" spans="1:56" ht="16.5" customHeight="1" x14ac:dyDescent="0.3">
      <c r="A172" s="14"/>
      <c r="B172" s="14"/>
      <c r="C172" s="14"/>
      <c r="D172" s="14"/>
      <c r="E172" s="1"/>
      <c r="F172" s="15"/>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row>
    <row r="173" spans="1:56" ht="16.5" customHeight="1" x14ac:dyDescent="0.3">
      <c r="A173" s="14"/>
      <c r="B173" s="14"/>
      <c r="C173" s="14"/>
      <c r="D173" s="14"/>
      <c r="E173" s="1"/>
      <c r="F173" s="15"/>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row>
    <row r="174" spans="1:56" ht="16.5" customHeight="1" x14ac:dyDescent="0.3">
      <c r="A174" s="14"/>
      <c r="B174" s="14"/>
      <c r="C174" s="14"/>
      <c r="D174" s="14"/>
      <c r="E174" s="1"/>
      <c r="F174" s="15"/>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row>
    <row r="175" spans="1:56" ht="16.5" customHeight="1" x14ac:dyDescent="0.3">
      <c r="A175" s="14"/>
      <c r="B175" s="14"/>
      <c r="C175" s="14"/>
      <c r="D175" s="14"/>
      <c r="E175" s="1"/>
      <c r="F175" s="15"/>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row>
    <row r="176" spans="1:56" ht="16.5" customHeight="1" x14ac:dyDescent="0.3">
      <c r="A176" s="14"/>
      <c r="B176" s="14"/>
      <c r="C176" s="14"/>
      <c r="D176" s="14"/>
      <c r="E176" s="1"/>
      <c r="F176" s="15"/>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row>
    <row r="177" spans="1:56" ht="16.5" customHeight="1" x14ac:dyDescent="0.3">
      <c r="A177" s="14"/>
      <c r="B177" s="14"/>
      <c r="C177" s="14"/>
      <c r="D177" s="14"/>
      <c r="E177" s="1"/>
      <c r="F177" s="15"/>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row>
    <row r="178" spans="1:56" ht="16.5" customHeight="1" x14ac:dyDescent="0.3">
      <c r="A178" s="14"/>
      <c r="B178" s="14"/>
      <c r="C178" s="14"/>
      <c r="D178" s="14"/>
      <c r="E178" s="1"/>
      <c r="F178" s="15"/>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row>
    <row r="179" spans="1:56" ht="16.5" customHeight="1" x14ac:dyDescent="0.3">
      <c r="A179" s="14"/>
      <c r="B179" s="14"/>
      <c r="C179" s="14"/>
      <c r="D179" s="14"/>
      <c r="E179" s="1"/>
      <c r="F179" s="15"/>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row>
    <row r="180" spans="1:56" ht="16.5" customHeight="1" x14ac:dyDescent="0.3">
      <c r="A180" s="14"/>
      <c r="B180" s="14"/>
      <c r="C180" s="14"/>
      <c r="D180" s="14"/>
      <c r="E180" s="1"/>
      <c r="F180" s="15"/>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row>
    <row r="181" spans="1:56" ht="16.5" customHeight="1" x14ac:dyDescent="0.3">
      <c r="A181" s="14"/>
      <c r="B181" s="14"/>
      <c r="C181" s="14"/>
      <c r="D181" s="14"/>
      <c r="E181" s="1"/>
      <c r="F181" s="15"/>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row>
    <row r="182" spans="1:56" ht="16.5" customHeight="1" x14ac:dyDescent="0.3">
      <c r="A182" s="14"/>
      <c r="B182" s="14"/>
      <c r="C182" s="14"/>
      <c r="D182" s="14"/>
      <c r="E182" s="1"/>
      <c r="F182" s="15"/>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row>
    <row r="183" spans="1:56" ht="16.5" customHeight="1" x14ac:dyDescent="0.3">
      <c r="A183" s="14"/>
      <c r="B183" s="14"/>
      <c r="C183" s="14"/>
      <c r="D183" s="14"/>
      <c r="E183" s="1"/>
      <c r="F183" s="15"/>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row>
    <row r="184" spans="1:56" ht="16.5" customHeight="1" x14ac:dyDescent="0.3">
      <c r="A184" s="14"/>
      <c r="B184" s="14"/>
      <c r="C184" s="14"/>
      <c r="D184" s="14"/>
      <c r="E184" s="1"/>
      <c r="F184" s="15"/>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row>
    <row r="185" spans="1:56" ht="16.5" customHeight="1" x14ac:dyDescent="0.3">
      <c r="A185" s="14"/>
      <c r="B185" s="14"/>
      <c r="C185" s="14"/>
      <c r="D185" s="14"/>
      <c r="E185" s="1"/>
      <c r="F185" s="15"/>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row>
    <row r="186" spans="1:56" ht="16.5" customHeight="1" x14ac:dyDescent="0.3">
      <c r="A186" s="14"/>
      <c r="B186" s="14"/>
      <c r="C186" s="14"/>
      <c r="D186" s="14"/>
      <c r="E186" s="1"/>
      <c r="F186" s="15"/>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row>
    <row r="187" spans="1:56" ht="16.5" customHeight="1" x14ac:dyDescent="0.3">
      <c r="A187" s="14"/>
      <c r="B187" s="14"/>
      <c r="C187" s="14"/>
      <c r="D187" s="14"/>
      <c r="E187" s="1"/>
      <c r="F187" s="15"/>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row>
    <row r="188" spans="1:56" ht="16.5" customHeight="1" x14ac:dyDescent="0.3">
      <c r="A188" s="14"/>
      <c r="B188" s="14"/>
      <c r="C188" s="14"/>
      <c r="D188" s="14"/>
      <c r="E188" s="1"/>
      <c r="F188" s="15"/>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row>
    <row r="189" spans="1:56" ht="16.5" customHeight="1" x14ac:dyDescent="0.3">
      <c r="A189" s="14"/>
      <c r="B189" s="14"/>
      <c r="C189" s="14"/>
      <c r="D189" s="14"/>
      <c r="E189" s="1"/>
      <c r="F189" s="15"/>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row>
    <row r="190" spans="1:56" ht="16.5" customHeight="1" x14ac:dyDescent="0.3">
      <c r="A190" s="14"/>
      <c r="B190" s="14"/>
      <c r="C190" s="14"/>
      <c r="D190" s="14"/>
      <c r="E190" s="1"/>
      <c r="F190" s="15"/>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row>
    <row r="191" spans="1:56" ht="16.5" customHeight="1" x14ac:dyDescent="0.3">
      <c r="A191" s="14"/>
      <c r="B191" s="14"/>
      <c r="C191" s="14"/>
      <c r="D191" s="14"/>
      <c r="E191" s="1"/>
      <c r="F191" s="15"/>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row>
    <row r="192" spans="1:56" ht="16.5" customHeight="1" x14ac:dyDescent="0.3">
      <c r="A192" s="14"/>
      <c r="B192" s="14"/>
      <c r="C192" s="14"/>
      <c r="D192" s="14"/>
      <c r="E192" s="1"/>
      <c r="F192" s="15"/>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row>
    <row r="193" spans="1:56" ht="16.5" customHeight="1" x14ac:dyDescent="0.3">
      <c r="A193" s="14"/>
      <c r="B193" s="14"/>
      <c r="C193" s="14"/>
      <c r="D193" s="14"/>
      <c r="E193" s="1"/>
      <c r="F193" s="15"/>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row>
    <row r="194" spans="1:56" ht="16.5" customHeight="1" x14ac:dyDescent="0.3">
      <c r="A194" s="14"/>
      <c r="B194" s="14"/>
      <c r="C194" s="14"/>
      <c r="D194" s="14"/>
      <c r="E194" s="1"/>
      <c r="F194" s="15"/>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row>
    <row r="195" spans="1:56" ht="16.5" customHeight="1" x14ac:dyDescent="0.3">
      <c r="A195" s="14"/>
      <c r="B195" s="14"/>
      <c r="C195" s="14"/>
      <c r="D195" s="14"/>
      <c r="E195" s="1"/>
      <c r="F195" s="15"/>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row>
    <row r="196" spans="1:56" ht="16.5" customHeight="1" x14ac:dyDescent="0.3">
      <c r="A196" s="14"/>
      <c r="B196" s="14"/>
      <c r="C196" s="14"/>
      <c r="D196" s="14"/>
      <c r="E196" s="1"/>
      <c r="F196" s="15"/>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row>
    <row r="197" spans="1:56" ht="16.5" customHeight="1" x14ac:dyDescent="0.3">
      <c r="A197" s="14"/>
      <c r="B197" s="14"/>
      <c r="C197" s="14"/>
      <c r="D197" s="14"/>
      <c r="E197" s="1"/>
      <c r="F197" s="15"/>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row>
    <row r="198" spans="1:56" ht="16.5" customHeight="1" x14ac:dyDescent="0.3">
      <c r="A198" s="14"/>
      <c r="B198" s="14"/>
      <c r="C198" s="14"/>
      <c r="D198" s="14"/>
      <c r="E198" s="1"/>
      <c r="F198" s="15"/>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row>
    <row r="199" spans="1:56" ht="16.5" customHeight="1" x14ac:dyDescent="0.3">
      <c r="A199" s="14"/>
      <c r="B199" s="14"/>
      <c r="C199" s="14"/>
      <c r="D199" s="14"/>
      <c r="E199" s="1"/>
      <c r="F199" s="15"/>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row>
    <row r="200" spans="1:56" ht="16.5" customHeight="1" x14ac:dyDescent="0.3">
      <c r="A200" s="14"/>
      <c r="B200" s="14"/>
      <c r="C200" s="14"/>
      <c r="D200" s="14"/>
      <c r="E200" s="1"/>
      <c r="F200" s="15"/>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row>
    <row r="201" spans="1:56" ht="16.5" customHeight="1" x14ac:dyDescent="0.3">
      <c r="A201" s="14"/>
      <c r="B201" s="14"/>
      <c r="C201" s="14"/>
      <c r="D201" s="14"/>
      <c r="E201" s="1"/>
      <c r="F201" s="15"/>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row>
    <row r="202" spans="1:56" ht="16.5" customHeight="1" x14ac:dyDescent="0.3">
      <c r="A202" s="14"/>
      <c r="B202" s="14"/>
      <c r="C202" s="14"/>
      <c r="D202" s="14"/>
      <c r="E202" s="1"/>
      <c r="F202" s="15"/>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row>
    <row r="203" spans="1:56" ht="16.5" customHeight="1" x14ac:dyDescent="0.3">
      <c r="A203" s="14"/>
      <c r="B203" s="14"/>
      <c r="C203" s="14"/>
      <c r="D203" s="14"/>
      <c r="E203" s="1"/>
      <c r="F203" s="15"/>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row>
    <row r="204" spans="1:56" ht="16.5" customHeight="1" x14ac:dyDescent="0.3">
      <c r="A204" s="14"/>
      <c r="B204" s="14"/>
      <c r="C204" s="14"/>
      <c r="D204" s="14"/>
      <c r="E204" s="1"/>
      <c r="F204" s="15"/>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row>
    <row r="205" spans="1:56" ht="16.5" customHeight="1" x14ac:dyDescent="0.3">
      <c r="A205" s="14"/>
      <c r="B205" s="14"/>
      <c r="C205" s="14"/>
      <c r="D205" s="14"/>
      <c r="E205" s="1"/>
      <c r="F205" s="15"/>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row>
    <row r="206" spans="1:56" ht="16.5" customHeight="1" x14ac:dyDescent="0.3">
      <c r="A206" s="14"/>
      <c r="B206" s="14"/>
      <c r="C206" s="14"/>
      <c r="D206" s="14"/>
      <c r="E206" s="1"/>
      <c r="F206" s="15"/>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row>
    <row r="207" spans="1:56" ht="16.5" customHeight="1" x14ac:dyDescent="0.3">
      <c r="A207" s="14"/>
      <c r="B207" s="14"/>
      <c r="C207" s="14"/>
      <c r="D207" s="14"/>
      <c r="E207" s="1"/>
      <c r="F207" s="15"/>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row>
    <row r="208" spans="1:56" ht="16.5" customHeight="1" x14ac:dyDescent="0.3">
      <c r="A208" s="14"/>
      <c r="B208" s="14"/>
      <c r="C208" s="14"/>
      <c r="D208" s="14"/>
      <c r="E208" s="1"/>
      <c r="F208" s="15"/>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row>
    <row r="209" spans="1:56" ht="16.5" customHeight="1" x14ac:dyDescent="0.3">
      <c r="A209" s="14"/>
      <c r="B209" s="14"/>
      <c r="C209" s="14"/>
      <c r="D209" s="14"/>
      <c r="E209" s="1"/>
      <c r="F209" s="15"/>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row>
    <row r="210" spans="1:56" ht="16.5" customHeight="1" x14ac:dyDescent="0.3">
      <c r="A210" s="14"/>
      <c r="B210" s="14"/>
      <c r="C210" s="14"/>
      <c r="D210" s="14"/>
      <c r="E210" s="1"/>
      <c r="F210" s="15"/>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row>
    <row r="211" spans="1:56" ht="16.5" customHeight="1" x14ac:dyDescent="0.3">
      <c r="A211" s="14"/>
      <c r="B211" s="14"/>
      <c r="C211" s="14"/>
      <c r="D211" s="14"/>
      <c r="E211" s="1"/>
      <c r="F211" s="15"/>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row>
    <row r="212" spans="1:56" ht="16.5" customHeight="1" x14ac:dyDescent="0.3">
      <c r="A212" s="14"/>
      <c r="B212" s="14"/>
      <c r="C212" s="14"/>
      <c r="D212" s="14"/>
      <c r="E212" s="1"/>
      <c r="F212" s="15"/>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row>
    <row r="213" spans="1:56" ht="16.5" customHeight="1" x14ac:dyDescent="0.3">
      <c r="A213" s="14"/>
      <c r="B213" s="14"/>
      <c r="C213" s="14"/>
      <c r="D213" s="14"/>
      <c r="E213" s="1"/>
      <c r="F213" s="15"/>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row>
    <row r="214" spans="1:56" ht="16.5" customHeight="1" x14ac:dyDescent="0.3">
      <c r="A214" s="14"/>
      <c r="B214" s="14"/>
      <c r="C214" s="14"/>
      <c r="D214" s="14"/>
      <c r="E214" s="1"/>
      <c r="F214" s="15"/>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row>
    <row r="215" spans="1:56" ht="16.5" customHeight="1" x14ac:dyDescent="0.3">
      <c r="A215" s="14"/>
      <c r="B215" s="14"/>
      <c r="C215" s="14"/>
      <c r="D215" s="14"/>
      <c r="E215" s="1"/>
      <c r="F215" s="15"/>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row>
    <row r="216" spans="1:56" ht="16.5" customHeight="1" x14ac:dyDescent="0.3">
      <c r="A216" s="14"/>
      <c r="B216" s="14"/>
      <c r="C216" s="14"/>
      <c r="D216" s="14"/>
      <c r="E216" s="1"/>
      <c r="F216" s="15"/>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row>
    <row r="217" spans="1:56" ht="16.5" customHeight="1" x14ac:dyDescent="0.3">
      <c r="A217" s="14"/>
      <c r="B217" s="14"/>
      <c r="C217" s="14"/>
      <c r="D217" s="14"/>
      <c r="E217" s="1"/>
      <c r="F217" s="15"/>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row>
    <row r="218" spans="1:56" ht="16.5" customHeight="1" x14ac:dyDescent="0.3">
      <c r="A218" s="14"/>
      <c r="B218" s="14"/>
      <c r="C218" s="14"/>
      <c r="D218" s="14"/>
      <c r="E218" s="1"/>
      <c r="F218" s="15"/>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row>
    <row r="219" spans="1:56" ht="16.5" customHeight="1" x14ac:dyDescent="0.3">
      <c r="A219" s="14"/>
      <c r="B219" s="14"/>
      <c r="C219" s="14"/>
      <c r="D219" s="14"/>
      <c r="E219" s="1"/>
      <c r="F219" s="15"/>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row>
    <row r="220" spans="1:56" ht="16.5" customHeight="1" x14ac:dyDescent="0.3">
      <c r="A220" s="14"/>
      <c r="B220" s="14"/>
      <c r="C220" s="14"/>
      <c r="D220" s="14"/>
      <c r="E220" s="1"/>
      <c r="F220" s="15"/>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row>
    <row r="221" spans="1:56" ht="16.5" customHeight="1" x14ac:dyDescent="0.3">
      <c r="A221" s="14"/>
      <c r="B221" s="14"/>
      <c r="C221" s="14"/>
      <c r="D221" s="14"/>
      <c r="E221" s="1"/>
      <c r="F221" s="15"/>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row>
    <row r="222" spans="1:56" ht="16.5" customHeight="1" x14ac:dyDescent="0.3">
      <c r="A222" s="14"/>
      <c r="B222" s="14"/>
      <c r="C222" s="14"/>
      <c r="D222" s="14"/>
      <c r="E222" s="1"/>
      <c r="F222" s="15"/>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row>
    <row r="223" spans="1:56" ht="16.5" customHeight="1" x14ac:dyDescent="0.3">
      <c r="A223" s="14"/>
      <c r="B223" s="14"/>
      <c r="C223" s="14"/>
      <c r="D223" s="14"/>
      <c r="E223" s="1"/>
      <c r="F223" s="15"/>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row>
    <row r="224" spans="1:56" ht="16.5" customHeight="1" x14ac:dyDescent="0.3">
      <c r="A224" s="14"/>
      <c r="B224" s="14"/>
      <c r="C224" s="14"/>
      <c r="D224" s="14"/>
      <c r="E224" s="1"/>
      <c r="F224" s="15"/>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row>
    <row r="225" spans="1:56" ht="16.5" customHeight="1" x14ac:dyDescent="0.3">
      <c r="A225" s="14"/>
      <c r="B225" s="14"/>
      <c r="C225" s="14"/>
      <c r="D225" s="14"/>
      <c r="E225" s="1"/>
      <c r="F225" s="15"/>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row>
    <row r="226" spans="1:56" ht="16.5" customHeight="1" x14ac:dyDescent="0.3">
      <c r="A226" s="14"/>
      <c r="B226" s="14"/>
      <c r="C226" s="14"/>
      <c r="D226" s="14"/>
      <c r="E226" s="1"/>
      <c r="F226" s="15"/>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row>
    <row r="227" spans="1:56" ht="16.5" customHeight="1" x14ac:dyDescent="0.3">
      <c r="A227" s="14"/>
      <c r="B227" s="14"/>
      <c r="C227" s="14"/>
      <c r="D227" s="14"/>
      <c r="E227" s="1"/>
      <c r="F227" s="15"/>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row>
    <row r="228" spans="1:56" ht="16.5" customHeight="1" x14ac:dyDescent="0.3">
      <c r="A228" s="14"/>
      <c r="B228" s="14"/>
      <c r="C228" s="14"/>
      <c r="D228" s="14"/>
      <c r="E228" s="1"/>
      <c r="F228" s="15"/>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row>
    <row r="229" spans="1:56" ht="16.5" customHeight="1" x14ac:dyDescent="0.3">
      <c r="A229" s="14"/>
      <c r="B229" s="14"/>
      <c r="C229" s="14"/>
      <c r="D229" s="14"/>
      <c r="E229" s="1"/>
      <c r="F229" s="15"/>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row>
    <row r="230" spans="1:56" ht="16.5" customHeight="1" x14ac:dyDescent="0.3">
      <c r="A230" s="14"/>
      <c r="B230" s="14"/>
      <c r="C230" s="14"/>
      <c r="D230" s="14"/>
      <c r="E230" s="1"/>
      <c r="F230" s="15"/>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row>
    <row r="231" spans="1:56" ht="16.5" customHeight="1" x14ac:dyDescent="0.3">
      <c r="A231" s="14"/>
      <c r="B231" s="14"/>
      <c r="C231" s="14"/>
      <c r="D231" s="14"/>
      <c r="E231" s="1"/>
      <c r="F231" s="15"/>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row>
    <row r="232" spans="1:56" ht="16.5" customHeight="1" x14ac:dyDescent="0.3">
      <c r="A232" s="14"/>
      <c r="B232" s="14"/>
      <c r="C232" s="14"/>
      <c r="D232" s="14"/>
      <c r="E232" s="1"/>
      <c r="F232" s="15"/>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row>
    <row r="233" spans="1:56" ht="16.5" customHeight="1" x14ac:dyDescent="0.3">
      <c r="A233" s="14"/>
      <c r="B233" s="14"/>
      <c r="C233" s="14"/>
      <c r="D233" s="14"/>
      <c r="E233" s="1"/>
      <c r="F233" s="15"/>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row>
    <row r="234" spans="1:56" ht="16.5" customHeight="1" x14ac:dyDescent="0.3">
      <c r="A234" s="14"/>
      <c r="B234" s="14"/>
      <c r="C234" s="14"/>
      <c r="D234" s="14"/>
      <c r="E234" s="1"/>
      <c r="F234" s="15"/>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row>
    <row r="235" spans="1:56" ht="16.5" customHeight="1" x14ac:dyDescent="0.3">
      <c r="A235" s="14"/>
      <c r="B235" s="14"/>
      <c r="C235" s="14"/>
      <c r="D235" s="14"/>
      <c r="E235" s="1"/>
      <c r="F235" s="15"/>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row>
    <row r="236" spans="1:56" ht="16.5" customHeight="1" x14ac:dyDescent="0.3">
      <c r="A236" s="14"/>
      <c r="B236" s="14"/>
      <c r="C236" s="14"/>
      <c r="D236" s="14"/>
      <c r="E236" s="1"/>
      <c r="F236" s="15"/>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row>
    <row r="237" spans="1:56" ht="16.5" customHeight="1" x14ac:dyDescent="0.3">
      <c r="A237" s="14"/>
      <c r="B237" s="14"/>
      <c r="C237" s="14"/>
      <c r="D237" s="14"/>
      <c r="E237" s="1"/>
      <c r="F237" s="15"/>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row>
    <row r="238" spans="1:56" ht="16.5" customHeight="1" x14ac:dyDescent="0.3">
      <c r="A238" s="14"/>
      <c r="B238" s="14"/>
      <c r="C238" s="14"/>
      <c r="D238" s="14"/>
      <c r="E238" s="1"/>
      <c r="F238" s="15"/>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row>
    <row r="239" spans="1:56" ht="16.5" customHeight="1" x14ac:dyDescent="0.3">
      <c r="A239" s="14"/>
      <c r="B239" s="14"/>
      <c r="C239" s="14"/>
      <c r="D239" s="14"/>
      <c r="E239" s="1"/>
      <c r="F239" s="15"/>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row>
    <row r="240" spans="1:56" ht="16.5" customHeight="1" x14ac:dyDescent="0.3">
      <c r="A240" s="14"/>
      <c r="B240" s="14"/>
      <c r="C240" s="14"/>
      <c r="D240" s="14"/>
      <c r="E240" s="1"/>
      <c r="F240" s="15"/>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row>
    <row r="241" spans="1:56" ht="16.5" customHeight="1" x14ac:dyDescent="0.3">
      <c r="A241" s="14"/>
      <c r="B241" s="14"/>
      <c r="C241" s="14"/>
      <c r="D241" s="14"/>
      <c r="E241" s="1"/>
      <c r="F241" s="15"/>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row>
    <row r="242" spans="1:56" ht="16.5" customHeight="1" x14ac:dyDescent="0.3">
      <c r="A242" s="14"/>
      <c r="B242" s="14"/>
      <c r="C242" s="14"/>
      <c r="D242" s="14"/>
      <c r="E242" s="1"/>
      <c r="F242" s="15"/>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row>
    <row r="243" spans="1:56" ht="16.5" customHeight="1" x14ac:dyDescent="0.3">
      <c r="A243" s="14"/>
      <c r="B243" s="14"/>
      <c r="C243" s="14"/>
      <c r="D243" s="14"/>
      <c r="E243" s="1"/>
      <c r="F243" s="15"/>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row>
    <row r="244" spans="1:56" ht="16.5" customHeight="1" x14ac:dyDescent="0.3">
      <c r="A244" s="14"/>
      <c r="B244" s="14"/>
      <c r="C244" s="14"/>
      <c r="D244" s="14"/>
      <c r="E244" s="1"/>
      <c r="F244" s="15"/>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row>
    <row r="245" spans="1:56" ht="16.5" customHeight="1" x14ac:dyDescent="0.3">
      <c r="A245" s="14"/>
      <c r="B245" s="14"/>
      <c r="C245" s="14"/>
      <c r="D245" s="14"/>
      <c r="E245" s="1"/>
      <c r="F245" s="15"/>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row>
    <row r="246" spans="1:56" ht="16.5" customHeight="1" x14ac:dyDescent="0.3">
      <c r="A246" s="14"/>
      <c r="B246" s="14"/>
      <c r="C246" s="14"/>
      <c r="D246" s="14"/>
      <c r="E246" s="1"/>
      <c r="F246" s="15"/>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row>
    <row r="247" spans="1:56" ht="16.5" customHeight="1" x14ac:dyDescent="0.3">
      <c r="A247" s="14"/>
      <c r="B247" s="14"/>
      <c r="C247" s="14"/>
      <c r="D247" s="14"/>
      <c r="E247" s="1"/>
      <c r="F247" s="15"/>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row>
    <row r="248" spans="1:56" ht="16.5" customHeight="1" x14ac:dyDescent="0.3">
      <c r="A248" s="14"/>
      <c r="B248" s="14"/>
      <c r="C248" s="14"/>
      <c r="D248" s="14"/>
      <c r="E248" s="1"/>
      <c r="F248" s="15"/>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row>
    <row r="249" spans="1:56" ht="16.5" customHeight="1" x14ac:dyDescent="0.3">
      <c r="A249" s="14"/>
      <c r="B249" s="14"/>
      <c r="C249" s="14"/>
      <c r="D249" s="14"/>
      <c r="E249" s="1"/>
      <c r="F249" s="15"/>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row>
    <row r="250" spans="1:56" ht="16.5" customHeight="1" x14ac:dyDescent="0.3">
      <c r="A250" s="14"/>
      <c r="B250" s="14"/>
      <c r="C250" s="14"/>
      <c r="D250" s="14"/>
      <c r="E250" s="1"/>
      <c r="F250" s="15"/>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row>
    <row r="251" spans="1:56" ht="16.5" customHeight="1" x14ac:dyDescent="0.3">
      <c r="A251" s="14"/>
      <c r="B251" s="14"/>
      <c r="C251" s="14"/>
      <c r="D251" s="14"/>
      <c r="E251" s="1"/>
      <c r="F251" s="15"/>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row>
    <row r="252" spans="1:56" ht="16.5" customHeight="1" x14ac:dyDescent="0.3">
      <c r="A252" s="14"/>
      <c r="B252" s="14"/>
      <c r="C252" s="14"/>
      <c r="D252" s="14"/>
      <c r="E252" s="1"/>
      <c r="F252" s="15"/>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row>
    <row r="253" spans="1:56" ht="16.5" customHeight="1" x14ac:dyDescent="0.3">
      <c r="A253" s="14"/>
      <c r="B253" s="14"/>
      <c r="C253" s="14"/>
      <c r="D253" s="14"/>
      <c r="E253" s="1"/>
      <c r="F253" s="15"/>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row>
    <row r="254" spans="1:56" ht="16.5" customHeight="1" x14ac:dyDescent="0.3">
      <c r="A254" s="14"/>
      <c r="B254" s="14"/>
      <c r="C254" s="14"/>
      <c r="D254" s="14"/>
      <c r="E254" s="1"/>
      <c r="F254" s="15"/>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row>
    <row r="255" spans="1:56" ht="16.5" customHeight="1" x14ac:dyDescent="0.3">
      <c r="A255" s="14"/>
      <c r="B255" s="14"/>
      <c r="C255" s="14"/>
      <c r="D255" s="14"/>
      <c r="E255" s="1"/>
      <c r="F255" s="15"/>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row>
    <row r="256" spans="1:56" ht="16.5" customHeight="1" x14ac:dyDescent="0.3">
      <c r="A256" s="14"/>
      <c r="B256" s="14"/>
      <c r="C256" s="14"/>
      <c r="D256" s="14"/>
      <c r="E256" s="1"/>
      <c r="F256" s="15"/>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row>
    <row r="257" spans="1:56" ht="16.5" customHeight="1" x14ac:dyDescent="0.3">
      <c r="A257" s="14"/>
      <c r="B257" s="14"/>
      <c r="C257" s="14"/>
      <c r="D257" s="14"/>
      <c r="E257" s="1"/>
      <c r="F257" s="15"/>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row>
    <row r="258" spans="1:56" ht="16.5" customHeight="1" x14ac:dyDescent="0.3">
      <c r="A258" s="14"/>
      <c r="B258" s="14"/>
      <c r="C258" s="14"/>
      <c r="D258" s="14"/>
      <c r="E258" s="1"/>
      <c r="F258" s="15"/>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row>
    <row r="259" spans="1:56" ht="16.5" customHeight="1" x14ac:dyDescent="0.3">
      <c r="A259" s="14"/>
      <c r="B259" s="14"/>
      <c r="C259" s="14"/>
      <c r="D259" s="14"/>
      <c r="E259" s="1"/>
      <c r="F259" s="15"/>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row>
    <row r="260" spans="1:56" ht="16.5" customHeight="1" x14ac:dyDescent="0.3">
      <c r="A260" s="14"/>
      <c r="B260" s="14"/>
      <c r="C260" s="14"/>
      <c r="D260" s="14"/>
      <c r="E260" s="1"/>
      <c r="F260" s="15"/>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row>
    <row r="261" spans="1:56" ht="16.5" customHeight="1" x14ac:dyDescent="0.3">
      <c r="A261" s="14"/>
      <c r="B261" s="14"/>
      <c r="C261" s="14"/>
      <c r="D261" s="14"/>
      <c r="E261" s="1"/>
      <c r="F261" s="15"/>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row>
    <row r="262" spans="1:56" ht="16.5" customHeight="1" x14ac:dyDescent="0.3">
      <c r="A262" s="14"/>
      <c r="B262" s="14"/>
      <c r="C262" s="14"/>
      <c r="D262" s="14"/>
      <c r="E262" s="1"/>
      <c r="F262" s="15"/>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row>
    <row r="263" spans="1:56" ht="16.5" customHeight="1" x14ac:dyDescent="0.3">
      <c r="A263" s="14"/>
      <c r="B263" s="14"/>
      <c r="C263" s="14"/>
      <c r="D263" s="14"/>
      <c r="E263" s="1"/>
      <c r="F263" s="15"/>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row>
    <row r="264" spans="1:56" ht="16.5" customHeight="1" x14ac:dyDescent="0.3">
      <c r="A264" s="14"/>
      <c r="B264" s="14"/>
      <c r="C264" s="14"/>
      <c r="D264" s="14"/>
      <c r="E264" s="1"/>
      <c r="F264" s="15"/>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row>
    <row r="265" spans="1:56" ht="16.5" customHeight="1" x14ac:dyDescent="0.3">
      <c r="A265" s="14"/>
      <c r="B265" s="14"/>
      <c r="C265" s="14"/>
      <c r="D265" s="14"/>
      <c r="E265" s="1"/>
      <c r="F265" s="15"/>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row>
    <row r="266" spans="1:56" ht="16.5" customHeight="1" x14ac:dyDescent="0.3">
      <c r="A266" s="14"/>
      <c r="B266" s="14"/>
      <c r="C266" s="14"/>
      <c r="D266" s="14"/>
      <c r="E266" s="1"/>
      <c r="F266" s="15"/>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row>
    <row r="267" spans="1:56" ht="16.5" customHeight="1" x14ac:dyDescent="0.3">
      <c r="A267" s="14"/>
      <c r="B267" s="14"/>
      <c r="C267" s="14"/>
      <c r="D267" s="14"/>
      <c r="E267" s="1"/>
      <c r="F267" s="15"/>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row>
    <row r="268" spans="1:56" ht="16.5" customHeight="1" x14ac:dyDescent="0.3">
      <c r="A268" s="14"/>
      <c r="B268" s="14"/>
      <c r="C268" s="14"/>
      <c r="D268" s="14"/>
      <c r="E268" s="1"/>
      <c r="F268" s="15"/>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row>
    <row r="269" spans="1:56" ht="16.5" customHeight="1" x14ac:dyDescent="0.3">
      <c r="A269" s="14"/>
      <c r="B269" s="14"/>
      <c r="C269" s="14"/>
      <c r="D269" s="14"/>
      <c r="E269" s="1"/>
      <c r="F269" s="15"/>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row>
    <row r="270" spans="1:56" ht="16.5" customHeight="1" x14ac:dyDescent="0.3">
      <c r="A270" s="14"/>
      <c r="B270" s="14"/>
      <c r="C270" s="14"/>
      <c r="D270" s="14"/>
      <c r="E270" s="1"/>
      <c r="F270" s="15"/>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row>
    <row r="271" spans="1:56" ht="16.5" customHeight="1" x14ac:dyDescent="0.3">
      <c r="A271" s="14"/>
      <c r="B271" s="14"/>
      <c r="C271" s="14"/>
      <c r="D271" s="14"/>
      <c r="E271" s="1"/>
      <c r="F271" s="15"/>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row>
    <row r="272" spans="1:56" ht="16.5" customHeight="1" x14ac:dyDescent="0.3">
      <c r="A272" s="14"/>
      <c r="B272" s="14"/>
      <c r="C272" s="14"/>
      <c r="D272" s="14"/>
      <c r="E272" s="1"/>
      <c r="F272" s="15"/>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row>
    <row r="273" spans="1:56" ht="16.5" customHeight="1" x14ac:dyDescent="0.3">
      <c r="A273" s="14"/>
      <c r="B273" s="14"/>
      <c r="C273" s="14"/>
      <c r="D273" s="14"/>
      <c r="E273" s="1"/>
      <c r="F273" s="15"/>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row>
    <row r="274" spans="1:56" ht="16.5" customHeight="1" x14ac:dyDescent="0.3">
      <c r="A274" s="14"/>
      <c r="B274" s="14"/>
      <c r="C274" s="14"/>
      <c r="D274" s="14"/>
      <c r="E274" s="1"/>
      <c r="F274" s="15"/>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row>
    <row r="275" spans="1:56" ht="16.5" customHeight="1" x14ac:dyDescent="0.3">
      <c r="A275" s="14"/>
      <c r="B275" s="14"/>
      <c r="C275" s="14"/>
      <c r="D275" s="14"/>
      <c r="E275" s="1"/>
      <c r="F275" s="15"/>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row>
    <row r="276" spans="1:56" ht="16.5" customHeight="1" x14ac:dyDescent="0.3">
      <c r="A276" s="14"/>
      <c r="B276" s="14"/>
      <c r="C276" s="14"/>
      <c r="D276" s="14"/>
      <c r="E276" s="1"/>
      <c r="F276" s="15"/>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row>
    <row r="277" spans="1:56" ht="16.5" customHeight="1" x14ac:dyDescent="0.3">
      <c r="A277" s="14"/>
      <c r="B277" s="14"/>
      <c r="C277" s="14"/>
      <c r="D277" s="14"/>
      <c r="E277" s="1"/>
      <c r="F277" s="15"/>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row>
    <row r="278" spans="1:56" ht="16.5" customHeight="1" x14ac:dyDescent="0.3">
      <c r="A278" s="14"/>
      <c r="B278" s="14"/>
      <c r="C278" s="14"/>
      <c r="D278" s="14"/>
      <c r="E278" s="1"/>
      <c r="F278" s="15"/>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row>
    <row r="279" spans="1:56" ht="16.5" customHeight="1" x14ac:dyDescent="0.3">
      <c r="A279" s="14"/>
      <c r="B279" s="14"/>
      <c r="C279" s="14"/>
      <c r="D279" s="14"/>
      <c r="E279" s="1"/>
      <c r="F279" s="15"/>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row>
    <row r="280" spans="1:56" ht="16.5" customHeight="1" x14ac:dyDescent="0.3">
      <c r="A280" s="14"/>
      <c r="B280" s="14"/>
      <c r="C280" s="14"/>
      <c r="D280" s="14"/>
      <c r="E280" s="1"/>
      <c r="F280" s="15"/>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row>
    <row r="281" spans="1:56" ht="16.5" customHeight="1" x14ac:dyDescent="0.3">
      <c r="A281" s="14"/>
      <c r="B281" s="14"/>
      <c r="C281" s="14"/>
      <c r="D281" s="14"/>
      <c r="E281" s="1"/>
      <c r="F281" s="15"/>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row>
    <row r="282" spans="1:56" ht="16.5" customHeight="1" x14ac:dyDescent="0.3">
      <c r="A282" s="14"/>
      <c r="B282" s="14"/>
      <c r="C282" s="14"/>
      <c r="D282" s="14"/>
      <c r="E282" s="1"/>
      <c r="F282" s="15"/>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row>
    <row r="283" spans="1:56" ht="16.5" customHeight="1" x14ac:dyDescent="0.3">
      <c r="A283" s="14"/>
      <c r="B283" s="14"/>
      <c r="C283" s="14"/>
      <c r="D283" s="14"/>
      <c r="E283" s="1"/>
      <c r="F283" s="15"/>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row>
    <row r="284" spans="1:56" ht="16.5" customHeight="1" x14ac:dyDescent="0.3">
      <c r="A284" s="14"/>
      <c r="B284" s="14"/>
      <c r="C284" s="14"/>
      <c r="D284" s="14"/>
      <c r="E284" s="1"/>
      <c r="F284" s="15"/>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row>
    <row r="285" spans="1:56" ht="16.5" customHeight="1" x14ac:dyDescent="0.3">
      <c r="A285" s="14"/>
      <c r="B285" s="14"/>
      <c r="C285" s="14"/>
      <c r="D285" s="14"/>
      <c r="E285" s="1"/>
      <c r="F285" s="15"/>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row>
    <row r="286" spans="1:56" ht="16.5" customHeight="1" x14ac:dyDescent="0.3">
      <c r="A286" s="14"/>
      <c r="B286" s="14"/>
      <c r="C286" s="14"/>
      <c r="D286" s="14"/>
      <c r="E286" s="1"/>
      <c r="F286" s="15"/>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row>
    <row r="287" spans="1:56" ht="16.5" customHeight="1" x14ac:dyDescent="0.3">
      <c r="A287" s="14"/>
      <c r="B287" s="14"/>
      <c r="C287" s="14"/>
      <c r="D287" s="14"/>
      <c r="E287" s="1"/>
      <c r="F287" s="15"/>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row>
    <row r="288" spans="1:56" ht="16.5" customHeight="1" x14ac:dyDescent="0.3">
      <c r="A288" s="14"/>
      <c r="B288" s="14"/>
      <c r="C288" s="14"/>
      <c r="D288" s="14"/>
      <c r="E288" s="1"/>
      <c r="F288" s="15"/>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row>
    <row r="289" spans="1:56" ht="16.5" customHeight="1" x14ac:dyDescent="0.3">
      <c r="A289" s="14"/>
      <c r="B289" s="14"/>
      <c r="C289" s="14"/>
      <c r="D289" s="14"/>
      <c r="E289" s="1"/>
      <c r="F289" s="15"/>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row>
    <row r="290" spans="1:56" ht="16.5" customHeight="1" x14ac:dyDescent="0.3">
      <c r="A290" s="14"/>
      <c r="B290" s="14"/>
      <c r="C290" s="14"/>
      <c r="D290" s="14"/>
      <c r="E290" s="1"/>
      <c r="F290" s="15"/>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row>
    <row r="291" spans="1:56" ht="16.5" customHeight="1" x14ac:dyDescent="0.3">
      <c r="A291" s="14"/>
      <c r="B291" s="14"/>
      <c r="C291" s="14"/>
      <c r="D291" s="14"/>
      <c r="E291" s="1"/>
      <c r="F291" s="15"/>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row>
    <row r="292" spans="1:56" ht="16.5" customHeight="1" x14ac:dyDescent="0.3">
      <c r="A292" s="14"/>
      <c r="B292" s="14"/>
      <c r="C292" s="14"/>
      <c r="D292" s="14"/>
      <c r="E292" s="1"/>
      <c r="F292" s="15"/>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row>
    <row r="293" spans="1:56" ht="16.5" customHeight="1" x14ac:dyDescent="0.3">
      <c r="A293" s="14"/>
      <c r="B293" s="14"/>
      <c r="C293" s="14"/>
      <c r="D293" s="14"/>
      <c r="E293" s="1"/>
      <c r="F293" s="15"/>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row>
    <row r="294" spans="1:56" ht="16.5" customHeight="1" x14ac:dyDescent="0.3">
      <c r="A294" s="14"/>
      <c r="B294" s="14"/>
      <c r="C294" s="14"/>
      <c r="D294" s="14"/>
      <c r="E294" s="1"/>
      <c r="F294" s="15"/>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row>
    <row r="295" spans="1:56" ht="16.5" customHeight="1" x14ac:dyDescent="0.3">
      <c r="A295" s="14"/>
      <c r="B295" s="14"/>
      <c r="C295" s="14"/>
      <c r="D295" s="14"/>
      <c r="E295" s="1"/>
      <c r="F295" s="15"/>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row>
    <row r="296" spans="1:56" ht="16.5" customHeight="1" x14ac:dyDescent="0.3">
      <c r="A296" s="14"/>
      <c r="B296" s="14"/>
      <c r="C296" s="14"/>
      <c r="D296" s="14"/>
      <c r="E296" s="1"/>
      <c r="F296" s="15"/>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row>
    <row r="297" spans="1:56" ht="16.5" customHeight="1" x14ac:dyDescent="0.3">
      <c r="A297" s="14"/>
      <c r="B297" s="14"/>
      <c r="C297" s="14"/>
      <c r="D297" s="14"/>
      <c r="E297" s="1"/>
      <c r="F297" s="15"/>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row>
    <row r="298" spans="1:56" ht="16.5" customHeight="1" x14ac:dyDescent="0.3">
      <c r="A298" s="14"/>
      <c r="B298" s="14"/>
      <c r="C298" s="14"/>
      <c r="D298" s="14"/>
      <c r="E298" s="1"/>
      <c r="F298" s="15"/>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row>
    <row r="299" spans="1:56" ht="16.5" customHeight="1" x14ac:dyDescent="0.3">
      <c r="A299" s="14"/>
      <c r="B299" s="14"/>
      <c r="C299" s="14"/>
      <c r="D299" s="14"/>
      <c r="E299" s="1"/>
      <c r="F299" s="15"/>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row>
    <row r="300" spans="1:56" ht="16.5" customHeight="1" x14ac:dyDescent="0.3">
      <c r="A300" s="14"/>
      <c r="B300" s="14"/>
      <c r="C300" s="14"/>
      <c r="D300" s="14"/>
      <c r="E300" s="1"/>
      <c r="F300" s="15"/>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row>
    <row r="301" spans="1:56" ht="16.5" customHeight="1" x14ac:dyDescent="0.3">
      <c r="A301" s="14"/>
      <c r="B301" s="14"/>
      <c r="C301" s="14"/>
      <c r="D301" s="14"/>
      <c r="E301" s="1"/>
      <c r="F301" s="15"/>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row>
    <row r="302" spans="1:56" ht="16.5" customHeight="1" x14ac:dyDescent="0.3">
      <c r="A302" s="14"/>
      <c r="B302" s="14"/>
      <c r="C302" s="14"/>
      <c r="D302" s="14"/>
      <c r="E302" s="1"/>
      <c r="F302" s="15"/>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row>
    <row r="303" spans="1:56" ht="16.5" customHeight="1" x14ac:dyDescent="0.3">
      <c r="A303" s="14"/>
      <c r="B303" s="14"/>
      <c r="C303" s="14"/>
      <c r="D303" s="14"/>
      <c r="E303" s="1"/>
      <c r="F303" s="15"/>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row>
    <row r="304" spans="1:56" ht="16.5" customHeight="1" x14ac:dyDescent="0.3">
      <c r="A304" s="14"/>
      <c r="B304" s="14"/>
      <c r="C304" s="14"/>
      <c r="D304" s="14"/>
      <c r="E304" s="1"/>
      <c r="F304" s="15"/>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row>
    <row r="305" spans="1:56" ht="16.5" customHeight="1" x14ac:dyDescent="0.3">
      <c r="A305" s="14"/>
      <c r="B305" s="14"/>
      <c r="C305" s="14"/>
      <c r="D305" s="14"/>
      <c r="E305" s="1"/>
      <c r="F305" s="15"/>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row>
    <row r="306" spans="1:56" ht="16.5" customHeight="1" x14ac:dyDescent="0.3">
      <c r="A306" s="14"/>
      <c r="B306" s="14"/>
      <c r="C306" s="14"/>
      <c r="D306" s="14"/>
      <c r="E306" s="1"/>
      <c r="F306" s="15"/>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row>
    <row r="307" spans="1:56" ht="16.5" customHeight="1" x14ac:dyDescent="0.3">
      <c r="A307" s="14"/>
      <c r="B307" s="14"/>
      <c r="C307" s="14"/>
      <c r="D307" s="14"/>
      <c r="E307" s="1"/>
      <c r="F307" s="15"/>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row>
    <row r="308" spans="1:56" ht="16.5" customHeight="1" x14ac:dyDescent="0.3">
      <c r="A308" s="14"/>
      <c r="B308" s="14"/>
      <c r="C308" s="14"/>
      <c r="D308" s="14"/>
      <c r="E308" s="1"/>
      <c r="F308" s="15"/>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row>
    <row r="309" spans="1:56" ht="16.5" customHeight="1" x14ac:dyDescent="0.3">
      <c r="A309" s="14"/>
      <c r="B309" s="14"/>
      <c r="C309" s="14"/>
      <c r="D309" s="14"/>
      <c r="E309" s="1"/>
      <c r="F309" s="15"/>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row>
    <row r="310" spans="1:56" ht="16.5" customHeight="1" x14ac:dyDescent="0.3">
      <c r="A310" s="14"/>
      <c r="B310" s="14"/>
      <c r="C310" s="14"/>
      <c r="D310" s="14"/>
      <c r="E310" s="1"/>
      <c r="F310" s="15"/>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row>
    <row r="311" spans="1:56" ht="16.5" customHeight="1" x14ac:dyDescent="0.3">
      <c r="A311" s="14"/>
      <c r="B311" s="14"/>
      <c r="C311" s="14"/>
      <c r="D311" s="14"/>
      <c r="E311" s="1"/>
      <c r="F311" s="15"/>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row>
    <row r="312" spans="1:56" ht="16.5" customHeight="1" x14ac:dyDescent="0.3">
      <c r="A312" s="14"/>
      <c r="B312" s="14"/>
      <c r="C312" s="14"/>
      <c r="D312" s="14"/>
      <c r="E312" s="1"/>
      <c r="F312" s="15"/>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row>
    <row r="313" spans="1:56" ht="16.5" customHeight="1" x14ac:dyDescent="0.3">
      <c r="A313" s="14"/>
      <c r="B313" s="14"/>
      <c r="C313" s="14"/>
      <c r="D313" s="14"/>
      <c r="E313" s="1"/>
      <c r="F313" s="15"/>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row>
    <row r="314" spans="1:56" ht="16.5" customHeight="1" x14ac:dyDescent="0.3">
      <c r="A314" s="14"/>
      <c r="B314" s="14"/>
      <c r="C314" s="14"/>
      <c r="D314" s="14"/>
      <c r="E314" s="1"/>
      <c r="F314" s="15"/>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row>
    <row r="315" spans="1:56" ht="16.5" customHeight="1" x14ac:dyDescent="0.3">
      <c r="A315" s="14"/>
      <c r="B315" s="14"/>
      <c r="C315" s="14"/>
      <c r="D315" s="14"/>
      <c r="E315" s="1"/>
      <c r="F315" s="15"/>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row>
    <row r="316" spans="1:56" ht="16.5" customHeight="1" x14ac:dyDescent="0.3">
      <c r="A316" s="14"/>
      <c r="B316" s="14"/>
      <c r="C316" s="14"/>
      <c r="D316" s="14"/>
      <c r="E316" s="1"/>
      <c r="F316" s="15"/>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row>
    <row r="317" spans="1:56" ht="16.5" customHeight="1" x14ac:dyDescent="0.3">
      <c r="A317" s="14"/>
      <c r="B317" s="14"/>
      <c r="C317" s="14"/>
      <c r="D317" s="14"/>
      <c r="E317" s="1"/>
      <c r="F317" s="15"/>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row>
    <row r="318" spans="1:56" ht="16.5" customHeight="1" x14ac:dyDescent="0.3">
      <c r="A318" s="14"/>
      <c r="B318" s="14"/>
      <c r="C318" s="14"/>
      <c r="D318" s="14"/>
      <c r="E318" s="1"/>
      <c r="F318" s="15"/>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row>
    <row r="319" spans="1:56" ht="16.5" customHeight="1" x14ac:dyDescent="0.3">
      <c r="A319" s="14"/>
      <c r="B319" s="14"/>
      <c r="C319" s="14"/>
      <c r="D319" s="14"/>
      <c r="E319" s="1"/>
      <c r="F319" s="15"/>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row>
    <row r="320" spans="1:56" ht="16.5" customHeight="1" x14ac:dyDescent="0.3">
      <c r="A320" s="14"/>
      <c r="B320" s="14"/>
      <c r="C320" s="14"/>
      <c r="D320" s="14"/>
      <c r="E320" s="1"/>
      <c r="F320" s="15"/>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row>
    <row r="321" spans="1:56" ht="16.5" customHeight="1" x14ac:dyDescent="0.3">
      <c r="A321" s="14"/>
      <c r="B321" s="14"/>
      <c r="C321" s="14"/>
      <c r="D321" s="14"/>
      <c r="E321" s="1"/>
      <c r="F321" s="15"/>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row>
    <row r="322" spans="1:56" ht="16.5" customHeight="1" x14ac:dyDescent="0.3">
      <c r="A322" s="14"/>
      <c r="B322" s="14"/>
      <c r="C322" s="14"/>
      <c r="D322" s="14"/>
      <c r="E322" s="1"/>
      <c r="F322" s="15"/>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row>
    <row r="323" spans="1:56" ht="16.5" customHeight="1" x14ac:dyDescent="0.3">
      <c r="A323" s="14"/>
      <c r="B323" s="14"/>
      <c r="C323" s="14"/>
      <c r="D323" s="14"/>
      <c r="E323" s="1"/>
      <c r="F323" s="15"/>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row>
    <row r="324" spans="1:56" ht="16.5" customHeight="1" x14ac:dyDescent="0.3">
      <c r="A324" s="14"/>
      <c r="B324" s="14"/>
      <c r="C324" s="14"/>
      <c r="D324" s="14"/>
      <c r="E324" s="1"/>
      <c r="F324" s="15"/>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row>
    <row r="325" spans="1:56" ht="16.5" customHeight="1" x14ac:dyDescent="0.3">
      <c r="A325" s="14"/>
      <c r="B325" s="14"/>
      <c r="C325" s="14"/>
      <c r="D325" s="14"/>
      <c r="E325" s="1"/>
      <c r="F325" s="15"/>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row>
    <row r="326" spans="1:56" ht="16.5" customHeight="1" x14ac:dyDescent="0.3">
      <c r="A326" s="14"/>
      <c r="B326" s="14"/>
      <c r="C326" s="14"/>
      <c r="D326" s="14"/>
      <c r="E326" s="1"/>
      <c r="F326" s="15"/>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row>
    <row r="327" spans="1:56" ht="16.5" customHeight="1" x14ac:dyDescent="0.3">
      <c r="A327" s="14"/>
      <c r="B327" s="14"/>
      <c r="C327" s="14"/>
      <c r="D327" s="14"/>
      <c r="E327" s="1"/>
      <c r="F327" s="15"/>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row>
    <row r="328" spans="1:56" ht="16.5" customHeight="1" x14ac:dyDescent="0.3">
      <c r="A328" s="14"/>
      <c r="B328" s="14"/>
      <c r="C328" s="14"/>
      <c r="D328" s="14"/>
      <c r="E328" s="1"/>
      <c r="F328" s="15"/>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row>
    <row r="329" spans="1:56" ht="16.5" customHeight="1" x14ac:dyDescent="0.3">
      <c r="A329" s="14"/>
      <c r="B329" s="14"/>
      <c r="C329" s="14"/>
      <c r="D329" s="14"/>
      <c r="E329" s="1"/>
      <c r="F329" s="15"/>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row>
    <row r="330" spans="1:56" ht="16.5" customHeight="1" x14ac:dyDescent="0.3">
      <c r="A330" s="14"/>
      <c r="B330" s="14"/>
      <c r="C330" s="14"/>
      <c r="D330" s="14"/>
      <c r="E330" s="1"/>
      <c r="F330" s="15"/>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row>
    <row r="331" spans="1:56" ht="16.5" customHeight="1" x14ac:dyDescent="0.3">
      <c r="A331" s="14"/>
      <c r="B331" s="14"/>
      <c r="C331" s="14"/>
      <c r="D331" s="14"/>
      <c r="E331" s="1"/>
      <c r="F331" s="15"/>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row>
    <row r="332" spans="1:56" ht="16.5" customHeight="1" x14ac:dyDescent="0.3">
      <c r="A332" s="14"/>
      <c r="B332" s="14"/>
      <c r="C332" s="14"/>
      <c r="D332" s="14"/>
      <c r="E332" s="1"/>
      <c r="F332" s="15"/>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row>
    <row r="333" spans="1:56" ht="16.5" customHeight="1" x14ac:dyDescent="0.3">
      <c r="A333" s="14"/>
      <c r="B333" s="14"/>
      <c r="C333" s="14"/>
      <c r="D333" s="14"/>
      <c r="E333" s="1"/>
      <c r="F333" s="15"/>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row>
    <row r="334" spans="1:56" ht="16.5" customHeight="1" x14ac:dyDescent="0.3">
      <c r="A334" s="14"/>
      <c r="B334" s="14"/>
      <c r="C334" s="14"/>
      <c r="D334" s="14"/>
      <c r="E334" s="1"/>
      <c r="F334" s="15"/>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row>
    <row r="335" spans="1:56" ht="16.5" customHeight="1" x14ac:dyDescent="0.3">
      <c r="A335" s="14"/>
      <c r="B335" s="14"/>
      <c r="C335" s="14"/>
      <c r="D335" s="14"/>
      <c r="E335" s="1"/>
      <c r="F335" s="15"/>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row>
    <row r="336" spans="1:56" ht="16.5" customHeight="1" x14ac:dyDescent="0.3">
      <c r="A336" s="14"/>
      <c r="B336" s="14"/>
      <c r="C336" s="14"/>
      <c r="D336" s="14"/>
      <c r="E336" s="1"/>
      <c r="F336" s="15"/>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row>
    <row r="337" spans="1:56" ht="16.5" customHeight="1" x14ac:dyDescent="0.3">
      <c r="A337" s="14"/>
      <c r="B337" s="14"/>
      <c r="C337" s="14"/>
      <c r="D337" s="14"/>
      <c r="E337" s="1"/>
      <c r="F337" s="15"/>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row>
    <row r="338" spans="1:56" ht="16.5" customHeight="1" x14ac:dyDescent="0.3">
      <c r="A338" s="14"/>
      <c r="B338" s="14"/>
      <c r="C338" s="14"/>
      <c r="D338" s="14"/>
      <c r="E338" s="1"/>
      <c r="F338" s="15"/>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row>
    <row r="339" spans="1:56" ht="16.5" customHeight="1" x14ac:dyDescent="0.3">
      <c r="A339" s="14"/>
      <c r="B339" s="14"/>
      <c r="C339" s="14"/>
      <c r="D339" s="14"/>
      <c r="E339" s="1"/>
      <c r="F339" s="15"/>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row>
    <row r="340" spans="1:56" ht="16.5" customHeight="1" x14ac:dyDescent="0.3">
      <c r="A340" s="14"/>
      <c r="B340" s="14"/>
      <c r="C340" s="14"/>
      <c r="D340" s="14"/>
      <c r="E340" s="1"/>
      <c r="F340" s="15"/>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row>
    <row r="341" spans="1:56" ht="16.5" customHeight="1" x14ac:dyDescent="0.3">
      <c r="A341" s="14"/>
      <c r="B341" s="14"/>
      <c r="C341" s="14"/>
      <c r="D341" s="14"/>
      <c r="E341" s="1"/>
      <c r="F341" s="15"/>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row>
    <row r="342" spans="1:56" ht="16.5" customHeight="1" x14ac:dyDescent="0.3">
      <c r="A342" s="14"/>
      <c r="B342" s="14"/>
      <c r="C342" s="14"/>
      <c r="D342" s="14"/>
      <c r="E342" s="1"/>
      <c r="F342" s="15"/>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row>
    <row r="343" spans="1:56" ht="16.5" customHeight="1" x14ac:dyDescent="0.3">
      <c r="A343" s="14"/>
      <c r="B343" s="14"/>
      <c r="C343" s="14"/>
      <c r="D343" s="14"/>
      <c r="E343" s="1"/>
      <c r="F343" s="15"/>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row>
    <row r="344" spans="1:56" ht="16.5" customHeight="1" x14ac:dyDescent="0.3">
      <c r="A344" s="14"/>
      <c r="B344" s="14"/>
      <c r="C344" s="14"/>
      <c r="D344" s="14"/>
      <c r="E344" s="1"/>
      <c r="F344" s="15"/>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row>
    <row r="345" spans="1:56" ht="16.5" customHeight="1" x14ac:dyDescent="0.3">
      <c r="A345" s="14"/>
      <c r="B345" s="14"/>
      <c r="C345" s="14"/>
      <c r="D345" s="14"/>
      <c r="E345" s="1"/>
      <c r="F345" s="15"/>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row>
    <row r="346" spans="1:56" ht="16.5" customHeight="1" x14ac:dyDescent="0.3">
      <c r="A346" s="14"/>
      <c r="B346" s="14"/>
      <c r="C346" s="14"/>
      <c r="D346" s="14"/>
      <c r="E346" s="1"/>
      <c r="F346" s="15"/>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row>
    <row r="347" spans="1:56" ht="16.5" customHeight="1" x14ac:dyDescent="0.3">
      <c r="A347" s="14"/>
      <c r="B347" s="14"/>
      <c r="C347" s="14"/>
      <c r="D347" s="14"/>
      <c r="E347" s="1"/>
      <c r="F347" s="15"/>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row>
    <row r="348" spans="1:56" ht="16.5" customHeight="1" x14ac:dyDescent="0.3">
      <c r="A348" s="14"/>
      <c r="B348" s="14"/>
      <c r="C348" s="14"/>
      <c r="D348" s="14"/>
      <c r="E348" s="1"/>
      <c r="F348" s="15"/>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row>
    <row r="349" spans="1:56" ht="16.5" customHeight="1" x14ac:dyDescent="0.3">
      <c r="A349" s="14"/>
      <c r="B349" s="14"/>
      <c r="C349" s="14"/>
      <c r="D349" s="14"/>
      <c r="E349" s="1"/>
      <c r="F349" s="15"/>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row>
    <row r="350" spans="1:56" ht="16.5" customHeight="1" x14ac:dyDescent="0.3">
      <c r="A350" s="14"/>
      <c r="B350" s="14"/>
      <c r="C350" s="14"/>
      <c r="D350" s="14"/>
      <c r="E350" s="1"/>
      <c r="F350" s="15"/>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row>
    <row r="351" spans="1:56" ht="16.5" customHeight="1" x14ac:dyDescent="0.3">
      <c r="A351" s="14"/>
      <c r="B351" s="14"/>
      <c r="C351" s="14"/>
      <c r="D351" s="14"/>
      <c r="E351" s="1"/>
      <c r="F351" s="15"/>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row>
    <row r="352" spans="1:56" ht="16.5" customHeight="1" x14ac:dyDescent="0.3">
      <c r="A352" s="14"/>
      <c r="B352" s="14"/>
      <c r="C352" s="14"/>
      <c r="D352" s="14"/>
      <c r="E352" s="1"/>
      <c r="F352" s="15"/>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row>
    <row r="353" spans="1:56" ht="16.5" customHeight="1" x14ac:dyDescent="0.3">
      <c r="A353" s="14"/>
      <c r="B353" s="14"/>
      <c r="C353" s="14"/>
      <c r="D353" s="14"/>
      <c r="E353" s="1"/>
      <c r="F353" s="15"/>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row>
    <row r="354" spans="1:56" ht="16.5" customHeight="1" x14ac:dyDescent="0.3">
      <c r="A354" s="14"/>
      <c r="B354" s="14"/>
      <c r="C354" s="14"/>
      <c r="D354" s="14"/>
      <c r="E354" s="1"/>
      <c r="F354" s="15"/>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row>
    <row r="355" spans="1:56" ht="16.5" customHeight="1" x14ac:dyDescent="0.3">
      <c r="A355" s="14"/>
      <c r="B355" s="14"/>
      <c r="C355" s="14"/>
      <c r="D355" s="14"/>
      <c r="E355" s="1"/>
      <c r="F355" s="15"/>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row>
    <row r="356" spans="1:56" ht="16.5" customHeight="1" x14ac:dyDescent="0.3">
      <c r="A356" s="14"/>
      <c r="B356" s="14"/>
      <c r="C356" s="14"/>
      <c r="D356" s="14"/>
      <c r="E356" s="1"/>
      <c r="F356" s="15"/>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row>
    <row r="357" spans="1:56" ht="16.5" customHeight="1" x14ac:dyDescent="0.3">
      <c r="A357" s="14"/>
      <c r="B357" s="14"/>
      <c r="C357" s="14"/>
      <c r="D357" s="14"/>
      <c r="E357" s="1"/>
      <c r="F357" s="15"/>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row>
    <row r="358" spans="1:56" ht="16.5" customHeight="1" x14ac:dyDescent="0.3">
      <c r="A358" s="14"/>
      <c r="B358" s="14"/>
      <c r="C358" s="14"/>
      <c r="D358" s="14"/>
      <c r="E358" s="1"/>
      <c r="F358" s="15"/>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row>
    <row r="359" spans="1:56" ht="16.5" customHeight="1" x14ac:dyDescent="0.3">
      <c r="A359" s="14"/>
      <c r="B359" s="14"/>
      <c r="C359" s="14"/>
      <c r="D359" s="14"/>
      <c r="E359" s="1"/>
      <c r="F359" s="15"/>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row>
    <row r="360" spans="1:56" ht="16.5" customHeight="1" x14ac:dyDescent="0.3">
      <c r="A360" s="14"/>
      <c r="B360" s="14"/>
      <c r="C360" s="14"/>
      <c r="D360" s="14"/>
      <c r="E360" s="1"/>
      <c r="F360" s="15"/>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row>
    <row r="361" spans="1:56" ht="16.5" customHeight="1" x14ac:dyDescent="0.3">
      <c r="A361" s="14"/>
      <c r="B361" s="14"/>
      <c r="C361" s="14"/>
      <c r="D361" s="14"/>
      <c r="E361" s="1"/>
      <c r="F361" s="15"/>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row>
    <row r="362" spans="1:56" ht="16.5" customHeight="1" x14ac:dyDescent="0.3">
      <c r="A362" s="14"/>
      <c r="B362" s="14"/>
      <c r="C362" s="14"/>
      <c r="D362" s="14"/>
      <c r="E362" s="1"/>
      <c r="F362" s="15"/>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row>
    <row r="363" spans="1:56" ht="16.5" customHeight="1" x14ac:dyDescent="0.3">
      <c r="A363" s="14"/>
      <c r="B363" s="14"/>
      <c r="C363" s="14"/>
      <c r="D363" s="14"/>
      <c r="E363" s="1"/>
      <c r="F363" s="15"/>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row>
    <row r="364" spans="1:56" ht="16.5" customHeight="1" x14ac:dyDescent="0.3">
      <c r="A364" s="14"/>
      <c r="B364" s="14"/>
      <c r="C364" s="14"/>
      <c r="D364" s="14"/>
      <c r="E364" s="1"/>
      <c r="F364" s="15"/>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row>
    <row r="365" spans="1:56" ht="16.5" customHeight="1" x14ac:dyDescent="0.3">
      <c r="A365" s="14"/>
      <c r="B365" s="14"/>
      <c r="C365" s="14"/>
      <c r="D365" s="14"/>
      <c r="E365" s="1"/>
      <c r="F365" s="15"/>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row>
    <row r="366" spans="1:56" ht="16.5" customHeight="1" x14ac:dyDescent="0.3">
      <c r="A366" s="14"/>
      <c r="B366" s="14"/>
      <c r="C366" s="14"/>
      <c r="D366" s="14"/>
      <c r="E366" s="1"/>
      <c r="F366" s="15"/>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row>
    <row r="367" spans="1:56" ht="16.5" customHeight="1" x14ac:dyDescent="0.3">
      <c r="A367" s="14"/>
      <c r="B367" s="14"/>
      <c r="C367" s="14"/>
      <c r="D367" s="14"/>
      <c r="E367" s="1"/>
      <c r="F367" s="15"/>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row>
    <row r="368" spans="1:56" ht="16.5" customHeight="1" x14ac:dyDescent="0.3">
      <c r="A368" s="14"/>
      <c r="B368" s="14"/>
      <c r="C368" s="14"/>
      <c r="D368" s="14"/>
      <c r="E368" s="1"/>
      <c r="F368" s="15"/>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row>
    <row r="369" spans="1:56" ht="16.5" customHeight="1" x14ac:dyDescent="0.3">
      <c r="A369" s="14"/>
      <c r="B369" s="14"/>
      <c r="C369" s="14"/>
      <c r="D369" s="14"/>
      <c r="E369" s="1"/>
      <c r="F369" s="15"/>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row>
    <row r="370" spans="1:56" ht="16.5" customHeight="1" x14ac:dyDescent="0.3">
      <c r="A370" s="14"/>
      <c r="B370" s="14"/>
      <c r="C370" s="14"/>
      <c r="D370" s="14"/>
      <c r="E370" s="1"/>
      <c r="F370" s="15"/>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row>
    <row r="371" spans="1:56" ht="16.5" customHeight="1" x14ac:dyDescent="0.3">
      <c r="A371" s="14"/>
      <c r="B371" s="14"/>
      <c r="C371" s="14"/>
      <c r="D371" s="14"/>
      <c r="E371" s="1"/>
      <c r="F371" s="15"/>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row>
    <row r="372" spans="1:56" ht="16.5" customHeight="1" x14ac:dyDescent="0.3">
      <c r="A372" s="14"/>
      <c r="B372" s="14"/>
      <c r="C372" s="14"/>
      <c r="D372" s="14"/>
      <c r="E372" s="1"/>
      <c r="F372" s="15"/>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row>
    <row r="373" spans="1:56" ht="16.5" customHeight="1" x14ac:dyDescent="0.3">
      <c r="A373" s="14"/>
      <c r="B373" s="14"/>
      <c r="C373" s="14"/>
      <c r="D373" s="14"/>
      <c r="E373" s="1"/>
      <c r="F373" s="15"/>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row>
    <row r="374" spans="1:56" ht="16.5" customHeight="1" x14ac:dyDescent="0.3">
      <c r="A374" s="14"/>
      <c r="B374" s="14"/>
      <c r="C374" s="14"/>
      <c r="D374" s="14"/>
      <c r="E374" s="1"/>
      <c r="F374" s="15"/>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row>
    <row r="375" spans="1:56" ht="16.5" customHeight="1" x14ac:dyDescent="0.3">
      <c r="A375" s="14"/>
      <c r="B375" s="14"/>
      <c r="C375" s="14"/>
      <c r="D375" s="14"/>
      <c r="E375" s="1"/>
      <c r="F375" s="15"/>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row>
    <row r="376" spans="1:56" ht="16.5" customHeight="1" x14ac:dyDescent="0.3">
      <c r="A376" s="14"/>
      <c r="B376" s="14"/>
      <c r="C376" s="14"/>
      <c r="D376" s="14"/>
      <c r="E376" s="1"/>
      <c r="F376" s="15"/>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row>
    <row r="377" spans="1:56" ht="16.5" customHeight="1" x14ac:dyDescent="0.3">
      <c r="A377" s="14"/>
      <c r="B377" s="14"/>
      <c r="C377" s="14"/>
      <c r="D377" s="14"/>
      <c r="E377" s="1"/>
      <c r="F377" s="15"/>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row>
    <row r="378" spans="1:56" ht="16.5" customHeight="1" x14ac:dyDescent="0.3">
      <c r="A378" s="14"/>
      <c r="B378" s="14"/>
      <c r="C378" s="14"/>
      <c r="D378" s="14"/>
      <c r="E378" s="1"/>
      <c r="F378" s="15"/>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row>
    <row r="379" spans="1:56" ht="16.5" customHeight="1" x14ac:dyDescent="0.3">
      <c r="A379" s="14"/>
      <c r="B379" s="14"/>
      <c r="C379" s="14"/>
      <c r="D379" s="14"/>
      <c r="E379" s="1"/>
      <c r="F379" s="15"/>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row>
    <row r="380" spans="1:56" ht="16.5" customHeight="1" x14ac:dyDescent="0.3">
      <c r="A380" s="14"/>
      <c r="B380" s="14"/>
      <c r="C380" s="14"/>
      <c r="D380" s="14"/>
      <c r="E380" s="1"/>
      <c r="F380" s="15"/>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row>
    <row r="381" spans="1:56" ht="16.5" customHeight="1" x14ac:dyDescent="0.3">
      <c r="A381" s="14"/>
      <c r="B381" s="14"/>
      <c r="C381" s="14"/>
      <c r="D381" s="14"/>
      <c r="E381" s="1"/>
      <c r="F381" s="15"/>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row>
    <row r="382" spans="1:56" ht="16.5" customHeight="1" x14ac:dyDescent="0.3">
      <c r="A382" s="14"/>
      <c r="B382" s="14"/>
      <c r="C382" s="14"/>
      <c r="D382" s="14"/>
      <c r="E382" s="1"/>
      <c r="F382" s="15"/>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row>
    <row r="383" spans="1:56" ht="16.5" customHeight="1" x14ac:dyDescent="0.3">
      <c r="A383" s="14"/>
      <c r="B383" s="14"/>
      <c r="C383" s="14"/>
      <c r="D383" s="14"/>
      <c r="E383" s="1"/>
      <c r="F383" s="15"/>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row>
    <row r="384" spans="1:56" ht="16.5" customHeight="1" x14ac:dyDescent="0.3">
      <c r="A384" s="14"/>
      <c r="B384" s="14"/>
      <c r="C384" s="14"/>
      <c r="D384" s="14"/>
      <c r="E384" s="1"/>
      <c r="F384" s="15"/>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row>
    <row r="385" spans="1:56" ht="16.5" customHeight="1" x14ac:dyDescent="0.3">
      <c r="A385" s="14"/>
      <c r="B385" s="14"/>
      <c r="C385" s="14"/>
      <c r="D385" s="14"/>
      <c r="E385" s="1"/>
      <c r="F385" s="15"/>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row>
    <row r="386" spans="1:56" ht="16.5" customHeight="1" x14ac:dyDescent="0.3">
      <c r="A386" s="14"/>
      <c r="B386" s="14"/>
      <c r="C386" s="14"/>
      <c r="D386" s="14"/>
      <c r="E386" s="1"/>
      <c r="F386" s="15"/>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row>
    <row r="387" spans="1:56" ht="16.5" customHeight="1" x14ac:dyDescent="0.3">
      <c r="A387" s="14"/>
      <c r="B387" s="14"/>
      <c r="C387" s="14"/>
      <c r="D387" s="14"/>
      <c r="E387" s="1"/>
      <c r="F387" s="15"/>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row>
    <row r="388" spans="1:56" ht="16.5" customHeight="1" x14ac:dyDescent="0.3">
      <c r="A388" s="14"/>
      <c r="B388" s="14"/>
      <c r="C388" s="14"/>
      <c r="D388" s="14"/>
      <c r="E388" s="1"/>
      <c r="F388" s="15"/>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row>
    <row r="389" spans="1:56" ht="16.5" customHeight="1" x14ac:dyDescent="0.3">
      <c r="A389" s="14"/>
      <c r="B389" s="14"/>
      <c r="C389" s="14"/>
      <c r="D389" s="14"/>
      <c r="E389" s="1"/>
      <c r="F389" s="15"/>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row>
    <row r="390" spans="1:56" ht="16.5" customHeight="1" x14ac:dyDescent="0.3">
      <c r="A390" s="14"/>
      <c r="B390" s="14"/>
      <c r="C390" s="14"/>
      <c r="D390" s="14"/>
      <c r="E390" s="1"/>
      <c r="F390" s="15"/>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row>
    <row r="391" spans="1:56" ht="16.5" customHeight="1" x14ac:dyDescent="0.3">
      <c r="A391" s="14"/>
      <c r="B391" s="14"/>
      <c r="C391" s="14"/>
      <c r="D391" s="14"/>
      <c r="E391" s="1"/>
      <c r="F391" s="15"/>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row>
    <row r="392" spans="1:56" ht="16.5" customHeight="1" x14ac:dyDescent="0.3">
      <c r="A392" s="14"/>
      <c r="B392" s="14"/>
      <c r="C392" s="14"/>
      <c r="D392" s="14"/>
      <c r="E392" s="1"/>
      <c r="F392" s="15"/>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row>
    <row r="393" spans="1:56" ht="16.5" customHeight="1" x14ac:dyDescent="0.3">
      <c r="A393" s="14"/>
      <c r="B393" s="14"/>
      <c r="C393" s="14"/>
      <c r="D393" s="14"/>
      <c r="E393" s="1"/>
      <c r="F393" s="15"/>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row>
    <row r="394" spans="1:56" ht="16.5" customHeight="1" x14ac:dyDescent="0.3">
      <c r="A394" s="14"/>
      <c r="B394" s="14"/>
      <c r="C394" s="14"/>
      <c r="D394" s="14"/>
      <c r="E394" s="1"/>
      <c r="F394" s="15"/>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row>
    <row r="395" spans="1:56" ht="16.5" customHeight="1" x14ac:dyDescent="0.3">
      <c r="A395" s="14"/>
      <c r="B395" s="14"/>
      <c r="C395" s="14"/>
      <c r="D395" s="14"/>
      <c r="E395" s="1"/>
      <c r="F395" s="15"/>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row>
    <row r="396" spans="1:56" ht="16.5" customHeight="1" x14ac:dyDescent="0.3">
      <c r="A396" s="14"/>
      <c r="B396" s="14"/>
      <c r="C396" s="14"/>
      <c r="D396" s="14"/>
      <c r="E396" s="1"/>
      <c r="F396" s="15"/>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row>
    <row r="397" spans="1:56" ht="16.5" customHeight="1" x14ac:dyDescent="0.3">
      <c r="A397" s="14"/>
      <c r="B397" s="14"/>
      <c r="C397" s="14"/>
      <c r="D397" s="14"/>
      <c r="E397" s="1"/>
      <c r="F397" s="15"/>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row>
    <row r="398" spans="1:56" ht="16.5" customHeight="1" x14ac:dyDescent="0.3">
      <c r="A398" s="14"/>
      <c r="B398" s="14"/>
      <c r="C398" s="14"/>
      <c r="D398" s="14"/>
      <c r="E398" s="1"/>
      <c r="F398" s="15"/>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row>
    <row r="399" spans="1:56" ht="16.5" customHeight="1" x14ac:dyDescent="0.3">
      <c r="A399" s="14"/>
      <c r="B399" s="14"/>
      <c r="C399" s="14"/>
      <c r="D399" s="14"/>
      <c r="E399" s="1"/>
      <c r="F399" s="15"/>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row>
    <row r="400" spans="1:56" ht="16.5" customHeight="1" x14ac:dyDescent="0.3">
      <c r="A400" s="14"/>
      <c r="B400" s="14"/>
      <c r="C400" s="14"/>
      <c r="D400" s="14"/>
      <c r="E400" s="1"/>
      <c r="F400" s="15"/>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row>
    <row r="401" spans="1:56" ht="16.5" customHeight="1" x14ac:dyDescent="0.3">
      <c r="A401" s="14"/>
      <c r="B401" s="14"/>
      <c r="C401" s="14"/>
      <c r="D401" s="14"/>
      <c r="E401" s="1"/>
      <c r="F401" s="15"/>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row>
    <row r="402" spans="1:56" ht="16.5" customHeight="1" x14ac:dyDescent="0.3">
      <c r="A402" s="14"/>
      <c r="B402" s="14"/>
      <c r="C402" s="14"/>
      <c r="D402" s="14"/>
      <c r="E402" s="1"/>
      <c r="F402" s="15"/>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row>
    <row r="403" spans="1:56" ht="16.5" customHeight="1" x14ac:dyDescent="0.3">
      <c r="A403" s="14"/>
      <c r="B403" s="14"/>
      <c r="C403" s="14"/>
      <c r="D403" s="14"/>
      <c r="E403" s="1"/>
      <c r="F403" s="15"/>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row>
    <row r="404" spans="1:56" ht="16.5" customHeight="1" x14ac:dyDescent="0.3">
      <c r="A404" s="14"/>
      <c r="B404" s="14"/>
      <c r="C404" s="14"/>
      <c r="D404" s="14"/>
      <c r="E404" s="1"/>
      <c r="F404" s="15"/>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row>
    <row r="405" spans="1:56" ht="16.5" customHeight="1" x14ac:dyDescent="0.3">
      <c r="A405" s="14"/>
      <c r="B405" s="14"/>
      <c r="C405" s="14"/>
      <c r="D405" s="14"/>
      <c r="E405" s="1"/>
      <c r="F405" s="15"/>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row>
    <row r="406" spans="1:56" ht="16.5" customHeight="1" x14ac:dyDescent="0.3">
      <c r="A406" s="14"/>
      <c r="B406" s="14"/>
      <c r="C406" s="14"/>
      <c r="D406" s="14"/>
      <c r="E406" s="1"/>
      <c r="F406" s="15"/>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row>
    <row r="407" spans="1:56" ht="16.5" customHeight="1" x14ac:dyDescent="0.3">
      <c r="A407" s="14"/>
      <c r="B407" s="14"/>
      <c r="C407" s="14"/>
      <c r="D407" s="14"/>
      <c r="E407" s="1"/>
      <c r="F407" s="15"/>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row>
    <row r="408" spans="1:56" ht="16.5" customHeight="1" x14ac:dyDescent="0.3">
      <c r="A408" s="14"/>
      <c r="B408" s="14"/>
      <c r="C408" s="14"/>
      <c r="D408" s="14"/>
      <c r="E408" s="1"/>
      <c r="F408" s="15"/>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row>
    <row r="409" spans="1:56" ht="16.5" customHeight="1" x14ac:dyDescent="0.3">
      <c r="A409" s="14"/>
      <c r="B409" s="14"/>
      <c r="C409" s="14"/>
      <c r="D409" s="14"/>
      <c r="E409" s="1"/>
      <c r="F409" s="15"/>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row>
    <row r="410" spans="1:56" ht="16.5" customHeight="1" x14ac:dyDescent="0.3">
      <c r="A410" s="14"/>
      <c r="B410" s="14"/>
      <c r="C410" s="14"/>
      <c r="D410" s="14"/>
      <c r="E410" s="1"/>
      <c r="F410" s="15"/>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row>
    <row r="411" spans="1:56" ht="16.5" customHeight="1" x14ac:dyDescent="0.3">
      <c r="A411" s="14"/>
      <c r="B411" s="14"/>
      <c r="C411" s="14"/>
      <c r="D411" s="14"/>
      <c r="E411" s="1"/>
      <c r="F411" s="15"/>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row>
    <row r="412" spans="1:56" ht="16.5" customHeight="1" x14ac:dyDescent="0.3">
      <c r="A412" s="14"/>
      <c r="B412" s="14"/>
      <c r="C412" s="14"/>
      <c r="D412" s="14"/>
      <c r="E412" s="1"/>
      <c r="F412" s="15"/>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row>
    <row r="413" spans="1:56" ht="16.5" customHeight="1" x14ac:dyDescent="0.3">
      <c r="A413" s="14"/>
      <c r="B413" s="14"/>
      <c r="C413" s="14"/>
      <c r="D413" s="14"/>
      <c r="E413" s="1"/>
      <c r="F413" s="15"/>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row>
    <row r="414" spans="1:56" ht="16.5" customHeight="1" x14ac:dyDescent="0.3">
      <c r="A414" s="14"/>
      <c r="B414" s="14"/>
      <c r="C414" s="14"/>
      <c r="D414" s="14"/>
      <c r="E414" s="1"/>
      <c r="F414" s="15"/>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row>
    <row r="415" spans="1:56" ht="16.5" customHeight="1" x14ac:dyDescent="0.3">
      <c r="A415" s="14"/>
      <c r="B415" s="14"/>
      <c r="C415" s="14"/>
      <c r="D415" s="14"/>
      <c r="E415" s="1"/>
      <c r="F415" s="15"/>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row>
    <row r="416" spans="1:56" ht="16.5" customHeight="1" x14ac:dyDescent="0.3">
      <c r="A416" s="14"/>
      <c r="B416" s="14"/>
      <c r="C416" s="14"/>
      <c r="D416" s="14"/>
      <c r="E416" s="1"/>
      <c r="F416" s="15"/>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row>
    <row r="417" spans="1:56" ht="16.5" customHeight="1" x14ac:dyDescent="0.3">
      <c r="A417" s="14"/>
      <c r="B417" s="14"/>
      <c r="C417" s="14"/>
      <c r="D417" s="14"/>
      <c r="E417" s="1"/>
      <c r="F417" s="15"/>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row>
    <row r="418" spans="1:56" ht="16.5" customHeight="1" x14ac:dyDescent="0.3">
      <c r="A418" s="14"/>
      <c r="B418" s="14"/>
      <c r="C418" s="14"/>
      <c r="D418" s="14"/>
      <c r="E418" s="1"/>
      <c r="F418" s="15"/>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row>
    <row r="419" spans="1:56" ht="16.5" customHeight="1" x14ac:dyDescent="0.3">
      <c r="A419" s="14"/>
      <c r="B419" s="14"/>
      <c r="C419" s="14"/>
      <c r="D419" s="14"/>
      <c r="E419" s="1"/>
      <c r="F419" s="15"/>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row>
    <row r="420" spans="1:56" ht="16.5" customHeight="1" x14ac:dyDescent="0.3">
      <c r="A420" s="14"/>
      <c r="B420" s="14"/>
      <c r="C420" s="14"/>
      <c r="D420" s="14"/>
      <c r="E420" s="1"/>
      <c r="F420" s="15"/>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row>
    <row r="421" spans="1:56" ht="16.5" customHeight="1" x14ac:dyDescent="0.3">
      <c r="A421" s="14"/>
      <c r="B421" s="14"/>
      <c r="C421" s="14"/>
      <c r="D421" s="14"/>
      <c r="E421" s="1"/>
      <c r="F421" s="15"/>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row>
    <row r="422" spans="1:56" ht="16.5" customHeight="1" x14ac:dyDescent="0.3">
      <c r="A422" s="14"/>
      <c r="B422" s="14"/>
      <c r="C422" s="14"/>
      <c r="D422" s="14"/>
      <c r="E422" s="1"/>
      <c r="F422" s="15"/>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row>
    <row r="423" spans="1:56" ht="16.5" customHeight="1" x14ac:dyDescent="0.3">
      <c r="A423" s="14"/>
      <c r="B423" s="14"/>
      <c r="C423" s="14"/>
      <c r="D423" s="14"/>
      <c r="E423" s="1"/>
      <c r="F423" s="15"/>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row>
    <row r="424" spans="1:56" ht="16.5" customHeight="1" x14ac:dyDescent="0.3">
      <c r="A424" s="14"/>
      <c r="B424" s="14"/>
      <c r="C424" s="14"/>
      <c r="D424" s="14"/>
      <c r="E424" s="1"/>
      <c r="F424" s="15"/>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row>
    <row r="425" spans="1:56" ht="16.5" customHeight="1" x14ac:dyDescent="0.3">
      <c r="A425" s="14"/>
      <c r="B425" s="14"/>
      <c r="C425" s="14"/>
      <c r="D425" s="14"/>
      <c r="E425" s="1"/>
      <c r="F425" s="15"/>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row>
    <row r="426" spans="1:56" ht="16.5" customHeight="1" x14ac:dyDescent="0.3">
      <c r="A426" s="14"/>
      <c r="B426" s="14"/>
      <c r="C426" s="14"/>
      <c r="D426" s="14"/>
      <c r="E426" s="1"/>
      <c r="F426" s="15"/>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row>
    <row r="427" spans="1:56" ht="16.5" customHeight="1" x14ac:dyDescent="0.3">
      <c r="A427" s="14"/>
      <c r="B427" s="14"/>
      <c r="C427" s="14"/>
      <c r="D427" s="14"/>
      <c r="E427" s="1"/>
      <c r="F427" s="15"/>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row>
    <row r="428" spans="1:56" ht="16.5" customHeight="1" x14ac:dyDescent="0.3">
      <c r="A428" s="14"/>
      <c r="B428" s="14"/>
      <c r="C428" s="14"/>
      <c r="D428" s="14"/>
      <c r="E428" s="1"/>
      <c r="F428" s="15"/>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row>
    <row r="429" spans="1:56" ht="16.5" customHeight="1" x14ac:dyDescent="0.3">
      <c r="A429" s="14"/>
      <c r="B429" s="14"/>
      <c r="C429" s="14"/>
      <c r="D429" s="14"/>
      <c r="E429" s="1"/>
      <c r="F429" s="15"/>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row>
    <row r="430" spans="1:56" ht="16.5" customHeight="1" x14ac:dyDescent="0.3">
      <c r="A430" s="14"/>
      <c r="B430" s="14"/>
      <c r="C430" s="14"/>
      <c r="D430" s="14"/>
      <c r="E430" s="1"/>
      <c r="F430" s="15"/>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row>
    <row r="431" spans="1:56" ht="16.5" customHeight="1" x14ac:dyDescent="0.3">
      <c r="A431" s="14"/>
      <c r="B431" s="14"/>
      <c r="C431" s="14"/>
      <c r="D431" s="14"/>
      <c r="E431" s="1"/>
      <c r="F431" s="15"/>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row>
    <row r="432" spans="1:56" ht="16.5" customHeight="1" x14ac:dyDescent="0.3">
      <c r="A432" s="14"/>
      <c r="B432" s="14"/>
      <c r="C432" s="14"/>
      <c r="D432" s="14"/>
      <c r="E432" s="1"/>
      <c r="F432" s="15"/>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row>
    <row r="433" spans="1:56" ht="16.5" customHeight="1" x14ac:dyDescent="0.3">
      <c r="A433" s="14"/>
      <c r="B433" s="14"/>
      <c r="C433" s="14"/>
      <c r="D433" s="14"/>
      <c r="E433" s="1"/>
      <c r="F433" s="15"/>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row>
    <row r="434" spans="1:56" ht="16.5" customHeight="1" x14ac:dyDescent="0.3">
      <c r="A434" s="14"/>
      <c r="B434" s="14"/>
      <c r="C434" s="14"/>
      <c r="D434" s="14"/>
      <c r="E434" s="1"/>
      <c r="F434" s="15"/>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row>
    <row r="435" spans="1:56" ht="16.5" customHeight="1" x14ac:dyDescent="0.3">
      <c r="A435" s="14"/>
      <c r="B435" s="14"/>
      <c r="C435" s="14"/>
      <c r="D435" s="14"/>
      <c r="E435" s="1"/>
      <c r="F435" s="15"/>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row>
    <row r="436" spans="1:56" ht="16.5" customHeight="1" x14ac:dyDescent="0.3">
      <c r="A436" s="14"/>
      <c r="B436" s="14"/>
      <c r="C436" s="14"/>
      <c r="D436" s="14"/>
      <c r="E436" s="1"/>
      <c r="F436" s="15"/>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row>
    <row r="437" spans="1:56" ht="16.5" customHeight="1" x14ac:dyDescent="0.3">
      <c r="A437" s="14"/>
      <c r="B437" s="14"/>
      <c r="C437" s="14"/>
      <c r="D437" s="14"/>
      <c r="E437" s="1"/>
      <c r="F437" s="15"/>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row>
    <row r="438" spans="1:56" ht="16.5" customHeight="1" x14ac:dyDescent="0.3">
      <c r="A438" s="14"/>
      <c r="B438" s="14"/>
      <c r="C438" s="14"/>
      <c r="D438" s="14"/>
      <c r="E438" s="1"/>
      <c r="F438" s="15"/>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row>
    <row r="439" spans="1:56" ht="16.5" customHeight="1" x14ac:dyDescent="0.3">
      <c r="A439" s="14"/>
      <c r="B439" s="14"/>
      <c r="C439" s="14"/>
      <c r="D439" s="14"/>
      <c r="E439" s="1"/>
      <c r="F439" s="15"/>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row>
    <row r="440" spans="1:56" ht="16.5" customHeight="1" x14ac:dyDescent="0.3">
      <c r="A440" s="14"/>
      <c r="B440" s="14"/>
      <c r="C440" s="14"/>
      <c r="D440" s="14"/>
      <c r="E440" s="1"/>
      <c r="F440" s="15"/>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row>
    <row r="441" spans="1:56" ht="16.5" customHeight="1" x14ac:dyDescent="0.3">
      <c r="A441" s="14"/>
      <c r="B441" s="14"/>
      <c r="C441" s="14"/>
      <c r="D441" s="14"/>
      <c r="E441" s="1"/>
      <c r="F441" s="15"/>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row>
    <row r="442" spans="1:56" ht="16.5" customHeight="1" x14ac:dyDescent="0.3">
      <c r="A442" s="14"/>
      <c r="B442" s="14"/>
      <c r="C442" s="14"/>
      <c r="D442" s="14"/>
      <c r="E442" s="1"/>
      <c r="F442" s="15"/>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row>
    <row r="443" spans="1:56" ht="16.5" customHeight="1" x14ac:dyDescent="0.3">
      <c r="A443" s="14"/>
      <c r="B443" s="14"/>
      <c r="C443" s="14"/>
      <c r="D443" s="14"/>
      <c r="E443" s="1"/>
      <c r="F443" s="15"/>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row>
    <row r="444" spans="1:56" ht="16.5" customHeight="1" x14ac:dyDescent="0.3">
      <c r="A444" s="14"/>
      <c r="B444" s="14"/>
      <c r="C444" s="14"/>
      <c r="D444" s="14"/>
      <c r="E444" s="1"/>
      <c r="F444" s="15"/>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row>
    <row r="445" spans="1:56" ht="16.5" customHeight="1" x14ac:dyDescent="0.3">
      <c r="A445" s="14"/>
      <c r="B445" s="14"/>
      <c r="C445" s="14"/>
      <c r="D445" s="14"/>
      <c r="E445" s="1"/>
      <c r="F445" s="15"/>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row>
    <row r="446" spans="1:56" ht="16.5" customHeight="1" x14ac:dyDescent="0.3">
      <c r="A446" s="14"/>
      <c r="B446" s="14"/>
      <c r="C446" s="14"/>
      <c r="D446" s="14"/>
      <c r="E446" s="1"/>
      <c r="F446" s="15"/>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row>
    <row r="447" spans="1:56" ht="16.5" customHeight="1" x14ac:dyDescent="0.3">
      <c r="A447" s="14"/>
      <c r="B447" s="14"/>
      <c r="C447" s="14"/>
      <c r="D447" s="14"/>
      <c r="E447" s="1"/>
      <c r="F447" s="15"/>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row>
    <row r="448" spans="1:56" ht="16.5" customHeight="1" x14ac:dyDescent="0.3">
      <c r="A448" s="14"/>
      <c r="B448" s="14"/>
      <c r="C448" s="14"/>
      <c r="D448" s="14"/>
      <c r="E448" s="1"/>
      <c r="F448" s="15"/>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row>
    <row r="449" spans="1:56" ht="16.5" customHeight="1" x14ac:dyDescent="0.3">
      <c r="A449" s="14"/>
      <c r="B449" s="14"/>
      <c r="C449" s="14"/>
      <c r="D449" s="14"/>
      <c r="E449" s="1"/>
      <c r="F449" s="15"/>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row>
    <row r="450" spans="1:56" ht="16.5" customHeight="1" x14ac:dyDescent="0.3">
      <c r="A450" s="14"/>
      <c r="B450" s="14"/>
      <c r="C450" s="14"/>
      <c r="D450" s="14"/>
      <c r="E450" s="1"/>
      <c r="F450" s="15"/>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row>
    <row r="451" spans="1:56" ht="16.5" customHeight="1" x14ac:dyDescent="0.3">
      <c r="A451" s="14"/>
      <c r="B451" s="14"/>
      <c r="C451" s="14"/>
      <c r="D451" s="14"/>
      <c r="E451" s="1"/>
      <c r="F451" s="15"/>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row>
    <row r="452" spans="1:56" ht="16.5" customHeight="1" x14ac:dyDescent="0.3">
      <c r="A452" s="14"/>
      <c r="B452" s="14"/>
      <c r="C452" s="14"/>
      <c r="D452" s="14"/>
      <c r="E452" s="1"/>
      <c r="F452" s="15"/>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row>
    <row r="453" spans="1:56" ht="16.5" customHeight="1" x14ac:dyDescent="0.3">
      <c r="A453" s="14"/>
      <c r="B453" s="14"/>
      <c r="C453" s="14"/>
      <c r="D453" s="14"/>
      <c r="E453" s="1"/>
      <c r="F453" s="15"/>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row>
    <row r="454" spans="1:56" ht="16.5" customHeight="1" x14ac:dyDescent="0.3">
      <c r="A454" s="14"/>
      <c r="B454" s="14"/>
      <c r="C454" s="14"/>
      <c r="D454" s="14"/>
      <c r="E454" s="1"/>
      <c r="F454" s="15"/>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row>
    <row r="455" spans="1:56" ht="16.5" customHeight="1" x14ac:dyDescent="0.3">
      <c r="A455" s="14"/>
      <c r="B455" s="14"/>
      <c r="C455" s="14"/>
      <c r="D455" s="14"/>
      <c r="E455" s="1"/>
      <c r="F455" s="15"/>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row>
    <row r="456" spans="1:56" ht="16.5" customHeight="1" x14ac:dyDescent="0.3">
      <c r="A456" s="14"/>
      <c r="B456" s="14"/>
      <c r="C456" s="14"/>
      <c r="D456" s="14"/>
      <c r="E456" s="1"/>
      <c r="F456" s="15"/>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row>
    <row r="457" spans="1:56" ht="16.5" customHeight="1" x14ac:dyDescent="0.3">
      <c r="A457" s="14"/>
      <c r="B457" s="14"/>
      <c r="C457" s="14"/>
      <c r="D457" s="14"/>
      <c r="E457" s="1"/>
      <c r="F457" s="15"/>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row>
    <row r="458" spans="1:56" ht="16.5" customHeight="1" x14ac:dyDescent="0.3">
      <c r="A458" s="14"/>
      <c r="B458" s="14"/>
      <c r="C458" s="14"/>
      <c r="D458" s="14"/>
      <c r="E458" s="1"/>
      <c r="F458" s="15"/>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row>
    <row r="459" spans="1:56" ht="16.5" customHeight="1" x14ac:dyDescent="0.3">
      <c r="A459" s="14"/>
      <c r="B459" s="14"/>
      <c r="C459" s="14"/>
      <c r="D459" s="14"/>
      <c r="E459" s="1"/>
      <c r="F459" s="15"/>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row>
    <row r="460" spans="1:56" ht="16.5" customHeight="1" x14ac:dyDescent="0.3">
      <c r="A460" s="14"/>
      <c r="B460" s="14"/>
      <c r="C460" s="14"/>
      <c r="D460" s="14"/>
      <c r="E460" s="1"/>
      <c r="F460" s="15"/>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row>
    <row r="461" spans="1:56" ht="16.5" customHeight="1" x14ac:dyDescent="0.3">
      <c r="A461" s="14"/>
      <c r="B461" s="14"/>
      <c r="C461" s="14"/>
      <c r="D461" s="14"/>
      <c r="E461" s="1"/>
      <c r="F461" s="15"/>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row>
    <row r="462" spans="1:56" ht="16.5" customHeight="1" x14ac:dyDescent="0.3">
      <c r="A462" s="14"/>
      <c r="B462" s="14"/>
      <c r="C462" s="14"/>
      <c r="D462" s="14"/>
      <c r="E462" s="1"/>
      <c r="F462" s="15"/>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row>
    <row r="463" spans="1:56" ht="16.5" customHeight="1" x14ac:dyDescent="0.3">
      <c r="A463" s="14"/>
      <c r="B463" s="14"/>
      <c r="C463" s="14"/>
      <c r="D463" s="14"/>
      <c r="E463" s="1"/>
      <c r="F463" s="15"/>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row>
    <row r="464" spans="1:56" ht="16.5" customHeight="1" x14ac:dyDescent="0.3">
      <c r="A464" s="14"/>
      <c r="B464" s="14"/>
      <c r="C464" s="14"/>
      <c r="D464" s="14"/>
      <c r="E464" s="1"/>
      <c r="F464" s="15"/>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row>
    <row r="465" spans="1:56" ht="16.5" customHeight="1" x14ac:dyDescent="0.3">
      <c r="A465" s="14"/>
      <c r="B465" s="14"/>
      <c r="C465" s="14"/>
      <c r="D465" s="14"/>
      <c r="E465" s="1"/>
      <c r="F465" s="15"/>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row>
    <row r="466" spans="1:56" ht="16.5" customHeight="1" x14ac:dyDescent="0.3">
      <c r="A466" s="14"/>
      <c r="B466" s="14"/>
      <c r="C466" s="14"/>
      <c r="D466" s="14"/>
      <c r="E466" s="1"/>
      <c r="F466" s="15"/>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row>
    <row r="467" spans="1:56" ht="16.5" customHeight="1" x14ac:dyDescent="0.3">
      <c r="A467" s="14"/>
      <c r="B467" s="14"/>
      <c r="C467" s="14"/>
      <c r="D467" s="14"/>
      <c r="E467" s="1"/>
      <c r="F467" s="15"/>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row>
    <row r="468" spans="1:56" ht="16.5" customHeight="1" x14ac:dyDescent="0.3">
      <c r="A468" s="14"/>
      <c r="B468" s="14"/>
      <c r="C468" s="14"/>
      <c r="D468" s="14"/>
      <c r="E468" s="1"/>
      <c r="F468" s="15"/>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row>
    <row r="469" spans="1:56" ht="16.5" customHeight="1" x14ac:dyDescent="0.3">
      <c r="A469" s="14"/>
      <c r="B469" s="14"/>
      <c r="C469" s="14"/>
      <c r="D469" s="14"/>
      <c r="E469" s="1"/>
      <c r="F469" s="15"/>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row>
    <row r="470" spans="1:56" ht="16.5" customHeight="1" x14ac:dyDescent="0.3">
      <c r="A470" s="14"/>
      <c r="B470" s="14"/>
      <c r="C470" s="14"/>
      <c r="D470" s="14"/>
      <c r="E470" s="1"/>
      <c r="F470" s="15"/>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row>
    <row r="471" spans="1:56" ht="16.5" customHeight="1" x14ac:dyDescent="0.3">
      <c r="A471" s="14"/>
      <c r="B471" s="14"/>
      <c r="C471" s="14"/>
      <c r="D471" s="14"/>
      <c r="E471" s="1"/>
      <c r="F471" s="15"/>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row>
    <row r="472" spans="1:56" ht="16.5" customHeight="1" x14ac:dyDescent="0.3">
      <c r="A472" s="14"/>
      <c r="B472" s="14"/>
      <c r="C472" s="14"/>
      <c r="D472" s="14"/>
      <c r="E472" s="1"/>
      <c r="F472" s="15"/>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row>
    <row r="473" spans="1:56" ht="16.5" customHeight="1" x14ac:dyDescent="0.3">
      <c r="A473" s="14"/>
      <c r="B473" s="14"/>
      <c r="C473" s="14"/>
      <c r="D473" s="14"/>
      <c r="E473" s="1"/>
      <c r="F473" s="15"/>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row>
    <row r="474" spans="1:56" ht="16.5" customHeight="1" x14ac:dyDescent="0.3">
      <c r="A474" s="14"/>
      <c r="B474" s="14"/>
      <c r="C474" s="14"/>
      <c r="D474" s="14"/>
      <c r="E474" s="1"/>
      <c r="F474" s="15"/>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row>
    <row r="475" spans="1:56" ht="16.5" customHeight="1" x14ac:dyDescent="0.3">
      <c r="A475" s="14"/>
      <c r="B475" s="14"/>
      <c r="C475" s="14"/>
      <c r="D475" s="14"/>
      <c r="E475" s="1"/>
      <c r="F475" s="15"/>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row>
    <row r="476" spans="1:56" ht="16.5" customHeight="1" x14ac:dyDescent="0.3">
      <c r="A476" s="14"/>
      <c r="B476" s="14"/>
      <c r="C476" s="14"/>
      <c r="D476" s="14"/>
      <c r="E476" s="1"/>
      <c r="F476" s="15"/>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row>
    <row r="477" spans="1:56" ht="16.5" customHeight="1" x14ac:dyDescent="0.3">
      <c r="A477" s="14"/>
      <c r="B477" s="14"/>
      <c r="C477" s="14"/>
      <c r="D477" s="14"/>
      <c r="E477" s="1"/>
      <c r="F477" s="15"/>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row>
    <row r="478" spans="1:56" ht="16.5" customHeight="1" x14ac:dyDescent="0.3">
      <c r="A478" s="14"/>
      <c r="B478" s="14"/>
      <c r="C478" s="14"/>
      <c r="D478" s="14"/>
      <c r="E478" s="1"/>
      <c r="F478" s="15"/>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row>
    <row r="479" spans="1:56" ht="16.5" customHeight="1" x14ac:dyDescent="0.3">
      <c r="A479" s="14"/>
      <c r="B479" s="14"/>
      <c r="C479" s="14"/>
      <c r="D479" s="14"/>
      <c r="E479" s="1"/>
      <c r="F479" s="15"/>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row>
    <row r="480" spans="1:56" ht="16.5" customHeight="1" x14ac:dyDescent="0.3">
      <c r="A480" s="14"/>
      <c r="B480" s="14"/>
      <c r="C480" s="14"/>
      <c r="D480" s="14"/>
      <c r="E480" s="1"/>
      <c r="F480" s="15"/>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row>
    <row r="481" spans="1:56" ht="16.5" customHeight="1" x14ac:dyDescent="0.3">
      <c r="A481" s="14"/>
      <c r="B481" s="14"/>
      <c r="C481" s="14"/>
      <c r="D481" s="14"/>
      <c r="E481" s="1"/>
      <c r="F481" s="15"/>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row>
    <row r="482" spans="1:56" ht="16.5" customHeight="1" x14ac:dyDescent="0.3">
      <c r="A482" s="14"/>
      <c r="B482" s="14"/>
      <c r="C482" s="14"/>
      <c r="D482" s="14"/>
      <c r="E482" s="1"/>
      <c r="F482" s="15"/>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row>
    <row r="483" spans="1:56" ht="16.5" customHeight="1" x14ac:dyDescent="0.3">
      <c r="A483" s="14"/>
      <c r="B483" s="14"/>
      <c r="C483" s="14"/>
      <c r="D483" s="14"/>
      <c r="E483" s="1"/>
      <c r="F483" s="15"/>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row>
    <row r="484" spans="1:56" ht="16.5" customHeight="1" x14ac:dyDescent="0.3">
      <c r="A484" s="14"/>
      <c r="B484" s="14"/>
      <c r="C484" s="14"/>
      <c r="D484" s="14"/>
      <c r="E484" s="1"/>
      <c r="F484" s="15"/>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row>
    <row r="485" spans="1:56" ht="16.5" customHeight="1" x14ac:dyDescent="0.3">
      <c r="A485" s="14"/>
      <c r="B485" s="14"/>
      <c r="C485" s="14"/>
      <c r="D485" s="14"/>
      <c r="E485" s="1"/>
      <c r="F485" s="15"/>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row>
    <row r="486" spans="1:56" ht="16.5" customHeight="1" x14ac:dyDescent="0.3">
      <c r="A486" s="14"/>
      <c r="B486" s="14"/>
      <c r="C486" s="14"/>
      <c r="D486" s="14"/>
      <c r="E486" s="1"/>
      <c r="F486" s="15"/>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row>
    <row r="487" spans="1:56" ht="16.5" customHeight="1" x14ac:dyDescent="0.3">
      <c r="A487" s="14"/>
      <c r="B487" s="14"/>
      <c r="C487" s="14"/>
      <c r="D487" s="14"/>
      <c r="E487" s="1"/>
      <c r="F487" s="15"/>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row>
    <row r="488" spans="1:56" ht="16.5" customHeight="1" x14ac:dyDescent="0.3">
      <c r="A488" s="14"/>
      <c r="B488" s="14"/>
      <c r="C488" s="14"/>
      <c r="D488" s="14"/>
      <c r="E488" s="1"/>
      <c r="F488" s="15"/>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row>
    <row r="489" spans="1:56" ht="16.5" customHeight="1" x14ac:dyDescent="0.3">
      <c r="A489" s="14"/>
      <c r="B489" s="14"/>
      <c r="C489" s="14"/>
      <c r="D489" s="14"/>
      <c r="E489" s="1"/>
      <c r="F489" s="15"/>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row>
    <row r="490" spans="1:56" ht="16.5" customHeight="1" x14ac:dyDescent="0.3">
      <c r="A490" s="14"/>
      <c r="B490" s="14"/>
      <c r="C490" s="14"/>
      <c r="D490" s="14"/>
      <c r="E490" s="1"/>
      <c r="F490" s="15"/>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row>
    <row r="491" spans="1:56" ht="16.5" customHeight="1" x14ac:dyDescent="0.3">
      <c r="A491" s="14"/>
      <c r="B491" s="14"/>
      <c r="C491" s="14"/>
      <c r="D491" s="14"/>
      <c r="E491" s="1"/>
      <c r="F491" s="15"/>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row>
    <row r="492" spans="1:56" ht="16.5" customHeight="1" x14ac:dyDescent="0.3">
      <c r="A492" s="14"/>
      <c r="B492" s="14"/>
      <c r="C492" s="14"/>
      <c r="D492" s="14"/>
      <c r="E492" s="1"/>
      <c r="F492" s="15"/>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row>
    <row r="493" spans="1:56" ht="16.5" customHeight="1" x14ac:dyDescent="0.3">
      <c r="A493" s="14"/>
      <c r="B493" s="14"/>
      <c r="C493" s="14"/>
      <c r="D493" s="14"/>
      <c r="E493" s="1"/>
      <c r="F493" s="15"/>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row>
    <row r="494" spans="1:56" ht="16.5" customHeight="1" x14ac:dyDescent="0.3">
      <c r="A494" s="14"/>
      <c r="B494" s="14"/>
      <c r="C494" s="14"/>
      <c r="D494" s="14"/>
      <c r="E494" s="1"/>
      <c r="F494" s="15"/>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row>
    <row r="495" spans="1:56" ht="16.5" customHeight="1" x14ac:dyDescent="0.3">
      <c r="A495" s="14"/>
      <c r="B495" s="14"/>
      <c r="C495" s="14"/>
      <c r="D495" s="14"/>
      <c r="E495" s="1"/>
      <c r="F495" s="15"/>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row>
    <row r="496" spans="1:56" ht="16.5" customHeight="1" x14ac:dyDescent="0.3">
      <c r="A496" s="14"/>
      <c r="B496" s="14"/>
      <c r="C496" s="14"/>
      <c r="D496" s="14"/>
      <c r="E496" s="1"/>
      <c r="F496" s="15"/>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row>
    <row r="497" spans="1:56" ht="16.5" customHeight="1" x14ac:dyDescent="0.3">
      <c r="A497" s="14"/>
      <c r="B497" s="14"/>
      <c r="C497" s="14"/>
      <c r="D497" s="14"/>
      <c r="E497" s="1"/>
      <c r="F497" s="15"/>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row>
    <row r="498" spans="1:56" ht="16.5" customHeight="1" x14ac:dyDescent="0.3">
      <c r="A498" s="14"/>
      <c r="B498" s="14"/>
      <c r="C498" s="14"/>
      <c r="D498" s="14"/>
      <c r="E498" s="1"/>
      <c r="F498" s="15"/>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row>
    <row r="499" spans="1:56" ht="16.5" customHeight="1" x14ac:dyDescent="0.3">
      <c r="A499" s="14"/>
      <c r="B499" s="14"/>
      <c r="C499" s="14"/>
      <c r="D499" s="14"/>
      <c r="E499" s="1"/>
      <c r="F499" s="15"/>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row>
    <row r="500" spans="1:56" ht="16.5" customHeight="1" x14ac:dyDescent="0.3">
      <c r="A500" s="14"/>
      <c r="B500" s="14"/>
      <c r="C500" s="14"/>
      <c r="D500" s="14"/>
      <c r="E500" s="1"/>
      <c r="F500" s="15"/>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row>
    <row r="501" spans="1:56" ht="16.5" customHeight="1" x14ac:dyDescent="0.3">
      <c r="A501" s="14"/>
      <c r="B501" s="14"/>
      <c r="C501" s="14"/>
      <c r="D501" s="14"/>
      <c r="E501" s="1"/>
      <c r="F501" s="15"/>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row>
    <row r="502" spans="1:56" ht="16.5" customHeight="1" x14ac:dyDescent="0.3">
      <c r="A502" s="14"/>
      <c r="B502" s="14"/>
      <c r="C502" s="14"/>
      <c r="D502" s="14"/>
      <c r="E502" s="1"/>
      <c r="F502" s="15"/>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row>
    <row r="503" spans="1:56" ht="16.5" customHeight="1" x14ac:dyDescent="0.3">
      <c r="A503" s="14"/>
      <c r="B503" s="14"/>
      <c r="C503" s="14"/>
      <c r="D503" s="14"/>
      <c r="E503" s="1"/>
      <c r="F503" s="15"/>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row>
    <row r="504" spans="1:56" ht="16.5" customHeight="1" x14ac:dyDescent="0.3">
      <c r="A504" s="14"/>
      <c r="B504" s="14"/>
      <c r="C504" s="14"/>
      <c r="D504" s="14"/>
      <c r="E504" s="1"/>
      <c r="F504" s="15"/>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row>
    <row r="505" spans="1:56" ht="16.5" customHeight="1" x14ac:dyDescent="0.3">
      <c r="A505" s="14"/>
      <c r="B505" s="14"/>
      <c r="C505" s="14"/>
      <c r="D505" s="14"/>
      <c r="E505" s="1"/>
      <c r="F505" s="15"/>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row>
    <row r="506" spans="1:56" ht="16.5" customHeight="1" x14ac:dyDescent="0.3">
      <c r="A506" s="14"/>
      <c r="B506" s="14"/>
      <c r="C506" s="14"/>
      <c r="D506" s="14"/>
      <c r="E506" s="1"/>
      <c r="F506" s="15"/>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row>
    <row r="507" spans="1:56" ht="16.5" customHeight="1" x14ac:dyDescent="0.3">
      <c r="A507" s="14"/>
      <c r="B507" s="14"/>
      <c r="C507" s="14"/>
      <c r="D507" s="14"/>
      <c r="E507" s="1"/>
      <c r="F507" s="15"/>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row>
    <row r="508" spans="1:56" ht="16.5" customHeight="1" x14ac:dyDescent="0.3">
      <c r="A508" s="14"/>
      <c r="B508" s="14"/>
      <c r="C508" s="14"/>
      <c r="D508" s="14"/>
      <c r="E508" s="1"/>
      <c r="F508" s="15"/>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row>
    <row r="509" spans="1:56" ht="16.5" customHeight="1" x14ac:dyDescent="0.3">
      <c r="A509" s="14"/>
      <c r="B509" s="14"/>
      <c r="C509" s="14"/>
      <c r="D509" s="14"/>
      <c r="E509" s="1"/>
      <c r="F509" s="15"/>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row>
    <row r="510" spans="1:56" ht="16.5" customHeight="1" x14ac:dyDescent="0.3">
      <c r="A510" s="14"/>
      <c r="B510" s="14"/>
      <c r="C510" s="14"/>
      <c r="D510" s="14"/>
      <c r="E510" s="1"/>
      <c r="F510" s="15"/>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row>
    <row r="511" spans="1:56" ht="16.5" customHeight="1" x14ac:dyDescent="0.3">
      <c r="A511" s="14"/>
      <c r="B511" s="14"/>
      <c r="C511" s="14"/>
      <c r="D511" s="14"/>
      <c r="E511" s="1"/>
      <c r="F511" s="15"/>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row>
    <row r="512" spans="1:56" ht="16.5" customHeight="1" x14ac:dyDescent="0.3">
      <c r="A512" s="14"/>
      <c r="B512" s="14"/>
      <c r="C512" s="14"/>
      <c r="D512" s="14"/>
      <c r="E512" s="1"/>
      <c r="F512" s="15"/>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row>
    <row r="513" spans="1:56" ht="16.5" customHeight="1" x14ac:dyDescent="0.3">
      <c r="A513" s="14"/>
      <c r="B513" s="14"/>
      <c r="C513" s="14"/>
      <c r="D513" s="14"/>
      <c r="E513" s="1"/>
      <c r="F513" s="15"/>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row>
    <row r="514" spans="1:56" ht="16.5" customHeight="1" x14ac:dyDescent="0.3">
      <c r="A514" s="14"/>
      <c r="B514" s="14"/>
      <c r="C514" s="14"/>
      <c r="D514" s="14"/>
      <c r="E514" s="1"/>
      <c r="F514" s="15"/>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row>
    <row r="515" spans="1:56" ht="16.5" customHeight="1" x14ac:dyDescent="0.3">
      <c r="A515" s="14"/>
      <c r="B515" s="14"/>
      <c r="C515" s="14"/>
      <c r="D515" s="14"/>
      <c r="E515" s="1"/>
      <c r="F515" s="15"/>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row>
    <row r="516" spans="1:56" ht="16.5" customHeight="1" x14ac:dyDescent="0.3">
      <c r="A516" s="14"/>
      <c r="B516" s="14"/>
      <c r="C516" s="14"/>
      <c r="D516" s="14"/>
      <c r="E516" s="1"/>
      <c r="F516" s="15"/>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row>
    <row r="517" spans="1:56" ht="16.5" customHeight="1" x14ac:dyDescent="0.3">
      <c r="A517" s="14"/>
      <c r="B517" s="14"/>
      <c r="C517" s="14"/>
      <c r="D517" s="14"/>
      <c r="E517" s="1"/>
      <c r="F517" s="15"/>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row>
    <row r="518" spans="1:56" ht="16.5" customHeight="1" x14ac:dyDescent="0.3">
      <c r="A518" s="14"/>
      <c r="B518" s="14"/>
      <c r="C518" s="14"/>
      <c r="D518" s="14"/>
      <c r="E518" s="1"/>
      <c r="F518" s="15"/>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row>
    <row r="519" spans="1:56" ht="16.5" customHeight="1" x14ac:dyDescent="0.3">
      <c r="A519" s="14"/>
      <c r="B519" s="14"/>
      <c r="C519" s="14"/>
      <c r="D519" s="14"/>
      <c r="E519" s="1"/>
      <c r="F519" s="15"/>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row>
    <row r="520" spans="1:56" ht="16.5" customHeight="1" x14ac:dyDescent="0.3">
      <c r="A520" s="14"/>
      <c r="B520" s="14"/>
      <c r="C520" s="14"/>
      <c r="D520" s="14"/>
      <c r="E520" s="1"/>
      <c r="F520" s="15"/>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row>
    <row r="521" spans="1:56" ht="16.5" customHeight="1" x14ac:dyDescent="0.3">
      <c r="A521" s="14"/>
      <c r="B521" s="14"/>
      <c r="C521" s="14"/>
      <c r="D521" s="14"/>
      <c r="E521" s="1"/>
      <c r="F521" s="15"/>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row>
    <row r="522" spans="1:56" ht="16.5" customHeight="1" x14ac:dyDescent="0.3">
      <c r="A522" s="14"/>
      <c r="B522" s="14"/>
      <c r="C522" s="14"/>
      <c r="D522" s="14"/>
      <c r="E522" s="1"/>
      <c r="F522" s="15"/>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row>
    <row r="523" spans="1:56" ht="16.5" customHeight="1" x14ac:dyDescent="0.3">
      <c r="A523" s="14"/>
      <c r="B523" s="14"/>
      <c r="C523" s="14"/>
      <c r="D523" s="14"/>
      <c r="E523" s="1"/>
      <c r="F523" s="15"/>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row>
    <row r="524" spans="1:56" ht="16.5" customHeight="1" x14ac:dyDescent="0.3">
      <c r="A524" s="14"/>
      <c r="B524" s="14"/>
      <c r="C524" s="14"/>
      <c r="D524" s="14"/>
      <c r="E524" s="1"/>
      <c r="F524" s="15"/>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row>
    <row r="525" spans="1:56" ht="16.5" customHeight="1" x14ac:dyDescent="0.3">
      <c r="A525" s="14"/>
      <c r="B525" s="14"/>
      <c r="C525" s="14"/>
      <c r="D525" s="14"/>
      <c r="E525" s="1"/>
      <c r="F525" s="15"/>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row>
    <row r="526" spans="1:56" ht="16.5" customHeight="1" x14ac:dyDescent="0.3">
      <c r="A526" s="14"/>
      <c r="B526" s="14"/>
      <c r="C526" s="14"/>
      <c r="D526" s="14"/>
      <c r="E526" s="1"/>
      <c r="F526" s="15"/>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row>
    <row r="527" spans="1:56" ht="16.5" customHeight="1" x14ac:dyDescent="0.3">
      <c r="A527" s="14"/>
      <c r="B527" s="14"/>
      <c r="C527" s="14"/>
      <c r="D527" s="14"/>
      <c r="E527" s="1"/>
      <c r="F527" s="15"/>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row>
    <row r="528" spans="1:56" ht="16.5" customHeight="1" x14ac:dyDescent="0.3">
      <c r="A528" s="14"/>
      <c r="B528" s="14"/>
      <c r="C528" s="14"/>
      <c r="D528" s="14"/>
      <c r="E528" s="1"/>
      <c r="F528" s="15"/>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row>
    <row r="529" spans="1:56" ht="16.5" customHeight="1" x14ac:dyDescent="0.3">
      <c r="A529" s="14"/>
      <c r="B529" s="14"/>
      <c r="C529" s="14"/>
      <c r="D529" s="14"/>
      <c r="E529" s="1"/>
      <c r="F529" s="15"/>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row>
    <row r="530" spans="1:56" ht="16.5" customHeight="1" x14ac:dyDescent="0.3">
      <c r="A530" s="14"/>
      <c r="B530" s="14"/>
      <c r="C530" s="14"/>
      <c r="D530" s="14"/>
      <c r="E530" s="1"/>
      <c r="F530" s="15"/>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row>
    <row r="531" spans="1:56" ht="16.5" customHeight="1" x14ac:dyDescent="0.3">
      <c r="A531" s="14"/>
      <c r="B531" s="14"/>
      <c r="C531" s="14"/>
      <c r="D531" s="14"/>
      <c r="E531" s="1"/>
      <c r="F531" s="15"/>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row>
    <row r="532" spans="1:56" ht="16.5" customHeight="1" x14ac:dyDescent="0.3">
      <c r="A532" s="14"/>
      <c r="B532" s="14"/>
      <c r="C532" s="14"/>
      <c r="D532" s="14"/>
      <c r="E532" s="1"/>
      <c r="F532" s="15"/>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row>
    <row r="533" spans="1:56" ht="16.5" customHeight="1" x14ac:dyDescent="0.3">
      <c r="A533" s="14"/>
      <c r="B533" s="14"/>
      <c r="C533" s="14"/>
      <c r="D533" s="14"/>
      <c r="E533" s="1"/>
      <c r="F533" s="15"/>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row>
    <row r="534" spans="1:56" ht="16.5" customHeight="1" x14ac:dyDescent="0.3">
      <c r="A534" s="14"/>
      <c r="B534" s="14"/>
      <c r="C534" s="14"/>
      <c r="D534" s="14"/>
      <c r="E534" s="1"/>
      <c r="F534" s="15"/>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row>
    <row r="535" spans="1:56" ht="16.5" customHeight="1" x14ac:dyDescent="0.3">
      <c r="A535" s="14"/>
      <c r="B535" s="14"/>
      <c r="C535" s="14"/>
      <c r="D535" s="14"/>
      <c r="E535" s="1"/>
      <c r="F535" s="15"/>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row>
    <row r="536" spans="1:56" ht="16.5" customHeight="1" x14ac:dyDescent="0.3">
      <c r="A536" s="14"/>
      <c r="B536" s="14"/>
      <c r="C536" s="14"/>
      <c r="D536" s="14"/>
      <c r="E536" s="1"/>
      <c r="F536" s="15"/>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row>
    <row r="537" spans="1:56" ht="16.5" customHeight="1" x14ac:dyDescent="0.3">
      <c r="A537" s="14"/>
      <c r="B537" s="14"/>
      <c r="C537" s="14"/>
      <c r="D537" s="14"/>
      <c r="E537" s="1"/>
      <c r="F537" s="15"/>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row>
    <row r="538" spans="1:56" ht="16.5" customHeight="1" x14ac:dyDescent="0.3">
      <c r="A538" s="14"/>
      <c r="B538" s="14"/>
      <c r="C538" s="14"/>
      <c r="D538" s="14"/>
      <c r="E538" s="1"/>
      <c r="F538" s="15"/>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row>
    <row r="539" spans="1:56" ht="16.5" customHeight="1" x14ac:dyDescent="0.3">
      <c r="A539" s="14"/>
      <c r="B539" s="14"/>
      <c r="C539" s="14"/>
      <c r="D539" s="14"/>
      <c r="E539" s="1"/>
      <c r="F539" s="15"/>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row>
    <row r="540" spans="1:56" ht="16.5" customHeight="1" x14ac:dyDescent="0.3">
      <c r="A540" s="14"/>
      <c r="B540" s="14"/>
      <c r="C540" s="14"/>
      <c r="D540" s="14"/>
      <c r="E540" s="1"/>
      <c r="F540" s="15"/>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row>
    <row r="541" spans="1:56" ht="16.5" customHeight="1" x14ac:dyDescent="0.3">
      <c r="A541" s="14"/>
      <c r="B541" s="14"/>
      <c r="C541" s="14"/>
      <c r="D541" s="14"/>
      <c r="E541" s="1"/>
      <c r="F541" s="15"/>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row>
    <row r="542" spans="1:56" ht="16.5" customHeight="1" x14ac:dyDescent="0.3">
      <c r="A542" s="14"/>
      <c r="B542" s="14"/>
      <c r="C542" s="14"/>
      <c r="D542" s="14"/>
      <c r="E542" s="1"/>
      <c r="F542" s="15"/>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row>
    <row r="543" spans="1:56" ht="16.5" customHeight="1" x14ac:dyDescent="0.3">
      <c r="A543" s="14"/>
      <c r="B543" s="14"/>
      <c r="C543" s="14"/>
      <c r="D543" s="14"/>
      <c r="E543" s="1"/>
      <c r="F543" s="15"/>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row>
    <row r="544" spans="1:56" ht="16.5" customHeight="1" x14ac:dyDescent="0.3">
      <c r="A544" s="14"/>
      <c r="B544" s="14"/>
      <c r="C544" s="14"/>
      <c r="D544" s="14"/>
      <c r="E544" s="1"/>
      <c r="F544" s="15"/>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row>
    <row r="545" spans="1:56" ht="16.5" customHeight="1" x14ac:dyDescent="0.3">
      <c r="A545" s="14"/>
      <c r="B545" s="14"/>
      <c r="C545" s="14"/>
      <c r="D545" s="14"/>
      <c r="E545" s="1"/>
      <c r="F545" s="15"/>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row>
    <row r="546" spans="1:56" ht="16.5" customHeight="1" x14ac:dyDescent="0.3">
      <c r="A546" s="14"/>
      <c r="B546" s="14"/>
      <c r="C546" s="14"/>
      <c r="D546" s="14"/>
      <c r="E546" s="1"/>
      <c r="F546" s="15"/>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row>
    <row r="547" spans="1:56" ht="16.5" customHeight="1" x14ac:dyDescent="0.3">
      <c r="A547" s="14"/>
      <c r="B547" s="14"/>
      <c r="C547" s="14"/>
      <c r="D547" s="14"/>
      <c r="E547" s="1"/>
      <c r="F547" s="15"/>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row>
    <row r="548" spans="1:56" ht="16.5" customHeight="1" x14ac:dyDescent="0.3">
      <c r="A548" s="14"/>
      <c r="B548" s="14"/>
      <c r="C548" s="14"/>
      <c r="D548" s="14"/>
      <c r="E548" s="1"/>
      <c r="F548" s="15"/>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row>
    <row r="549" spans="1:56" ht="16.5" customHeight="1" x14ac:dyDescent="0.3">
      <c r="A549" s="14"/>
      <c r="B549" s="14"/>
      <c r="C549" s="14"/>
      <c r="D549" s="14"/>
      <c r="E549" s="1"/>
      <c r="F549" s="15"/>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row>
    <row r="550" spans="1:56" ht="16.5" customHeight="1" x14ac:dyDescent="0.3">
      <c r="A550" s="14"/>
      <c r="B550" s="14"/>
      <c r="C550" s="14"/>
      <c r="D550" s="14"/>
      <c r="E550" s="1"/>
      <c r="F550" s="15"/>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row>
    <row r="551" spans="1:56" ht="16.5" customHeight="1" x14ac:dyDescent="0.3">
      <c r="A551" s="14"/>
      <c r="B551" s="14"/>
      <c r="C551" s="14"/>
      <c r="D551" s="14"/>
      <c r="E551" s="1"/>
      <c r="F551" s="15"/>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row>
    <row r="552" spans="1:56" ht="16.5" customHeight="1" x14ac:dyDescent="0.3">
      <c r="A552" s="14"/>
      <c r="B552" s="14"/>
      <c r="C552" s="14"/>
      <c r="D552" s="14"/>
      <c r="E552" s="1"/>
      <c r="F552" s="15"/>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row>
    <row r="553" spans="1:56" ht="16.5" customHeight="1" x14ac:dyDescent="0.3">
      <c r="A553" s="14"/>
      <c r="B553" s="14"/>
      <c r="C553" s="14"/>
      <c r="D553" s="14"/>
      <c r="E553" s="1"/>
      <c r="F553" s="15"/>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row>
    <row r="554" spans="1:56" ht="16.5" customHeight="1" x14ac:dyDescent="0.3">
      <c r="A554" s="14"/>
      <c r="B554" s="14"/>
      <c r="C554" s="14"/>
      <c r="D554" s="14"/>
      <c r="E554" s="1"/>
      <c r="F554" s="15"/>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row>
    <row r="555" spans="1:56" ht="16.5" customHeight="1" x14ac:dyDescent="0.3">
      <c r="A555" s="14"/>
      <c r="B555" s="14"/>
      <c r="C555" s="14"/>
      <c r="D555" s="14"/>
      <c r="E555" s="1"/>
      <c r="F555" s="15"/>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row>
    <row r="556" spans="1:56" ht="16.5" customHeight="1" x14ac:dyDescent="0.3">
      <c r="A556" s="14"/>
      <c r="B556" s="14"/>
      <c r="C556" s="14"/>
      <c r="D556" s="14"/>
      <c r="E556" s="1"/>
      <c r="F556" s="15"/>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row>
    <row r="557" spans="1:56" ht="16.5" customHeight="1" x14ac:dyDescent="0.3">
      <c r="A557" s="14"/>
      <c r="B557" s="14"/>
      <c r="C557" s="14"/>
      <c r="D557" s="14"/>
      <c r="E557" s="1"/>
      <c r="F557" s="15"/>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row>
    <row r="558" spans="1:56" ht="16.5" customHeight="1" x14ac:dyDescent="0.3">
      <c r="A558" s="14"/>
      <c r="B558" s="14"/>
      <c r="C558" s="14"/>
      <c r="D558" s="14"/>
      <c r="E558" s="1"/>
      <c r="F558" s="15"/>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row>
    <row r="559" spans="1:56" ht="16.5" customHeight="1" x14ac:dyDescent="0.3">
      <c r="A559" s="14"/>
      <c r="B559" s="14"/>
      <c r="C559" s="14"/>
      <c r="D559" s="14"/>
      <c r="E559" s="1"/>
      <c r="F559" s="15"/>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row>
    <row r="560" spans="1:56" ht="16.5" customHeight="1" x14ac:dyDescent="0.3">
      <c r="A560" s="14"/>
      <c r="B560" s="14"/>
      <c r="C560" s="14"/>
      <c r="D560" s="14"/>
      <c r="E560" s="1"/>
      <c r="F560" s="15"/>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row>
    <row r="561" spans="1:56" ht="16.5" customHeight="1" x14ac:dyDescent="0.3">
      <c r="A561" s="14"/>
      <c r="B561" s="14"/>
      <c r="C561" s="14"/>
      <c r="D561" s="14"/>
      <c r="E561" s="1"/>
      <c r="F561" s="15"/>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row>
    <row r="562" spans="1:56" ht="16.5" customHeight="1" x14ac:dyDescent="0.3">
      <c r="A562" s="14"/>
      <c r="B562" s="14"/>
      <c r="C562" s="14"/>
      <c r="D562" s="14"/>
      <c r="E562" s="1"/>
      <c r="F562" s="15"/>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row>
    <row r="563" spans="1:56" ht="16.5" customHeight="1" x14ac:dyDescent="0.3">
      <c r="A563" s="14"/>
      <c r="B563" s="14"/>
      <c r="C563" s="14"/>
      <c r="D563" s="14"/>
      <c r="E563" s="1"/>
      <c r="F563" s="15"/>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row>
    <row r="564" spans="1:56" ht="16.5" customHeight="1" x14ac:dyDescent="0.3">
      <c r="A564" s="14"/>
      <c r="B564" s="14"/>
      <c r="C564" s="14"/>
      <c r="D564" s="14"/>
      <c r="E564" s="1"/>
      <c r="F564" s="15"/>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row>
    <row r="565" spans="1:56" ht="16.5" customHeight="1" x14ac:dyDescent="0.3">
      <c r="A565" s="14"/>
      <c r="B565" s="14"/>
      <c r="C565" s="14"/>
      <c r="D565" s="14"/>
      <c r="E565" s="1"/>
      <c r="F565" s="15"/>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row>
    <row r="566" spans="1:56" ht="16.5" customHeight="1" x14ac:dyDescent="0.3">
      <c r="A566" s="14"/>
      <c r="B566" s="14"/>
      <c r="C566" s="14"/>
      <c r="D566" s="14"/>
      <c r="E566" s="1"/>
      <c r="F566" s="15"/>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row>
    <row r="567" spans="1:56" ht="16.5" customHeight="1" x14ac:dyDescent="0.3">
      <c r="A567" s="14"/>
      <c r="B567" s="14"/>
      <c r="C567" s="14"/>
      <c r="D567" s="14"/>
      <c r="E567" s="1"/>
      <c r="F567" s="15"/>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row>
    <row r="568" spans="1:56" ht="16.5" customHeight="1" x14ac:dyDescent="0.3">
      <c r="A568" s="14"/>
      <c r="B568" s="14"/>
      <c r="C568" s="14"/>
      <c r="D568" s="14"/>
      <c r="E568" s="1"/>
      <c r="F568" s="15"/>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row>
    <row r="569" spans="1:56" ht="16.5" customHeight="1" x14ac:dyDescent="0.3">
      <c r="A569" s="14"/>
      <c r="B569" s="14"/>
      <c r="C569" s="14"/>
      <c r="D569" s="14"/>
      <c r="E569" s="1"/>
      <c r="F569" s="15"/>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row>
    <row r="570" spans="1:56" ht="16.5" customHeight="1" x14ac:dyDescent="0.3">
      <c r="A570" s="14"/>
      <c r="B570" s="14"/>
      <c r="C570" s="14"/>
      <c r="D570" s="14"/>
      <c r="E570" s="1"/>
      <c r="F570" s="15"/>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row>
    <row r="571" spans="1:56" ht="16.5" customHeight="1" x14ac:dyDescent="0.3">
      <c r="A571" s="14"/>
      <c r="B571" s="14"/>
      <c r="C571" s="14"/>
      <c r="D571" s="14"/>
      <c r="E571" s="1"/>
      <c r="F571" s="15"/>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row>
    <row r="572" spans="1:56" ht="16.5" customHeight="1" x14ac:dyDescent="0.3">
      <c r="A572" s="14"/>
      <c r="B572" s="14"/>
      <c r="C572" s="14"/>
      <c r="D572" s="14"/>
      <c r="E572" s="1"/>
      <c r="F572" s="15"/>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row>
    <row r="573" spans="1:56" ht="16.5" customHeight="1" x14ac:dyDescent="0.3">
      <c r="A573" s="14"/>
      <c r="B573" s="14"/>
      <c r="C573" s="14"/>
      <c r="D573" s="14"/>
      <c r="E573" s="1"/>
      <c r="F573" s="15"/>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row>
    <row r="574" spans="1:56" ht="16.5" customHeight="1" x14ac:dyDescent="0.3">
      <c r="A574" s="14"/>
      <c r="B574" s="14"/>
      <c r="C574" s="14"/>
      <c r="D574" s="14"/>
      <c r="E574" s="1"/>
      <c r="F574" s="15"/>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row>
    <row r="575" spans="1:56" ht="16.5" customHeight="1" x14ac:dyDescent="0.3">
      <c r="A575" s="14"/>
      <c r="B575" s="14"/>
      <c r="C575" s="14"/>
      <c r="D575" s="14"/>
      <c r="E575" s="1"/>
      <c r="F575" s="15"/>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row>
    <row r="576" spans="1:56" ht="16.5" customHeight="1" x14ac:dyDescent="0.3">
      <c r="A576" s="14"/>
      <c r="B576" s="14"/>
      <c r="C576" s="14"/>
      <c r="D576" s="14"/>
      <c r="E576" s="1"/>
      <c r="F576" s="15"/>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row>
    <row r="577" spans="1:56" ht="16.5" customHeight="1" x14ac:dyDescent="0.3">
      <c r="A577" s="14"/>
      <c r="B577" s="14"/>
      <c r="C577" s="14"/>
      <c r="D577" s="14"/>
      <c r="E577" s="1"/>
      <c r="F577" s="15"/>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row>
    <row r="578" spans="1:56" ht="16.5" customHeight="1" x14ac:dyDescent="0.3">
      <c r="A578" s="14"/>
      <c r="B578" s="14"/>
      <c r="C578" s="14"/>
      <c r="D578" s="14"/>
      <c r="E578" s="1"/>
      <c r="F578" s="15"/>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row>
    <row r="579" spans="1:56" ht="16.5" customHeight="1" x14ac:dyDescent="0.3">
      <c r="A579" s="14"/>
      <c r="B579" s="14"/>
      <c r="C579" s="14"/>
      <c r="D579" s="14"/>
      <c r="E579" s="1"/>
      <c r="F579" s="15"/>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row>
    <row r="580" spans="1:56" ht="16.5" customHeight="1" x14ac:dyDescent="0.3">
      <c r="A580" s="14"/>
      <c r="B580" s="14"/>
      <c r="C580" s="14"/>
      <c r="D580" s="14"/>
      <c r="E580" s="1"/>
      <c r="F580" s="15"/>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row>
    <row r="581" spans="1:56" ht="16.5" customHeight="1" x14ac:dyDescent="0.3">
      <c r="A581" s="14"/>
      <c r="B581" s="14"/>
      <c r="C581" s="14"/>
      <c r="D581" s="14"/>
      <c r="E581" s="1"/>
      <c r="F581" s="15"/>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row>
    <row r="582" spans="1:56" ht="16.5" customHeight="1" x14ac:dyDescent="0.3">
      <c r="A582" s="14"/>
      <c r="B582" s="14"/>
      <c r="C582" s="14"/>
      <c r="D582" s="14"/>
      <c r="E582" s="1"/>
      <c r="F582" s="15"/>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row>
    <row r="583" spans="1:56" ht="16.5" customHeight="1" x14ac:dyDescent="0.3">
      <c r="A583" s="14"/>
      <c r="B583" s="14"/>
      <c r="C583" s="14"/>
      <c r="D583" s="14"/>
      <c r="E583" s="1"/>
      <c r="F583" s="15"/>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row>
    <row r="584" spans="1:56" ht="16.5" customHeight="1" x14ac:dyDescent="0.3">
      <c r="A584" s="14"/>
      <c r="B584" s="14"/>
      <c r="C584" s="14"/>
      <c r="D584" s="14"/>
      <c r="E584" s="1"/>
      <c r="F584" s="15"/>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row>
    <row r="585" spans="1:56" ht="16.5" customHeight="1" x14ac:dyDescent="0.3">
      <c r="A585" s="14"/>
      <c r="B585" s="14"/>
      <c r="C585" s="14"/>
      <c r="D585" s="14"/>
      <c r="E585" s="1"/>
      <c r="F585" s="15"/>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row>
    <row r="586" spans="1:56" ht="16.5" customHeight="1" x14ac:dyDescent="0.3">
      <c r="A586" s="14"/>
      <c r="B586" s="14"/>
      <c r="C586" s="14"/>
      <c r="D586" s="14"/>
      <c r="E586" s="1"/>
      <c r="F586" s="15"/>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row>
    <row r="587" spans="1:56" ht="16.5" customHeight="1" x14ac:dyDescent="0.3">
      <c r="A587" s="14"/>
      <c r="B587" s="14"/>
      <c r="C587" s="14"/>
      <c r="D587" s="14"/>
      <c r="E587" s="1"/>
      <c r="F587" s="15"/>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row>
    <row r="588" spans="1:56" ht="16.5" customHeight="1" x14ac:dyDescent="0.3">
      <c r="A588" s="14"/>
      <c r="B588" s="14"/>
      <c r="C588" s="14"/>
      <c r="D588" s="14"/>
      <c r="E588" s="1"/>
      <c r="F588" s="15"/>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row>
    <row r="589" spans="1:56" ht="16.5" customHeight="1" x14ac:dyDescent="0.3">
      <c r="A589" s="14"/>
      <c r="B589" s="14"/>
      <c r="C589" s="14"/>
      <c r="D589" s="14"/>
      <c r="E589" s="1"/>
      <c r="F589" s="15"/>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row>
    <row r="590" spans="1:56" ht="16.5" customHeight="1" x14ac:dyDescent="0.3">
      <c r="A590" s="14"/>
      <c r="B590" s="14"/>
      <c r="C590" s="14"/>
      <c r="D590" s="14"/>
      <c r="E590" s="1"/>
      <c r="F590" s="15"/>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row>
    <row r="591" spans="1:56" ht="16.5" customHeight="1" x14ac:dyDescent="0.3">
      <c r="A591" s="14"/>
      <c r="B591" s="14"/>
      <c r="C591" s="14"/>
      <c r="D591" s="14"/>
      <c r="E591" s="1"/>
      <c r="F591" s="15"/>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row>
    <row r="592" spans="1:56" ht="16.5" customHeight="1" x14ac:dyDescent="0.3">
      <c r="A592" s="14"/>
      <c r="B592" s="14"/>
      <c r="C592" s="14"/>
      <c r="D592" s="14"/>
      <c r="E592" s="1"/>
      <c r="F592" s="15"/>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row>
    <row r="593" spans="1:56" ht="16.5" customHeight="1" x14ac:dyDescent="0.3">
      <c r="A593" s="14"/>
      <c r="B593" s="14"/>
      <c r="C593" s="14"/>
      <c r="D593" s="14"/>
      <c r="E593" s="1"/>
      <c r="F593" s="15"/>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row>
    <row r="594" spans="1:56" ht="16.5" customHeight="1" x14ac:dyDescent="0.3">
      <c r="A594" s="14"/>
      <c r="B594" s="14"/>
      <c r="C594" s="14"/>
      <c r="D594" s="14"/>
      <c r="E594" s="1"/>
      <c r="F594" s="15"/>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row>
    <row r="595" spans="1:56" ht="16.5" customHeight="1" x14ac:dyDescent="0.3">
      <c r="A595" s="14"/>
      <c r="B595" s="14"/>
      <c r="C595" s="14"/>
      <c r="D595" s="14"/>
      <c r="E595" s="1"/>
      <c r="F595" s="15"/>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row>
    <row r="596" spans="1:56" ht="16.5" customHeight="1" x14ac:dyDescent="0.3">
      <c r="A596" s="14"/>
      <c r="B596" s="14"/>
      <c r="C596" s="14"/>
      <c r="D596" s="14"/>
      <c r="E596" s="1"/>
      <c r="F596" s="15"/>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row>
    <row r="597" spans="1:56" ht="16.5" customHeight="1" x14ac:dyDescent="0.3">
      <c r="A597" s="14"/>
      <c r="B597" s="14"/>
      <c r="C597" s="14"/>
      <c r="D597" s="14"/>
      <c r="E597" s="1"/>
      <c r="F597" s="15"/>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row>
    <row r="598" spans="1:56" ht="16.5" customHeight="1" x14ac:dyDescent="0.3">
      <c r="A598" s="14"/>
      <c r="B598" s="14"/>
      <c r="C598" s="14"/>
      <c r="D598" s="14"/>
      <c r="E598" s="1"/>
      <c r="F598" s="15"/>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row>
    <row r="599" spans="1:56" ht="16.5" customHeight="1" x14ac:dyDescent="0.3">
      <c r="A599" s="14"/>
      <c r="B599" s="14"/>
      <c r="C599" s="14"/>
      <c r="D599" s="14"/>
      <c r="E599" s="1"/>
      <c r="F599" s="15"/>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row>
    <row r="600" spans="1:56" ht="16.5" customHeight="1" x14ac:dyDescent="0.3">
      <c r="A600" s="14"/>
      <c r="B600" s="14"/>
      <c r="C600" s="14"/>
      <c r="D600" s="14"/>
      <c r="E600" s="1"/>
      <c r="F600" s="15"/>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row>
    <row r="601" spans="1:56" ht="16.5" customHeight="1" x14ac:dyDescent="0.3">
      <c r="A601" s="14"/>
      <c r="B601" s="14"/>
      <c r="C601" s="14"/>
      <c r="D601" s="14"/>
      <c r="E601" s="1"/>
      <c r="F601" s="15"/>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row>
    <row r="602" spans="1:56" ht="16.5" customHeight="1" x14ac:dyDescent="0.3">
      <c r="A602" s="14"/>
      <c r="B602" s="14"/>
      <c r="C602" s="14"/>
      <c r="D602" s="14"/>
      <c r="E602" s="1"/>
      <c r="F602" s="15"/>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row>
    <row r="603" spans="1:56" ht="16.5" customHeight="1" x14ac:dyDescent="0.3">
      <c r="A603" s="14"/>
      <c r="B603" s="14"/>
      <c r="C603" s="14"/>
      <c r="D603" s="14"/>
      <c r="E603" s="1"/>
      <c r="F603" s="15"/>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row>
    <row r="604" spans="1:56" ht="16.5" customHeight="1" x14ac:dyDescent="0.3">
      <c r="A604" s="14"/>
      <c r="B604" s="14"/>
      <c r="C604" s="14"/>
      <c r="D604" s="14"/>
      <c r="E604" s="1"/>
      <c r="F604" s="15"/>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row>
    <row r="605" spans="1:56" ht="16.5" customHeight="1" x14ac:dyDescent="0.3">
      <c r="A605" s="14"/>
      <c r="B605" s="14"/>
      <c r="C605" s="14"/>
      <c r="D605" s="14"/>
      <c r="E605" s="1"/>
      <c r="F605" s="15"/>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row>
    <row r="606" spans="1:56" ht="16.5" customHeight="1" x14ac:dyDescent="0.3">
      <c r="A606" s="14"/>
      <c r="B606" s="14"/>
      <c r="C606" s="14"/>
      <c r="D606" s="14"/>
      <c r="E606" s="1"/>
      <c r="F606" s="15"/>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row>
    <row r="607" spans="1:56" ht="16.5" customHeight="1" x14ac:dyDescent="0.3">
      <c r="A607" s="14"/>
      <c r="B607" s="14"/>
      <c r="C607" s="14"/>
      <c r="D607" s="14"/>
      <c r="E607" s="1"/>
      <c r="F607" s="15"/>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row>
    <row r="608" spans="1:56" ht="16.5" customHeight="1" x14ac:dyDescent="0.3">
      <c r="A608" s="14"/>
      <c r="B608" s="14"/>
      <c r="C608" s="14"/>
      <c r="D608" s="14"/>
      <c r="E608" s="1"/>
      <c r="F608" s="15"/>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row>
    <row r="609" spans="1:56" ht="16.5" customHeight="1" x14ac:dyDescent="0.3">
      <c r="A609" s="14"/>
      <c r="B609" s="14"/>
      <c r="C609" s="14"/>
      <c r="D609" s="14"/>
      <c r="E609" s="1"/>
      <c r="F609" s="15"/>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row>
    <row r="610" spans="1:56" ht="16.5" customHeight="1" x14ac:dyDescent="0.3">
      <c r="A610" s="14"/>
      <c r="B610" s="14"/>
      <c r="C610" s="14"/>
      <c r="D610" s="14"/>
      <c r="E610" s="1"/>
      <c r="F610" s="15"/>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row>
    <row r="611" spans="1:56" ht="16.5" customHeight="1" x14ac:dyDescent="0.3">
      <c r="A611" s="14"/>
      <c r="B611" s="14"/>
      <c r="C611" s="14"/>
      <c r="D611" s="14"/>
      <c r="E611" s="1"/>
      <c r="F611" s="15"/>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row>
    <row r="612" spans="1:56" ht="16.5" customHeight="1" x14ac:dyDescent="0.3">
      <c r="A612" s="14"/>
      <c r="B612" s="14"/>
      <c r="C612" s="14"/>
      <c r="D612" s="14"/>
      <c r="E612" s="1"/>
      <c r="F612" s="15"/>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row>
    <row r="613" spans="1:56" ht="16.5" customHeight="1" x14ac:dyDescent="0.3">
      <c r="A613" s="14"/>
      <c r="B613" s="14"/>
      <c r="C613" s="14"/>
      <c r="D613" s="14"/>
      <c r="E613" s="1"/>
      <c r="F613" s="15"/>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row>
    <row r="614" spans="1:56" ht="16.5" customHeight="1" x14ac:dyDescent="0.3">
      <c r="A614" s="14"/>
      <c r="B614" s="14"/>
      <c r="C614" s="14"/>
      <c r="D614" s="14"/>
      <c r="E614" s="1"/>
      <c r="F614" s="15"/>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row>
    <row r="615" spans="1:56" ht="16.5" customHeight="1" x14ac:dyDescent="0.3">
      <c r="A615" s="14"/>
      <c r="B615" s="14"/>
      <c r="C615" s="14"/>
      <c r="D615" s="14"/>
      <c r="E615" s="1"/>
      <c r="F615" s="15"/>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row>
    <row r="616" spans="1:56" ht="16.5" customHeight="1" x14ac:dyDescent="0.3">
      <c r="A616" s="14"/>
      <c r="B616" s="14"/>
      <c r="C616" s="14"/>
      <c r="D616" s="14"/>
      <c r="E616" s="1"/>
      <c r="F616" s="15"/>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row>
    <row r="617" spans="1:56" ht="16.5" customHeight="1" x14ac:dyDescent="0.3">
      <c r="A617" s="14"/>
      <c r="B617" s="14"/>
      <c r="C617" s="14"/>
      <c r="D617" s="14"/>
      <c r="E617" s="1"/>
      <c r="F617" s="15"/>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row>
    <row r="618" spans="1:56" ht="16.5" customHeight="1" x14ac:dyDescent="0.3">
      <c r="A618" s="14"/>
      <c r="B618" s="14"/>
      <c r="C618" s="14"/>
      <c r="D618" s="14"/>
      <c r="E618" s="1"/>
      <c r="F618" s="15"/>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row>
    <row r="619" spans="1:56" ht="16.5" customHeight="1" x14ac:dyDescent="0.3">
      <c r="A619" s="14"/>
      <c r="B619" s="14"/>
      <c r="C619" s="14"/>
      <c r="D619" s="14"/>
      <c r="E619" s="1"/>
      <c r="F619" s="15"/>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row>
    <row r="620" spans="1:56" ht="16.5" customHeight="1" x14ac:dyDescent="0.3">
      <c r="A620" s="14"/>
      <c r="B620" s="14"/>
      <c r="C620" s="14"/>
      <c r="D620" s="14"/>
      <c r="E620" s="1"/>
      <c r="F620" s="15"/>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row>
    <row r="621" spans="1:56" ht="16.5" customHeight="1" x14ac:dyDescent="0.3">
      <c r="A621" s="14"/>
      <c r="B621" s="14"/>
      <c r="C621" s="14"/>
      <c r="D621" s="14"/>
      <c r="E621" s="1"/>
      <c r="F621" s="15"/>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row>
    <row r="622" spans="1:56" ht="16.5" customHeight="1" x14ac:dyDescent="0.3">
      <c r="A622" s="14"/>
      <c r="B622" s="14"/>
      <c r="C622" s="14"/>
      <c r="D622" s="14"/>
      <c r="E622" s="1"/>
      <c r="F622" s="15"/>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row>
    <row r="623" spans="1:56" ht="16.5" customHeight="1" x14ac:dyDescent="0.3">
      <c r="A623" s="14"/>
      <c r="B623" s="14"/>
      <c r="C623" s="14"/>
      <c r="D623" s="14"/>
      <c r="E623" s="1"/>
      <c r="F623" s="15"/>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row>
    <row r="624" spans="1:56" ht="16.5" customHeight="1" x14ac:dyDescent="0.3">
      <c r="A624" s="14"/>
      <c r="B624" s="14"/>
      <c r="C624" s="14"/>
      <c r="D624" s="14"/>
      <c r="E624" s="1"/>
      <c r="F624" s="15"/>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row>
    <row r="625" spans="1:56" ht="16.5" customHeight="1" x14ac:dyDescent="0.3">
      <c r="A625" s="14"/>
      <c r="B625" s="14"/>
      <c r="C625" s="14"/>
      <c r="D625" s="14"/>
      <c r="E625" s="1"/>
      <c r="F625" s="15"/>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row>
    <row r="626" spans="1:56" ht="16.5" customHeight="1" x14ac:dyDescent="0.3">
      <c r="A626" s="14"/>
      <c r="B626" s="14"/>
      <c r="C626" s="14"/>
      <c r="D626" s="14"/>
      <c r="E626" s="1"/>
      <c r="F626" s="15"/>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row>
    <row r="627" spans="1:56" ht="16.5" customHeight="1" x14ac:dyDescent="0.3">
      <c r="A627" s="14"/>
      <c r="B627" s="14"/>
      <c r="C627" s="14"/>
      <c r="D627" s="14"/>
      <c r="E627" s="1"/>
      <c r="F627" s="15"/>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row>
    <row r="628" spans="1:56" ht="16.5" customHeight="1" x14ac:dyDescent="0.3">
      <c r="A628" s="14"/>
      <c r="B628" s="14"/>
      <c r="C628" s="14"/>
      <c r="D628" s="14"/>
      <c r="E628" s="1"/>
      <c r="F628" s="15"/>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row>
    <row r="629" spans="1:56" ht="16.5" customHeight="1" x14ac:dyDescent="0.3">
      <c r="A629" s="14"/>
      <c r="B629" s="14"/>
      <c r="C629" s="14"/>
      <c r="D629" s="14"/>
      <c r="E629" s="1"/>
      <c r="F629" s="15"/>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row>
    <row r="630" spans="1:56" ht="16.5" customHeight="1" x14ac:dyDescent="0.3">
      <c r="A630" s="14"/>
      <c r="B630" s="14"/>
      <c r="C630" s="14"/>
      <c r="D630" s="14"/>
      <c r="E630" s="1"/>
      <c r="F630" s="15"/>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row>
    <row r="631" spans="1:56" ht="16.5" customHeight="1" x14ac:dyDescent="0.3">
      <c r="A631" s="14"/>
      <c r="B631" s="14"/>
      <c r="C631" s="14"/>
      <c r="D631" s="14"/>
      <c r="E631" s="1"/>
      <c r="F631" s="15"/>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row>
    <row r="632" spans="1:56" ht="16.5" customHeight="1" x14ac:dyDescent="0.3">
      <c r="A632" s="14"/>
      <c r="B632" s="14"/>
      <c r="C632" s="14"/>
      <c r="D632" s="14"/>
      <c r="E632" s="1"/>
      <c r="F632" s="15"/>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row>
    <row r="633" spans="1:56" ht="16.5" customHeight="1" x14ac:dyDescent="0.3">
      <c r="A633" s="14"/>
      <c r="B633" s="14"/>
      <c r="C633" s="14"/>
      <c r="D633" s="14"/>
      <c r="E633" s="1"/>
      <c r="F633" s="15"/>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row>
    <row r="634" spans="1:56" ht="16.5" customHeight="1" x14ac:dyDescent="0.3">
      <c r="A634" s="14"/>
      <c r="B634" s="14"/>
      <c r="C634" s="14"/>
      <c r="D634" s="14"/>
      <c r="E634" s="1"/>
      <c r="F634" s="15"/>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row>
    <row r="635" spans="1:56" ht="16.5" customHeight="1" x14ac:dyDescent="0.3">
      <c r="A635" s="14"/>
      <c r="B635" s="14"/>
      <c r="C635" s="14"/>
      <c r="D635" s="14"/>
      <c r="E635" s="1"/>
      <c r="F635" s="15"/>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row>
    <row r="636" spans="1:56" ht="16.5" customHeight="1" x14ac:dyDescent="0.3">
      <c r="A636" s="14"/>
      <c r="B636" s="14"/>
      <c r="C636" s="14"/>
      <c r="D636" s="14"/>
      <c r="E636" s="1"/>
      <c r="F636" s="15"/>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row>
    <row r="637" spans="1:56" ht="16.5" customHeight="1" x14ac:dyDescent="0.3">
      <c r="A637" s="14"/>
      <c r="B637" s="14"/>
      <c r="C637" s="14"/>
      <c r="D637" s="14"/>
      <c r="E637" s="1"/>
      <c r="F637" s="15"/>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row>
    <row r="638" spans="1:56" ht="16.5" customHeight="1" x14ac:dyDescent="0.3">
      <c r="A638" s="14"/>
      <c r="B638" s="14"/>
      <c r="C638" s="14"/>
      <c r="D638" s="14"/>
      <c r="E638" s="1"/>
      <c r="F638" s="15"/>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row>
    <row r="639" spans="1:56" ht="16.5" customHeight="1" x14ac:dyDescent="0.3">
      <c r="A639" s="14"/>
      <c r="B639" s="14"/>
      <c r="C639" s="14"/>
      <c r="D639" s="14"/>
      <c r="E639" s="1"/>
      <c r="F639" s="15"/>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row>
    <row r="640" spans="1:56" ht="16.5" customHeight="1" x14ac:dyDescent="0.3">
      <c r="A640" s="14"/>
      <c r="B640" s="14"/>
      <c r="C640" s="14"/>
      <c r="D640" s="14"/>
      <c r="E640" s="1"/>
      <c r="F640" s="15"/>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row>
    <row r="641" spans="1:56" ht="16.5" customHeight="1" x14ac:dyDescent="0.3">
      <c r="A641" s="14"/>
      <c r="B641" s="14"/>
      <c r="C641" s="14"/>
      <c r="D641" s="14"/>
      <c r="E641" s="1"/>
      <c r="F641" s="15"/>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row>
    <row r="642" spans="1:56" ht="16.5" customHeight="1" x14ac:dyDescent="0.3">
      <c r="A642" s="14"/>
      <c r="B642" s="14"/>
      <c r="C642" s="14"/>
      <c r="D642" s="14"/>
      <c r="E642" s="1"/>
      <c r="F642" s="15"/>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row>
    <row r="643" spans="1:56" ht="16.5" customHeight="1" x14ac:dyDescent="0.3">
      <c r="A643" s="14"/>
      <c r="B643" s="14"/>
      <c r="C643" s="14"/>
      <c r="D643" s="14"/>
      <c r="E643" s="1"/>
      <c r="F643" s="15"/>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row>
    <row r="644" spans="1:56" ht="16.5" customHeight="1" x14ac:dyDescent="0.3">
      <c r="A644" s="14"/>
      <c r="B644" s="14"/>
      <c r="C644" s="14"/>
      <c r="D644" s="14"/>
      <c r="E644" s="1"/>
      <c r="F644" s="15"/>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row>
    <row r="645" spans="1:56" ht="16.5" customHeight="1" x14ac:dyDescent="0.3">
      <c r="A645" s="14"/>
      <c r="B645" s="14"/>
      <c r="C645" s="14"/>
      <c r="D645" s="14"/>
      <c r="E645" s="1"/>
      <c r="F645" s="15"/>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row>
    <row r="646" spans="1:56" ht="16.5" customHeight="1" x14ac:dyDescent="0.3">
      <c r="A646" s="14"/>
      <c r="B646" s="14"/>
      <c r="C646" s="14"/>
      <c r="D646" s="14"/>
      <c r="E646" s="1"/>
      <c r="F646" s="15"/>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row>
    <row r="647" spans="1:56" ht="16.5" customHeight="1" x14ac:dyDescent="0.3">
      <c r="A647" s="14"/>
      <c r="B647" s="14"/>
      <c r="C647" s="14"/>
      <c r="D647" s="14"/>
      <c r="E647" s="1"/>
      <c r="F647" s="15"/>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row>
    <row r="648" spans="1:56" ht="16.5" customHeight="1" x14ac:dyDescent="0.3">
      <c r="A648" s="14"/>
      <c r="B648" s="14"/>
      <c r="C648" s="14"/>
      <c r="D648" s="14"/>
      <c r="E648" s="1"/>
      <c r="F648" s="15"/>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row>
    <row r="649" spans="1:56" ht="16.5" customHeight="1" x14ac:dyDescent="0.3">
      <c r="A649" s="14"/>
      <c r="B649" s="14"/>
      <c r="C649" s="14"/>
      <c r="D649" s="14"/>
      <c r="E649" s="1"/>
      <c r="F649" s="15"/>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row>
    <row r="650" spans="1:56" ht="16.5" customHeight="1" x14ac:dyDescent="0.3">
      <c r="A650" s="14"/>
      <c r="B650" s="14"/>
      <c r="C650" s="14"/>
      <c r="D650" s="14"/>
      <c r="E650" s="1"/>
      <c r="F650" s="15"/>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row>
    <row r="651" spans="1:56" ht="16.5" customHeight="1" x14ac:dyDescent="0.3">
      <c r="A651" s="14"/>
      <c r="B651" s="14"/>
      <c r="C651" s="14"/>
      <c r="D651" s="14"/>
      <c r="E651" s="1"/>
      <c r="F651" s="15"/>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row>
    <row r="652" spans="1:56" ht="16.5" customHeight="1" x14ac:dyDescent="0.3">
      <c r="A652" s="14"/>
      <c r="B652" s="14"/>
      <c r="C652" s="14"/>
      <c r="D652" s="14"/>
      <c r="E652" s="1"/>
      <c r="F652" s="15"/>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row>
    <row r="653" spans="1:56" ht="16.5" customHeight="1" x14ac:dyDescent="0.3">
      <c r="A653" s="14"/>
      <c r="B653" s="14"/>
      <c r="C653" s="14"/>
      <c r="D653" s="14"/>
      <c r="E653" s="1"/>
      <c r="F653" s="15"/>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row>
    <row r="654" spans="1:56" ht="16.5" customHeight="1" x14ac:dyDescent="0.3">
      <c r="A654" s="14"/>
      <c r="B654" s="14"/>
      <c r="C654" s="14"/>
      <c r="D654" s="14"/>
      <c r="E654" s="1"/>
      <c r="F654" s="15"/>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row>
    <row r="655" spans="1:56" ht="16.5" customHeight="1" x14ac:dyDescent="0.3">
      <c r="A655" s="14"/>
      <c r="B655" s="14"/>
      <c r="C655" s="14"/>
      <c r="D655" s="14"/>
      <c r="E655" s="1"/>
      <c r="F655" s="15"/>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row>
    <row r="656" spans="1:56" ht="16.5" customHeight="1" x14ac:dyDescent="0.3">
      <c r="A656" s="14"/>
      <c r="B656" s="14"/>
      <c r="C656" s="14"/>
      <c r="D656" s="14"/>
      <c r="E656" s="1"/>
      <c r="F656" s="15"/>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row>
    <row r="657" spans="1:56" ht="16.5" customHeight="1" x14ac:dyDescent="0.3">
      <c r="A657" s="14"/>
      <c r="B657" s="14"/>
      <c r="C657" s="14"/>
      <c r="D657" s="14"/>
      <c r="E657" s="1"/>
      <c r="F657" s="15"/>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row>
    <row r="658" spans="1:56" ht="16.5" customHeight="1" x14ac:dyDescent="0.3">
      <c r="A658" s="14"/>
      <c r="B658" s="14"/>
      <c r="C658" s="14"/>
      <c r="D658" s="14"/>
      <c r="E658" s="1"/>
      <c r="F658" s="15"/>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row>
    <row r="659" spans="1:56" ht="16.5" customHeight="1" x14ac:dyDescent="0.3">
      <c r="A659" s="14"/>
      <c r="B659" s="14"/>
      <c r="C659" s="14"/>
      <c r="D659" s="14"/>
      <c r="E659" s="1"/>
      <c r="F659" s="15"/>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row>
    <row r="660" spans="1:56" ht="16.5" customHeight="1" x14ac:dyDescent="0.3">
      <c r="A660" s="14"/>
      <c r="B660" s="14"/>
      <c r="C660" s="14"/>
      <c r="D660" s="14"/>
      <c r="E660" s="1"/>
      <c r="F660" s="15"/>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row>
    <row r="661" spans="1:56" ht="16.5" customHeight="1" x14ac:dyDescent="0.3">
      <c r="A661" s="14"/>
      <c r="B661" s="14"/>
      <c r="C661" s="14"/>
      <c r="D661" s="14"/>
      <c r="E661" s="1"/>
      <c r="F661" s="15"/>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row>
    <row r="662" spans="1:56" ht="16.5" customHeight="1" x14ac:dyDescent="0.3">
      <c r="A662" s="14"/>
      <c r="B662" s="14"/>
      <c r="C662" s="14"/>
      <c r="D662" s="14"/>
      <c r="E662" s="1"/>
      <c r="F662" s="15"/>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row>
    <row r="663" spans="1:56" ht="16.5" customHeight="1" x14ac:dyDescent="0.3">
      <c r="A663" s="14"/>
      <c r="B663" s="14"/>
      <c r="C663" s="14"/>
      <c r="D663" s="14"/>
      <c r="E663" s="1"/>
      <c r="F663" s="15"/>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row>
    <row r="664" spans="1:56" ht="16.5" customHeight="1" x14ac:dyDescent="0.3">
      <c r="A664" s="14"/>
      <c r="B664" s="14"/>
      <c r="C664" s="14"/>
      <c r="D664" s="14"/>
      <c r="E664" s="1"/>
      <c r="F664" s="15"/>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row>
    <row r="665" spans="1:56" ht="16.5" customHeight="1" x14ac:dyDescent="0.3">
      <c r="A665" s="14"/>
      <c r="B665" s="14"/>
      <c r="C665" s="14"/>
      <c r="D665" s="14"/>
      <c r="E665" s="1"/>
      <c r="F665" s="15"/>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row>
    <row r="666" spans="1:56" ht="16.5" customHeight="1" x14ac:dyDescent="0.3">
      <c r="A666" s="14"/>
      <c r="B666" s="14"/>
      <c r="C666" s="14"/>
      <c r="D666" s="14"/>
      <c r="E666" s="1"/>
      <c r="F666" s="15"/>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row>
    <row r="667" spans="1:56" ht="16.5" customHeight="1" x14ac:dyDescent="0.3">
      <c r="A667" s="14"/>
      <c r="B667" s="14"/>
      <c r="C667" s="14"/>
      <c r="D667" s="14"/>
      <c r="E667" s="1"/>
      <c r="F667" s="15"/>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row>
    <row r="668" spans="1:56" ht="16.5" customHeight="1" x14ac:dyDescent="0.3">
      <c r="A668" s="14"/>
      <c r="B668" s="14"/>
      <c r="C668" s="14"/>
      <c r="D668" s="14"/>
      <c r="E668" s="1"/>
      <c r="F668" s="15"/>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row>
    <row r="669" spans="1:56" ht="16.5" customHeight="1" x14ac:dyDescent="0.3">
      <c r="A669" s="14"/>
      <c r="B669" s="14"/>
      <c r="C669" s="14"/>
      <c r="D669" s="14"/>
      <c r="E669" s="1"/>
      <c r="F669" s="15"/>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row>
    <row r="670" spans="1:56" ht="16.5" customHeight="1" x14ac:dyDescent="0.3">
      <c r="A670" s="14"/>
      <c r="B670" s="14"/>
      <c r="C670" s="14"/>
      <c r="D670" s="14"/>
      <c r="E670" s="1"/>
      <c r="F670" s="15"/>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row>
    <row r="671" spans="1:56" ht="16.5" customHeight="1" x14ac:dyDescent="0.3">
      <c r="A671" s="14"/>
      <c r="B671" s="14"/>
      <c r="C671" s="14"/>
      <c r="D671" s="14"/>
      <c r="E671" s="1"/>
      <c r="F671" s="15"/>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row>
    <row r="672" spans="1:56" ht="16.5" customHeight="1" x14ac:dyDescent="0.3">
      <c r="A672" s="14"/>
      <c r="B672" s="14"/>
      <c r="C672" s="14"/>
      <c r="D672" s="14"/>
      <c r="E672" s="1"/>
      <c r="F672" s="15"/>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row>
    <row r="673" spans="1:56" ht="16.5" customHeight="1" x14ac:dyDescent="0.3">
      <c r="A673" s="14"/>
      <c r="B673" s="14"/>
      <c r="C673" s="14"/>
      <c r="D673" s="14"/>
      <c r="E673" s="1"/>
      <c r="F673" s="15"/>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row>
    <row r="674" spans="1:56" ht="16.5" customHeight="1" x14ac:dyDescent="0.3">
      <c r="A674" s="14"/>
      <c r="B674" s="14"/>
      <c r="C674" s="14"/>
      <c r="D674" s="14"/>
      <c r="E674" s="1"/>
      <c r="F674" s="15"/>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row>
    <row r="675" spans="1:56" ht="16.5" customHeight="1" x14ac:dyDescent="0.3">
      <c r="A675" s="14"/>
      <c r="B675" s="14"/>
      <c r="C675" s="14"/>
      <c r="D675" s="14"/>
      <c r="E675" s="1"/>
      <c r="F675" s="15"/>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row>
    <row r="676" spans="1:56" ht="16.5" customHeight="1" x14ac:dyDescent="0.3">
      <c r="A676" s="14"/>
      <c r="B676" s="14"/>
      <c r="C676" s="14"/>
      <c r="D676" s="14"/>
      <c r="E676" s="1"/>
      <c r="F676" s="15"/>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row>
    <row r="677" spans="1:56" ht="16.5" customHeight="1" x14ac:dyDescent="0.3">
      <c r="A677" s="14"/>
      <c r="B677" s="14"/>
      <c r="C677" s="14"/>
      <c r="D677" s="14"/>
      <c r="E677" s="1"/>
      <c r="F677" s="15"/>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row>
    <row r="678" spans="1:56" ht="16.5" customHeight="1" x14ac:dyDescent="0.3">
      <c r="A678" s="14"/>
      <c r="B678" s="14"/>
      <c r="C678" s="14"/>
      <c r="D678" s="14"/>
      <c r="E678" s="1"/>
      <c r="F678" s="15"/>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row>
    <row r="679" spans="1:56" ht="16.5" customHeight="1" x14ac:dyDescent="0.3">
      <c r="A679" s="14"/>
      <c r="B679" s="14"/>
      <c r="C679" s="14"/>
      <c r="D679" s="14"/>
      <c r="E679" s="1"/>
      <c r="F679" s="15"/>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row>
    <row r="680" spans="1:56" ht="16.5" customHeight="1" x14ac:dyDescent="0.3">
      <c r="A680" s="14"/>
      <c r="B680" s="14"/>
      <c r="C680" s="14"/>
      <c r="D680" s="14"/>
      <c r="E680" s="1"/>
      <c r="F680" s="15"/>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row>
    <row r="681" spans="1:56" ht="16.5" customHeight="1" x14ac:dyDescent="0.3">
      <c r="A681" s="14"/>
      <c r="B681" s="14"/>
      <c r="C681" s="14"/>
      <c r="D681" s="14"/>
      <c r="E681" s="1"/>
      <c r="F681" s="15"/>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row>
    <row r="682" spans="1:56" ht="16.5" customHeight="1" x14ac:dyDescent="0.3">
      <c r="A682" s="14"/>
      <c r="B682" s="14"/>
      <c r="C682" s="14"/>
      <c r="D682" s="14"/>
      <c r="E682" s="1"/>
      <c r="F682" s="15"/>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row>
    <row r="683" spans="1:56" ht="16.5" customHeight="1" x14ac:dyDescent="0.3">
      <c r="A683" s="14"/>
      <c r="B683" s="14"/>
      <c r="C683" s="14"/>
      <c r="D683" s="14"/>
      <c r="E683" s="1"/>
      <c r="F683" s="15"/>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row>
    <row r="684" spans="1:56" ht="16.5" customHeight="1" x14ac:dyDescent="0.3">
      <c r="A684" s="14"/>
      <c r="B684" s="14"/>
      <c r="C684" s="14"/>
      <c r="D684" s="14"/>
      <c r="E684" s="1"/>
      <c r="F684" s="15"/>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row>
    <row r="685" spans="1:56" ht="16.5" customHeight="1" x14ac:dyDescent="0.3">
      <c r="A685" s="14"/>
      <c r="B685" s="14"/>
      <c r="C685" s="14"/>
      <c r="D685" s="14"/>
      <c r="E685" s="1"/>
      <c r="F685" s="15"/>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row>
    <row r="686" spans="1:56" ht="16.5" customHeight="1" x14ac:dyDescent="0.3">
      <c r="A686" s="14"/>
      <c r="B686" s="14"/>
      <c r="C686" s="14"/>
      <c r="D686" s="14"/>
      <c r="E686" s="1"/>
      <c r="F686" s="15"/>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row>
    <row r="687" spans="1:56" ht="16.5" customHeight="1" x14ac:dyDescent="0.3">
      <c r="A687" s="14"/>
      <c r="B687" s="14"/>
      <c r="C687" s="14"/>
      <c r="D687" s="14"/>
      <c r="E687" s="1"/>
      <c r="F687" s="15"/>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row>
    <row r="688" spans="1:56" ht="16.5" customHeight="1" x14ac:dyDescent="0.3">
      <c r="A688" s="14"/>
      <c r="B688" s="14"/>
      <c r="C688" s="14"/>
      <c r="D688" s="14"/>
      <c r="E688" s="1"/>
      <c r="F688" s="15"/>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row>
    <row r="689" spans="1:56" ht="16.5" customHeight="1" x14ac:dyDescent="0.3">
      <c r="A689" s="14"/>
      <c r="B689" s="14"/>
      <c r="C689" s="14"/>
      <c r="D689" s="14"/>
      <c r="E689" s="1"/>
      <c r="F689" s="15"/>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row>
    <row r="690" spans="1:56" ht="16.5" customHeight="1" x14ac:dyDescent="0.3">
      <c r="A690" s="14"/>
      <c r="B690" s="14"/>
      <c r="C690" s="14"/>
      <c r="D690" s="14"/>
      <c r="E690" s="1"/>
      <c r="F690" s="15"/>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row>
    <row r="691" spans="1:56" ht="16.5" customHeight="1" x14ac:dyDescent="0.3">
      <c r="A691" s="14"/>
      <c r="B691" s="14"/>
      <c r="C691" s="14"/>
      <c r="D691" s="14"/>
      <c r="E691" s="1"/>
      <c r="F691" s="15"/>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row>
    <row r="692" spans="1:56" ht="16.5" customHeight="1" x14ac:dyDescent="0.3">
      <c r="A692" s="14"/>
      <c r="B692" s="14"/>
      <c r="C692" s="14"/>
      <c r="D692" s="14"/>
      <c r="E692" s="1"/>
      <c r="F692" s="15"/>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row>
    <row r="693" spans="1:56" ht="16.5" customHeight="1" x14ac:dyDescent="0.3">
      <c r="A693" s="14"/>
      <c r="B693" s="14"/>
      <c r="C693" s="14"/>
      <c r="D693" s="14"/>
      <c r="E693" s="1"/>
      <c r="F693" s="15"/>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row>
    <row r="694" spans="1:56" ht="16.5" customHeight="1" x14ac:dyDescent="0.3">
      <c r="A694" s="14"/>
      <c r="B694" s="14"/>
      <c r="C694" s="14"/>
      <c r="D694" s="14"/>
      <c r="E694" s="1"/>
      <c r="F694" s="15"/>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row>
    <row r="695" spans="1:56" ht="16.5" customHeight="1" x14ac:dyDescent="0.3">
      <c r="A695" s="14"/>
      <c r="B695" s="14"/>
      <c r="C695" s="14"/>
      <c r="D695" s="14"/>
      <c r="E695" s="1"/>
      <c r="F695" s="15"/>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row>
    <row r="696" spans="1:56" ht="16.5" customHeight="1" x14ac:dyDescent="0.3">
      <c r="A696" s="14"/>
      <c r="B696" s="14"/>
      <c r="C696" s="14"/>
      <c r="D696" s="14"/>
      <c r="E696" s="1"/>
      <c r="F696" s="15"/>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row>
    <row r="697" spans="1:56" ht="16.5" customHeight="1" x14ac:dyDescent="0.3">
      <c r="A697" s="14"/>
      <c r="B697" s="14"/>
      <c r="C697" s="14"/>
      <c r="D697" s="14"/>
      <c r="E697" s="1"/>
      <c r="F697" s="15"/>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row>
    <row r="698" spans="1:56" ht="16.5" customHeight="1" x14ac:dyDescent="0.3">
      <c r="A698" s="14"/>
      <c r="B698" s="14"/>
      <c r="C698" s="14"/>
      <c r="D698" s="14"/>
      <c r="E698" s="1"/>
      <c r="F698" s="15"/>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row>
    <row r="699" spans="1:56" ht="16.5" customHeight="1" x14ac:dyDescent="0.3">
      <c r="A699" s="14"/>
      <c r="B699" s="14"/>
      <c r="C699" s="14"/>
      <c r="D699" s="14"/>
      <c r="E699" s="1"/>
      <c r="F699" s="15"/>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row>
    <row r="700" spans="1:56" ht="16.5" customHeight="1" x14ac:dyDescent="0.3">
      <c r="A700" s="14"/>
      <c r="B700" s="14"/>
      <c r="C700" s="14"/>
      <c r="D700" s="14"/>
      <c r="E700" s="1"/>
      <c r="F700" s="15"/>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row>
    <row r="701" spans="1:56" ht="16.5" customHeight="1" x14ac:dyDescent="0.3">
      <c r="A701" s="14"/>
      <c r="B701" s="14"/>
      <c r="C701" s="14"/>
      <c r="D701" s="14"/>
      <c r="E701" s="1"/>
      <c r="F701" s="15"/>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row>
    <row r="702" spans="1:56" ht="16.5" customHeight="1" x14ac:dyDescent="0.3">
      <c r="A702" s="14"/>
      <c r="B702" s="14"/>
      <c r="C702" s="14"/>
      <c r="D702" s="14"/>
      <c r="E702" s="1"/>
      <c r="F702" s="15"/>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row>
    <row r="703" spans="1:56" ht="16.5" customHeight="1" x14ac:dyDescent="0.3">
      <c r="A703" s="14"/>
      <c r="B703" s="14"/>
      <c r="C703" s="14"/>
      <c r="D703" s="14"/>
      <c r="E703" s="1"/>
      <c r="F703" s="15"/>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row>
    <row r="704" spans="1:56" ht="16.5" customHeight="1" x14ac:dyDescent="0.3">
      <c r="A704" s="14"/>
      <c r="B704" s="14"/>
      <c r="C704" s="14"/>
      <c r="D704" s="14"/>
      <c r="E704" s="1"/>
      <c r="F704" s="15"/>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row>
    <row r="705" spans="1:56" ht="16.5" customHeight="1" x14ac:dyDescent="0.3">
      <c r="A705" s="14"/>
      <c r="B705" s="14"/>
      <c r="C705" s="14"/>
      <c r="D705" s="14"/>
      <c r="E705" s="1"/>
      <c r="F705" s="15"/>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row>
    <row r="706" spans="1:56" ht="16.5" customHeight="1" x14ac:dyDescent="0.3">
      <c r="A706" s="14"/>
      <c r="B706" s="14"/>
      <c r="C706" s="14"/>
      <c r="D706" s="14"/>
      <c r="E706" s="1"/>
      <c r="F706" s="15"/>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row>
    <row r="707" spans="1:56" ht="16.5" customHeight="1" x14ac:dyDescent="0.3">
      <c r="A707" s="14"/>
      <c r="B707" s="14"/>
      <c r="C707" s="14"/>
      <c r="D707" s="14"/>
      <c r="E707" s="1"/>
      <c r="F707" s="15"/>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row>
    <row r="708" spans="1:56" ht="16.5" customHeight="1" x14ac:dyDescent="0.3">
      <c r="A708" s="14"/>
      <c r="B708" s="14"/>
      <c r="C708" s="14"/>
      <c r="D708" s="14"/>
      <c r="E708" s="1"/>
      <c r="F708" s="15"/>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row>
    <row r="709" spans="1:56" ht="16.5" customHeight="1" x14ac:dyDescent="0.3">
      <c r="A709" s="14"/>
      <c r="B709" s="14"/>
      <c r="C709" s="14"/>
      <c r="D709" s="14"/>
      <c r="E709" s="1"/>
      <c r="F709" s="15"/>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row>
    <row r="710" spans="1:56" ht="16.5" customHeight="1" x14ac:dyDescent="0.3">
      <c r="A710" s="14"/>
      <c r="B710" s="14"/>
      <c r="C710" s="14"/>
      <c r="D710" s="14"/>
      <c r="E710" s="1"/>
      <c r="F710" s="15"/>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row>
    <row r="711" spans="1:56" ht="16.5" customHeight="1" x14ac:dyDescent="0.3">
      <c r="A711" s="14"/>
      <c r="B711" s="14"/>
      <c r="C711" s="14"/>
      <c r="D711" s="14"/>
      <c r="E711" s="1"/>
      <c r="F711" s="15"/>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row>
    <row r="712" spans="1:56" ht="16.5" customHeight="1" x14ac:dyDescent="0.3">
      <c r="A712" s="14"/>
      <c r="B712" s="14"/>
      <c r="C712" s="14"/>
      <c r="D712" s="14"/>
      <c r="E712" s="1"/>
      <c r="F712" s="15"/>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row>
    <row r="713" spans="1:56" ht="16.5" customHeight="1" x14ac:dyDescent="0.3">
      <c r="A713" s="14"/>
      <c r="B713" s="14"/>
      <c r="C713" s="14"/>
      <c r="D713" s="14"/>
      <c r="E713" s="1"/>
      <c r="F713" s="15"/>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row>
    <row r="714" spans="1:56" ht="16.5" customHeight="1" x14ac:dyDescent="0.3">
      <c r="A714" s="14"/>
      <c r="B714" s="14"/>
      <c r="C714" s="14"/>
      <c r="D714" s="14"/>
      <c r="E714" s="1"/>
      <c r="F714" s="15"/>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row>
    <row r="715" spans="1:56" ht="16.5" customHeight="1" x14ac:dyDescent="0.3">
      <c r="A715" s="14"/>
      <c r="B715" s="14"/>
      <c r="C715" s="14"/>
      <c r="D715" s="14"/>
      <c r="E715" s="1"/>
      <c r="F715" s="15"/>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row>
    <row r="716" spans="1:56" ht="16.5" customHeight="1" x14ac:dyDescent="0.3">
      <c r="A716" s="14"/>
      <c r="B716" s="14"/>
      <c r="C716" s="14"/>
      <c r="D716" s="14"/>
      <c r="E716" s="1"/>
      <c r="F716" s="15"/>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row>
    <row r="717" spans="1:56" ht="16.5" customHeight="1" x14ac:dyDescent="0.3">
      <c r="A717" s="14"/>
      <c r="B717" s="14"/>
      <c r="C717" s="14"/>
      <c r="D717" s="14"/>
      <c r="E717" s="1"/>
      <c r="F717" s="15"/>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row>
    <row r="718" spans="1:56" ht="16.5" customHeight="1" x14ac:dyDescent="0.3">
      <c r="A718" s="14"/>
      <c r="B718" s="14"/>
      <c r="C718" s="14"/>
      <c r="D718" s="14"/>
      <c r="E718" s="1"/>
      <c r="F718" s="15"/>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row>
    <row r="719" spans="1:56" ht="16.5" customHeight="1" x14ac:dyDescent="0.3">
      <c r="A719" s="14"/>
      <c r="B719" s="14"/>
      <c r="C719" s="14"/>
      <c r="D719" s="14"/>
      <c r="E719" s="1"/>
      <c r="F719" s="15"/>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row>
    <row r="720" spans="1:56" ht="16.5" customHeight="1" x14ac:dyDescent="0.3">
      <c r="A720" s="14"/>
      <c r="B720" s="14"/>
      <c r="C720" s="14"/>
      <c r="D720" s="14"/>
      <c r="E720" s="1"/>
      <c r="F720" s="15"/>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row>
    <row r="721" spans="1:56" ht="16.5" customHeight="1" x14ac:dyDescent="0.3">
      <c r="A721" s="14"/>
      <c r="B721" s="14"/>
      <c r="C721" s="14"/>
      <c r="D721" s="14"/>
      <c r="E721" s="1"/>
      <c r="F721" s="15"/>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row>
    <row r="722" spans="1:56" ht="16.5" customHeight="1" x14ac:dyDescent="0.3">
      <c r="A722" s="14"/>
      <c r="B722" s="14"/>
      <c r="C722" s="14"/>
      <c r="D722" s="14"/>
      <c r="E722" s="1"/>
      <c r="F722" s="15"/>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row>
    <row r="723" spans="1:56" ht="16.5" customHeight="1" x14ac:dyDescent="0.3">
      <c r="A723" s="14"/>
      <c r="B723" s="14"/>
      <c r="C723" s="14"/>
      <c r="D723" s="14"/>
      <c r="E723" s="1"/>
      <c r="F723" s="15"/>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row>
    <row r="724" spans="1:56" ht="16.5" customHeight="1" x14ac:dyDescent="0.3">
      <c r="A724" s="14"/>
      <c r="B724" s="14"/>
      <c r="C724" s="14"/>
      <c r="D724" s="14"/>
      <c r="E724" s="1"/>
      <c r="F724" s="15"/>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row>
    <row r="725" spans="1:56" ht="16.5" customHeight="1" x14ac:dyDescent="0.3">
      <c r="A725" s="14"/>
      <c r="B725" s="14"/>
      <c r="C725" s="14"/>
      <c r="D725" s="14"/>
      <c r="E725" s="1"/>
      <c r="F725" s="15"/>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row>
    <row r="726" spans="1:56" ht="16.5" customHeight="1" x14ac:dyDescent="0.3">
      <c r="A726" s="14"/>
      <c r="B726" s="14"/>
      <c r="C726" s="14"/>
      <c r="D726" s="14"/>
      <c r="E726" s="1"/>
      <c r="F726" s="15"/>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row>
    <row r="727" spans="1:56" ht="16.5" customHeight="1" x14ac:dyDescent="0.3">
      <c r="A727" s="14"/>
      <c r="B727" s="14"/>
      <c r="C727" s="14"/>
      <c r="D727" s="14"/>
      <c r="E727" s="1"/>
      <c r="F727" s="15"/>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row>
    <row r="728" spans="1:56" ht="16.5" customHeight="1" x14ac:dyDescent="0.3">
      <c r="A728" s="14"/>
      <c r="B728" s="14"/>
      <c r="C728" s="14"/>
      <c r="D728" s="14"/>
      <c r="E728" s="1"/>
      <c r="F728" s="15"/>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row>
    <row r="729" spans="1:56" ht="16.5" customHeight="1" x14ac:dyDescent="0.3">
      <c r="A729" s="14"/>
      <c r="B729" s="14"/>
      <c r="C729" s="14"/>
      <c r="D729" s="14"/>
      <c r="E729" s="1"/>
      <c r="F729" s="15"/>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row>
    <row r="730" spans="1:56" ht="16.5" customHeight="1" x14ac:dyDescent="0.3">
      <c r="A730" s="14"/>
      <c r="B730" s="14"/>
      <c r="C730" s="14"/>
      <c r="D730" s="14"/>
      <c r="E730" s="1"/>
      <c r="F730" s="15"/>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row>
    <row r="731" spans="1:56" ht="16.5" customHeight="1" x14ac:dyDescent="0.3">
      <c r="A731" s="14"/>
      <c r="B731" s="14"/>
      <c r="C731" s="14"/>
      <c r="D731" s="14"/>
      <c r="E731" s="1"/>
      <c r="F731" s="15"/>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row>
    <row r="732" spans="1:56" ht="16.5" customHeight="1" x14ac:dyDescent="0.3">
      <c r="A732" s="14"/>
      <c r="B732" s="14"/>
      <c r="C732" s="14"/>
      <c r="D732" s="14"/>
      <c r="E732" s="1"/>
      <c r="F732" s="15"/>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row>
    <row r="733" spans="1:56" ht="16.5" customHeight="1" x14ac:dyDescent="0.3">
      <c r="A733" s="14"/>
      <c r="B733" s="14"/>
      <c r="C733" s="14"/>
      <c r="D733" s="14"/>
      <c r="E733" s="1"/>
      <c r="F733" s="15"/>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row>
    <row r="734" spans="1:56" ht="16.5" customHeight="1" x14ac:dyDescent="0.3">
      <c r="A734" s="14"/>
      <c r="B734" s="14"/>
      <c r="C734" s="14"/>
      <c r="D734" s="14"/>
      <c r="E734" s="1"/>
      <c r="F734" s="15"/>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row>
    <row r="735" spans="1:56" ht="16.5" customHeight="1" x14ac:dyDescent="0.3">
      <c r="A735" s="14"/>
      <c r="B735" s="14"/>
      <c r="C735" s="14"/>
      <c r="D735" s="14"/>
      <c r="E735" s="1"/>
      <c r="F735" s="15"/>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row>
    <row r="736" spans="1:56" ht="16.5" customHeight="1" x14ac:dyDescent="0.3">
      <c r="A736" s="14"/>
      <c r="B736" s="14"/>
      <c r="C736" s="14"/>
      <c r="D736" s="14"/>
      <c r="E736" s="1"/>
      <c r="F736" s="15"/>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row>
    <row r="737" spans="1:56" ht="16.5" customHeight="1" x14ac:dyDescent="0.3">
      <c r="A737" s="14"/>
      <c r="B737" s="14"/>
      <c r="C737" s="14"/>
      <c r="D737" s="14"/>
      <c r="E737" s="1"/>
      <c r="F737" s="15"/>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row>
    <row r="738" spans="1:56" ht="16.5" customHeight="1" x14ac:dyDescent="0.3">
      <c r="A738" s="14"/>
      <c r="B738" s="14"/>
      <c r="C738" s="14"/>
      <c r="D738" s="14"/>
      <c r="E738" s="1"/>
      <c r="F738" s="15"/>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row>
    <row r="739" spans="1:56" ht="16.5" customHeight="1" x14ac:dyDescent="0.3">
      <c r="A739" s="14"/>
      <c r="B739" s="14"/>
      <c r="C739" s="14"/>
      <c r="D739" s="14"/>
      <c r="E739" s="1"/>
      <c r="F739" s="15"/>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row>
    <row r="740" spans="1:56" ht="16.5" customHeight="1" x14ac:dyDescent="0.3">
      <c r="A740" s="14"/>
      <c r="B740" s="14"/>
      <c r="C740" s="14"/>
      <c r="D740" s="14"/>
      <c r="E740" s="1"/>
      <c r="F740" s="15"/>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row>
    <row r="741" spans="1:56" ht="16.5" customHeight="1" x14ac:dyDescent="0.3">
      <c r="A741" s="14"/>
      <c r="B741" s="14"/>
      <c r="C741" s="14"/>
      <c r="D741" s="14"/>
      <c r="E741" s="1"/>
      <c r="F741" s="15"/>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row>
    <row r="742" spans="1:56" ht="16.5" customHeight="1" x14ac:dyDescent="0.3">
      <c r="A742" s="14"/>
      <c r="B742" s="14"/>
      <c r="C742" s="14"/>
      <c r="D742" s="14"/>
      <c r="E742" s="1"/>
      <c r="F742" s="15"/>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row>
    <row r="743" spans="1:56" ht="16.5" customHeight="1" x14ac:dyDescent="0.3">
      <c r="A743" s="14"/>
      <c r="B743" s="14"/>
      <c r="C743" s="14"/>
      <c r="D743" s="14"/>
      <c r="E743" s="1"/>
      <c r="F743" s="15"/>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row>
    <row r="744" spans="1:56" ht="16.5" customHeight="1" x14ac:dyDescent="0.3">
      <c r="A744" s="14"/>
      <c r="B744" s="14"/>
      <c r="C744" s="14"/>
      <c r="D744" s="14"/>
      <c r="E744" s="1"/>
      <c r="F744" s="15"/>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row>
    <row r="745" spans="1:56" ht="16.5" customHeight="1" x14ac:dyDescent="0.3">
      <c r="A745" s="14"/>
      <c r="B745" s="14"/>
      <c r="C745" s="14"/>
      <c r="D745" s="14"/>
      <c r="E745" s="1"/>
      <c r="F745" s="15"/>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row>
    <row r="746" spans="1:56" ht="16.5" customHeight="1" x14ac:dyDescent="0.3">
      <c r="A746" s="14"/>
      <c r="B746" s="14"/>
      <c r="C746" s="14"/>
      <c r="D746" s="14"/>
      <c r="E746" s="1"/>
      <c r="F746" s="15"/>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row>
    <row r="747" spans="1:56" ht="16.5" customHeight="1" x14ac:dyDescent="0.3">
      <c r="A747" s="14"/>
      <c r="B747" s="14"/>
      <c r="C747" s="14"/>
      <c r="D747" s="14"/>
      <c r="E747" s="1"/>
      <c r="F747" s="15"/>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row>
    <row r="748" spans="1:56" ht="16.5" customHeight="1" x14ac:dyDescent="0.3">
      <c r="A748" s="14"/>
      <c r="B748" s="14"/>
      <c r="C748" s="14"/>
      <c r="D748" s="14"/>
      <c r="E748" s="1"/>
      <c r="F748" s="15"/>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row>
    <row r="749" spans="1:56" ht="16.5" customHeight="1" x14ac:dyDescent="0.3">
      <c r="A749" s="14"/>
      <c r="B749" s="14"/>
      <c r="C749" s="14"/>
      <c r="D749" s="14"/>
      <c r="E749" s="1"/>
      <c r="F749" s="15"/>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row>
    <row r="750" spans="1:56" ht="16.5" customHeight="1" x14ac:dyDescent="0.3">
      <c r="A750" s="14"/>
      <c r="B750" s="14"/>
      <c r="C750" s="14"/>
      <c r="D750" s="14"/>
      <c r="E750" s="1"/>
      <c r="F750" s="15"/>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row>
    <row r="751" spans="1:56" ht="16.5" customHeight="1" x14ac:dyDescent="0.3">
      <c r="A751" s="14"/>
      <c r="B751" s="14"/>
      <c r="C751" s="14"/>
      <c r="D751" s="14"/>
      <c r="E751" s="1"/>
      <c r="F751" s="15"/>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row>
    <row r="752" spans="1:56" ht="16.5" customHeight="1" x14ac:dyDescent="0.3">
      <c r="A752" s="14"/>
      <c r="B752" s="14"/>
      <c r="C752" s="14"/>
      <c r="D752" s="14"/>
      <c r="E752" s="1"/>
      <c r="F752" s="15"/>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row>
    <row r="753" spans="1:56" ht="16.5" customHeight="1" x14ac:dyDescent="0.3">
      <c r="A753" s="14"/>
      <c r="B753" s="14"/>
      <c r="C753" s="14"/>
      <c r="D753" s="14"/>
      <c r="E753" s="1"/>
      <c r="F753" s="15"/>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row>
    <row r="754" spans="1:56" ht="16.5" customHeight="1" x14ac:dyDescent="0.3">
      <c r="A754" s="14"/>
      <c r="B754" s="14"/>
      <c r="C754" s="14"/>
      <c r="D754" s="14"/>
      <c r="E754" s="1"/>
      <c r="F754" s="15"/>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row>
    <row r="755" spans="1:56" ht="16.5" customHeight="1" x14ac:dyDescent="0.3">
      <c r="A755" s="14"/>
      <c r="B755" s="14"/>
      <c r="C755" s="14"/>
      <c r="D755" s="14"/>
      <c r="E755" s="1"/>
      <c r="F755" s="15"/>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row>
    <row r="756" spans="1:56" ht="16.5" customHeight="1" x14ac:dyDescent="0.3">
      <c r="A756" s="14"/>
      <c r="B756" s="14"/>
      <c r="C756" s="14"/>
      <c r="D756" s="14"/>
      <c r="E756" s="1"/>
      <c r="F756" s="15"/>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row>
    <row r="757" spans="1:56" ht="16.5" customHeight="1" x14ac:dyDescent="0.3">
      <c r="A757" s="14"/>
      <c r="B757" s="14"/>
      <c r="C757" s="14"/>
      <c r="D757" s="14"/>
      <c r="E757" s="1"/>
      <c r="F757" s="15"/>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row>
    <row r="758" spans="1:56" ht="16.5" customHeight="1" x14ac:dyDescent="0.3">
      <c r="A758" s="14"/>
      <c r="B758" s="14"/>
      <c r="C758" s="14"/>
      <c r="D758" s="14"/>
      <c r="E758" s="1"/>
      <c r="F758" s="15"/>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row>
    <row r="759" spans="1:56" ht="16.5" customHeight="1" x14ac:dyDescent="0.3">
      <c r="A759" s="14"/>
      <c r="B759" s="14"/>
      <c r="C759" s="14"/>
      <c r="D759" s="14"/>
      <c r="E759" s="1"/>
      <c r="F759" s="15"/>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row>
    <row r="760" spans="1:56" ht="16.5" customHeight="1" x14ac:dyDescent="0.3">
      <c r="A760" s="14"/>
      <c r="B760" s="14"/>
      <c r="C760" s="14"/>
      <c r="D760" s="14"/>
      <c r="E760" s="1"/>
      <c r="F760" s="15"/>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row>
    <row r="761" spans="1:56" ht="16.5" customHeight="1" x14ac:dyDescent="0.3">
      <c r="A761" s="14"/>
      <c r="B761" s="14"/>
      <c r="C761" s="14"/>
      <c r="D761" s="14"/>
      <c r="E761" s="1"/>
      <c r="F761" s="15"/>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row>
    <row r="762" spans="1:56" ht="16.5" customHeight="1" x14ac:dyDescent="0.3">
      <c r="A762" s="14"/>
      <c r="B762" s="14"/>
      <c r="C762" s="14"/>
      <c r="D762" s="14"/>
      <c r="E762" s="1"/>
      <c r="F762" s="15"/>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row>
    <row r="763" spans="1:56" ht="16.5" customHeight="1" x14ac:dyDescent="0.3">
      <c r="A763" s="14"/>
      <c r="B763" s="14"/>
      <c r="C763" s="14"/>
      <c r="D763" s="14"/>
      <c r="E763" s="1"/>
      <c r="F763" s="15"/>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row>
    <row r="764" spans="1:56" ht="16.5" customHeight="1" x14ac:dyDescent="0.3">
      <c r="A764" s="14"/>
      <c r="B764" s="14"/>
      <c r="C764" s="14"/>
      <c r="D764" s="14"/>
      <c r="E764" s="1"/>
      <c r="F764" s="15"/>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row>
    <row r="765" spans="1:56" ht="16.5" customHeight="1" x14ac:dyDescent="0.3">
      <c r="A765" s="14"/>
      <c r="B765" s="14"/>
      <c r="C765" s="14"/>
      <c r="D765" s="14"/>
      <c r="E765" s="1"/>
      <c r="F765" s="15"/>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row>
    <row r="766" spans="1:56" ht="16.5" customHeight="1" x14ac:dyDescent="0.3">
      <c r="A766" s="14"/>
      <c r="B766" s="14"/>
      <c r="C766" s="14"/>
      <c r="D766" s="14"/>
      <c r="E766" s="1"/>
      <c r="F766" s="15"/>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row>
    <row r="767" spans="1:56" ht="16.5" customHeight="1" x14ac:dyDescent="0.3">
      <c r="A767" s="14"/>
      <c r="B767" s="14"/>
      <c r="C767" s="14"/>
      <c r="D767" s="14"/>
      <c r="E767" s="1"/>
      <c r="F767" s="15"/>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row>
    <row r="768" spans="1:56" ht="16.5" customHeight="1" x14ac:dyDescent="0.3">
      <c r="A768" s="14"/>
      <c r="B768" s="14"/>
      <c r="C768" s="14"/>
      <c r="D768" s="14"/>
      <c r="E768" s="1"/>
      <c r="F768" s="15"/>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row>
    <row r="769" spans="1:56" ht="16.5" customHeight="1" x14ac:dyDescent="0.3">
      <c r="A769" s="14"/>
      <c r="B769" s="14"/>
      <c r="C769" s="14"/>
      <c r="D769" s="14"/>
      <c r="E769" s="1"/>
      <c r="F769" s="15"/>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row>
    <row r="770" spans="1:56" ht="16.5" customHeight="1" x14ac:dyDescent="0.3">
      <c r="A770" s="14"/>
      <c r="B770" s="14"/>
      <c r="C770" s="14"/>
      <c r="D770" s="14"/>
      <c r="E770" s="1"/>
      <c r="F770" s="15"/>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row>
    <row r="771" spans="1:56" ht="16.5" customHeight="1" x14ac:dyDescent="0.3">
      <c r="A771" s="14"/>
      <c r="B771" s="14"/>
      <c r="C771" s="14"/>
      <c r="D771" s="14"/>
      <c r="E771" s="1"/>
      <c r="F771" s="15"/>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row>
    <row r="772" spans="1:56" ht="16.5" customHeight="1" x14ac:dyDescent="0.3">
      <c r="A772" s="14"/>
      <c r="B772" s="14"/>
      <c r="C772" s="14"/>
      <c r="D772" s="14"/>
      <c r="E772" s="1"/>
      <c r="F772" s="15"/>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row>
    <row r="773" spans="1:56" ht="16.5" customHeight="1" x14ac:dyDescent="0.3">
      <c r="A773" s="14"/>
      <c r="B773" s="14"/>
      <c r="C773" s="14"/>
      <c r="D773" s="14"/>
      <c r="E773" s="1"/>
      <c r="F773" s="15"/>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row>
    <row r="774" spans="1:56" ht="16.5" customHeight="1" x14ac:dyDescent="0.3">
      <c r="A774" s="14"/>
      <c r="B774" s="14"/>
      <c r="C774" s="14"/>
      <c r="D774" s="14"/>
      <c r="E774" s="1"/>
      <c r="F774" s="15"/>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row>
    <row r="775" spans="1:56" ht="16.5" customHeight="1" x14ac:dyDescent="0.3">
      <c r="A775" s="14"/>
      <c r="B775" s="14"/>
      <c r="C775" s="14"/>
      <c r="D775" s="14"/>
      <c r="E775" s="1"/>
      <c r="F775" s="15"/>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row>
    <row r="776" spans="1:56" ht="16.5" customHeight="1" x14ac:dyDescent="0.3">
      <c r="A776" s="14"/>
      <c r="B776" s="14"/>
      <c r="C776" s="14"/>
      <c r="D776" s="14"/>
      <c r="E776" s="1"/>
      <c r="F776" s="15"/>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row>
    <row r="777" spans="1:56" ht="16.5" customHeight="1" x14ac:dyDescent="0.3">
      <c r="A777" s="14"/>
      <c r="B777" s="14"/>
      <c r="C777" s="14"/>
      <c r="D777" s="14"/>
      <c r="E777" s="1"/>
      <c r="F777" s="15"/>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row>
    <row r="778" spans="1:56" ht="16.5" customHeight="1" x14ac:dyDescent="0.3">
      <c r="A778" s="14"/>
      <c r="B778" s="14"/>
      <c r="C778" s="14"/>
      <c r="D778" s="14"/>
      <c r="E778" s="1"/>
      <c r="F778" s="15"/>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row>
    <row r="779" spans="1:56" ht="16.5" customHeight="1" x14ac:dyDescent="0.3">
      <c r="A779" s="14"/>
      <c r="B779" s="14"/>
      <c r="C779" s="14"/>
      <c r="D779" s="14"/>
      <c r="E779" s="1"/>
      <c r="F779" s="15"/>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row>
    <row r="780" spans="1:56" ht="16.5" customHeight="1" x14ac:dyDescent="0.3">
      <c r="A780" s="14"/>
      <c r="B780" s="14"/>
      <c r="C780" s="14"/>
      <c r="D780" s="14"/>
      <c r="E780" s="1"/>
      <c r="F780" s="15"/>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row>
    <row r="781" spans="1:56" ht="16.5" customHeight="1" x14ac:dyDescent="0.3">
      <c r="A781" s="14"/>
      <c r="B781" s="14"/>
      <c r="C781" s="14"/>
      <c r="D781" s="14"/>
      <c r="E781" s="1"/>
      <c r="F781" s="15"/>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row>
    <row r="782" spans="1:56" ht="16.5" customHeight="1" x14ac:dyDescent="0.3">
      <c r="A782" s="14"/>
      <c r="B782" s="14"/>
      <c r="C782" s="14"/>
      <c r="D782" s="14"/>
      <c r="E782" s="1"/>
      <c r="F782" s="15"/>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row>
    <row r="783" spans="1:56" ht="16.5" customHeight="1" x14ac:dyDescent="0.3">
      <c r="A783" s="14"/>
      <c r="B783" s="14"/>
      <c r="C783" s="14"/>
      <c r="D783" s="14"/>
      <c r="E783" s="1"/>
      <c r="F783" s="15"/>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row>
    <row r="784" spans="1:56" ht="16.5" customHeight="1" x14ac:dyDescent="0.3">
      <c r="A784" s="14"/>
      <c r="B784" s="14"/>
      <c r="C784" s="14"/>
      <c r="D784" s="14"/>
      <c r="E784" s="1"/>
      <c r="F784" s="15"/>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row>
    <row r="785" spans="1:56" ht="16.5" customHeight="1" x14ac:dyDescent="0.3">
      <c r="A785" s="14"/>
      <c r="B785" s="14"/>
      <c r="C785" s="14"/>
      <c r="D785" s="14"/>
      <c r="E785" s="1"/>
      <c r="F785" s="15"/>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row>
    <row r="786" spans="1:56" ht="16.5" customHeight="1" x14ac:dyDescent="0.3">
      <c r="A786" s="14"/>
      <c r="B786" s="14"/>
      <c r="C786" s="14"/>
      <c r="D786" s="14"/>
      <c r="E786" s="1"/>
      <c r="F786" s="15"/>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row>
    <row r="787" spans="1:56" ht="16.5" customHeight="1" x14ac:dyDescent="0.3">
      <c r="A787" s="14"/>
      <c r="B787" s="14"/>
      <c r="C787" s="14"/>
      <c r="D787" s="14"/>
      <c r="E787" s="1"/>
      <c r="F787" s="15"/>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row>
    <row r="788" spans="1:56" ht="16.5" customHeight="1" x14ac:dyDescent="0.3">
      <c r="A788" s="14"/>
      <c r="B788" s="14"/>
      <c r="C788" s="14"/>
      <c r="D788" s="14"/>
      <c r="E788" s="1"/>
      <c r="F788" s="15"/>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row>
    <row r="789" spans="1:56" ht="16.5" customHeight="1" x14ac:dyDescent="0.3">
      <c r="A789" s="14"/>
      <c r="B789" s="14"/>
      <c r="C789" s="14"/>
      <c r="D789" s="14"/>
      <c r="E789" s="1"/>
      <c r="F789" s="15"/>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row>
    <row r="790" spans="1:56" ht="16.5" customHeight="1" x14ac:dyDescent="0.3">
      <c r="A790" s="14"/>
      <c r="B790" s="14"/>
      <c r="C790" s="14"/>
      <c r="D790" s="14"/>
      <c r="E790" s="1"/>
      <c r="F790" s="15"/>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row>
    <row r="791" spans="1:56" ht="16.5" customHeight="1" x14ac:dyDescent="0.3">
      <c r="A791" s="14"/>
      <c r="B791" s="14"/>
      <c r="C791" s="14"/>
      <c r="D791" s="14"/>
      <c r="E791" s="1"/>
      <c r="F791" s="15"/>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row>
    <row r="792" spans="1:56" ht="16.5" customHeight="1" x14ac:dyDescent="0.3">
      <c r="A792" s="14"/>
      <c r="B792" s="14"/>
      <c r="C792" s="14"/>
      <c r="D792" s="14"/>
      <c r="E792" s="1"/>
      <c r="F792" s="15"/>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row>
    <row r="793" spans="1:56" ht="16.5" customHeight="1" x14ac:dyDescent="0.3">
      <c r="A793" s="14"/>
      <c r="B793" s="14"/>
      <c r="C793" s="14"/>
      <c r="D793" s="14"/>
      <c r="E793" s="1"/>
      <c r="F793" s="15"/>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row>
    <row r="794" spans="1:56" ht="16.5" customHeight="1" x14ac:dyDescent="0.3">
      <c r="A794" s="14"/>
      <c r="B794" s="14"/>
      <c r="C794" s="14"/>
      <c r="D794" s="14"/>
      <c r="E794" s="1"/>
      <c r="F794" s="15"/>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row>
    <row r="795" spans="1:56" ht="16.5" customHeight="1" x14ac:dyDescent="0.3">
      <c r="A795" s="14"/>
      <c r="B795" s="14"/>
      <c r="C795" s="14"/>
      <c r="D795" s="14"/>
      <c r="E795" s="1"/>
      <c r="F795" s="15"/>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row>
    <row r="796" spans="1:56" ht="16.5" customHeight="1" x14ac:dyDescent="0.3">
      <c r="A796" s="14"/>
      <c r="B796" s="14"/>
      <c r="C796" s="14"/>
      <c r="D796" s="14"/>
      <c r="E796" s="1"/>
      <c r="F796" s="15"/>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row>
    <row r="797" spans="1:56" ht="16.5" customHeight="1" x14ac:dyDescent="0.3">
      <c r="A797" s="14"/>
      <c r="B797" s="14"/>
      <c r="C797" s="14"/>
      <c r="D797" s="14"/>
      <c r="E797" s="1"/>
      <c r="F797" s="15"/>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row>
    <row r="798" spans="1:56" ht="16.5" customHeight="1" x14ac:dyDescent="0.3">
      <c r="A798" s="14"/>
      <c r="B798" s="14"/>
      <c r="C798" s="14"/>
      <c r="D798" s="14"/>
      <c r="E798" s="1"/>
      <c r="F798" s="15"/>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row>
    <row r="799" spans="1:56" ht="16.5" customHeight="1" x14ac:dyDescent="0.3">
      <c r="A799" s="14"/>
      <c r="B799" s="14"/>
      <c r="C799" s="14"/>
      <c r="D799" s="14"/>
      <c r="E799" s="1"/>
      <c r="F799" s="15"/>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row>
    <row r="800" spans="1:56" ht="16.5" customHeight="1" x14ac:dyDescent="0.3">
      <c r="A800" s="14"/>
      <c r="B800" s="14"/>
      <c r="C800" s="14"/>
      <c r="D800" s="14"/>
      <c r="E800" s="1"/>
      <c r="F800" s="15"/>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row>
    <row r="801" spans="1:56" ht="16.5" customHeight="1" x14ac:dyDescent="0.3">
      <c r="A801" s="14"/>
      <c r="B801" s="14"/>
      <c r="C801" s="14"/>
      <c r="D801" s="14"/>
      <c r="E801" s="1"/>
      <c r="F801" s="15"/>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row>
    <row r="802" spans="1:56" ht="16.5" customHeight="1" x14ac:dyDescent="0.3">
      <c r="A802" s="14"/>
      <c r="B802" s="14"/>
      <c r="C802" s="14"/>
      <c r="D802" s="14"/>
      <c r="E802" s="1"/>
      <c r="F802" s="15"/>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row>
    <row r="803" spans="1:56" ht="16.5" customHeight="1" x14ac:dyDescent="0.3">
      <c r="A803" s="14"/>
      <c r="B803" s="14"/>
      <c r="C803" s="14"/>
      <c r="D803" s="14"/>
      <c r="E803" s="1"/>
      <c r="F803" s="15"/>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row>
    <row r="804" spans="1:56" ht="16.5" customHeight="1" x14ac:dyDescent="0.3">
      <c r="A804" s="14"/>
      <c r="B804" s="14"/>
      <c r="C804" s="14"/>
      <c r="D804" s="14"/>
      <c r="E804" s="1"/>
      <c r="F804" s="15"/>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row>
    <row r="805" spans="1:56" ht="16.5" customHeight="1" x14ac:dyDescent="0.3">
      <c r="A805" s="14"/>
      <c r="B805" s="14"/>
      <c r="C805" s="14"/>
      <c r="D805" s="14"/>
      <c r="E805" s="1"/>
      <c r="F805" s="15"/>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row>
    <row r="806" spans="1:56" ht="16.5" customHeight="1" x14ac:dyDescent="0.3">
      <c r="A806" s="14"/>
      <c r="B806" s="14"/>
      <c r="C806" s="14"/>
      <c r="D806" s="14"/>
      <c r="E806" s="1"/>
      <c r="F806" s="15"/>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row>
    <row r="807" spans="1:56" ht="16.5" customHeight="1" x14ac:dyDescent="0.3">
      <c r="A807" s="14"/>
      <c r="B807" s="14"/>
      <c r="C807" s="14"/>
      <c r="D807" s="14"/>
      <c r="E807" s="1"/>
      <c r="F807" s="15"/>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row>
    <row r="808" spans="1:56" ht="16.5" customHeight="1" x14ac:dyDescent="0.3">
      <c r="A808" s="14"/>
      <c r="B808" s="14"/>
      <c r="C808" s="14"/>
      <c r="D808" s="14"/>
      <c r="E808" s="1"/>
      <c r="F808" s="15"/>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row>
    <row r="809" spans="1:56" ht="16.5" customHeight="1" x14ac:dyDescent="0.3">
      <c r="A809" s="14"/>
      <c r="B809" s="14"/>
      <c r="C809" s="14"/>
      <c r="D809" s="14"/>
      <c r="E809" s="1"/>
      <c r="F809" s="15"/>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row>
    <row r="810" spans="1:56" ht="16.5" customHeight="1" x14ac:dyDescent="0.3">
      <c r="A810" s="14"/>
      <c r="B810" s="14"/>
      <c r="C810" s="14"/>
      <c r="D810" s="14"/>
      <c r="E810" s="1"/>
      <c r="F810" s="15"/>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row>
    <row r="811" spans="1:56" ht="16.5" customHeight="1" x14ac:dyDescent="0.3">
      <c r="A811" s="14"/>
      <c r="B811" s="14"/>
      <c r="C811" s="14"/>
      <c r="D811" s="14"/>
      <c r="E811" s="1"/>
      <c r="F811" s="15"/>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row>
    <row r="812" spans="1:56" ht="16.5" customHeight="1" x14ac:dyDescent="0.3">
      <c r="A812" s="14"/>
      <c r="B812" s="14"/>
      <c r="C812" s="14"/>
      <c r="D812" s="14"/>
      <c r="E812" s="1"/>
      <c r="F812" s="15"/>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row>
    <row r="813" spans="1:56" ht="16.5" customHeight="1" x14ac:dyDescent="0.3">
      <c r="A813" s="14"/>
      <c r="B813" s="14"/>
      <c r="C813" s="14"/>
      <c r="D813" s="14"/>
      <c r="E813" s="1"/>
      <c r="F813" s="15"/>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row>
    <row r="814" spans="1:56" ht="16.5" customHeight="1" x14ac:dyDescent="0.3">
      <c r="A814" s="14"/>
      <c r="B814" s="14"/>
      <c r="C814" s="14"/>
      <c r="D814" s="14"/>
      <c r="E814" s="1"/>
      <c r="F814" s="15"/>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row>
    <row r="815" spans="1:56" ht="16.5" customHeight="1" x14ac:dyDescent="0.3">
      <c r="A815" s="14"/>
      <c r="B815" s="14"/>
      <c r="C815" s="14"/>
      <c r="D815" s="14"/>
      <c r="E815" s="1"/>
      <c r="F815" s="15"/>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row>
    <row r="816" spans="1:56" ht="16.5" customHeight="1" x14ac:dyDescent="0.3">
      <c r="A816" s="14"/>
      <c r="B816" s="14"/>
      <c r="C816" s="14"/>
      <c r="D816" s="14"/>
      <c r="E816" s="1"/>
      <c r="F816" s="15"/>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row>
    <row r="817" spans="1:56" ht="16.5" customHeight="1" x14ac:dyDescent="0.3">
      <c r="A817" s="14"/>
      <c r="B817" s="14"/>
      <c r="C817" s="14"/>
      <c r="D817" s="14"/>
      <c r="E817" s="1"/>
      <c r="F817" s="15"/>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row>
    <row r="818" spans="1:56" ht="16.5" customHeight="1" x14ac:dyDescent="0.3">
      <c r="A818" s="14"/>
      <c r="B818" s="14"/>
      <c r="C818" s="14"/>
      <c r="D818" s="14"/>
      <c r="E818" s="1"/>
      <c r="F818" s="15"/>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row>
    <row r="819" spans="1:56" ht="16.5" customHeight="1" x14ac:dyDescent="0.3">
      <c r="A819" s="14"/>
      <c r="B819" s="14"/>
      <c r="C819" s="14"/>
      <c r="D819" s="14"/>
      <c r="E819" s="1"/>
      <c r="F819" s="15"/>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row>
    <row r="820" spans="1:56" ht="16.5" customHeight="1" x14ac:dyDescent="0.3">
      <c r="A820" s="14"/>
      <c r="B820" s="14"/>
      <c r="C820" s="14"/>
      <c r="D820" s="14"/>
      <c r="E820" s="1"/>
      <c r="F820" s="15"/>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row>
    <row r="821" spans="1:56" ht="16.5" customHeight="1" x14ac:dyDescent="0.3">
      <c r="A821" s="14"/>
      <c r="B821" s="14"/>
      <c r="C821" s="14"/>
      <c r="D821" s="14"/>
      <c r="E821" s="1"/>
      <c r="F821" s="15"/>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row>
    <row r="822" spans="1:56" ht="16.5" customHeight="1" x14ac:dyDescent="0.3">
      <c r="A822" s="14"/>
      <c r="B822" s="14"/>
      <c r="C822" s="14"/>
      <c r="D822" s="14"/>
      <c r="E822" s="1"/>
      <c r="F822" s="15"/>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row>
    <row r="823" spans="1:56" ht="16.5" customHeight="1" x14ac:dyDescent="0.3">
      <c r="A823" s="14"/>
      <c r="B823" s="14"/>
      <c r="C823" s="14"/>
      <c r="D823" s="14"/>
      <c r="E823" s="1"/>
      <c r="F823" s="15"/>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row>
    <row r="824" spans="1:56" ht="16.5" customHeight="1" x14ac:dyDescent="0.3">
      <c r="A824" s="14"/>
      <c r="B824" s="14"/>
      <c r="C824" s="14"/>
      <c r="D824" s="14"/>
      <c r="E824" s="1"/>
      <c r="F824" s="15"/>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row>
    <row r="825" spans="1:56" ht="16.5" customHeight="1" x14ac:dyDescent="0.3">
      <c r="A825" s="14"/>
      <c r="B825" s="14"/>
      <c r="C825" s="14"/>
      <c r="D825" s="14"/>
      <c r="E825" s="1"/>
      <c r="F825" s="15"/>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row>
    <row r="826" spans="1:56" ht="16.5" customHeight="1" x14ac:dyDescent="0.3">
      <c r="A826" s="14"/>
      <c r="B826" s="14"/>
      <c r="C826" s="14"/>
      <c r="D826" s="14"/>
      <c r="E826" s="1"/>
      <c r="F826" s="15"/>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row>
    <row r="827" spans="1:56" ht="16.5" customHeight="1" x14ac:dyDescent="0.3">
      <c r="A827" s="14"/>
      <c r="B827" s="14"/>
      <c r="C827" s="14"/>
      <c r="D827" s="14"/>
      <c r="E827" s="1"/>
      <c r="F827" s="15"/>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row>
    <row r="828" spans="1:56" ht="16.5" customHeight="1" x14ac:dyDescent="0.3">
      <c r="A828" s="14"/>
      <c r="B828" s="14"/>
      <c r="C828" s="14"/>
      <c r="D828" s="14"/>
      <c r="E828" s="1"/>
      <c r="F828" s="15"/>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row>
    <row r="829" spans="1:56" ht="16.5" customHeight="1" x14ac:dyDescent="0.3">
      <c r="A829" s="14"/>
      <c r="B829" s="14"/>
      <c r="C829" s="14"/>
      <c r="D829" s="14"/>
      <c r="E829" s="1"/>
      <c r="F829" s="15"/>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row>
    <row r="830" spans="1:56" ht="16.5" customHeight="1" x14ac:dyDescent="0.3">
      <c r="A830" s="14"/>
      <c r="B830" s="14"/>
      <c r="C830" s="14"/>
      <c r="D830" s="14"/>
      <c r="E830" s="1"/>
      <c r="F830" s="15"/>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row>
    <row r="831" spans="1:56" ht="16.5" customHeight="1" x14ac:dyDescent="0.3">
      <c r="A831" s="14"/>
      <c r="B831" s="14"/>
      <c r="C831" s="14"/>
      <c r="D831" s="14"/>
      <c r="E831" s="1"/>
      <c r="F831" s="15"/>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row>
    <row r="832" spans="1:56" ht="16.5" customHeight="1" x14ac:dyDescent="0.3">
      <c r="A832" s="14"/>
      <c r="B832" s="14"/>
      <c r="C832" s="14"/>
      <c r="D832" s="14"/>
      <c r="E832" s="1"/>
      <c r="F832" s="15"/>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row>
    <row r="833" spans="1:56" ht="16.5" customHeight="1" x14ac:dyDescent="0.3">
      <c r="A833" s="14"/>
      <c r="B833" s="14"/>
      <c r="C833" s="14"/>
      <c r="D833" s="14"/>
      <c r="E833" s="1"/>
      <c r="F833" s="15"/>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row>
    <row r="834" spans="1:56" ht="16.5" customHeight="1" x14ac:dyDescent="0.3">
      <c r="A834" s="14"/>
      <c r="B834" s="14"/>
      <c r="C834" s="14"/>
      <c r="D834" s="14"/>
      <c r="E834" s="1"/>
      <c r="F834" s="15"/>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row>
    <row r="835" spans="1:56" ht="16.5" customHeight="1" x14ac:dyDescent="0.3">
      <c r="A835" s="14"/>
      <c r="B835" s="14"/>
      <c r="C835" s="14"/>
      <c r="D835" s="14"/>
      <c r="E835" s="1"/>
      <c r="F835" s="15"/>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row>
    <row r="836" spans="1:56" ht="16.5" customHeight="1" x14ac:dyDescent="0.3">
      <c r="A836" s="14"/>
      <c r="B836" s="14"/>
      <c r="C836" s="14"/>
      <c r="D836" s="14"/>
      <c r="E836" s="1"/>
      <c r="F836" s="15"/>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row>
    <row r="837" spans="1:56" ht="16.5" customHeight="1" x14ac:dyDescent="0.3">
      <c r="A837" s="14"/>
      <c r="B837" s="14"/>
      <c r="C837" s="14"/>
      <c r="D837" s="14"/>
      <c r="E837" s="1"/>
      <c r="F837" s="15"/>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row>
    <row r="838" spans="1:56" ht="16.5" customHeight="1" x14ac:dyDescent="0.3">
      <c r="A838" s="14"/>
      <c r="B838" s="14"/>
      <c r="C838" s="14"/>
      <c r="D838" s="14"/>
      <c r="E838" s="1"/>
      <c r="F838" s="15"/>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row>
    <row r="839" spans="1:56" ht="16.5" customHeight="1" x14ac:dyDescent="0.3">
      <c r="A839" s="14"/>
      <c r="B839" s="14"/>
      <c r="C839" s="14"/>
      <c r="D839" s="14"/>
      <c r="E839" s="1"/>
      <c r="F839" s="15"/>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row>
    <row r="840" spans="1:56" ht="16.5" customHeight="1" x14ac:dyDescent="0.3">
      <c r="A840" s="14"/>
      <c r="B840" s="14"/>
      <c r="C840" s="14"/>
      <c r="D840" s="14"/>
      <c r="E840" s="1"/>
      <c r="F840" s="15"/>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row>
    <row r="841" spans="1:56" ht="16.5" customHeight="1" x14ac:dyDescent="0.3">
      <c r="A841" s="14"/>
      <c r="B841" s="14"/>
      <c r="C841" s="14"/>
      <c r="D841" s="14"/>
      <c r="E841" s="1"/>
      <c r="F841" s="15"/>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row>
    <row r="842" spans="1:56" ht="16.5" customHeight="1" x14ac:dyDescent="0.3">
      <c r="A842" s="14"/>
      <c r="B842" s="14"/>
      <c r="C842" s="14"/>
      <c r="D842" s="14"/>
      <c r="E842" s="1"/>
      <c r="F842" s="15"/>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row>
    <row r="843" spans="1:56" ht="16.5" customHeight="1" x14ac:dyDescent="0.3">
      <c r="A843" s="14"/>
      <c r="B843" s="14"/>
      <c r="C843" s="14"/>
      <c r="D843" s="14"/>
      <c r="E843" s="1"/>
      <c r="F843" s="15"/>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row>
    <row r="844" spans="1:56" ht="16.5" customHeight="1" x14ac:dyDescent="0.3">
      <c r="A844" s="14"/>
      <c r="B844" s="14"/>
      <c r="C844" s="14"/>
      <c r="D844" s="14"/>
      <c r="E844" s="1"/>
      <c r="F844" s="15"/>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row>
    <row r="845" spans="1:56" ht="16.5" customHeight="1" x14ac:dyDescent="0.3">
      <c r="A845" s="14"/>
      <c r="B845" s="14"/>
      <c r="C845" s="14"/>
      <c r="D845" s="14"/>
      <c r="E845" s="1"/>
      <c r="F845" s="15"/>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row>
    <row r="846" spans="1:56" ht="16.5" customHeight="1" x14ac:dyDescent="0.3">
      <c r="A846" s="14"/>
      <c r="B846" s="14"/>
      <c r="C846" s="14"/>
      <c r="D846" s="14"/>
      <c r="E846" s="1"/>
      <c r="F846" s="15"/>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row>
    <row r="847" spans="1:56" ht="16.5" customHeight="1" x14ac:dyDescent="0.3">
      <c r="A847" s="14"/>
      <c r="B847" s="14"/>
      <c r="C847" s="14"/>
      <c r="D847" s="14"/>
      <c r="E847" s="1"/>
      <c r="F847" s="15"/>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row>
    <row r="848" spans="1:56" ht="16.5" customHeight="1" x14ac:dyDescent="0.3">
      <c r="A848" s="14"/>
      <c r="B848" s="14"/>
      <c r="C848" s="14"/>
      <c r="D848" s="14"/>
      <c r="E848" s="1"/>
      <c r="F848" s="15"/>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row>
    <row r="849" spans="1:56" ht="16.5" customHeight="1" x14ac:dyDescent="0.3">
      <c r="A849" s="14"/>
      <c r="B849" s="14"/>
      <c r="C849" s="14"/>
      <c r="D849" s="14"/>
      <c r="E849" s="1"/>
      <c r="F849" s="15"/>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row>
    <row r="850" spans="1:56" ht="16.5" customHeight="1" x14ac:dyDescent="0.3">
      <c r="A850" s="14"/>
      <c r="B850" s="14"/>
      <c r="C850" s="14"/>
      <c r="D850" s="14"/>
      <c r="E850" s="1"/>
      <c r="F850" s="15"/>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row>
    <row r="851" spans="1:56" ht="16.5" customHeight="1" x14ac:dyDescent="0.3">
      <c r="A851" s="14"/>
      <c r="B851" s="14"/>
      <c r="C851" s="14"/>
      <c r="D851" s="14"/>
      <c r="E851" s="1"/>
      <c r="F851" s="15"/>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row>
    <row r="852" spans="1:56" ht="16.5" customHeight="1" x14ac:dyDescent="0.3">
      <c r="A852" s="14"/>
      <c r="B852" s="14"/>
      <c r="C852" s="14"/>
      <c r="D852" s="14"/>
      <c r="E852" s="1"/>
      <c r="F852" s="15"/>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row>
    <row r="853" spans="1:56" ht="16.5" customHeight="1" x14ac:dyDescent="0.3">
      <c r="A853" s="14"/>
      <c r="B853" s="14"/>
      <c r="C853" s="14"/>
      <c r="D853" s="14"/>
      <c r="E853" s="1"/>
      <c r="F853" s="15"/>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row>
    <row r="854" spans="1:56" ht="16.5" customHeight="1" x14ac:dyDescent="0.3">
      <c r="A854" s="14"/>
      <c r="B854" s="14"/>
      <c r="C854" s="14"/>
      <c r="D854" s="14"/>
      <c r="E854" s="1"/>
      <c r="F854" s="15"/>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row>
    <row r="855" spans="1:56" ht="16.5" customHeight="1" x14ac:dyDescent="0.3">
      <c r="A855" s="14"/>
      <c r="B855" s="14"/>
      <c r="C855" s="14"/>
      <c r="D855" s="14"/>
      <c r="E855" s="1"/>
      <c r="F855" s="15"/>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row>
    <row r="856" spans="1:56" ht="16.5" customHeight="1" x14ac:dyDescent="0.3">
      <c r="A856" s="14"/>
      <c r="B856" s="14"/>
      <c r="C856" s="14"/>
      <c r="D856" s="14"/>
      <c r="E856" s="1"/>
      <c r="F856" s="15"/>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row>
    <row r="857" spans="1:56" ht="16.5" customHeight="1" x14ac:dyDescent="0.3">
      <c r="A857" s="14"/>
      <c r="B857" s="14"/>
      <c r="C857" s="14"/>
      <c r="D857" s="14"/>
      <c r="E857" s="1"/>
      <c r="F857" s="15"/>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row>
    <row r="858" spans="1:56" ht="16.5" customHeight="1" x14ac:dyDescent="0.3">
      <c r="A858" s="14"/>
      <c r="B858" s="14"/>
      <c r="C858" s="14"/>
      <c r="D858" s="14"/>
      <c r="E858" s="1"/>
      <c r="F858" s="15"/>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row>
    <row r="859" spans="1:56" ht="16.5" customHeight="1" x14ac:dyDescent="0.3">
      <c r="A859" s="14"/>
      <c r="B859" s="14"/>
      <c r="C859" s="14"/>
      <c r="D859" s="14"/>
      <c r="E859" s="1"/>
      <c r="F859" s="15"/>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row>
    <row r="860" spans="1:56" ht="16.5" customHeight="1" x14ac:dyDescent="0.3">
      <c r="A860" s="14"/>
      <c r="B860" s="14"/>
      <c r="C860" s="14"/>
      <c r="D860" s="14"/>
      <c r="E860" s="1"/>
      <c r="F860" s="15"/>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row>
    <row r="861" spans="1:56" ht="16.5" customHeight="1" x14ac:dyDescent="0.3">
      <c r="A861" s="14"/>
      <c r="B861" s="14"/>
      <c r="C861" s="14"/>
      <c r="D861" s="14"/>
      <c r="E861" s="1"/>
      <c r="F861" s="15"/>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row>
    <row r="862" spans="1:56" ht="16.5" customHeight="1" x14ac:dyDescent="0.3">
      <c r="A862" s="14"/>
      <c r="B862" s="14"/>
      <c r="C862" s="14"/>
      <c r="D862" s="14"/>
      <c r="E862" s="1"/>
      <c r="F862" s="15"/>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row>
    <row r="863" spans="1:56" ht="16.5" customHeight="1" x14ac:dyDescent="0.3">
      <c r="A863" s="14"/>
      <c r="B863" s="14"/>
      <c r="C863" s="14"/>
      <c r="D863" s="14"/>
      <c r="E863" s="1"/>
      <c r="F863" s="15"/>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row>
    <row r="864" spans="1:56" ht="16.5" customHeight="1" x14ac:dyDescent="0.3">
      <c r="A864" s="14"/>
      <c r="B864" s="14"/>
      <c r="C864" s="14"/>
      <c r="D864" s="14"/>
      <c r="E864" s="1"/>
      <c r="F864" s="15"/>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row>
    <row r="865" spans="1:56" ht="16.5" customHeight="1" x14ac:dyDescent="0.3">
      <c r="A865" s="14"/>
      <c r="B865" s="14"/>
      <c r="C865" s="14"/>
      <c r="D865" s="14"/>
      <c r="E865" s="1"/>
      <c r="F865" s="15"/>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row>
    <row r="866" spans="1:56" ht="16.5" customHeight="1" x14ac:dyDescent="0.3">
      <c r="A866" s="14"/>
      <c r="B866" s="14"/>
      <c r="C866" s="14"/>
      <c r="D866" s="14"/>
      <c r="E866" s="1"/>
      <c r="F866" s="15"/>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row>
    <row r="867" spans="1:56" ht="16.5" customHeight="1" x14ac:dyDescent="0.3">
      <c r="A867" s="14"/>
      <c r="B867" s="14"/>
      <c r="C867" s="14"/>
      <c r="D867" s="14"/>
      <c r="E867" s="1"/>
      <c r="F867" s="15"/>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row>
    <row r="868" spans="1:56" ht="16.5" customHeight="1" x14ac:dyDescent="0.3">
      <c r="A868" s="14"/>
      <c r="B868" s="14"/>
      <c r="C868" s="14"/>
      <c r="D868" s="14"/>
      <c r="E868" s="1"/>
      <c r="F868" s="15"/>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row>
    <row r="869" spans="1:56" ht="16.5" customHeight="1" x14ac:dyDescent="0.3">
      <c r="A869" s="14"/>
      <c r="B869" s="14"/>
      <c r="C869" s="14"/>
      <c r="D869" s="14"/>
      <c r="E869" s="1"/>
      <c r="F869" s="15"/>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row>
    <row r="870" spans="1:56" ht="16.5" customHeight="1" x14ac:dyDescent="0.3">
      <c r="A870" s="14"/>
      <c r="B870" s="14"/>
      <c r="C870" s="14"/>
      <c r="D870" s="14"/>
      <c r="E870" s="1"/>
      <c r="F870" s="15"/>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row>
    <row r="871" spans="1:56" ht="16.5" customHeight="1" x14ac:dyDescent="0.3">
      <c r="A871" s="14"/>
      <c r="B871" s="14"/>
      <c r="C871" s="14"/>
      <c r="D871" s="14"/>
      <c r="E871" s="1"/>
      <c r="F871" s="15"/>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row>
    <row r="872" spans="1:56" ht="16.5" customHeight="1" x14ac:dyDescent="0.3">
      <c r="A872" s="14"/>
      <c r="B872" s="14"/>
      <c r="C872" s="14"/>
      <c r="D872" s="14"/>
      <c r="E872" s="1"/>
      <c r="F872" s="15"/>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row>
    <row r="873" spans="1:56" ht="16.5" customHeight="1" x14ac:dyDescent="0.3">
      <c r="A873" s="14"/>
      <c r="B873" s="14"/>
      <c r="C873" s="14"/>
      <c r="D873" s="14"/>
      <c r="E873" s="1"/>
      <c r="F873" s="15"/>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row>
    <row r="874" spans="1:56" ht="16.5" customHeight="1" x14ac:dyDescent="0.3">
      <c r="A874" s="14"/>
      <c r="B874" s="14"/>
      <c r="C874" s="14"/>
      <c r="D874" s="14"/>
      <c r="E874" s="1"/>
      <c r="F874" s="15"/>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row>
    <row r="875" spans="1:56" ht="16.5" customHeight="1" x14ac:dyDescent="0.3">
      <c r="A875" s="14"/>
      <c r="B875" s="14"/>
      <c r="C875" s="14"/>
      <c r="D875" s="14"/>
      <c r="E875" s="1"/>
      <c r="F875" s="15"/>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row>
    <row r="876" spans="1:56" ht="16.5" customHeight="1" x14ac:dyDescent="0.3">
      <c r="A876" s="14"/>
      <c r="B876" s="14"/>
      <c r="C876" s="14"/>
      <c r="D876" s="14"/>
      <c r="E876" s="1"/>
      <c r="F876" s="15"/>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row>
    <row r="877" spans="1:56" ht="16.5" customHeight="1" x14ac:dyDescent="0.3">
      <c r="A877" s="14"/>
      <c r="B877" s="14"/>
      <c r="C877" s="14"/>
      <c r="D877" s="14"/>
      <c r="E877" s="1"/>
      <c r="F877" s="15"/>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row>
    <row r="878" spans="1:56" ht="16.5" customHeight="1" x14ac:dyDescent="0.3">
      <c r="A878" s="14"/>
      <c r="B878" s="14"/>
      <c r="C878" s="14"/>
      <c r="D878" s="14"/>
      <c r="E878" s="1"/>
      <c r="F878" s="15"/>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row>
    <row r="879" spans="1:56" ht="16.5" customHeight="1" x14ac:dyDescent="0.3">
      <c r="A879" s="14"/>
      <c r="B879" s="14"/>
      <c r="C879" s="14"/>
      <c r="D879" s="14"/>
      <c r="E879" s="1"/>
      <c r="F879" s="15"/>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row>
    <row r="880" spans="1:56" ht="16.5" customHeight="1" x14ac:dyDescent="0.3">
      <c r="A880" s="14"/>
      <c r="B880" s="14"/>
      <c r="C880" s="14"/>
      <c r="D880" s="14"/>
      <c r="E880" s="1"/>
      <c r="F880" s="15"/>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row>
    <row r="881" spans="1:56" ht="16.5" customHeight="1" x14ac:dyDescent="0.3">
      <c r="A881" s="14"/>
      <c r="B881" s="14"/>
      <c r="C881" s="14"/>
      <c r="D881" s="14"/>
      <c r="E881" s="1"/>
      <c r="F881" s="15"/>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row>
    <row r="882" spans="1:56" ht="16.5" customHeight="1" x14ac:dyDescent="0.3">
      <c r="A882" s="14"/>
      <c r="B882" s="14"/>
      <c r="C882" s="14"/>
      <c r="D882" s="14"/>
      <c r="E882" s="1"/>
      <c r="F882" s="15"/>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row>
    <row r="883" spans="1:56" ht="16.5" customHeight="1" x14ac:dyDescent="0.3">
      <c r="A883" s="14"/>
      <c r="B883" s="14"/>
      <c r="C883" s="14"/>
      <c r="D883" s="14"/>
      <c r="E883" s="1"/>
      <c r="F883" s="15"/>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row>
    <row r="884" spans="1:56" ht="16.5" customHeight="1" x14ac:dyDescent="0.3">
      <c r="A884" s="14"/>
      <c r="B884" s="14"/>
      <c r="C884" s="14"/>
      <c r="D884" s="14"/>
      <c r="E884" s="1"/>
      <c r="F884" s="15"/>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row>
    <row r="885" spans="1:56" ht="16.5" customHeight="1" x14ac:dyDescent="0.3">
      <c r="A885" s="14"/>
      <c r="B885" s="14"/>
      <c r="C885" s="14"/>
      <c r="D885" s="14"/>
      <c r="E885" s="1"/>
      <c r="F885" s="15"/>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row>
    <row r="886" spans="1:56" ht="16.5" customHeight="1" x14ac:dyDescent="0.3">
      <c r="A886" s="14"/>
      <c r="B886" s="14"/>
      <c r="C886" s="14"/>
      <c r="D886" s="14"/>
      <c r="E886" s="1"/>
      <c r="F886" s="15"/>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row>
    <row r="887" spans="1:56" ht="16.5" customHeight="1" x14ac:dyDescent="0.3">
      <c r="A887" s="14"/>
      <c r="B887" s="14"/>
      <c r="C887" s="14"/>
      <c r="D887" s="14"/>
      <c r="E887" s="1"/>
      <c r="F887" s="15"/>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row>
    <row r="888" spans="1:56" ht="16.5" customHeight="1" x14ac:dyDescent="0.3">
      <c r="A888" s="14"/>
      <c r="B888" s="14"/>
      <c r="C888" s="14"/>
      <c r="D888" s="14"/>
      <c r="E888" s="1"/>
      <c r="F888" s="15"/>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row>
    <row r="889" spans="1:56" ht="16.5" customHeight="1" x14ac:dyDescent="0.3">
      <c r="A889" s="14"/>
      <c r="B889" s="14"/>
      <c r="C889" s="14"/>
      <c r="D889" s="14"/>
      <c r="E889" s="1"/>
      <c r="F889" s="15"/>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row>
    <row r="890" spans="1:56" ht="16.5" customHeight="1" x14ac:dyDescent="0.3">
      <c r="A890" s="14"/>
      <c r="B890" s="14"/>
      <c r="C890" s="14"/>
      <c r="D890" s="14"/>
      <c r="E890" s="1"/>
      <c r="F890" s="15"/>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row>
    <row r="891" spans="1:56" ht="16.5" customHeight="1" x14ac:dyDescent="0.3">
      <c r="A891" s="14"/>
      <c r="B891" s="14"/>
      <c r="C891" s="14"/>
      <c r="D891" s="14"/>
      <c r="E891" s="1"/>
      <c r="F891" s="15"/>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row>
    <row r="892" spans="1:56" ht="16.5" customHeight="1" x14ac:dyDescent="0.3">
      <c r="A892" s="14"/>
      <c r="B892" s="14"/>
      <c r="C892" s="14"/>
      <c r="D892" s="14"/>
      <c r="E892" s="1"/>
      <c r="F892" s="15"/>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row>
    <row r="893" spans="1:56" ht="16.5" customHeight="1" x14ac:dyDescent="0.3">
      <c r="A893" s="14"/>
      <c r="B893" s="14"/>
      <c r="C893" s="14"/>
      <c r="D893" s="14"/>
      <c r="E893" s="1"/>
      <c r="F893" s="15"/>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row>
    <row r="894" spans="1:56" ht="16.5" customHeight="1" x14ac:dyDescent="0.3">
      <c r="A894" s="14"/>
      <c r="B894" s="14"/>
      <c r="C894" s="14"/>
      <c r="D894" s="14"/>
      <c r="E894" s="1"/>
      <c r="F894" s="15"/>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row>
    <row r="895" spans="1:56" ht="16.5" customHeight="1" x14ac:dyDescent="0.3">
      <c r="A895" s="14"/>
      <c r="B895" s="14"/>
      <c r="C895" s="14"/>
      <c r="D895" s="14"/>
      <c r="E895" s="1"/>
      <c r="F895" s="15"/>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row>
    <row r="896" spans="1:56" ht="16.5" customHeight="1" x14ac:dyDescent="0.3">
      <c r="A896" s="14"/>
      <c r="B896" s="14"/>
      <c r="C896" s="14"/>
      <c r="D896" s="14"/>
      <c r="E896" s="1"/>
      <c r="F896" s="15"/>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row>
    <row r="897" spans="1:56" ht="16.5" customHeight="1" x14ac:dyDescent="0.3">
      <c r="A897" s="14"/>
      <c r="B897" s="14"/>
      <c r="C897" s="14"/>
      <c r="D897" s="14"/>
      <c r="E897" s="1"/>
      <c r="F897" s="15"/>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row>
    <row r="898" spans="1:56" ht="16.5" customHeight="1" x14ac:dyDescent="0.3">
      <c r="A898" s="14"/>
      <c r="B898" s="14"/>
      <c r="C898" s="14"/>
      <c r="D898" s="14"/>
      <c r="E898" s="1"/>
      <c r="F898" s="15"/>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row>
    <row r="899" spans="1:56" ht="16.5" customHeight="1" x14ac:dyDescent="0.3">
      <c r="A899" s="14"/>
      <c r="B899" s="14"/>
      <c r="C899" s="14"/>
      <c r="D899" s="14"/>
      <c r="E899" s="1"/>
      <c r="F899" s="15"/>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row>
    <row r="900" spans="1:56" ht="16.5" customHeight="1" x14ac:dyDescent="0.3">
      <c r="A900" s="14"/>
      <c r="B900" s="14"/>
      <c r="C900" s="14"/>
      <c r="D900" s="14"/>
      <c r="E900" s="1"/>
      <c r="F900" s="15"/>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row>
    <row r="901" spans="1:56" ht="16.5" customHeight="1" x14ac:dyDescent="0.3">
      <c r="A901" s="14"/>
      <c r="B901" s="14"/>
      <c r="C901" s="14"/>
      <c r="D901" s="14"/>
      <c r="E901" s="1"/>
      <c r="F901" s="15"/>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row>
    <row r="902" spans="1:56" ht="16.5" customHeight="1" x14ac:dyDescent="0.3">
      <c r="A902" s="14"/>
      <c r="B902" s="14"/>
      <c r="C902" s="14"/>
      <c r="D902" s="14"/>
      <c r="E902" s="1"/>
      <c r="F902" s="15"/>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row>
    <row r="903" spans="1:56" ht="16.5" customHeight="1" x14ac:dyDescent="0.3">
      <c r="A903" s="14"/>
      <c r="B903" s="14"/>
      <c r="C903" s="14"/>
      <c r="D903" s="14"/>
      <c r="E903" s="1"/>
      <c r="F903" s="15"/>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row>
    <row r="904" spans="1:56" ht="16.5" customHeight="1" x14ac:dyDescent="0.3">
      <c r="A904" s="14"/>
      <c r="B904" s="14"/>
      <c r="C904" s="14"/>
      <c r="D904" s="14"/>
      <c r="E904" s="1"/>
      <c r="F904" s="15"/>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row>
    <row r="905" spans="1:56" ht="16.5" customHeight="1" x14ac:dyDescent="0.3">
      <c r="A905" s="14"/>
      <c r="B905" s="14"/>
      <c r="C905" s="14"/>
      <c r="D905" s="14"/>
      <c r="E905" s="1"/>
      <c r="F905" s="15"/>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row>
    <row r="906" spans="1:56" ht="16.5" customHeight="1" x14ac:dyDescent="0.3">
      <c r="A906" s="14"/>
      <c r="B906" s="14"/>
      <c r="C906" s="14"/>
      <c r="D906" s="14"/>
      <c r="E906" s="1"/>
      <c r="F906" s="15"/>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row>
    <row r="907" spans="1:56" ht="16.5" customHeight="1" x14ac:dyDescent="0.3">
      <c r="A907" s="14"/>
      <c r="B907" s="14"/>
      <c r="C907" s="14"/>
      <c r="D907" s="14"/>
      <c r="E907" s="1"/>
      <c r="F907" s="15"/>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row>
    <row r="908" spans="1:56" ht="16.5" customHeight="1" x14ac:dyDescent="0.3">
      <c r="A908" s="14"/>
      <c r="B908" s="14"/>
      <c r="C908" s="14"/>
      <c r="D908" s="14"/>
      <c r="E908" s="1"/>
      <c r="F908" s="15"/>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row>
    <row r="909" spans="1:56" ht="16.5" customHeight="1" x14ac:dyDescent="0.3">
      <c r="A909" s="14"/>
      <c r="B909" s="14"/>
      <c r="C909" s="14"/>
      <c r="D909" s="14"/>
      <c r="E909" s="1"/>
      <c r="F909" s="15"/>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row>
    <row r="910" spans="1:56" ht="16.5" customHeight="1" x14ac:dyDescent="0.3">
      <c r="A910" s="14"/>
      <c r="B910" s="14"/>
      <c r="C910" s="14"/>
      <c r="D910" s="14"/>
      <c r="E910" s="1"/>
      <c r="F910" s="15"/>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row>
    <row r="911" spans="1:56" ht="16.5" customHeight="1" x14ac:dyDescent="0.3">
      <c r="A911" s="14"/>
      <c r="B911" s="14"/>
      <c r="C911" s="14"/>
      <c r="D911" s="14"/>
      <c r="E911" s="1"/>
      <c r="F911" s="15"/>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row>
    <row r="912" spans="1:56" ht="16.5" customHeight="1" x14ac:dyDescent="0.3">
      <c r="A912" s="14"/>
      <c r="B912" s="14"/>
      <c r="C912" s="14"/>
      <c r="D912" s="14"/>
      <c r="E912" s="1"/>
      <c r="F912" s="15"/>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row>
    <row r="913" spans="1:56" ht="16.5" customHeight="1" x14ac:dyDescent="0.3">
      <c r="A913" s="14"/>
      <c r="B913" s="14"/>
      <c r="C913" s="14"/>
      <c r="D913" s="14"/>
      <c r="E913" s="1"/>
      <c r="F913" s="15"/>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row>
    <row r="914" spans="1:56" ht="16.5" customHeight="1" x14ac:dyDescent="0.3">
      <c r="A914" s="14"/>
      <c r="B914" s="14"/>
      <c r="C914" s="14"/>
      <c r="D914" s="14"/>
      <c r="E914" s="1"/>
      <c r="F914" s="15"/>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row>
    <row r="915" spans="1:56" ht="16.5" customHeight="1" x14ac:dyDescent="0.3">
      <c r="A915" s="14"/>
      <c r="B915" s="14"/>
      <c r="C915" s="14"/>
      <c r="D915" s="14"/>
      <c r="E915" s="1"/>
      <c r="F915" s="15"/>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row>
    <row r="916" spans="1:56" ht="16.5" customHeight="1" x14ac:dyDescent="0.3">
      <c r="A916" s="14"/>
      <c r="B916" s="14"/>
      <c r="C916" s="14"/>
      <c r="D916" s="14"/>
      <c r="E916" s="1"/>
      <c r="F916" s="15"/>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row>
    <row r="917" spans="1:56" ht="16.5" customHeight="1" x14ac:dyDescent="0.3">
      <c r="A917" s="14"/>
      <c r="B917" s="14"/>
      <c r="C917" s="14"/>
      <c r="D917" s="14"/>
      <c r="E917" s="1"/>
      <c r="F917" s="15"/>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row>
    <row r="918" spans="1:56" ht="16.5" customHeight="1" x14ac:dyDescent="0.3">
      <c r="A918" s="14"/>
      <c r="B918" s="14"/>
      <c r="C918" s="14"/>
      <c r="D918" s="14"/>
      <c r="E918" s="1"/>
      <c r="F918" s="15"/>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row>
    <row r="919" spans="1:56" ht="16.5" customHeight="1" x14ac:dyDescent="0.3">
      <c r="A919" s="14"/>
      <c r="B919" s="14"/>
      <c r="C919" s="14"/>
      <c r="D919" s="14"/>
      <c r="E919" s="1"/>
      <c r="F919" s="15"/>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row>
    <row r="920" spans="1:56" ht="16.5" customHeight="1" x14ac:dyDescent="0.3">
      <c r="A920" s="14"/>
      <c r="B920" s="14"/>
      <c r="C920" s="14"/>
      <c r="D920" s="14"/>
      <c r="E920" s="1"/>
      <c r="F920" s="15"/>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row>
    <row r="921" spans="1:56" ht="16.5" customHeight="1" x14ac:dyDescent="0.3">
      <c r="A921" s="14"/>
      <c r="B921" s="14"/>
      <c r="C921" s="14"/>
      <c r="D921" s="14"/>
      <c r="E921" s="1"/>
      <c r="F921" s="15"/>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row>
    <row r="922" spans="1:56" ht="16.5" customHeight="1" x14ac:dyDescent="0.3">
      <c r="A922" s="14"/>
      <c r="B922" s="14"/>
      <c r="C922" s="14"/>
      <c r="D922" s="14"/>
      <c r="E922" s="1"/>
      <c r="F922" s="15"/>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row>
    <row r="923" spans="1:56" ht="16.5" customHeight="1" x14ac:dyDescent="0.3">
      <c r="A923" s="14"/>
      <c r="B923" s="14"/>
      <c r="C923" s="14"/>
      <c r="D923" s="14"/>
      <c r="E923" s="1"/>
      <c r="F923" s="15"/>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row>
    <row r="924" spans="1:56" ht="16.5" customHeight="1" x14ac:dyDescent="0.3">
      <c r="A924" s="14"/>
      <c r="B924" s="14"/>
      <c r="C924" s="14"/>
      <c r="D924" s="14"/>
      <c r="E924" s="1"/>
      <c r="F924" s="15"/>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row>
    <row r="925" spans="1:56" ht="16.5" customHeight="1" x14ac:dyDescent="0.3">
      <c r="A925" s="14"/>
      <c r="B925" s="14"/>
      <c r="C925" s="14"/>
      <c r="D925" s="14"/>
      <c r="E925" s="1"/>
      <c r="F925" s="15"/>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row>
    <row r="926" spans="1:56" ht="16.5" customHeight="1" x14ac:dyDescent="0.3">
      <c r="A926" s="14"/>
      <c r="B926" s="14"/>
      <c r="C926" s="14"/>
      <c r="D926" s="14"/>
      <c r="E926" s="1"/>
      <c r="F926" s="15"/>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row>
    <row r="927" spans="1:56" ht="16.5" customHeight="1" x14ac:dyDescent="0.3">
      <c r="A927" s="14"/>
      <c r="B927" s="14"/>
      <c r="C927" s="14"/>
      <c r="D927" s="14"/>
      <c r="E927" s="1"/>
      <c r="F927" s="15"/>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row>
    <row r="928" spans="1:56" ht="16.5" customHeight="1" x14ac:dyDescent="0.3">
      <c r="A928" s="14"/>
      <c r="B928" s="14"/>
      <c r="C928" s="14"/>
      <c r="D928" s="14"/>
      <c r="E928" s="1"/>
      <c r="F928" s="15"/>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row>
    <row r="929" spans="1:56" ht="16.5" customHeight="1" x14ac:dyDescent="0.3">
      <c r="A929" s="14"/>
      <c r="B929" s="14"/>
      <c r="C929" s="14"/>
      <c r="D929" s="14"/>
      <c r="E929" s="1"/>
      <c r="F929" s="15"/>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row>
    <row r="930" spans="1:56" ht="16.5" customHeight="1" x14ac:dyDescent="0.3">
      <c r="A930" s="14"/>
      <c r="B930" s="14"/>
      <c r="C930" s="14"/>
      <c r="D930" s="14"/>
      <c r="E930" s="1"/>
      <c r="F930" s="15"/>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row>
    <row r="931" spans="1:56" ht="16.5" customHeight="1" x14ac:dyDescent="0.3">
      <c r="A931" s="14"/>
      <c r="B931" s="14"/>
      <c r="C931" s="14"/>
      <c r="D931" s="14"/>
      <c r="E931" s="1"/>
      <c r="F931" s="15"/>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row>
    <row r="932" spans="1:56" ht="16.5" customHeight="1" x14ac:dyDescent="0.3">
      <c r="A932" s="14"/>
      <c r="B932" s="14"/>
      <c r="C932" s="14"/>
      <c r="D932" s="14"/>
      <c r="E932" s="1"/>
      <c r="F932" s="15"/>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row>
    <row r="933" spans="1:56" ht="16.5" customHeight="1" x14ac:dyDescent="0.3">
      <c r="A933" s="14"/>
      <c r="B933" s="14"/>
      <c r="C933" s="14"/>
      <c r="D933" s="14"/>
      <c r="E933" s="1"/>
      <c r="F933" s="15"/>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row>
    <row r="934" spans="1:56" ht="16.5" customHeight="1" x14ac:dyDescent="0.3">
      <c r="A934" s="14"/>
      <c r="B934" s="14"/>
      <c r="C934" s="14"/>
      <c r="D934" s="14"/>
      <c r="E934" s="1"/>
      <c r="F934" s="15"/>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row>
    <row r="935" spans="1:56" ht="16.5" customHeight="1" x14ac:dyDescent="0.3">
      <c r="A935" s="14"/>
      <c r="B935" s="14"/>
      <c r="C935" s="14"/>
      <c r="D935" s="14"/>
      <c r="E935" s="1"/>
      <c r="F935" s="15"/>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row>
    <row r="936" spans="1:56" ht="16.5" customHeight="1" x14ac:dyDescent="0.3">
      <c r="A936" s="14"/>
      <c r="B936" s="14"/>
      <c r="C936" s="14"/>
      <c r="D936" s="14"/>
      <c r="E936" s="1"/>
      <c r="F936" s="15"/>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row>
    <row r="937" spans="1:56" ht="16.5" customHeight="1" x14ac:dyDescent="0.3">
      <c r="A937" s="14"/>
      <c r="B937" s="14"/>
      <c r="C937" s="14"/>
      <c r="D937" s="14"/>
      <c r="E937" s="1"/>
      <c r="F937" s="15"/>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row>
    <row r="938" spans="1:56" ht="16.5" customHeight="1" x14ac:dyDescent="0.3">
      <c r="A938" s="14"/>
      <c r="B938" s="14"/>
      <c r="C938" s="14"/>
      <c r="D938" s="14"/>
      <c r="E938" s="1"/>
      <c r="F938" s="15"/>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row>
    <row r="939" spans="1:56" ht="16.5" customHeight="1" x14ac:dyDescent="0.3">
      <c r="A939" s="14"/>
      <c r="B939" s="14"/>
      <c r="C939" s="14"/>
      <c r="D939" s="14"/>
      <c r="E939" s="1"/>
      <c r="F939" s="15"/>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row>
    <row r="940" spans="1:56" ht="16.5" customHeight="1" x14ac:dyDescent="0.3">
      <c r="A940" s="14"/>
      <c r="B940" s="14"/>
      <c r="C940" s="14"/>
      <c r="D940" s="14"/>
      <c r="E940" s="1"/>
      <c r="F940" s="15"/>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row>
    <row r="941" spans="1:56" ht="16.5" customHeight="1" x14ac:dyDescent="0.3">
      <c r="A941" s="14"/>
      <c r="B941" s="14"/>
      <c r="C941" s="14"/>
      <c r="D941" s="14"/>
      <c r="E941" s="1"/>
      <c r="F941" s="15"/>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row>
    <row r="942" spans="1:56" ht="16.5" customHeight="1" x14ac:dyDescent="0.3">
      <c r="A942" s="14"/>
      <c r="B942" s="14"/>
      <c r="C942" s="14"/>
      <c r="D942" s="14"/>
      <c r="E942" s="1"/>
      <c r="F942" s="15"/>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row>
    <row r="943" spans="1:56" ht="16.5" customHeight="1" x14ac:dyDescent="0.3">
      <c r="A943" s="14"/>
      <c r="B943" s="14"/>
      <c r="C943" s="14"/>
      <c r="D943" s="14"/>
      <c r="E943" s="1"/>
      <c r="F943" s="15"/>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row>
    <row r="944" spans="1:56" ht="16.5" customHeight="1" x14ac:dyDescent="0.3">
      <c r="A944" s="14"/>
      <c r="B944" s="14"/>
      <c r="C944" s="14"/>
      <c r="D944" s="14"/>
      <c r="E944" s="1"/>
      <c r="F944" s="15"/>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row>
    <row r="945" spans="1:56" ht="16.5" customHeight="1" x14ac:dyDescent="0.3">
      <c r="A945" s="14"/>
      <c r="B945" s="14"/>
      <c r="C945" s="14"/>
      <c r="D945" s="14"/>
      <c r="E945" s="1"/>
      <c r="F945" s="15"/>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row>
    <row r="946" spans="1:56" ht="16.5" customHeight="1" x14ac:dyDescent="0.3">
      <c r="A946" s="14"/>
      <c r="B946" s="14"/>
      <c r="C946" s="14"/>
      <c r="D946" s="14"/>
      <c r="E946" s="1"/>
      <c r="F946" s="15"/>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row>
    <row r="947" spans="1:56" ht="16.5" customHeight="1" x14ac:dyDescent="0.3">
      <c r="A947" s="14"/>
      <c r="B947" s="14"/>
      <c r="C947" s="14"/>
      <c r="D947" s="14"/>
      <c r="E947" s="1"/>
      <c r="F947" s="15"/>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row>
    <row r="948" spans="1:56" ht="16.5" customHeight="1" x14ac:dyDescent="0.3">
      <c r="A948" s="14"/>
      <c r="B948" s="14"/>
      <c r="C948" s="14"/>
      <c r="D948" s="14"/>
      <c r="E948" s="1"/>
      <c r="F948" s="15"/>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row>
    <row r="949" spans="1:56" ht="16.5" customHeight="1" x14ac:dyDescent="0.3">
      <c r="A949" s="14"/>
      <c r="B949" s="14"/>
      <c r="C949" s="14"/>
      <c r="D949" s="14"/>
      <c r="E949" s="1"/>
      <c r="F949" s="15"/>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row>
    <row r="950" spans="1:56" ht="16.5" customHeight="1" x14ac:dyDescent="0.3">
      <c r="A950" s="14"/>
      <c r="B950" s="14"/>
      <c r="C950" s="14"/>
      <c r="D950" s="14"/>
      <c r="E950" s="1"/>
      <c r="F950" s="15"/>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row>
    <row r="951" spans="1:56" ht="16.5" customHeight="1" x14ac:dyDescent="0.3">
      <c r="A951" s="14"/>
      <c r="B951" s="14"/>
      <c r="C951" s="14"/>
      <c r="D951" s="14"/>
      <c r="E951" s="1"/>
      <c r="F951" s="15"/>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row>
    <row r="952" spans="1:56" ht="16.5" customHeight="1" x14ac:dyDescent="0.3">
      <c r="A952" s="14"/>
      <c r="B952" s="14"/>
      <c r="C952" s="14"/>
      <c r="D952" s="14"/>
      <c r="E952" s="1"/>
      <c r="F952" s="15"/>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row>
    <row r="953" spans="1:56" ht="16.5" customHeight="1" x14ac:dyDescent="0.3">
      <c r="A953" s="14"/>
      <c r="B953" s="14"/>
      <c r="C953" s="14"/>
      <c r="D953" s="14"/>
      <c r="E953" s="1"/>
      <c r="F953" s="15"/>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row>
    <row r="954" spans="1:56" ht="16.5" customHeight="1" x14ac:dyDescent="0.3">
      <c r="A954" s="14"/>
      <c r="B954" s="14"/>
      <c r="C954" s="14"/>
      <c r="D954" s="14"/>
      <c r="E954" s="1"/>
      <c r="F954" s="15"/>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row>
    <row r="955" spans="1:56" ht="16.5" customHeight="1" x14ac:dyDescent="0.3">
      <c r="A955" s="14"/>
      <c r="B955" s="14"/>
      <c r="C955" s="14"/>
      <c r="D955" s="14"/>
      <c r="E955" s="1"/>
      <c r="F955" s="15"/>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row>
    <row r="956" spans="1:56" ht="16.5" customHeight="1" x14ac:dyDescent="0.3">
      <c r="A956" s="14"/>
      <c r="B956" s="14"/>
      <c r="C956" s="14"/>
      <c r="D956" s="14"/>
      <c r="E956" s="1"/>
      <c r="F956" s="15"/>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row>
    <row r="957" spans="1:56" ht="16.5" customHeight="1" x14ac:dyDescent="0.3">
      <c r="A957" s="14"/>
      <c r="B957" s="14"/>
      <c r="C957" s="14"/>
      <c r="D957" s="14"/>
      <c r="E957" s="1"/>
      <c r="F957" s="15"/>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row>
    <row r="958" spans="1:56" ht="16.5" customHeight="1" x14ac:dyDescent="0.3">
      <c r="A958" s="14"/>
      <c r="B958" s="14"/>
      <c r="C958" s="14"/>
      <c r="D958" s="14"/>
      <c r="E958" s="1"/>
      <c r="F958" s="15"/>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row>
    <row r="959" spans="1:56" ht="16.5" customHeight="1" x14ac:dyDescent="0.3">
      <c r="A959" s="14"/>
      <c r="B959" s="14"/>
      <c r="C959" s="14"/>
      <c r="D959" s="14"/>
      <c r="E959" s="1"/>
      <c r="F959" s="15"/>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row>
    <row r="960" spans="1:56" ht="16.5" customHeight="1" x14ac:dyDescent="0.3">
      <c r="A960" s="14"/>
      <c r="B960" s="14"/>
      <c r="C960" s="14"/>
      <c r="D960" s="14"/>
      <c r="E960" s="1"/>
      <c r="F960" s="15"/>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row>
    <row r="961" spans="1:56" ht="16.5" customHeight="1" x14ac:dyDescent="0.3">
      <c r="A961" s="14"/>
      <c r="B961" s="14"/>
      <c r="C961" s="14"/>
      <c r="D961" s="14"/>
      <c r="E961" s="1"/>
      <c r="F961" s="15"/>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row>
    <row r="962" spans="1:56" ht="16.5" customHeight="1" x14ac:dyDescent="0.3">
      <c r="A962" s="14"/>
      <c r="B962" s="14"/>
      <c r="C962" s="14"/>
      <c r="D962" s="14"/>
      <c r="E962" s="1"/>
      <c r="F962" s="15"/>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row>
    <row r="963" spans="1:56" ht="16.5" customHeight="1" x14ac:dyDescent="0.3">
      <c r="A963" s="14"/>
      <c r="B963" s="14"/>
      <c r="C963" s="14"/>
      <c r="D963" s="14"/>
      <c r="E963" s="1"/>
      <c r="F963" s="15"/>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row>
    <row r="964" spans="1:56" ht="16.5" customHeight="1" x14ac:dyDescent="0.3">
      <c r="A964" s="14"/>
      <c r="B964" s="14"/>
      <c r="C964" s="14"/>
      <c r="D964" s="14"/>
      <c r="E964" s="1"/>
      <c r="F964" s="15"/>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row>
    <row r="965" spans="1:56" ht="16.5" customHeight="1" x14ac:dyDescent="0.3">
      <c r="A965" s="14"/>
      <c r="B965" s="14"/>
      <c r="C965" s="14"/>
      <c r="D965" s="14"/>
      <c r="E965" s="1"/>
      <c r="F965" s="15"/>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row>
    <row r="966" spans="1:56" ht="16.5" customHeight="1" x14ac:dyDescent="0.3">
      <c r="A966" s="14"/>
      <c r="B966" s="14"/>
      <c r="C966" s="14"/>
      <c r="D966" s="14"/>
      <c r="E966" s="1"/>
      <c r="F966" s="15"/>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row>
    <row r="967" spans="1:56" ht="16.5" customHeight="1" x14ac:dyDescent="0.3">
      <c r="A967" s="14"/>
      <c r="B967" s="14"/>
      <c r="C967" s="14"/>
      <c r="D967" s="14"/>
      <c r="E967" s="1"/>
      <c r="F967" s="15"/>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row>
    <row r="968" spans="1:56" ht="16.5" customHeight="1" x14ac:dyDescent="0.3">
      <c r="A968" s="14"/>
      <c r="B968" s="14"/>
      <c r="C968" s="14"/>
      <c r="D968" s="14"/>
      <c r="E968" s="1"/>
      <c r="F968" s="15"/>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row>
    <row r="969" spans="1:56" ht="16.5" customHeight="1" x14ac:dyDescent="0.3">
      <c r="A969" s="14"/>
      <c r="B969" s="14"/>
      <c r="C969" s="14"/>
      <c r="D969" s="14"/>
      <c r="E969" s="1"/>
      <c r="F969" s="15"/>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row>
    <row r="970" spans="1:56" ht="16.5" customHeight="1" x14ac:dyDescent="0.3">
      <c r="A970" s="14"/>
      <c r="B970" s="14"/>
      <c r="C970" s="14"/>
      <c r="D970" s="14"/>
      <c r="E970" s="1"/>
      <c r="F970" s="15"/>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row>
    <row r="971" spans="1:56" ht="16.5" customHeight="1" x14ac:dyDescent="0.3">
      <c r="A971" s="14"/>
      <c r="B971" s="14"/>
      <c r="C971" s="14"/>
      <c r="D971" s="14"/>
      <c r="E971" s="1"/>
      <c r="F971" s="15"/>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row>
    <row r="972" spans="1:56" ht="16.5" customHeight="1" x14ac:dyDescent="0.3">
      <c r="A972" s="14"/>
      <c r="B972" s="14"/>
      <c r="C972" s="14"/>
      <c r="D972" s="14"/>
      <c r="E972" s="1"/>
      <c r="F972" s="15"/>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row>
    <row r="973" spans="1:56" ht="16.5" customHeight="1" x14ac:dyDescent="0.3">
      <c r="A973" s="14"/>
      <c r="B973" s="14"/>
      <c r="C973" s="14"/>
      <c r="D973" s="14"/>
      <c r="E973" s="1"/>
      <c r="F973" s="15"/>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row>
    <row r="974" spans="1:56" ht="16.5" customHeight="1" x14ac:dyDescent="0.3">
      <c r="A974" s="14"/>
      <c r="B974" s="14"/>
      <c r="C974" s="14"/>
      <c r="D974" s="14"/>
      <c r="E974" s="1"/>
      <c r="F974" s="15"/>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row>
    <row r="975" spans="1:56" ht="16.5" customHeight="1" x14ac:dyDescent="0.3">
      <c r="A975" s="14"/>
      <c r="B975" s="14"/>
      <c r="C975" s="14"/>
      <c r="D975" s="14"/>
      <c r="E975" s="1"/>
      <c r="F975" s="15"/>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row>
    <row r="976" spans="1:56" ht="16.5" customHeight="1" x14ac:dyDescent="0.3">
      <c r="A976" s="14"/>
      <c r="B976" s="14"/>
      <c r="C976" s="14"/>
      <c r="D976" s="14"/>
      <c r="E976" s="1"/>
      <c r="F976" s="15"/>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row>
    <row r="977" spans="1:56" ht="16.5" customHeight="1" x14ac:dyDescent="0.3">
      <c r="A977" s="14"/>
      <c r="B977" s="14"/>
      <c r="C977" s="14"/>
      <c r="D977" s="14"/>
      <c r="E977" s="1"/>
      <c r="F977" s="15"/>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row>
    <row r="978" spans="1:56" ht="16.5" customHeight="1" x14ac:dyDescent="0.3">
      <c r="A978" s="14"/>
      <c r="B978" s="14"/>
      <c r="C978" s="14"/>
      <c r="D978" s="14"/>
      <c r="E978" s="1"/>
      <c r="F978" s="15"/>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row>
    <row r="979" spans="1:56" ht="16.5" customHeight="1" x14ac:dyDescent="0.3">
      <c r="A979" s="14"/>
      <c r="B979" s="14"/>
      <c r="C979" s="14"/>
      <c r="D979" s="14"/>
      <c r="E979" s="1"/>
      <c r="F979" s="15"/>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row>
    <row r="980" spans="1:56" ht="16.5" customHeight="1" x14ac:dyDescent="0.3">
      <c r="A980" s="14"/>
      <c r="B980" s="14"/>
      <c r="C980" s="14"/>
      <c r="D980" s="14"/>
      <c r="E980" s="1"/>
      <c r="F980" s="15"/>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row>
    <row r="981" spans="1:56" ht="16.5" customHeight="1" x14ac:dyDescent="0.3">
      <c r="A981" s="14"/>
      <c r="B981" s="14"/>
      <c r="C981" s="14"/>
      <c r="D981" s="14"/>
      <c r="E981" s="1"/>
      <c r="F981" s="15"/>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row>
    <row r="982" spans="1:56" ht="16.5" customHeight="1" x14ac:dyDescent="0.3">
      <c r="A982" s="14"/>
      <c r="B982" s="14"/>
      <c r="C982" s="14"/>
      <c r="D982" s="14"/>
      <c r="E982" s="1"/>
      <c r="F982" s="15"/>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row>
    <row r="983" spans="1:56" ht="16.5" customHeight="1" x14ac:dyDescent="0.3">
      <c r="A983" s="14"/>
      <c r="B983" s="14"/>
      <c r="C983" s="14"/>
      <c r="D983" s="14"/>
      <c r="E983" s="1"/>
      <c r="F983" s="15"/>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row>
    <row r="984" spans="1:56" ht="16.5" customHeight="1" x14ac:dyDescent="0.3">
      <c r="A984" s="14"/>
      <c r="B984" s="14"/>
      <c r="C984" s="14"/>
      <c r="D984" s="14"/>
      <c r="E984" s="1"/>
      <c r="F984" s="15"/>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row>
    <row r="985" spans="1:56" ht="16.5" customHeight="1" x14ac:dyDescent="0.3">
      <c r="A985" s="14"/>
      <c r="B985" s="14"/>
      <c r="C985" s="14"/>
      <c r="D985" s="14"/>
      <c r="E985" s="1"/>
      <c r="F985" s="15"/>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row>
    <row r="986" spans="1:56" ht="16.5" customHeight="1" x14ac:dyDescent="0.3">
      <c r="A986" s="14"/>
      <c r="B986" s="14"/>
      <c r="C986" s="14"/>
      <c r="D986" s="14"/>
      <c r="E986" s="1"/>
      <c r="F986" s="15"/>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row>
    <row r="987" spans="1:56" ht="16.5" customHeight="1" x14ac:dyDescent="0.3">
      <c r="A987" s="14"/>
      <c r="B987" s="14"/>
      <c r="C987" s="14"/>
      <c r="D987" s="14"/>
      <c r="E987" s="1"/>
      <c r="F987" s="15"/>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row>
    <row r="988" spans="1:56" ht="16.5" customHeight="1" x14ac:dyDescent="0.3">
      <c r="A988" s="14"/>
      <c r="B988" s="14"/>
      <c r="C988" s="14"/>
      <c r="D988" s="14"/>
      <c r="E988" s="1"/>
      <c r="F988" s="15"/>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row>
    <row r="989" spans="1:56" ht="16.5" customHeight="1" x14ac:dyDescent="0.3">
      <c r="A989" s="14"/>
      <c r="B989" s="14"/>
      <c r="C989" s="14"/>
      <c r="D989" s="14"/>
      <c r="E989" s="1"/>
      <c r="F989" s="15"/>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row>
    <row r="990" spans="1:56" ht="16.5" customHeight="1" x14ac:dyDescent="0.3">
      <c r="A990" s="14"/>
      <c r="B990" s="14"/>
      <c r="C990" s="14"/>
      <c r="D990" s="14"/>
      <c r="E990" s="1"/>
      <c r="F990" s="15"/>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row>
    <row r="991" spans="1:56" ht="16.5" customHeight="1" x14ac:dyDescent="0.3">
      <c r="A991" s="14"/>
      <c r="B991" s="14"/>
      <c r="C991" s="14"/>
      <c r="D991" s="14"/>
      <c r="E991" s="1"/>
      <c r="F991" s="15"/>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row>
    <row r="992" spans="1:56" ht="16.5" customHeight="1" x14ac:dyDescent="0.3">
      <c r="A992" s="14"/>
      <c r="B992" s="14"/>
      <c r="C992" s="14"/>
      <c r="D992" s="14"/>
      <c r="E992" s="1"/>
      <c r="F992" s="15"/>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row>
    <row r="993" spans="1:56" ht="16.5" customHeight="1" x14ac:dyDescent="0.3">
      <c r="A993" s="14"/>
      <c r="B993" s="14"/>
      <c r="C993" s="14"/>
      <c r="D993" s="14"/>
      <c r="E993" s="1"/>
      <c r="F993" s="15"/>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row>
    <row r="994" spans="1:56" ht="16.5" customHeight="1" x14ac:dyDescent="0.3">
      <c r="A994" s="14"/>
      <c r="B994" s="14"/>
      <c r="C994" s="14"/>
      <c r="D994" s="14"/>
      <c r="E994" s="1"/>
      <c r="F994" s="15"/>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row>
    <row r="995" spans="1:56" ht="16.5" customHeight="1" x14ac:dyDescent="0.3">
      <c r="A995" s="14"/>
      <c r="B995" s="14"/>
      <c r="C995" s="14"/>
      <c r="D995" s="14"/>
      <c r="E995" s="1"/>
      <c r="F995" s="15"/>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row>
    <row r="996" spans="1:56" ht="16.5" customHeight="1" x14ac:dyDescent="0.3">
      <c r="A996" s="14"/>
      <c r="B996" s="14"/>
      <c r="C996" s="14"/>
      <c r="D996" s="14"/>
      <c r="E996" s="1"/>
      <c r="F996" s="15"/>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row>
    <row r="997" spans="1:56" ht="16.5" customHeight="1" x14ac:dyDescent="0.3">
      <c r="A997" s="14"/>
      <c r="B997" s="14"/>
      <c r="C997" s="14"/>
      <c r="D997" s="14"/>
      <c r="E997" s="1"/>
      <c r="F997" s="15"/>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row>
    <row r="998" spans="1:56" ht="16.5" customHeight="1" x14ac:dyDescent="0.3">
      <c r="A998" s="14"/>
      <c r="B998" s="14"/>
      <c r="C998" s="14"/>
      <c r="D998" s="14"/>
      <c r="E998" s="1"/>
      <c r="F998" s="15"/>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row>
    <row r="999" spans="1:56" ht="16.5" customHeight="1" x14ac:dyDescent="0.3">
      <c r="A999" s="14"/>
      <c r="B999" s="14"/>
      <c r="C999" s="14"/>
      <c r="D999" s="14"/>
      <c r="E999" s="1"/>
      <c r="F999" s="15"/>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row>
    <row r="1000" spans="1:56" ht="16.5" customHeight="1" x14ac:dyDescent="0.3">
      <c r="A1000" s="14"/>
      <c r="B1000" s="14"/>
      <c r="C1000" s="14"/>
      <c r="D1000" s="14"/>
      <c r="E1000" s="1"/>
      <c r="F1000" s="15"/>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row>
  </sheetData>
  <mergeCells count="185">
    <mergeCell ref="B70:AJ70"/>
    <mergeCell ref="I64:I69"/>
    <mergeCell ref="J64:J69"/>
    <mergeCell ref="K64:K69"/>
    <mergeCell ref="L64:L69"/>
    <mergeCell ref="M64:M69"/>
    <mergeCell ref="N64:N69"/>
    <mergeCell ref="M58:M63"/>
    <mergeCell ref="N58:N63"/>
    <mergeCell ref="I58:I63"/>
    <mergeCell ref="J58:J63"/>
    <mergeCell ref="K58:K63"/>
    <mergeCell ref="L58:L63"/>
    <mergeCell ref="A64:A69"/>
    <mergeCell ref="B64:B69"/>
    <mergeCell ref="C64:C69"/>
    <mergeCell ref="D64:D69"/>
    <mergeCell ref="E64:E69"/>
    <mergeCell ref="F64:F69"/>
    <mergeCell ref="G64:G69"/>
    <mergeCell ref="H64:H69"/>
    <mergeCell ref="G58:G63"/>
    <mergeCell ref="H58:H63"/>
    <mergeCell ref="A58:A63"/>
    <mergeCell ref="B58:B63"/>
    <mergeCell ref="C58:C63"/>
    <mergeCell ref="D58:D63"/>
    <mergeCell ref="E58:E63"/>
    <mergeCell ref="F58:F63"/>
    <mergeCell ref="I52:I57"/>
    <mergeCell ref="J52:J57"/>
    <mergeCell ref="K52:K57"/>
    <mergeCell ref="L52:L57"/>
    <mergeCell ref="M52:M57"/>
    <mergeCell ref="N52:N57"/>
    <mergeCell ref="M46:M51"/>
    <mergeCell ref="N46:N51"/>
    <mergeCell ref="A52:A57"/>
    <mergeCell ref="B52:B57"/>
    <mergeCell ref="C52:C57"/>
    <mergeCell ref="D52:D57"/>
    <mergeCell ref="E52:E57"/>
    <mergeCell ref="F52:F57"/>
    <mergeCell ref="G52:G57"/>
    <mergeCell ref="H52:H57"/>
    <mergeCell ref="G46:G51"/>
    <mergeCell ref="H46:H51"/>
    <mergeCell ref="I46:I51"/>
    <mergeCell ref="J46:J51"/>
    <mergeCell ref="K46:K51"/>
    <mergeCell ref="L46:L51"/>
    <mergeCell ref="A46:A51"/>
    <mergeCell ref="B46:B51"/>
    <mergeCell ref="C46:C51"/>
    <mergeCell ref="D46:D51"/>
    <mergeCell ref="E46:E51"/>
    <mergeCell ref="F46:F51"/>
    <mergeCell ref="I40:I45"/>
    <mergeCell ref="J40:J45"/>
    <mergeCell ref="K40:K45"/>
    <mergeCell ref="L40:L45"/>
    <mergeCell ref="M40:M45"/>
    <mergeCell ref="N40:N45"/>
    <mergeCell ref="M34:M39"/>
    <mergeCell ref="N34:N39"/>
    <mergeCell ref="A40:A45"/>
    <mergeCell ref="B40:B45"/>
    <mergeCell ref="C40:C45"/>
    <mergeCell ref="D40:D45"/>
    <mergeCell ref="E40:E45"/>
    <mergeCell ref="F40:F45"/>
    <mergeCell ref="G40:G45"/>
    <mergeCell ref="H40:H45"/>
    <mergeCell ref="G34:G39"/>
    <mergeCell ref="H34:H39"/>
    <mergeCell ref="I34:I39"/>
    <mergeCell ref="J34:J39"/>
    <mergeCell ref="K34:K39"/>
    <mergeCell ref="L34:L39"/>
    <mergeCell ref="A34:A39"/>
    <mergeCell ref="B34:B39"/>
    <mergeCell ref="C34:C39"/>
    <mergeCell ref="D34:D39"/>
    <mergeCell ref="E34:E39"/>
    <mergeCell ref="F34:F39"/>
    <mergeCell ref="I28:I33"/>
    <mergeCell ref="J28:J33"/>
    <mergeCell ref="K28:K33"/>
    <mergeCell ref="L28:L33"/>
    <mergeCell ref="M28:M33"/>
    <mergeCell ref="N28:N33"/>
    <mergeCell ref="M22:M27"/>
    <mergeCell ref="N22:N27"/>
    <mergeCell ref="A28:A33"/>
    <mergeCell ref="B28:B33"/>
    <mergeCell ref="C28:C33"/>
    <mergeCell ref="D28:D33"/>
    <mergeCell ref="E28:E33"/>
    <mergeCell ref="F28:F33"/>
    <mergeCell ref="G28:G33"/>
    <mergeCell ref="H28:H33"/>
    <mergeCell ref="G22:G27"/>
    <mergeCell ref="H22:H27"/>
    <mergeCell ref="I22:I27"/>
    <mergeCell ref="J22:J27"/>
    <mergeCell ref="K22:K27"/>
    <mergeCell ref="L22:L27"/>
    <mergeCell ref="A22:A27"/>
    <mergeCell ref="B22:B27"/>
    <mergeCell ref="C22:C27"/>
    <mergeCell ref="D22:D27"/>
    <mergeCell ref="E22:E27"/>
    <mergeCell ref="F22:F27"/>
    <mergeCell ref="I16:I21"/>
    <mergeCell ref="J16:J21"/>
    <mergeCell ref="K16:K21"/>
    <mergeCell ref="L16:L21"/>
    <mergeCell ref="M16:M21"/>
    <mergeCell ref="M10:M15"/>
    <mergeCell ref="N10:N15"/>
    <mergeCell ref="A16:A21"/>
    <mergeCell ref="B16:B21"/>
    <mergeCell ref="C16:C21"/>
    <mergeCell ref="D16:D21"/>
    <mergeCell ref="E16:E21"/>
    <mergeCell ref="F16:F21"/>
    <mergeCell ref="G16:G21"/>
    <mergeCell ref="H16:H21"/>
    <mergeCell ref="G10:G15"/>
    <mergeCell ref="H10:H15"/>
    <mergeCell ref="I10:I15"/>
    <mergeCell ref="J10:J15"/>
    <mergeCell ref="K10:K15"/>
    <mergeCell ref="L10:L15"/>
    <mergeCell ref="A10:A15"/>
    <mergeCell ref="B10:B15"/>
    <mergeCell ref="C10:C15"/>
    <mergeCell ref="D10:D15"/>
    <mergeCell ref="E10:E15"/>
    <mergeCell ref="F10:F15"/>
    <mergeCell ref="AB8:AB9"/>
    <mergeCell ref="AC8:AC9"/>
    <mergeCell ref="P8:P9"/>
    <mergeCell ref="Q8:Q9"/>
    <mergeCell ref="R8:W8"/>
    <mergeCell ref="X8:X9"/>
    <mergeCell ref="Y8:Y9"/>
    <mergeCell ref="Z8:Z9"/>
    <mergeCell ref="N16:N21"/>
    <mergeCell ref="J8:J9"/>
    <mergeCell ref="K8:K9"/>
    <mergeCell ref="L8:L9"/>
    <mergeCell ref="M8:M9"/>
    <mergeCell ref="N8:N9"/>
    <mergeCell ref="O8:O9"/>
    <mergeCell ref="AE7:AJ7"/>
    <mergeCell ref="A8:A9"/>
    <mergeCell ref="B8:B9"/>
    <mergeCell ref="C8:C9"/>
    <mergeCell ref="D8:D9"/>
    <mergeCell ref="E8:E9"/>
    <mergeCell ref="F8:F9"/>
    <mergeCell ref="G8:G9"/>
    <mergeCell ref="H8:H9"/>
    <mergeCell ref="I8:I9"/>
    <mergeCell ref="AG8:AG9"/>
    <mergeCell ref="AH8:AH9"/>
    <mergeCell ref="AI8:AI9"/>
    <mergeCell ref="AJ8:AJ9"/>
    <mergeCell ref="AD8:AD9"/>
    <mergeCell ref="AE8:AE9"/>
    <mergeCell ref="AF8:AF9"/>
    <mergeCell ref="AA8:AA9"/>
    <mergeCell ref="A6:B6"/>
    <mergeCell ref="C6:N6"/>
    <mergeCell ref="A7:G7"/>
    <mergeCell ref="H7:N7"/>
    <mergeCell ref="O7:W7"/>
    <mergeCell ref="X7:AD7"/>
    <mergeCell ref="A1:AJ2"/>
    <mergeCell ref="A4:B4"/>
    <mergeCell ref="C4:N4"/>
    <mergeCell ref="O4:Q4"/>
    <mergeCell ref="A5:B5"/>
    <mergeCell ref="C5:N5"/>
  </mergeCells>
  <conditionalFormatting sqref="H10 H16">
    <cfRule type="cellIs" dxfId="104" priority="1" operator="equal">
      <formula>"Muy Alta"</formula>
    </cfRule>
    <cfRule type="cellIs" dxfId="103" priority="2" operator="equal">
      <formula>"Alta"</formula>
    </cfRule>
    <cfRule type="cellIs" dxfId="102" priority="3" operator="equal">
      <formula>"Media"</formula>
    </cfRule>
    <cfRule type="cellIs" dxfId="101" priority="4" operator="equal">
      <formula>"Baja"</formula>
    </cfRule>
    <cfRule type="cellIs" dxfId="100" priority="5" operator="equal">
      <formula>"Muy Baja"</formula>
    </cfRule>
  </conditionalFormatting>
  <conditionalFormatting sqref="H22">
    <cfRule type="cellIs" dxfId="99" priority="53" operator="equal">
      <formula>"Alta"</formula>
    </cfRule>
    <cfRule type="cellIs" dxfId="98" priority="52" operator="equal">
      <formula>"Muy Alta"</formula>
    </cfRule>
    <cfRule type="cellIs" dxfId="97" priority="56" operator="equal">
      <formula>"Muy Baja"</formula>
    </cfRule>
    <cfRule type="cellIs" dxfId="96" priority="55" operator="equal">
      <formula>"Baja"</formula>
    </cfRule>
    <cfRule type="cellIs" dxfId="95" priority="54" operator="equal">
      <formula>"Media"</formula>
    </cfRule>
  </conditionalFormatting>
  <conditionalFormatting sqref="H28">
    <cfRule type="cellIs" dxfId="94" priority="77" operator="equal">
      <formula>"Media"</formula>
    </cfRule>
    <cfRule type="cellIs" dxfId="93" priority="76" operator="equal">
      <formula>"Alta"</formula>
    </cfRule>
    <cfRule type="cellIs" dxfId="92" priority="75" operator="equal">
      <formula>"Muy Alta"</formula>
    </cfRule>
    <cfRule type="cellIs" dxfId="91" priority="78" operator="equal">
      <formula>"Baja"</formula>
    </cfRule>
    <cfRule type="cellIs" dxfId="90" priority="79" operator="equal">
      <formula>"Muy Baja"</formula>
    </cfRule>
  </conditionalFormatting>
  <conditionalFormatting sqref="H34">
    <cfRule type="cellIs" dxfId="89" priority="99" operator="equal">
      <formula>"Alta"</formula>
    </cfRule>
    <cfRule type="cellIs" dxfId="88" priority="98" operator="equal">
      <formula>"Muy Alta"</formula>
    </cfRule>
    <cfRule type="cellIs" dxfId="87" priority="100" operator="equal">
      <formula>"Media"</formula>
    </cfRule>
    <cfRule type="cellIs" dxfId="86" priority="102" operator="equal">
      <formula>"Muy Baja"</formula>
    </cfRule>
    <cfRule type="cellIs" dxfId="85" priority="101" operator="equal">
      <formula>"Baja"</formula>
    </cfRule>
  </conditionalFormatting>
  <conditionalFormatting sqref="H40">
    <cfRule type="cellIs" dxfId="84" priority="122" operator="equal">
      <formula>"Alta"</formula>
    </cfRule>
    <cfRule type="cellIs" dxfId="83" priority="125" operator="equal">
      <formula>"Muy Baja"</formula>
    </cfRule>
    <cfRule type="cellIs" dxfId="82" priority="124" operator="equal">
      <formula>"Baja"</formula>
    </cfRule>
    <cfRule type="cellIs" dxfId="81" priority="123" operator="equal">
      <formula>"Media"</formula>
    </cfRule>
    <cfRule type="cellIs" dxfId="80" priority="121" operator="equal">
      <formula>"Muy Alta"</formula>
    </cfRule>
  </conditionalFormatting>
  <conditionalFormatting sqref="H46">
    <cfRule type="cellIs" dxfId="79" priority="147" operator="equal">
      <formula>"Baja"</formula>
    </cfRule>
    <cfRule type="cellIs" dxfId="78" priority="148" operator="equal">
      <formula>"Muy Baja"</formula>
    </cfRule>
    <cfRule type="cellIs" dxfId="77" priority="145" operator="equal">
      <formula>"Alta"</formula>
    </cfRule>
    <cfRule type="cellIs" dxfId="76" priority="144" operator="equal">
      <formula>"Muy Alta"</formula>
    </cfRule>
    <cfRule type="cellIs" dxfId="75" priority="146" operator="equal">
      <formula>"Media"</formula>
    </cfRule>
  </conditionalFormatting>
  <conditionalFormatting sqref="H52">
    <cfRule type="cellIs" dxfId="74" priority="167" operator="equal">
      <formula>"Muy Alta"</formula>
    </cfRule>
    <cfRule type="cellIs" dxfId="73" priority="168" operator="equal">
      <formula>"Alta"</formula>
    </cfRule>
    <cfRule type="cellIs" dxfId="72" priority="169" operator="equal">
      <formula>"Media"</formula>
    </cfRule>
    <cfRule type="cellIs" dxfId="71" priority="170" operator="equal">
      <formula>"Baja"</formula>
    </cfRule>
    <cfRule type="cellIs" dxfId="70" priority="171" operator="equal">
      <formula>"Muy Baja"</formula>
    </cfRule>
  </conditionalFormatting>
  <conditionalFormatting sqref="H58">
    <cfRule type="cellIs" dxfId="69" priority="30" operator="equal">
      <formula>"Alta"</formula>
    </cfRule>
    <cfRule type="cellIs" dxfId="68" priority="31" operator="equal">
      <formula>"Media"</formula>
    </cfRule>
    <cfRule type="cellIs" dxfId="67" priority="32" operator="equal">
      <formula>"Baja"</formula>
    </cfRule>
    <cfRule type="cellIs" dxfId="66" priority="33" operator="equal">
      <formula>"Muy Baja"</formula>
    </cfRule>
    <cfRule type="cellIs" dxfId="65" priority="29" operator="equal">
      <formula>"Muy Alta"</formula>
    </cfRule>
  </conditionalFormatting>
  <conditionalFormatting sqref="H64">
    <cfRule type="cellIs" dxfId="64" priority="210" operator="equal">
      <formula>"Media"</formula>
    </cfRule>
    <cfRule type="cellIs" dxfId="63" priority="209" operator="equal">
      <formula>"Alta"</formula>
    </cfRule>
    <cfRule type="cellIs" dxfId="62" priority="208" operator="equal">
      <formula>"Muy Alta"</formula>
    </cfRule>
    <cfRule type="cellIs" dxfId="61" priority="211" operator="equal">
      <formula>"Baja"</formula>
    </cfRule>
    <cfRule type="cellIs" dxfId="60" priority="212" operator="equal">
      <formula>"Muy Baja"</formula>
    </cfRule>
  </conditionalFormatting>
  <conditionalFormatting sqref="K10:K69">
    <cfRule type="containsText" dxfId="59" priority="231" operator="containsText" text="❌">
      <formula>NOT(ISERROR(SEARCH(("❌"),(K10))))</formula>
    </cfRule>
  </conditionalFormatting>
  <conditionalFormatting sqref="L10 L16 L22 L28 L34 L40 L46 L52 L58 L64">
    <cfRule type="cellIs" dxfId="58" priority="6" operator="equal">
      <formula>"Catastrófico"</formula>
    </cfRule>
    <cfRule type="cellIs" dxfId="57" priority="8" operator="equal">
      <formula>"Moderado"</formula>
    </cfRule>
    <cfRule type="cellIs" dxfId="56" priority="9" operator="equal">
      <formula>"Menor"</formula>
    </cfRule>
    <cfRule type="cellIs" dxfId="55" priority="10" operator="equal">
      <formula>"Leve"</formula>
    </cfRule>
    <cfRule type="cellIs" dxfId="54" priority="7" operator="equal">
      <formula>"Mayor"</formula>
    </cfRule>
  </conditionalFormatting>
  <conditionalFormatting sqref="N10">
    <cfRule type="cellIs" dxfId="53" priority="13" operator="equal">
      <formula>"Moderado"</formula>
    </cfRule>
    <cfRule type="cellIs" dxfId="52" priority="14" operator="equal">
      <formula>"Bajo"</formula>
    </cfRule>
    <cfRule type="cellIs" dxfId="51" priority="11" operator="equal">
      <formula>"Extremo"</formula>
    </cfRule>
    <cfRule type="cellIs" dxfId="50" priority="12" operator="equal">
      <formula>"Alto"</formula>
    </cfRule>
  </conditionalFormatting>
  <conditionalFormatting sqref="N16">
    <cfRule type="cellIs" dxfId="49" priority="35" operator="equal">
      <formula>"Alto"</formula>
    </cfRule>
    <cfRule type="cellIs" dxfId="48" priority="37" operator="equal">
      <formula>"Bajo"</formula>
    </cfRule>
    <cfRule type="cellIs" dxfId="47" priority="36" operator="equal">
      <formula>"Moderado"</formula>
    </cfRule>
    <cfRule type="cellIs" dxfId="46" priority="34" operator="equal">
      <formula>"Extremo"</formula>
    </cfRule>
  </conditionalFormatting>
  <conditionalFormatting sqref="N22">
    <cfRule type="cellIs" dxfId="45" priority="60" operator="equal">
      <formula>"Bajo"</formula>
    </cfRule>
    <cfRule type="cellIs" dxfId="44" priority="59" operator="equal">
      <formula>"Moderado"</formula>
    </cfRule>
    <cfRule type="cellIs" dxfId="43" priority="58" operator="equal">
      <formula>"Alto"</formula>
    </cfRule>
    <cfRule type="cellIs" dxfId="42" priority="57" operator="equal">
      <formula>"Extremo"</formula>
    </cfRule>
  </conditionalFormatting>
  <conditionalFormatting sqref="N28">
    <cfRule type="cellIs" dxfId="41" priority="80" operator="equal">
      <formula>"Extremo"</formula>
    </cfRule>
    <cfRule type="cellIs" dxfId="40" priority="81" operator="equal">
      <formula>"Alto"</formula>
    </cfRule>
    <cfRule type="cellIs" dxfId="39" priority="82" operator="equal">
      <formula>"Moderado"</formula>
    </cfRule>
    <cfRule type="cellIs" dxfId="38" priority="83" operator="equal">
      <formula>"Bajo"</formula>
    </cfRule>
  </conditionalFormatting>
  <conditionalFormatting sqref="N34">
    <cfRule type="cellIs" dxfId="37" priority="103" operator="equal">
      <formula>"Extremo"</formula>
    </cfRule>
    <cfRule type="cellIs" dxfId="36" priority="105" operator="equal">
      <formula>"Moderado"</formula>
    </cfRule>
    <cfRule type="cellIs" dxfId="35" priority="106" operator="equal">
      <formula>"Bajo"</formula>
    </cfRule>
    <cfRule type="cellIs" dxfId="34" priority="104" operator="equal">
      <formula>"Alto"</formula>
    </cfRule>
  </conditionalFormatting>
  <conditionalFormatting sqref="N40">
    <cfRule type="cellIs" dxfId="33" priority="126" operator="equal">
      <formula>"Extremo"</formula>
    </cfRule>
    <cfRule type="cellIs" dxfId="32" priority="127" operator="equal">
      <formula>"Alto"</formula>
    </cfRule>
    <cfRule type="cellIs" dxfId="31" priority="128" operator="equal">
      <formula>"Moderado"</formula>
    </cfRule>
    <cfRule type="cellIs" dxfId="30" priority="129" operator="equal">
      <formula>"Bajo"</formula>
    </cfRule>
  </conditionalFormatting>
  <conditionalFormatting sqref="N46">
    <cfRule type="cellIs" dxfId="29" priority="151" operator="equal">
      <formula>"Moderado"</formula>
    </cfRule>
    <cfRule type="cellIs" dxfId="28" priority="152" operator="equal">
      <formula>"Bajo"</formula>
    </cfRule>
    <cfRule type="cellIs" dxfId="27" priority="150" operator="equal">
      <formula>"Alto"</formula>
    </cfRule>
    <cfRule type="cellIs" dxfId="26" priority="149" operator="equal">
      <formula>"Extremo"</formula>
    </cfRule>
  </conditionalFormatting>
  <conditionalFormatting sqref="N52">
    <cfRule type="cellIs" dxfId="25" priority="175" operator="equal">
      <formula>"Bajo"</formula>
    </cfRule>
    <cfRule type="cellIs" dxfId="24" priority="174" operator="equal">
      <formula>"Moderado"</formula>
    </cfRule>
    <cfRule type="cellIs" dxfId="23" priority="173" operator="equal">
      <formula>"Alto"</formula>
    </cfRule>
    <cfRule type="cellIs" dxfId="22" priority="172" operator="equal">
      <formula>"Extremo"</formula>
    </cfRule>
  </conditionalFormatting>
  <conditionalFormatting sqref="N58">
    <cfRule type="cellIs" dxfId="21" priority="192" operator="equal">
      <formula>"Moderado"</formula>
    </cfRule>
    <cfRule type="cellIs" dxfId="20" priority="193" operator="equal">
      <formula>"Bajo"</formula>
    </cfRule>
    <cfRule type="cellIs" dxfId="19" priority="191" operator="equal">
      <formula>"Alto"</formula>
    </cfRule>
    <cfRule type="cellIs" dxfId="18" priority="190" operator="equal">
      <formula>"Extremo"</formula>
    </cfRule>
  </conditionalFormatting>
  <conditionalFormatting sqref="N64">
    <cfRule type="cellIs" dxfId="17" priority="213" operator="equal">
      <formula>"Extremo"</formula>
    </cfRule>
    <cfRule type="cellIs" dxfId="16" priority="214" operator="equal">
      <formula>"Alto"</formula>
    </cfRule>
    <cfRule type="cellIs" dxfId="15" priority="215" operator="equal">
      <formula>"Moderado"</formula>
    </cfRule>
    <cfRule type="cellIs" dxfId="14" priority="216" operator="equal">
      <formula>"Bajo"</formula>
    </cfRule>
  </conditionalFormatting>
  <conditionalFormatting sqref="Y10:Y69">
    <cfRule type="cellIs" dxfId="13" priority="17" operator="equal">
      <formula>"Media"</formula>
    </cfRule>
    <cfRule type="cellIs" dxfId="12" priority="16" operator="equal">
      <formula>"Alta"</formula>
    </cfRule>
    <cfRule type="cellIs" dxfId="11" priority="15" operator="equal">
      <formula>"Muy Alta"</formula>
    </cfRule>
    <cfRule type="cellIs" dxfId="10" priority="18" operator="equal">
      <formula>"Baja"</formula>
    </cfRule>
    <cfRule type="cellIs" dxfId="9" priority="19" operator="equal">
      <formula>"Muy Baja"</formula>
    </cfRule>
  </conditionalFormatting>
  <conditionalFormatting sqref="AA10:AA69">
    <cfRule type="cellIs" dxfId="8" priority="24" operator="equal">
      <formula>"Leve"</formula>
    </cfRule>
    <cfRule type="cellIs" dxfId="7" priority="23" operator="equal">
      <formula>"Menor"</formula>
    </cfRule>
    <cfRule type="cellIs" dxfId="6" priority="22" operator="equal">
      <formula>"Moderado"</formula>
    </cfRule>
    <cfRule type="cellIs" dxfId="5" priority="21" operator="equal">
      <formula>"Mayor"</formula>
    </cfRule>
    <cfRule type="cellIs" dxfId="4" priority="20" operator="equal">
      <formula>"Catastrófico"</formula>
    </cfRule>
  </conditionalFormatting>
  <conditionalFormatting sqref="AC10:AC69">
    <cfRule type="cellIs" dxfId="3" priority="25" operator="equal">
      <formula>"Extremo"</formula>
    </cfRule>
    <cfRule type="cellIs" dxfId="2" priority="26" operator="equal">
      <formula>"Alto"</formula>
    </cfRule>
    <cfRule type="cellIs" dxfId="1" priority="28" operator="equal">
      <formula>"Bajo"</formula>
    </cfRule>
    <cfRule type="cellIs" dxfId="0" priority="27" operator="equal">
      <formula>"Moderado"</formula>
    </cfRule>
  </conditionalFormatting>
  <pageMargins left="0.7" right="0.7" top="0.75" bottom="0.75" header="0" footer="0"/>
  <pageSetup orientation="portrait" r:id="rId1"/>
  <extLst>
    <ext xmlns:x14="http://schemas.microsoft.com/office/spreadsheetml/2009/9/main" uri="{CCE6A557-97BC-4b89-ADB6-D9C93CAAB3DF}">
      <x14:dataValidations xmlns:xm="http://schemas.microsoft.com/office/excel/2006/main" count="15">
        <x14:dataValidation type="custom" allowBlank="1" showInputMessage="1" showErrorMessage="1" prompt="Recuerde que las acciones se generan bajo la medida de mitigar el riesgo" xr:uid="{00000000-0002-0000-0F00-000000000000}">
          <x14:formula1>
            <xm:f>IF(OR(AD10='Base de datos gestión'!$B$2,AD10='Base de datos gestión'!$B$3,AD10='Base de datos gestión'!$B$4),ISBLANK(AD10),ISTEXT(AD10))</xm:f>
          </x14:formula1>
          <xm:sqref>AI10:AI69</xm:sqref>
        </x14:dataValidation>
        <x14:dataValidation type="list" allowBlank="1" showErrorMessage="1" xr:uid="{00000000-0002-0000-0F00-000001000000}">
          <x14:formula1>
            <xm:f>'Tabla Valoración controles'!$D$5:$D$7</xm:f>
          </x14:formula1>
          <xm:sqref>R10:R69</xm:sqref>
        </x14:dataValidation>
        <x14:dataValidation type="list" allowBlank="1" showErrorMessage="1" xr:uid="{00000000-0002-0000-0F00-000002000000}">
          <x14:formula1>
            <xm:f>'Base de datos gestión'!$B$13:$B$19</xm:f>
          </x14:formula1>
          <xm:sqref>F10 F16 F22 F28 F34 F40 F46 F52 F58 F64</xm:sqref>
        </x14:dataValidation>
        <x14:dataValidation type="list" allowBlank="1" showErrorMessage="1" xr:uid="{00000000-0002-0000-0F00-000003000000}">
          <x14:formula1>
            <xm:f>'Tabla Valoración controles'!$D$12:$D$13</xm:f>
          </x14:formula1>
          <xm:sqref>V10:V69</xm:sqref>
        </x14:dataValidation>
        <x14:dataValidation type="list" allowBlank="1" showErrorMessage="1" xr:uid="{00000000-0002-0000-0F00-000004000000}">
          <x14:formula1>
            <xm:f>'Base de datos gestión'!$B$9:$B$10</xm:f>
          </x14:formula1>
          <xm:sqref>AJ10:AJ11 AJ13:AJ14 AJ16:AJ17 AJ19:AJ20 AJ22:AJ23 AJ25:AJ26 AJ28:AJ29 AJ31:AJ32 AJ34:AJ35 AJ37:AJ38 AJ40:AJ41 AJ43:AJ44 AJ46:AJ47 AJ49:AJ50 AJ52:AJ53 AJ55:AJ56 AJ58:AJ59 AJ61:AJ62 AJ64:AJ65 AJ67:AJ68</xm:sqref>
        </x14:dataValidation>
        <x14:dataValidation type="list" allowBlank="1" showErrorMessage="1" xr:uid="{00000000-0002-0000-0F00-000005000000}">
          <x14:formula1>
            <xm:f>'Base de datos gestión'!$B$2:$B$5</xm:f>
          </x14:formula1>
          <xm:sqref>AD10:AD69</xm:sqref>
        </x14:dataValidation>
        <x14:dataValidation type="list" allowBlank="1" showErrorMessage="1" xr:uid="{00000000-0002-0000-0F00-000006000000}">
          <x14:formula1>
            <xm:f>'Tabla Valoración controles'!$D$10:$D$11</xm:f>
          </x14:formula1>
          <xm:sqref>U10:U69</xm:sqref>
        </x14:dataValidation>
        <x14:dataValidation type="list" allowBlank="1" showErrorMessage="1" xr:uid="{00000000-0002-0000-0F00-000007000000}">
          <x14:formula1>
            <xm:f>'Tabla Valoración controles'!$D$8:$D$9</xm:f>
          </x14:formula1>
          <xm:sqref>S10:S69</xm:sqref>
        </x14:dataValidation>
        <x14:dataValidation type="custom" allowBlank="1" showInputMessage="1" showErrorMessage="1" prompt="Recuerde que las acciones se generan bajo la medida de mitigar el riesgo" xr:uid="{00000000-0002-0000-0F00-000008000000}">
          <x14:formula1>
            <xm:f>IF(OR(AD10='Base de datos gestión'!$B$2,AD10='Base de datos gestión'!$B$3,AD10='Base de datos gestión'!$B$4),ISBLANK(AD10),ISTEXT(AD10))</xm:f>
          </x14:formula1>
          <xm:sqref>AF10:AF69</xm:sqref>
        </x14:dataValidation>
        <x14:dataValidation type="list" allowBlank="1" showErrorMessage="1" xr:uid="{00000000-0002-0000-0F00-000009000000}">
          <x14:formula1>
            <xm:f>'Base de datos gestión'!$G$2:$G$4</xm:f>
          </x14:formula1>
          <xm:sqref>B10 B16 B22 B28 B34 B40 B46 B52 B58 B64</xm:sqref>
        </x14:dataValidation>
        <x14:dataValidation type="custom" allowBlank="1" showInputMessage="1" showErrorMessage="1" prompt="Recuerde que las acciones se generan bajo la medida de mitigar el riesgo" xr:uid="{00000000-0002-0000-0F00-00000A000000}">
          <x14:formula1>
            <xm:f>IF(OR(AD10='Base de datos gestión'!$B$2,AD10='Base de datos gestión'!$B$3,AD10='Base de datos gestión'!$B$4),ISBLANK(AD10),ISTEXT(AD10))</xm:f>
          </x14:formula1>
          <xm:sqref>AH10:AH69</xm:sqref>
        </x14:dataValidation>
        <x14:dataValidation type="list" allowBlank="1" showErrorMessage="1" xr:uid="{00000000-0002-0000-0F00-00000B000000}">
          <x14:formula1>
            <xm:f>'Tabla Impacto'!$F$211:$F$222</xm:f>
          </x14:formula1>
          <xm:sqref>J10 J64 J58 J52 J46 J40 J34 J28 J22 J16</xm:sqref>
        </x14:dataValidation>
        <x14:dataValidation type="list" allowBlank="1" showErrorMessage="1" xr:uid="{00000000-0002-0000-0F00-00000C000000}">
          <x14:formula1>
            <xm:f>'Tabla Valoración controles'!$D$14:$D$15</xm:f>
          </x14:formula1>
          <xm:sqref>W10:W69</xm:sqref>
        </x14:dataValidation>
        <x14:dataValidation type="custom" allowBlank="1" showInputMessage="1" showErrorMessage="1" prompt="Recuerde que las acciones se generan bajo la medida de mitigar el riesgo" xr:uid="{00000000-0002-0000-0F00-00000D000000}">
          <x14:formula1>
            <xm:f>IF(OR(AD10='Base de datos gestión'!$B$2,AD10='Base de datos gestión'!$B$3,AD10='Base de datos gestión'!$B$4),ISBLANK(AD10),ISTEXT(AD10))</xm:f>
          </x14:formula1>
          <xm:sqref>AG10:AG69</xm:sqref>
        </x14:dataValidation>
        <x14:dataValidation type="custom" allowBlank="1" showInputMessage="1" showErrorMessage="1" prompt="Recuerde que las acciones se generan bajo la medida de mitigar el riesgo" xr:uid="{00000000-0002-0000-0F00-00000E000000}">
          <x14:formula1>
            <xm:f>IF(OR(AD10='Base de datos gestión'!$B$2,AD10='Base de datos gestión'!$B$3,AD10='Base de datos gestión'!$B$4),ISBLANK(AD10),ISTEXT(AD10))</xm:f>
          </x14:formula1>
          <xm:sqref>AE10:AE69</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workbookViewId="0"/>
  </sheetViews>
  <sheetFormatPr baseColWidth="10" defaultColWidth="12.625" defaultRowHeight="15" customHeight="1" x14ac:dyDescent="0.2"/>
  <cols>
    <col min="1" max="1" width="28.625" style="66" customWidth="1"/>
    <col min="2" max="6" width="10" style="66" customWidth="1"/>
    <col min="7" max="26" width="9.375" style="66" customWidth="1"/>
  </cols>
  <sheetData>
    <row r="1" spans="1:1" ht="12.75" customHeight="1" x14ac:dyDescent="0.2"/>
    <row r="2" spans="1:1" ht="12.75" customHeight="1" x14ac:dyDescent="0.2"/>
    <row r="3" spans="1:1" ht="12.75" customHeight="1" x14ac:dyDescent="0.2">
      <c r="A3" s="67" t="s">
        <v>197</v>
      </c>
    </row>
    <row r="4" spans="1:1" ht="12.75" customHeight="1" x14ac:dyDescent="0.2">
      <c r="A4" s="67" t="s">
        <v>269</v>
      </c>
    </row>
    <row r="5" spans="1:1" ht="12.75" customHeight="1" x14ac:dyDescent="0.2">
      <c r="A5" s="67" t="s">
        <v>240</v>
      </c>
    </row>
    <row r="6" spans="1:1" ht="12.75" customHeight="1" x14ac:dyDescent="0.2">
      <c r="A6" s="67" t="s">
        <v>454</v>
      </c>
    </row>
    <row r="7" spans="1:1" ht="12.75" customHeight="1" x14ac:dyDescent="0.2">
      <c r="A7" s="67" t="s">
        <v>198</v>
      </c>
    </row>
    <row r="8" spans="1:1" ht="12.75" customHeight="1" x14ac:dyDescent="0.2">
      <c r="A8" s="67" t="s">
        <v>259</v>
      </c>
    </row>
    <row r="9" spans="1:1" ht="12.75" customHeight="1" x14ac:dyDescent="0.2">
      <c r="A9" s="67" t="s">
        <v>199</v>
      </c>
    </row>
    <row r="10" spans="1:1" ht="12.75" customHeight="1" x14ac:dyDescent="0.2">
      <c r="A10" s="67" t="s">
        <v>200</v>
      </c>
    </row>
    <row r="11" spans="1:1" ht="12.75" customHeight="1" x14ac:dyDescent="0.2">
      <c r="A11" s="67" t="s">
        <v>225</v>
      </c>
    </row>
    <row r="12" spans="1:1" ht="12.75" customHeight="1" x14ac:dyDescent="0.2">
      <c r="A12" s="67" t="s">
        <v>3404</v>
      </c>
    </row>
    <row r="13" spans="1:1" ht="12.75" customHeight="1" x14ac:dyDescent="0.2">
      <c r="A13" s="67" t="s">
        <v>3405</v>
      </c>
    </row>
    <row r="14" spans="1:1" ht="12.75" customHeight="1" x14ac:dyDescent="0.2">
      <c r="A14" s="67" t="s">
        <v>3406</v>
      </c>
    </row>
    <row r="15" spans="1:1" ht="12.75" customHeight="1" x14ac:dyDescent="0.2"/>
    <row r="16" spans="1:1" ht="12.75" customHeight="1" x14ac:dyDescent="0.2">
      <c r="A16" s="67" t="s">
        <v>2371</v>
      </c>
    </row>
    <row r="17" spans="1:1" ht="12.75" customHeight="1" x14ac:dyDescent="0.2">
      <c r="A17" s="67" t="s">
        <v>378</v>
      </c>
    </row>
    <row r="18" spans="1:1" ht="12.75" customHeight="1" x14ac:dyDescent="0.2">
      <c r="A18" s="67" t="s">
        <v>1702</v>
      </c>
    </row>
    <row r="19" spans="1:1" ht="12.75" customHeight="1" x14ac:dyDescent="0.2"/>
    <row r="20" spans="1:1" ht="12.75" customHeight="1" x14ac:dyDescent="0.2">
      <c r="A20" s="67" t="s">
        <v>3248</v>
      </c>
    </row>
    <row r="21" spans="1:1" ht="12.75" customHeight="1" x14ac:dyDescent="0.2">
      <c r="A21" s="67" t="s">
        <v>3250</v>
      </c>
    </row>
    <row r="22" spans="1:1" ht="12.75" customHeight="1" x14ac:dyDescent="0.2"/>
    <row r="23" spans="1:1" ht="12.75" customHeight="1" x14ac:dyDescent="0.2"/>
    <row r="24" spans="1:1" ht="12.75" customHeight="1" x14ac:dyDescent="0.2"/>
    <row r="25" spans="1:1" ht="12.75" customHeight="1" x14ac:dyDescent="0.2"/>
    <row r="26" spans="1:1" ht="12.75" customHeight="1" x14ac:dyDescent="0.2"/>
    <row r="27" spans="1:1" ht="12.75" customHeight="1" x14ac:dyDescent="0.2"/>
    <row r="28" spans="1:1" ht="12.75" customHeight="1" x14ac:dyDescent="0.2"/>
    <row r="29" spans="1:1" ht="12.75" customHeight="1" x14ac:dyDescent="0.2"/>
    <row r="30" spans="1:1" ht="12.75" customHeight="1" x14ac:dyDescent="0.2"/>
    <row r="31" spans="1:1" ht="12.75" customHeight="1" x14ac:dyDescent="0.2"/>
    <row r="32" spans="1:1"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4AA3DD41E7CFA4E86C010F4EB486482" ma:contentTypeVersion="18" ma:contentTypeDescription="Crear nuevo documento." ma:contentTypeScope="" ma:versionID="e7fb01f4e139d7fdebba529c9a0937c9">
  <xsd:schema xmlns:xsd="http://www.w3.org/2001/XMLSchema" xmlns:xs="http://www.w3.org/2001/XMLSchema" xmlns:p="http://schemas.microsoft.com/office/2006/metadata/properties" xmlns:ns2="eaa9bf3b-60c2-4456-916d-f4817fb08b4f" xmlns:ns3="a6c9a71c-da9e-42e3-bdc2-0dae5f46afe5" targetNamespace="http://schemas.microsoft.com/office/2006/metadata/properties" ma:root="true" ma:fieldsID="51370e665407d5b49f11eae06661f287" ns2:_="" ns3:_="">
    <xsd:import namespace="eaa9bf3b-60c2-4456-916d-f4817fb08b4f"/>
    <xsd:import namespace="a6c9a71c-da9e-42e3-bdc2-0dae5f46afe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_Flow_SignoffStatus" minOccurs="0"/>
                <xsd:element ref="ns2:Rev"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a9bf3b-60c2-4456-916d-f4817fb08b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46be75cd-527c-4463-91c3-691978e55a7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Estado de aprobación" ma:internalName="Estado_x0020_de_x0020_aprobaci_x00f3_n">
      <xsd:simpleType>
        <xsd:restriction base="dms:Text"/>
      </xsd:simpleType>
    </xsd:element>
    <xsd:element name="Rev" ma:index="24" nillable="true" ma:displayName="Rev" ma:description="Revisión para OM o inclusión en PMO y GP" ma:format="Dropdown" ma:internalName="Rev">
      <xsd:simpleType>
        <xsd:restriction base="dms:Text">
          <xsd:maxLength value="255"/>
        </xsd:restrictio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9a71c-da9e-42e3-bdc2-0dae5f46afe5"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66a70393-8045-4db5-b63b-83af5dd3d747}" ma:internalName="TaxCatchAll" ma:showField="CatchAllData" ma:web="a6c9a71c-da9e-42e3-bdc2-0dae5f46af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aa9bf3b-60c2-4456-916d-f4817fb08b4f">
      <Terms xmlns="http://schemas.microsoft.com/office/infopath/2007/PartnerControls"/>
    </lcf76f155ced4ddcb4097134ff3c332f>
    <TaxCatchAll xmlns="a6c9a71c-da9e-42e3-bdc2-0dae5f46afe5" xsi:nil="true"/>
    <_Flow_SignoffStatus xmlns="eaa9bf3b-60c2-4456-916d-f4817fb08b4f" xsi:nil="true"/>
    <SharedWithUsers xmlns="a6c9a71c-da9e-42e3-bdc2-0dae5f46afe5">
      <UserInfo>
        <DisplayName>Liliana Pineda Aponte</DisplayName>
        <AccountId>131</AccountId>
        <AccountType/>
      </UserInfo>
      <UserInfo>
        <DisplayName>Linda Karina Petro Martínez</DisplayName>
        <AccountId>14</AccountId>
        <AccountType/>
      </UserInfo>
    </SharedWithUsers>
    <Rev xmlns="eaa9bf3b-60c2-4456-916d-f4817fb08b4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1CDFE3-6D01-4471-B1E1-781AD39CDC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a9bf3b-60c2-4456-916d-f4817fb08b4f"/>
    <ds:schemaRef ds:uri="a6c9a71c-da9e-42e3-bdc2-0dae5f46af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B7742B-93DE-4C68-90E3-EE0EDB350F76}">
  <ds:schemaRefs>
    <ds:schemaRef ds:uri="http://schemas.microsoft.com/office/2006/metadata/properties"/>
    <ds:schemaRef ds:uri="http://schemas.microsoft.com/office/infopath/2007/PartnerControls"/>
    <ds:schemaRef ds:uri="eaa9bf3b-60c2-4456-916d-f4817fb08b4f"/>
    <ds:schemaRef ds:uri="a6c9a71c-da9e-42e3-bdc2-0dae5f46afe5"/>
  </ds:schemaRefs>
</ds:datastoreItem>
</file>

<file path=customXml/itemProps3.xml><?xml version="1.0" encoding="utf-8"?>
<ds:datastoreItem xmlns:ds="http://schemas.openxmlformats.org/officeDocument/2006/customXml" ds:itemID="{6CF9939F-3F4F-4FA6-9CA5-21E3ACEF099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30</vt:i4>
      </vt:variant>
    </vt:vector>
  </HeadingPairs>
  <TitlesOfParts>
    <vt:vector size="53" baseType="lpstr">
      <vt:lpstr>Matriz Calor Inherente</vt:lpstr>
      <vt:lpstr>Matriz Calor Residual</vt:lpstr>
      <vt:lpstr>Matriz Calor Inherente.</vt:lpstr>
      <vt:lpstr>Matriz Calor Residual.</vt:lpstr>
      <vt:lpstr>Control de cambios</vt:lpstr>
      <vt:lpstr>Inst. Riesgos de gestión</vt:lpstr>
      <vt:lpstr>Matriz riesgos de gestión</vt:lpstr>
      <vt:lpstr>Catálogo puntos riesgo fiscal</vt:lpstr>
      <vt:lpstr>Matriz riesgos fiscales</vt:lpstr>
      <vt:lpstr>MapaCalor</vt:lpstr>
      <vt:lpstr>Inst. riesgos corrupción</vt:lpstr>
      <vt:lpstr>Matriz riesgos de corrupción</vt:lpstr>
      <vt:lpstr>Evaluación impacto Corrupción</vt:lpstr>
      <vt:lpstr>Matriz Calor Inherente SI</vt:lpstr>
      <vt:lpstr>Matriz Calor Residual SI</vt:lpstr>
      <vt:lpstr>Tabla probabilidad</vt:lpstr>
      <vt:lpstr>Tabla Impacto</vt:lpstr>
      <vt:lpstr>Tabla Valoración controles</vt:lpstr>
      <vt:lpstr>Base corrupción</vt:lpstr>
      <vt:lpstr>Base de datos gestión</vt:lpstr>
      <vt:lpstr>Grupo de activos - SI</vt:lpstr>
      <vt:lpstr>Mapa final back up</vt:lpstr>
      <vt:lpstr>Hoja1</vt:lpstr>
      <vt:lpstr>A_responsable</vt:lpstr>
      <vt:lpstr>Act_control</vt:lpstr>
      <vt:lpstr>'Evaluación impacto Corrupción'!Área_de_impresión</vt:lpstr>
      <vt:lpstr>'Matriz Calor Inherente.'!Área_de_impresión</vt:lpstr>
      <vt:lpstr>'Matriz Calor Residual.'!Área_de_impresión</vt:lpstr>
      <vt:lpstr>C_Externo</vt:lpstr>
      <vt:lpstr>C_Interno</vt:lpstr>
      <vt:lpstr>C_Proceso</vt:lpstr>
      <vt:lpstr>Contexto</vt:lpstr>
      <vt:lpstr>Desviaciones</vt:lpstr>
      <vt:lpstr>Evidencia</vt:lpstr>
      <vt:lpstr>Influencia_C</vt:lpstr>
      <vt:lpstr>Influencia_CP</vt:lpstr>
      <vt:lpstr>N_Impacto</vt:lpstr>
      <vt:lpstr>N_ImpactoC</vt:lpstr>
      <vt:lpstr>N_Probabilidad</vt:lpstr>
      <vt:lpstr>Nivel_R</vt:lpstr>
      <vt:lpstr>P_ejecución</vt:lpstr>
      <vt:lpstr>Periodicidad</vt:lpstr>
      <vt:lpstr>Proceso</vt:lpstr>
      <vt:lpstr>Propósito</vt:lpstr>
      <vt:lpstr>RespuestaC</vt:lpstr>
      <vt:lpstr>S_responsable</vt:lpstr>
      <vt:lpstr>T_Control</vt:lpstr>
      <vt:lpstr>TImpacto</vt:lpstr>
      <vt:lpstr>Tipología</vt:lpstr>
      <vt:lpstr>'Matriz riesgos de corrupción'!Títulos_a_imprimir</vt:lpstr>
      <vt:lpstr>TMapaCalor</vt:lpstr>
      <vt:lpstr>TProbabilidad</vt:lpstr>
      <vt:lpstr>Tratamiento_R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Linda Karina Petro Martínez</cp:lastModifiedBy>
  <cp:revision/>
  <dcterms:created xsi:type="dcterms:W3CDTF">2020-03-24T23:12:47Z</dcterms:created>
  <dcterms:modified xsi:type="dcterms:W3CDTF">2025-12-15T14:21:26Z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0x01010044AA3DD41E7CFA4E86C010F4EB486482</vt:lpwstr>
  </property>
  <property fmtid="{D5CDD505-2E9C-101B-9397-08002B2CF9AE}" pid="3" name="MediaServiceImageTags">
    <vt:lpwstr/>
  </property>
</Properties>
</file>